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efaultThemeVersion="166925"/>
  <mc:AlternateContent xmlns:mc="http://schemas.openxmlformats.org/markup-compatibility/2006">
    <mc:Choice Requires="x15">
      <x15ac:absPath xmlns:x15ac="http://schemas.microsoft.com/office/spreadsheetml/2010/11/ac" url="C:\Users\clcaz\Documents\Yrjo's Lab\GIT Projects\Tylosin-Model\data\"/>
    </mc:Choice>
  </mc:AlternateContent>
  <xr:revisionPtr revIDLastSave="0" documentId="13_ncr:1_{D23DFAEA-CF93-461C-95F0-379E1AD185CA}" xr6:coauthVersionLast="45" xr6:coauthVersionMax="45" xr10:uidLastSave="{00000000-0000-0000-0000-000000000000}"/>
  <bookViews>
    <workbookView xWindow="-17210" yWindow="-2490" windowWidth="17190" windowHeight="13800" firstSheet="13" activeTab="13" xr2:uid="{00000000-000D-0000-FFFF-FFFF00000000}"/>
  </bookViews>
  <sheets>
    <sheet name="Sorption" sheetId="20" r:id="rId1"/>
    <sheet name="Degradation Rate" sheetId="19" r:id="rId2"/>
    <sheet name="Hill Coefficient" sheetId="18" r:id="rId3"/>
    <sheet name="Environment Intake" sheetId="17" r:id="rId4"/>
    <sheet name="Feed Intake" sheetId="16" r:id="rId5"/>
    <sheet name="Water Consumption" sheetId="10" r:id="rId6"/>
    <sheet name="Fitness Cost" sheetId="8" r:id="rId7"/>
    <sheet name="Aerobicity" sheetId="9" r:id="rId8"/>
    <sheet name="Enterococcus Growth" sheetId="7" r:id="rId9"/>
    <sheet name="Enterococcus Death Pen" sheetId="14" r:id="rId10"/>
    <sheet name="Enterococcus Death Water" sheetId="13" r:id="rId11"/>
    <sheet name="Enterococcus Death Feed" sheetId="15" r:id="rId12"/>
    <sheet name="Starting Fraction Resistant" sheetId="6" r:id="rId13"/>
    <sheet name="Plasmid Transfer Frequency" sheetId="5" r:id="rId14"/>
    <sheet name="Cattle Carrying Capacity" sheetId="2" r:id="rId15"/>
    <sheet name="Pen Carrying Capacity" sheetId="3" r:id="rId16"/>
    <sheet name="Water Carrying Capacity" sheetId="11" r:id="rId17"/>
    <sheet name="Feed Carrying Capacity" sheetId="12" r:id="rId18"/>
  </sheets>
  <definedNames>
    <definedName name="_xlnm._FilterDatabase" localSheetId="14" hidden="1">'Cattle Carrying Capacity'!$1:$1048576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5" l="1"/>
  <c r="B6" i="15" l="1"/>
  <c r="B5" i="15"/>
  <c r="B6" i="13"/>
  <c r="B5" i="13"/>
  <c r="E7" i="18" l="1"/>
  <c r="E6" i="18"/>
  <c r="B7" i="18"/>
  <c r="B6" i="18"/>
  <c r="B5" i="20" l="1"/>
  <c r="B4" i="20"/>
  <c r="B3" i="20"/>
  <c r="B2" i="20"/>
  <c r="D15" i="19"/>
  <c r="B16" i="19"/>
  <c r="B15" i="19"/>
  <c r="B13" i="19"/>
  <c r="B12" i="19"/>
  <c r="D11" i="19"/>
  <c r="B11" i="19" s="1"/>
  <c r="B10" i="19"/>
  <c r="B9" i="19"/>
  <c r="B8" i="19"/>
  <c r="B7" i="19"/>
  <c r="B6" i="19"/>
  <c r="B5" i="19"/>
  <c r="B4" i="19"/>
  <c r="D14" i="19"/>
  <c r="B14" i="19"/>
  <c r="B3" i="19"/>
  <c r="D3" i="19" s="1"/>
  <c r="B2" i="19"/>
  <c r="B3" i="12" l="1"/>
  <c r="B2" i="12"/>
  <c r="B12" i="6"/>
  <c r="B11" i="6"/>
  <c r="B2" i="13"/>
  <c r="B27" i="3"/>
  <c r="B28" i="3"/>
  <c r="B29" i="3"/>
  <c r="B30" i="3"/>
  <c r="B31" i="3"/>
  <c r="B32" i="3"/>
  <c r="B33" i="3"/>
  <c r="B34" i="3"/>
  <c r="B26" i="3"/>
  <c r="B17" i="3"/>
  <c r="B25" i="3"/>
  <c r="B24" i="3"/>
  <c r="B18" i="3"/>
  <c r="B19" i="3"/>
  <c r="B20" i="3"/>
  <c r="B21" i="3"/>
  <c r="B22" i="3"/>
  <c r="B23" i="3"/>
  <c r="B15" i="3"/>
  <c r="B14" i="3"/>
  <c r="B13" i="3"/>
  <c r="B12" i="3"/>
  <c r="B2" i="2" l="1"/>
  <c r="E83" i="5"/>
  <c r="E84" i="5"/>
  <c r="E85" i="5"/>
  <c r="E80" i="5"/>
  <c r="E81" i="5"/>
  <c r="E82"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23" i="5"/>
  <c r="E24" i="5"/>
  <c r="E25" i="5"/>
  <c r="E26" i="5"/>
  <c r="E27" i="5"/>
  <c r="E28" i="5"/>
  <c r="E22" i="5"/>
  <c r="E14" i="5"/>
  <c r="E15" i="5"/>
  <c r="E16" i="5"/>
  <c r="E17" i="5"/>
  <c r="E18" i="5"/>
  <c r="E19" i="5"/>
  <c r="E20" i="5"/>
  <c r="E21" i="5"/>
  <c r="E6" i="5"/>
  <c r="E7" i="5"/>
  <c r="E8" i="5"/>
  <c r="E9" i="5"/>
  <c r="E10" i="5"/>
  <c r="E11" i="5"/>
  <c r="E12" i="5"/>
  <c r="E13" i="5"/>
  <c r="E3" i="5"/>
  <c r="E4" i="5"/>
  <c r="E5" i="5"/>
  <c r="B2" i="5"/>
  <c r="B2" i="15" l="1"/>
  <c r="B15" i="14"/>
  <c r="B14" i="14"/>
  <c r="B13" i="14"/>
  <c r="B12" i="14"/>
  <c r="B11" i="14"/>
  <c r="B10" i="14"/>
  <c r="B9" i="14"/>
  <c r="B8" i="14"/>
  <c r="B7" i="14"/>
  <c r="B3" i="14"/>
  <c r="B2" i="14"/>
  <c r="B6" i="14"/>
  <c r="B5" i="14"/>
  <c r="B4" i="14"/>
  <c r="H6" i="14"/>
  <c r="H5" i="14"/>
  <c r="H4" i="14"/>
  <c r="B70" i="7" l="1"/>
  <c r="B69" i="7"/>
  <c r="B68" i="7"/>
  <c r="B67" i="7"/>
  <c r="B66" i="7"/>
  <c r="B65" i="7"/>
  <c r="B7" i="7"/>
  <c r="D3" i="9"/>
  <c r="D6" i="9"/>
  <c r="D4" i="9"/>
  <c r="D5" i="9"/>
  <c r="D2" i="9"/>
  <c r="D9" i="8"/>
  <c r="D8" i="8"/>
  <c r="D7" i="8"/>
  <c r="D6" i="8"/>
  <c r="D5" i="8"/>
  <c r="D4" i="8"/>
  <c r="D3" i="8"/>
  <c r="D2" i="8"/>
  <c r="B5" i="10"/>
  <c r="D5" i="10" s="1"/>
  <c r="B6" i="10"/>
  <c r="D6" i="10" s="1"/>
  <c r="B3" i="10"/>
  <c r="B2" i="10"/>
  <c r="B2" i="16"/>
  <c r="B3" i="17"/>
  <c r="B2" i="17"/>
  <c r="D59" i="7" l="1"/>
  <c r="D60" i="7"/>
  <c r="D61" i="7"/>
  <c r="D62" i="7"/>
  <c r="D5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8" i="7"/>
  <c r="B6" i="7"/>
  <c r="B5" i="7"/>
  <c r="B4" i="7"/>
  <c r="B3" i="7"/>
  <c r="B2" i="7"/>
  <c r="D3" i="10" l="1"/>
  <c r="D4" i="10"/>
  <c r="D2" i="10"/>
</calcChain>
</file>

<file path=xl/sharedStrings.xml><?xml version="1.0" encoding="utf-8"?>
<sst xmlns="http://schemas.openxmlformats.org/spreadsheetml/2006/main" count="1947" uniqueCount="326">
  <si>
    <t>Notes</t>
  </si>
  <si>
    <t>Moubareck 2003</t>
  </si>
  <si>
    <t>Gupta 2013</t>
  </si>
  <si>
    <t>Hao 2009</t>
  </si>
  <si>
    <t>Burns 1999</t>
  </si>
  <si>
    <t>Anderson 2008</t>
  </si>
  <si>
    <t>Weaver 2005</t>
  </si>
  <si>
    <t>Klein 2010</t>
  </si>
  <si>
    <t>Straut 1996</t>
  </si>
  <si>
    <t>Lim 2006</t>
  </si>
  <si>
    <t>Tomich 1979</t>
  </si>
  <si>
    <t>Huang 2018</t>
  </si>
  <si>
    <t>Desmarais 2002</t>
  </si>
  <si>
    <t>Uniform</t>
  </si>
  <si>
    <t>Klein 2011</t>
  </si>
  <si>
    <t>Soupir 2008</t>
  </si>
  <si>
    <t>Boyles 2012</t>
  </si>
  <si>
    <t>Bucido &amp; Gates 2002</t>
  </si>
  <si>
    <t>Gautam 2013</t>
  </si>
  <si>
    <t>Carlson 2006</t>
  </si>
  <si>
    <t>Amarakoon 2016</t>
  </si>
  <si>
    <t>Dolliver 2008</t>
  </si>
  <si>
    <t>Teeter 2003</t>
  </si>
  <si>
    <t>Storteboom 2007</t>
  </si>
  <si>
    <t>Ingerslev 2001</t>
  </si>
  <si>
    <t>Sura 2014</t>
  </si>
  <si>
    <t>Cessna 2011</t>
  </si>
  <si>
    <t>Joy 2014</t>
  </si>
  <si>
    <t>Ji 2014</t>
  </si>
  <si>
    <t>Abu-Basha 2012</t>
  </si>
  <si>
    <t>WHO 1991</t>
  </si>
  <si>
    <t>Kowalski 2002</t>
  </si>
  <si>
    <t>N/A</t>
  </si>
  <si>
    <t>Citation</t>
  </si>
  <si>
    <t>Measurement</t>
  </si>
  <si>
    <t>Units</t>
  </si>
  <si>
    <t>g/head/h</t>
  </si>
  <si>
    <t>g/head/hr</t>
  </si>
  <si>
    <t>Murray/Scott 2018</t>
  </si>
  <si>
    <t>Harner &amp; Murphy 1998</t>
  </si>
  <si>
    <t>L/head/day</t>
  </si>
  <si>
    <t>Number of assays</t>
  </si>
  <si>
    <t>%</t>
  </si>
  <si>
    <t>Butaye 1998</t>
  </si>
  <si>
    <t>SD</t>
  </si>
  <si>
    <t>Grown in</t>
  </si>
  <si>
    <t>/h</t>
  </si>
  <si>
    <t>Broth</t>
  </si>
  <si>
    <t>Hancock 2004</t>
  </si>
  <si>
    <t>Espeche 2014</t>
  </si>
  <si>
    <t>Nisbet 2008</t>
  </si>
  <si>
    <t>Nisbet 2008</t>
  </si>
  <si>
    <t>Monteagudo-Mera 2011</t>
  </si>
  <si>
    <t>Hovnanyan 2017</t>
  </si>
  <si>
    <t>Hovnanyan 2017</t>
  </si>
  <si>
    <t>Maraccini 2015</t>
  </si>
  <si>
    <t>Maraccini 2015</t>
  </si>
  <si>
    <t>Vardanyan 2012</t>
  </si>
  <si>
    <t>Heß 2016</t>
  </si>
  <si>
    <t>Benjamin 2009</t>
  </si>
  <si>
    <t>Sinton 2007</t>
  </si>
  <si>
    <t>River Water</t>
  </si>
  <si>
    <t>Determination of Resistance?</t>
  </si>
  <si>
    <t>Calculate Rate (T/D * 1/h)</t>
  </si>
  <si>
    <t>Donor:Recipient Ratio</t>
  </si>
  <si>
    <t>T/D</t>
  </si>
  <si>
    <t>1:1</t>
  </si>
  <si>
    <t>1:9</t>
  </si>
  <si>
    <t>Schwarz 2001</t>
  </si>
  <si>
    <t>1:3</t>
  </si>
  <si>
    <t>1:10</t>
  </si>
  <si>
    <t>Conwell 2017</t>
  </si>
  <si>
    <t>Thumu 2013</t>
  </si>
  <si>
    <t>Sample</t>
  </si>
  <si>
    <t>log10 CFU/g</t>
  </si>
  <si>
    <t>Lefebrve 2006</t>
  </si>
  <si>
    <t>Murray/Scott PC</t>
  </si>
  <si>
    <t>Mean of all samples in Trial 1</t>
  </si>
  <si>
    <t>Mean of all samples in Trial 2</t>
  </si>
  <si>
    <t>Mean of three fresh manure pats</t>
  </si>
  <si>
    <t>Murray/Scott</t>
  </si>
  <si>
    <t>Mean of 270 samples</t>
  </si>
  <si>
    <t>Log10 CFU/g</t>
  </si>
  <si>
    <t>log10CFU/g</t>
  </si>
  <si>
    <t>mL/hr</t>
  </si>
  <si>
    <t>Source</t>
  </si>
  <si>
    <t>Experiments Independent?</t>
  </si>
  <si>
    <t>Table 3</t>
  </si>
  <si>
    <t>NA</t>
  </si>
  <si>
    <t>No</t>
  </si>
  <si>
    <t>Replicates</t>
  </si>
  <si>
    <t>Table 1</t>
  </si>
  <si>
    <t>Yes</t>
  </si>
  <si>
    <t>95% CI</t>
  </si>
  <si>
    <t>Table 2</t>
  </si>
  <si>
    <t>Text</t>
  </si>
  <si>
    <t>Table 4</t>
  </si>
  <si>
    <t>Figure 1</t>
  </si>
  <si>
    <t>Figure 1, strain 1</t>
  </si>
  <si>
    <t>Figure 1, strain 2</t>
  </si>
  <si>
    <t>Text (VRE strains, 2 replicates for each of 11 strains)</t>
  </si>
  <si>
    <t>Text (VSE strains, 2 replicates for each of 8 strains)</t>
  </si>
  <si>
    <t>Ayscue 2009</t>
  </si>
  <si>
    <t>Personal communication?</t>
  </si>
  <si>
    <t>average across size (&gt;300kg), temperature, sex (Gal/head/Day)</t>
  </si>
  <si>
    <t>Page 23</t>
  </si>
  <si>
    <t>average across size (&gt;300kg), temperature (Gal/head/Day)</t>
  </si>
  <si>
    <t>abstract</t>
  </si>
  <si>
    <t>average for a 300kg steer (3 separate measurements of mean water intake)</t>
  </si>
  <si>
    <t>average of range reported for beef cattle (including hot weather)</t>
  </si>
  <si>
    <t>Wells 1995</t>
  </si>
  <si>
    <t>Pfost 2007</t>
  </si>
  <si>
    <t>average across temperatures for yearling heifers</t>
  </si>
  <si>
    <t>ermC in S. aureus USA300</t>
  </si>
  <si>
    <t>Different Campylobacter strains with different MIC and ribosome mutations</t>
  </si>
  <si>
    <t>Table 5</t>
  </si>
  <si>
    <t>Difference Anaerobic log2MIC - Aerobic log2MIC</t>
  </si>
  <si>
    <t>Independent Experiment?</t>
  </si>
  <si>
    <t>Number of Independent Strains</t>
  </si>
  <si>
    <t>averaged between blood and no supplement</t>
  </si>
  <si>
    <t>Figure 2</t>
  </si>
  <si>
    <t>Different temperatures</t>
  </si>
  <si>
    <t>Compost</t>
  </si>
  <si>
    <t>Stockpile</t>
  </si>
  <si>
    <t>Oladeinde 2014</t>
  </si>
  <si>
    <t>Channaiah 2010</t>
  </si>
  <si>
    <t>Extracted Data from Fig 3</t>
  </si>
  <si>
    <t>Hours</t>
  </si>
  <si>
    <t>CFU/100mL</t>
  </si>
  <si>
    <t>Fig 3</t>
  </si>
  <si>
    <t>Table 3 D value</t>
  </si>
  <si>
    <t>Min</t>
  </si>
  <si>
    <t>Max</t>
  </si>
  <si>
    <t>Independent Experiments?</t>
  </si>
  <si>
    <t>Number of isolates Tested</t>
  </si>
  <si>
    <t>Muller 2018</t>
  </si>
  <si>
    <t>culture</t>
  </si>
  <si>
    <t>Tylosin group day 0</t>
  </si>
  <si>
    <t>Control group day 0</t>
  </si>
  <si>
    <t>Intermittent tylosin group day 0</t>
  </si>
  <si>
    <t>Beukers 2015</t>
  </si>
  <si>
    <t>Zaheer 2013</t>
  </si>
  <si>
    <t>Tilmicosin group day 0</t>
  </si>
  <si>
    <t>Tulathromycin group day 0</t>
  </si>
  <si>
    <t>Strain BM6807</t>
  </si>
  <si>
    <t>Strain BM6808</t>
  </si>
  <si>
    <t>Strain VB8</t>
  </si>
  <si>
    <t>Length of Incubation (hours)</t>
  </si>
  <si>
    <t>Tyl Sys Review</t>
  </si>
  <si>
    <t>Figure 5</t>
  </si>
  <si>
    <t>Strain UW261</t>
  </si>
  <si>
    <t>Strain UW262</t>
  </si>
  <si>
    <t>Strain UW4</t>
  </si>
  <si>
    <t>Strain UW7</t>
  </si>
  <si>
    <t>Donor</t>
  </si>
  <si>
    <t>Recipient</t>
  </si>
  <si>
    <t>Strain 64/3</t>
  </si>
  <si>
    <t>Strain JH2-2</t>
  </si>
  <si>
    <t>KV1</t>
  </si>
  <si>
    <t>BM4105RF</t>
  </si>
  <si>
    <t>KV2</t>
  </si>
  <si>
    <t>FA2-2</t>
  </si>
  <si>
    <t>JH2SS</t>
  </si>
  <si>
    <t>FA2-2 pSLI1</t>
  </si>
  <si>
    <t>FA2-2 pSLI2</t>
  </si>
  <si>
    <t>JH2SS pSL1</t>
  </si>
  <si>
    <t>JH2SS pSL2</t>
  </si>
  <si>
    <t>RE25</t>
  </si>
  <si>
    <t>JH2-2</t>
  </si>
  <si>
    <t>DS-16</t>
  </si>
  <si>
    <t>Chajecka-Wierzchowska 2019</t>
  </si>
  <si>
    <t>BT1</t>
  </si>
  <si>
    <t>CHB1</t>
  </si>
  <si>
    <t>CHS1</t>
  </si>
  <si>
    <t>CLS3</t>
  </si>
  <si>
    <t>ES1</t>
  </si>
  <si>
    <t>FSH1</t>
  </si>
  <si>
    <t>GS2</t>
  </si>
  <si>
    <t>GS3</t>
  </si>
  <si>
    <t>MT1</t>
  </si>
  <si>
    <t>PH1</t>
  </si>
  <si>
    <t>PH2</t>
  </si>
  <si>
    <t>SS2</t>
  </si>
  <si>
    <t>SS3</t>
  </si>
  <si>
    <t>SUS1</t>
  </si>
  <si>
    <t>SUS4</t>
  </si>
  <si>
    <t>16402aEK</t>
  </si>
  <si>
    <t>16632EK</t>
  </si>
  <si>
    <t>16680EK</t>
  </si>
  <si>
    <t>20158EK</t>
  </si>
  <si>
    <t>MF06036</t>
  </si>
  <si>
    <t>MW1105</t>
  </si>
  <si>
    <t>MF06035</t>
  </si>
  <si>
    <t>IB9-4</t>
  </si>
  <si>
    <t>IB9-1</t>
  </si>
  <si>
    <t>IB9-2</t>
  </si>
  <si>
    <t>Number of Samples</t>
  </si>
  <si>
    <t>Independent Experiments</t>
  </si>
  <si>
    <t>Control</t>
  </si>
  <si>
    <t>Rumensin</t>
  </si>
  <si>
    <t>Revalor</t>
  </si>
  <si>
    <t>Rumensin/Revalor</t>
  </si>
  <si>
    <t>PC</t>
  </si>
  <si>
    <t>Mean Enterococci in fresh rectal samples</t>
  </si>
  <si>
    <t>Mean of fresh manure samples</t>
  </si>
  <si>
    <t>dry manure pats</t>
  </si>
  <si>
    <t>1-week old manure samples</t>
  </si>
  <si>
    <t>4-week old manure samples</t>
  </si>
  <si>
    <t>3-6 month old manure samples</t>
  </si>
  <si>
    <t>Compost initial</t>
  </si>
  <si>
    <t>Stockpile initial</t>
  </si>
  <si>
    <t>Microcosm initial</t>
  </si>
  <si>
    <t>Dairy manure spring</t>
  </si>
  <si>
    <t>Dairy manure summer</t>
  </si>
  <si>
    <t>Dairy manure fall</t>
  </si>
  <si>
    <t>Dairy manure winter</t>
  </si>
  <si>
    <t>Time</t>
  </si>
  <si>
    <t>Figure 1A</t>
  </si>
  <si>
    <t>Shaded day 0</t>
  </si>
  <si>
    <t>Shaded day 2</t>
  </si>
  <si>
    <t>Shaded day 4</t>
  </si>
  <si>
    <t>Shaded day 6</t>
  </si>
  <si>
    <t>Shaded day 8</t>
  </si>
  <si>
    <t>Shaded day 15</t>
  </si>
  <si>
    <t>Unshaded day 0</t>
  </si>
  <si>
    <t>Unshaded day 2</t>
  </si>
  <si>
    <t>Unshaded day 4</t>
  </si>
  <si>
    <t>Unshaded day 6</t>
  </si>
  <si>
    <t>Unshaded day 8</t>
  </si>
  <si>
    <t>Unshaded day 15</t>
  </si>
  <si>
    <t>Unshaded day 22</t>
  </si>
  <si>
    <t>Unshaded day 29</t>
  </si>
  <si>
    <t>Unshaded day 43</t>
  </si>
  <si>
    <t>Oladeinde</t>
  </si>
  <si>
    <t>Fig 1A</t>
  </si>
  <si>
    <t>Fig 1B</t>
  </si>
  <si>
    <t>Shaded day 22</t>
  </si>
  <si>
    <t>Shaded day 29</t>
  </si>
  <si>
    <t>Shaded day 43</t>
  </si>
  <si>
    <t>Figure 1B</t>
  </si>
  <si>
    <t>Schmidt 2020</t>
  </si>
  <si>
    <t>Control November</t>
  </si>
  <si>
    <t>Figure 5A</t>
  </si>
  <si>
    <t>Tylosin November pre-tx</t>
  </si>
  <si>
    <t>Control Jan</t>
  </si>
  <si>
    <t>Control Apr</t>
  </si>
  <si>
    <t>Control June</t>
  </si>
  <si>
    <t>Control Nov</t>
  </si>
  <si>
    <t>Tylosin Nov pre-tx</t>
  </si>
  <si>
    <t>Figure 7A</t>
  </si>
  <si>
    <t>Independent Experiment</t>
  </si>
  <si>
    <t>Table 2 caption</t>
  </si>
  <si>
    <t>Ch 3 Table 1</t>
  </si>
  <si>
    <t>Channaiah 2009</t>
  </si>
  <si>
    <t>Resistant or Susceptible</t>
  </si>
  <si>
    <t>Susceptible</t>
  </si>
  <si>
    <t>Study</t>
  </si>
  <si>
    <t>Parameter Value</t>
  </si>
  <si>
    <t>Conditions of Tylosin</t>
  </si>
  <si>
    <t>Management</t>
  </si>
  <si>
    <t>Air</t>
  </si>
  <si>
    <t>pH</t>
  </si>
  <si>
    <t>Temperature</t>
  </si>
  <si>
    <t>Other Factors</t>
  </si>
  <si>
    <t>Comments</t>
  </si>
  <si>
    <t>Spiked into soil and manure</t>
  </si>
  <si>
    <t>TYL was dissolved in methanol, mixed in sand and applied onto plot with manure, all was mixed together with disker</t>
  </si>
  <si>
    <t xml:space="preserve">Aerobic </t>
  </si>
  <si>
    <t>5.6-5.8</t>
  </si>
  <si>
    <t>10-20 °C</t>
  </si>
  <si>
    <t>Sampled plots were rained on during trial (paper argued it is similar to irrigated fields)</t>
  </si>
  <si>
    <t>First order dissipation behavior of tylosin. No degradation products were identified or detected in this study, but the dissipation half life (value that is reported) is considered to be equivalent to a degradation half life. Degradation rate of TYL is not expected to changed significantly from pH of 5.4 to 5.7 when manure is present. The increased half life because the manure application suggests taht biotic degradation speeds up the overall degradation process (which is abiotic when just in soil). The drug was gone from soil or soil+manure completely in 3-4 weeks.</t>
  </si>
  <si>
    <t>Anaerobic</t>
  </si>
  <si>
    <t>Spiked into manure</t>
  </si>
  <si>
    <t>Manure was collected (did not have any abx in it), TYL was sprinkled on top (4.69g/45kg of wet manure). Manure was composted 30d</t>
  </si>
  <si>
    <t>Aerobic</t>
  </si>
  <si>
    <t>Not given</t>
  </si>
  <si>
    <t>25-45 °C</t>
  </si>
  <si>
    <t>TYL has a strong affinity for organic matter and the sorption to manure can exceed sorption to soil. The decrease in the rate of tylosin degradation from spiked manure vs. excreted manure may be due to the fact that the TYL sorped to manure for an extended time inside the GI tract of the cow and  when the manure was accumulating on the feedlot pen floor for 2 months. The spiked TYL was only introduced once the manure was collected. </t>
  </si>
  <si>
    <t>Spiked into turkey manure</t>
  </si>
  <si>
    <t>Manure was collected and then TYL was added. The manure was either stockpiled as a "low management" treatment. Composted for 35 days</t>
  </si>
  <si>
    <t>8.3-.8.8</t>
  </si>
  <si>
    <t>40-65 °C</t>
  </si>
  <si>
    <t xml:space="preserve">There was no significant difference found between these treatments and the author argues that these findings are similar to Elance, De Liguoro 2003, Ingerslev 2001, and Carlson 2006 findings. </t>
  </si>
  <si>
    <t> Manure was collected and then TYL was added adjusted weekly in a compost pile as a "high management" treatment. Composted for 35 days.</t>
  </si>
  <si>
    <t>Manure was collected and then TYL was added. Manure was rotated in a composting vessel continuously. Composted for 8 days</t>
  </si>
  <si>
    <t>Temperature quickly rose to 65 °C</t>
  </si>
  <si>
    <t>Spiked into cattle manure</t>
  </si>
  <si>
    <t>Cattle, chicken, swine excreta was mixed with tylosin and incubated in the dark</t>
  </si>
  <si>
    <t>All of the treatments for the different species are relatively similar, but the author does not mention if stats were run to determine if there is a significant different between the sets of data. Compares some of the data to other papers that I've read and claims that their results are similar (Loke 2002)</t>
  </si>
  <si>
    <t>Spiked into chicken manure</t>
  </si>
  <si>
    <t>Spiked into pig manure</t>
  </si>
  <si>
    <t>Spiked into horse manure</t>
  </si>
  <si>
    <t>8.3-8.5</t>
  </si>
  <si>
    <t>Tylosin was spiked into a pile of horse manure; this was not turned or watered often</t>
  </si>
  <si>
    <t>55 °C reached then decreased over time</t>
  </si>
  <si>
    <t>Spiked into swine manure/soil slurry</t>
  </si>
  <si>
    <t>Manure was taken from a pig farm and was mixed with soil to form a slurry. This was put in a glass column and samples were taken from this regularly</t>
  </si>
  <si>
    <t>This data agreed with several other studies reasonably well, but the authors went into great detail discussing how these results could be different than other studies (faster degradation time) because the experiment temperature was somewhat higher which could accelerate degradation rates. Also, the treatment was in a liquid suspension which could have allowed for faster biodegradation rates compared to immobile soils/solid manure because of the increased contact with the drug to bacteria. This study also thinks that the experimental parameters may have caused there to be a higher bioavailability (due to the slurry) and thus a higher potential for biodegradation.</t>
  </si>
  <si>
    <t>Cattle fed 90mg/head for 145d</t>
  </si>
  <si>
    <t>Cattle were fed the drug for 145d and then the manue from the pen was collected and stockpiled</t>
  </si>
  <si>
    <t>-2.9 to 62.5 °C</t>
  </si>
  <si>
    <t>Values in this study were noted by the authors as significantly shorter than previously-identified half-lives of TYL in other studies (Cessna 2011). They believe that the drug is more quickly dissipated when manure is stockpiled compared to more labor-intensive composting. The turning of the manure could increase half life because the temperature is allowed to dissipate, it becomes drier, and the microbial communities in the manure are disturbed. Furthermore, stockpiled manure is more likely to be anaerobic</t>
  </si>
  <si>
    <t>Cattle fed 90mg/head for 204d</t>
  </si>
  <si>
    <t>Cattle fed 90mg/head for 2 months</t>
  </si>
  <si>
    <t>Manure was collected and composted after therapy had ended</t>
  </si>
  <si>
    <t>See Amarakoon 2006 above. Fortified (spiked) TYL may not accurately reflect TYL dissipation in manure compared to TYL administered in feed and excreted in feces.</t>
  </si>
  <si>
    <t>Cattle fed 90mg/head for 7d</t>
  </si>
  <si>
    <t>Composted, not turned</t>
  </si>
  <si>
    <t>Swine fed 114.6mg/kg-feed</t>
  </si>
  <si>
    <t>Half Life (days)</t>
  </si>
  <si>
    <t>Authors reported two years (2005, 2006) separately but also an average</t>
  </si>
  <si>
    <t>Ray 2017</t>
  </si>
  <si>
    <t>Abstract</t>
  </si>
  <si>
    <t>reported range, calculated average of min/max</t>
  </si>
  <si>
    <t>Page 5</t>
  </si>
  <si>
    <t>Measurement1</t>
  </si>
  <si>
    <t>Measurement2</t>
  </si>
  <si>
    <t>Units2</t>
  </si>
  <si>
    <t>Hill_S</t>
  </si>
  <si>
    <t>Hill_R</t>
  </si>
  <si>
    <t>log10CFU/mL</t>
  </si>
  <si>
    <t>Control January</t>
  </si>
  <si>
    <t>Control April</t>
  </si>
  <si>
    <t>Table S24</t>
  </si>
  <si>
    <t>Table S27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</si>
</sst>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u/>
      <sz val="11"/>
      <color theme="1"/>
      <name val="Calibri"/>
      <family val="2"/>
      <scheme val="minor"/>
    </font>
    <font>
      <b/>
      <sz val="11"/>
      <color theme="1"/>
      <name val="Calibri"/>
      <family val="2"/>
      <scheme val="minor"/>
    </font>
    <font>
      <u/>
      <sz val="11"/>
      <color theme="1"/>
      <name val="Calibri"/>
      <family val="2"/>
      <scheme val="minor"/>
    </font>
    <font>
      <sz val="8"/>
      <name val="Calibri"/>
      <family val="2"/>
      <scheme val="minor"/>
    </font>
    <font>
      <sz val="12"/>
      <color theme="1"/>
      <name val="Calibri"/>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22">
    <xf numFmtId="0" fontId="0" fillId="0" borderId="0" xfId="0"/>
    <xf numFmtId="0" fontId="0" fillId="0" borderId="0" xfId="0" applyAlignment="1">
      <alignment wrapText="1"/>
    </xf>
    <xf numFmtId="0" fontId="1" fillId="0" borderId="0" xfId="0" applyFont="1"/>
    <xf numFmtId="0" fontId="0" fillId="0" borderId="0" xfId="0" applyAlignment="1">
      <alignment horizontal="left"/>
    </xf>
    <xf numFmtId="0" fontId="0" fillId="0" borderId="0" xfId="0" applyAlignment="1">
      <alignment horizontal="left" vertical="top"/>
    </xf>
    <xf numFmtId="0" fontId="1" fillId="0" borderId="0" xfId="0" applyFont="1" applyAlignment="1">
      <alignment horizontal="left"/>
    </xf>
    <xf numFmtId="11" fontId="0" fillId="0" borderId="0" xfId="0" applyNumberFormat="1"/>
    <xf numFmtId="11" fontId="0" fillId="0" borderId="0" xfId="0" applyNumberFormat="1" applyAlignment="1">
      <alignment wrapText="1"/>
    </xf>
    <xf numFmtId="49" fontId="0" fillId="0" borderId="0" xfId="0" applyNumberFormat="1"/>
    <xf numFmtId="0" fontId="1" fillId="0" borderId="0" xfId="0" applyFont="1" applyAlignment="1">
      <alignment horizontal="center"/>
    </xf>
    <xf numFmtId="0" fontId="3" fillId="0" borderId="0" xfId="0" applyFont="1"/>
    <xf numFmtId="0" fontId="0" fillId="0" borderId="0" xfId="0" applyAlignment="1">
      <alignment horizontal="right"/>
    </xf>
    <xf numFmtId="0" fontId="0" fillId="0" borderId="0" xfId="0" applyFont="1"/>
    <xf numFmtId="11" fontId="0" fillId="0" borderId="0" xfId="0" applyNumberFormat="1" applyFont="1"/>
    <xf numFmtId="1" fontId="0" fillId="0" borderId="0" xfId="0" applyNumberFormat="1" applyFont="1"/>
    <xf numFmtId="2" fontId="0" fillId="0" borderId="0" xfId="0" applyNumberFormat="1"/>
    <xf numFmtId="0" fontId="2" fillId="0" borderId="0" xfId="0" applyFont="1"/>
    <xf numFmtId="0" fontId="2" fillId="0" borderId="0" xfId="0" applyFont="1" applyAlignment="1"/>
    <xf numFmtId="0" fontId="0" fillId="0" borderId="0" xfId="0" applyAlignment="1"/>
    <xf numFmtId="0" fontId="0" fillId="0" borderId="0" xfId="0" applyAlignment="1">
      <alignment vertical="top"/>
    </xf>
    <xf numFmtId="0" fontId="1" fillId="0" borderId="0" xfId="0" applyFont="1" applyAlignment="1"/>
    <xf numFmtId="0" fontId="0" fillId="0" borderId="0" xfId="0" applyAlignment="1">
      <alignment horizontal="left" vertical="top"/>
    </xf>
  </cellXfs>
  <cellStyles count="2">
    <cellStyle name="Normal" xfId="0" builtinId="0"/>
    <cellStyle name="Normal 2" xfId="1" xr:uid="{CA708F75-65C5-4AF3-BD23-2875EC907ACF}"/>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E586E-546F-4B6A-9914-B68B8ACCE97F}">
  <dimension ref="A1:F5"/>
  <sheetViews>
    <sheetView workbookViewId="0">
      <selection activeCell="B4" sqref="B4"/>
    </sheetView>
  </sheetViews>
  <sheetFormatPr defaultRowHeight="14.5"/>
  <cols>
    <col min="1" max="1" width="8.26953125" bestFit="1" customWidth="1"/>
  </cols>
  <sheetData>
    <row r="1" spans="1:6">
      <c r="A1" s="9" t="s">
        <v>33</v>
      </c>
      <c r="B1" s="9" t="s">
        <v>34</v>
      </c>
      <c r="C1" t="s">
        <v>35</v>
      </c>
      <c r="D1" s="9" t="s">
        <v>250</v>
      </c>
      <c r="E1" s="9" t="s">
        <v>85</v>
      </c>
      <c r="F1" s="9" t="s">
        <v>0</v>
      </c>
    </row>
    <row r="2" spans="1:6">
      <c r="A2" t="s">
        <v>31</v>
      </c>
      <c r="B2">
        <f>100-AVERAGE(30,34)</f>
        <v>68</v>
      </c>
      <c r="C2" t="s">
        <v>42</v>
      </c>
      <c r="D2" t="s">
        <v>92</v>
      </c>
      <c r="E2" t="s">
        <v>313</v>
      </c>
      <c r="F2" t="s">
        <v>314</v>
      </c>
    </row>
    <row r="3" spans="1:6">
      <c r="A3" t="s">
        <v>28</v>
      </c>
      <c r="B3">
        <f>100-13.74</f>
        <v>86.26</v>
      </c>
      <c r="C3" t="s">
        <v>42</v>
      </c>
      <c r="D3" t="s">
        <v>92</v>
      </c>
      <c r="E3" t="s">
        <v>94</v>
      </c>
    </row>
    <row r="4" spans="1:6">
      <c r="A4" t="s">
        <v>30</v>
      </c>
      <c r="B4">
        <f>100-22.5</f>
        <v>77.5</v>
      </c>
      <c r="C4" t="s">
        <v>42</v>
      </c>
      <c r="D4" t="s">
        <v>92</v>
      </c>
      <c r="E4" t="s">
        <v>315</v>
      </c>
    </row>
    <row r="5" spans="1:6">
      <c r="A5" t="s">
        <v>29</v>
      </c>
      <c r="B5">
        <f>100-35.41</f>
        <v>64.59</v>
      </c>
      <c r="C5" t="s">
        <v>42</v>
      </c>
      <c r="D5" t="s">
        <v>92</v>
      </c>
      <c r="E5" t="s">
        <v>91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212B5-83B0-418F-A096-EB9B64D73B09}">
  <dimension ref="A1:I15"/>
  <sheetViews>
    <sheetView workbookViewId="0">
      <selection activeCell="E1" sqref="E1"/>
    </sheetView>
  </sheetViews>
  <sheetFormatPr defaultRowHeight="14.5"/>
  <cols>
    <col min="1" max="1" width="20.7265625" customWidth="1"/>
    <col min="2" max="2" width="13.81640625" bestFit="1" customWidth="1"/>
    <col min="5" max="6" width="18.7265625" customWidth="1"/>
    <col min="7" max="7" width="9.26953125" bestFit="1" customWidth="1"/>
  </cols>
  <sheetData>
    <row r="1" spans="1:9">
      <c r="A1" s="9" t="s">
        <v>33</v>
      </c>
      <c r="B1" s="9" t="s">
        <v>34</v>
      </c>
      <c r="C1" s="9" t="s">
        <v>44</v>
      </c>
      <c r="D1" s="9" t="s">
        <v>35</v>
      </c>
      <c r="E1" s="9" t="s">
        <v>85</v>
      </c>
      <c r="F1" s="9" t="s">
        <v>86</v>
      </c>
      <c r="G1" s="2" t="s">
        <v>90</v>
      </c>
      <c r="I1" s="9" t="s">
        <v>0</v>
      </c>
    </row>
    <row r="2" spans="1:9">
      <c r="A2" t="s">
        <v>14</v>
      </c>
      <c r="B2">
        <f>-0.069/24</f>
        <v>-2.8750000000000004E-3</v>
      </c>
      <c r="C2" t="s">
        <v>88</v>
      </c>
      <c r="D2" t="s">
        <v>46</v>
      </c>
      <c r="E2" t="s">
        <v>91</v>
      </c>
      <c r="F2" t="s">
        <v>92</v>
      </c>
      <c r="G2">
        <v>2</v>
      </c>
      <c r="I2" t="s">
        <v>122</v>
      </c>
    </row>
    <row r="3" spans="1:9">
      <c r="A3" t="s">
        <v>14</v>
      </c>
      <c r="B3">
        <f>-0.25/24</f>
        <v>-1.0416666666666666E-2</v>
      </c>
      <c r="C3" t="s">
        <v>88</v>
      </c>
      <c r="D3" t="s">
        <v>46</v>
      </c>
      <c r="E3" t="s">
        <v>91</v>
      </c>
      <c r="F3" t="s">
        <v>92</v>
      </c>
      <c r="G3">
        <v>2</v>
      </c>
      <c r="I3" t="s">
        <v>123</v>
      </c>
    </row>
    <row r="4" spans="1:9">
      <c r="A4" t="s">
        <v>14</v>
      </c>
      <c r="B4">
        <f>-0.52/24</f>
        <v>-2.1666666666666667E-2</v>
      </c>
      <c r="C4" t="s">
        <v>88</v>
      </c>
      <c r="D4" t="s">
        <v>46</v>
      </c>
      <c r="E4" t="s">
        <v>96</v>
      </c>
      <c r="F4" t="s">
        <v>92</v>
      </c>
      <c r="G4">
        <v>2</v>
      </c>
      <c r="H4">
        <f>0.52/24</f>
        <v>2.1666666666666667E-2</v>
      </c>
      <c r="I4" t="s">
        <v>121</v>
      </c>
    </row>
    <row r="5" spans="1:9">
      <c r="A5" t="s">
        <v>14</v>
      </c>
      <c r="B5">
        <f>-0.15/24</f>
        <v>-6.2499999999999995E-3</v>
      </c>
      <c r="C5" t="s">
        <v>88</v>
      </c>
      <c r="D5" t="s">
        <v>46</v>
      </c>
      <c r="E5" t="s">
        <v>96</v>
      </c>
      <c r="F5" t="s">
        <v>92</v>
      </c>
      <c r="G5">
        <v>2</v>
      </c>
      <c r="H5">
        <f>0.15/24</f>
        <v>6.2499999999999995E-3</v>
      </c>
      <c r="I5" t="s">
        <v>121</v>
      </c>
    </row>
    <row r="6" spans="1:9">
      <c r="A6" t="s">
        <v>14</v>
      </c>
      <c r="B6">
        <f>-0.28/24</f>
        <v>-1.1666666666666667E-2</v>
      </c>
      <c r="C6" t="s">
        <v>88</v>
      </c>
      <c r="D6" t="s">
        <v>46</v>
      </c>
      <c r="E6" t="s">
        <v>96</v>
      </c>
      <c r="F6" t="s">
        <v>92</v>
      </c>
      <c r="G6">
        <v>2</v>
      </c>
      <c r="H6">
        <f>0.28/24</f>
        <v>1.1666666666666667E-2</v>
      </c>
      <c r="I6" t="s">
        <v>121</v>
      </c>
    </row>
    <row r="7" spans="1:9">
      <c r="A7" s="1" t="s">
        <v>124</v>
      </c>
      <c r="B7">
        <f>-0.163/24</f>
        <v>-6.7916666666666672E-3</v>
      </c>
      <c r="C7" t="s">
        <v>88</v>
      </c>
      <c r="D7" t="s">
        <v>46</v>
      </c>
      <c r="E7" t="s">
        <v>94</v>
      </c>
      <c r="F7" t="s">
        <v>92</v>
      </c>
      <c r="G7">
        <v>18</v>
      </c>
    </row>
    <row r="8" spans="1:9">
      <c r="A8" t="s">
        <v>15</v>
      </c>
      <c r="B8">
        <f>-0.0759/24</f>
        <v>-3.1624999999999999E-3</v>
      </c>
      <c r="C8" t="s">
        <v>88</v>
      </c>
      <c r="D8" t="s">
        <v>46</v>
      </c>
      <c r="E8" t="s">
        <v>87</v>
      </c>
      <c r="F8" t="s">
        <v>92</v>
      </c>
      <c r="G8">
        <v>5</v>
      </c>
    </row>
    <row r="9" spans="1:9">
      <c r="A9" t="s">
        <v>15</v>
      </c>
      <c r="B9">
        <f>-0.0978/24</f>
        <v>-4.0749999999999996E-3</v>
      </c>
      <c r="C9" t="s">
        <v>88</v>
      </c>
      <c r="D9" t="s">
        <v>46</v>
      </c>
      <c r="E9" t="s">
        <v>87</v>
      </c>
      <c r="F9" t="s">
        <v>92</v>
      </c>
      <c r="G9">
        <v>5</v>
      </c>
    </row>
    <row r="10" spans="1:9">
      <c r="A10" t="s">
        <v>15</v>
      </c>
      <c r="B10">
        <f>-0.0557/24</f>
        <v>-2.3208333333333332E-3</v>
      </c>
      <c r="C10" t="s">
        <v>88</v>
      </c>
      <c r="D10" t="s">
        <v>46</v>
      </c>
      <c r="E10" t="s">
        <v>87</v>
      </c>
      <c r="F10" t="s">
        <v>92</v>
      </c>
      <c r="G10">
        <v>5</v>
      </c>
    </row>
    <row r="11" spans="1:9">
      <c r="A11" t="s">
        <v>15</v>
      </c>
      <c r="B11">
        <f>-0.0951/24</f>
        <v>-3.9624999999999999E-3</v>
      </c>
      <c r="C11" t="s">
        <v>88</v>
      </c>
      <c r="D11" t="s">
        <v>46</v>
      </c>
      <c r="E11" t="s">
        <v>87</v>
      </c>
      <c r="F11" t="s">
        <v>92</v>
      </c>
      <c r="G11">
        <v>5</v>
      </c>
    </row>
    <row r="12" spans="1:9">
      <c r="A12" t="s">
        <v>60</v>
      </c>
      <c r="B12">
        <f>-0.04/24</f>
        <v>-1.6666666666666668E-3</v>
      </c>
      <c r="C12" t="s">
        <v>88</v>
      </c>
      <c r="D12" t="s">
        <v>46</v>
      </c>
      <c r="E12" t="s">
        <v>94</v>
      </c>
      <c r="F12" t="s">
        <v>92</v>
      </c>
      <c r="G12">
        <v>11</v>
      </c>
    </row>
    <row r="13" spans="1:9">
      <c r="A13" t="s">
        <v>60</v>
      </c>
      <c r="B13">
        <f>-0.06/24</f>
        <v>-2.5000000000000001E-3</v>
      </c>
      <c r="C13" t="s">
        <v>88</v>
      </c>
      <c r="D13" t="s">
        <v>46</v>
      </c>
      <c r="E13" t="s">
        <v>94</v>
      </c>
      <c r="F13" t="s">
        <v>92</v>
      </c>
      <c r="G13">
        <v>11</v>
      </c>
    </row>
    <row r="14" spans="1:9">
      <c r="A14" t="s">
        <v>60</v>
      </c>
      <c r="B14">
        <f>-0.03/24</f>
        <v>-1.25E-3</v>
      </c>
      <c r="C14" t="s">
        <v>88</v>
      </c>
      <c r="D14" t="s">
        <v>46</v>
      </c>
      <c r="E14" t="s">
        <v>94</v>
      </c>
      <c r="F14" t="s">
        <v>92</v>
      </c>
      <c r="G14">
        <v>11</v>
      </c>
    </row>
    <row r="15" spans="1:9">
      <c r="A15" t="s">
        <v>60</v>
      </c>
      <c r="B15">
        <f>-0.05/24</f>
        <v>-2.0833333333333333E-3</v>
      </c>
      <c r="C15" t="s">
        <v>88</v>
      </c>
      <c r="D15" t="s">
        <v>46</v>
      </c>
      <c r="E15" t="s">
        <v>94</v>
      </c>
      <c r="F15" t="s">
        <v>92</v>
      </c>
      <c r="G15">
        <v>11</v>
      </c>
    </row>
  </sheetData>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28BF7-E1E7-4368-98CF-6296D3025519}">
  <dimension ref="A1:J10"/>
  <sheetViews>
    <sheetView workbookViewId="0">
      <selection activeCell="C6" sqref="C6"/>
    </sheetView>
  </sheetViews>
  <sheetFormatPr defaultRowHeight="14.5"/>
  <cols>
    <col min="1" max="1" width="17.1796875" customWidth="1"/>
    <col min="2" max="2" width="13.81640625" bestFit="1" customWidth="1"/>
    <col min="3" max="3" width="8.26953125" customWidth="1"/>
    <col min="5" max="5" width="23" bestFit="1" customWidth="1"/>
  </cols>
  <sheetData>
    <row r="1" spans="1:10">
      <c r="A1" s="9" t="s">
        <v>33</v>
      </c>
      <c r="B1" s="9" t="s">
        <v>34</v>
      </c>
      <c r="C1" s="9" t="s">
        <v>44</v>
      </c>
      <c r="D1" s="9" t="s">
        <v>35</v>
      </c>
      <c r="E1" s="9" t="s">
        <v>45</v>
      </c>
      <c r="F1" s="9" t="s">
        <v>85</v>
      </c>
      <c r="I1" t="s">
        <v>126</v>
      </c>
    </row>
    <row r="2" spans="1:10">
      <c r="A2" t="s">
        <v>12</v>
      </c>
      <c r="B2">
        <f>LN(J10/J3)/(I10-I3)</f>
        <v>-3.8242840911201392E-2</v>
      </c>
      <c r="C2" t="s">
        <v>88</v>
      </c>
      <c r="D2" t="s">
        <v>46</v>
      </c>
      <c r="E2" t="s">
        <v>61</v>
      </c>
      <c r="F2" t="s">
        <v>129</v>
      </c>
      <c r="I2" t="s">
        <v>127</v>
      </c>
      <c r="J2" t="s">
        <v>128</v>
      </c>
    </row>
    <row r="3" spans="1:10">
      <c r="I3">
        <v>0</v>
      </c>
      <c r="J3">
        <v>458</v>
      </c>
    </row>
    <row r="4" spans="1:10">
      <c r="A4" t="s">
        <v>13</v>
      </c>
      <c r="I4">
        <v>6</v>
      </c>
      <c r="J4">
        <v>284</v>
      </c>
    </row>
    <row r="5" spans="1:10">
      <c r="A5" t="s">
        <v>131</v>
      </c>
      <c r="B5">
        <f>ROUND(B2+B2*0.25,2)</f>
        <v>-0.05</v>
      </c>
      <c r="I5">
        <v>24</v>
      </c>
      <c r="J5">
        <v>282</v>
      </c>
    </row>
    <row r="6" spans="1:10">
      <c r="A6" t="s">
        <v>132</v>
      </c>
      <c r="B6">
        <f>ROUND(B2-B2*0.25,2)</f>
        <v>-0.03</v>
      </c>
      <c r="I6">
        <v>30</v>
      </c>
      <c r="J6">
        <v>281</v>
      </c>
    </row>
    <row r="7" spans="1:10">
      <c r="I7">
        <v>48</v>
      </c>
      <c r="J7">
        <v>82</v>
      </c>
    </row>
    <row r="8" spans="1:10">
      <c r="I8">
        <v>54</v>
      </c>
      <c r="J8">
        <v>98</v>
      </c>
    </row>
    <row r="9" spans="1:10">
      <c r="I9">
        <v>78</v>
      </c>
      <c r="J9">
        <v>26</v>
      </c>
    </row>
    <row r="10" spans="1:10">
      <c r="I10">
        <v>100</v>
      </c>
      <c r="J10">
        <v>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7BB73-5142-4CB8-B0CD-8CA728AF3A7A}">
  <dimension ref="A1:G6"/>
  <sheetViews>
    <sheetView workbookViewId="0">
      <selection activeCell="B8" sqref="B8"/>
    </sheetView>
  </sheetViews>
  <sheetFormatPr defaultRowHeight="14.5"/>
  <cols>
    <col min="1" max="1" width="18.54296875" customWidth="1"/>
    <col min="2" max="2" width="18.453125" customWidth="1"/>
    <col min="6" max="6" width="41" bestFit="1" customWidth="1"/>
  </cols>
  <sheetData>
    <row r="1" spans="1:7">
      <c r="A1" s="9" t="s">
        <v>33</v>
      </c>
      <c r="B1" s="9" t="s">
        <v>34</v>
      </c>
      <c r="C1" s="9" t="s">
        <v>44</v>
      </c>
      <c r="D1" s="9" t="s">
        <v>35</v>
      </c>
      <c r="E1" s="9" t="s">
        <v>85</v>
      </c>
      <c r="F1" s="10" t="s">
        <v>90</v>
      </c>
      <c r="G1" s="9" t="s">
        <v>85</v>
      </c>
    </row>
    <row r="2" spans="1:7">
      <c r="A2" t="s">
        <v>125</v>
      </c>
      <c r="B2">
        <f>-1/(2.43*24)</f>
        <v>-1.7146776406035662E-2</v>
      </c>
      <c r="D2" t="s">
        <v>46</v>
      </c>
      <c r="E2" t="s">
        <v>87</v>
      </c>
      <c r="F2">
        <v>3</v>
      </c>
      <c r="G2" t="s">
        <v>130</v>
      </c>
    </row>
    <row r="4" spans="1:7">
      <c r="A4" t="s">
        <v>13</v>
      </c>
    </row>
    <row r="5" spans="1:7">
      <c r="A5" t="s">
        <v>131</v>
      </c>
      <c r="B5">
        <f>ROUND(B2+B2*0.25,2)</f>
        <v>-0.02</v>
      </c>
    </row>
    <row r="6" spans="1:7">
      <c r="A6" t="s">
        <v>132</v>
      </c>
      <c r="B6">
        <f>ROUND(B2-B2*0.25,2)</f>
        <v>-0.01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4E01C-B63B-4169-B1B8-43C706C44686}">
  <dimension ref="A1:H12"/>
  <sheetViews>
    <sheetView workbookViewId="0">
      <selection activeCell="G13" sqref="G13"/>
    </sheetView>
  </sheetViews>
  <sheetFormatPr defaultRowHeight="14.5"/>
  <cols>
    <col min="1" max="1" width="13.36328125" customWidth="1"/>
    <col min="2" max="2" width="18.453125" customWidth="1"/>
    <col min="3" max="3" width="11.54296875" customWidth="1"/>
    <col min="4" max="4" width="8.1796875" customWidth="1"/>
    <col min="5" max="5" width="9.7265625" customWidth="1"/>
  </cols>
  <sheetData>
    <row r="1" spans="1:8">
      <c r="A1" s="2" t="s">
        <v>33</v>
      </c>
      <c r="B1" s="2" t="s">
        <v>34</v>
      </c>
      <c r="C1" s="2" t="s">
        <v>35</v>
      </c>
      <c r="D1" s="5" t="s">
        <v>134</v>
      </c>
      <c r="E1" s="2" t="s">
        <v>62</v>
      </c>
      <c r="F1" s="2" t="s">
        <v>133</v>
      </c>
      <c r="G1" s="2" t="s">
        <v>0</v>
      </c>
      <c r="H1" s="2" t="s">
        <v>85</v>
      </c>
    </row>
    <row r="2" spans="1:8">
      <c r="A2" t="s">
        <v>135</v>
      </c>
      <c r="B2">
        <v>0.2</v>
      </c>
      <c r="C2" t="s">
        <v>42</v>
      </c>
      <c r="D2">
        <v>64</v>
      </c>
      <c r="E2" t="s">
        <v>136</v>
      </c>
      <c r="F2" t="s">
        <v>89</v>
      </c>
      <c r="G2" t="s">
        <v>137</v>
      </c>
      <c r="H2" t="s">
        <v>148</v>
      </c>
    </row>
    <row r="3" spans="1:8">
      <c r="A3" t="s">
        <v>135</v>
      </c>
      <c r="B3">
        <v>0</v>
      </c>
      <c r="C3" t="s">
        <v>42</v>
      </c>
      <c r="D3">
        <v>64</v>
      </c>
      <c r="E3" t="s">
        <v>136</v>
      </c>
      <c r="F3" t="s">
        <v>89</v>
      </c>
      <c r="G3" t="s">
        <v>138</v>
      </c>
      <c r="H3" t="s">
        <v>148</v>
      </c>
    </row>
    <row r="4" spans="1:8">
      <c r="A4" t="s">
        <v>135</v>
      </c>
      <c r="B4">
        <v>0</v>
      </c>
      <c r="C4" t="s">
        <v>42</v>
      </c>
      <c r="D4">
        <v>64</v>
      </c>
      <c r="E4" t="s">
        <v>136</v>
      </c>
      <c r="F4" t="s">
        <v>89</v>
      </c>
      <c r="G4" t="s">
        <v>139</v>
      </c>
      <c r="H4" t="s">
        <v>148</v>
      </c>
    </row>
    <row r="5" spans="1:8">
      <c r="A5" t="s">
        <v>140</v>
      </c>
      <c r="B5">
        <v>4.25</v>
      </c>
      <c r="C5" t="s">
        <v>42</v>
      </c>
      <c r="D5">
        <v>50</v>
      </c>
      <c r="E5" t="s">
        <v>136</v>
      </c>
      <c r="F5" t="s">
        <v>89</v>
      </c>
      <c r="G5" t="s">
        <v>137</v>
      </c>
      <c r="H5" t="s">
        <v>148</v>
      </c>
    </row>
    <row r="6" spans="1:8">
      <c r="A6" t="s">
        <v>140</v>
      </c>
      <c r="B6">
        <v>3.65</v>
      </c>
      <c r="C6" t="s">
        <v>42</v>
      </c>
      <c r="D6">
        <v>50</v>
      </c>
      <c r="E6" t="s">
        <v>136</v>
      </c>
      <c r="F6" t="s">
        <v>89</v>
      </c>
      <c r="G6" t="s">
        <v>138</v>
      </c>
      <c r="H6" t="s">
        <v>148</v>
      </c>
    </row>
    <row r="7" spans="1:8">
      <c r="A7" t="s">
        <v>141</v>
      </c>
      <c r="B7">
        <v>10.8</v>
      </c>
      <c r="C7" t="s">
        <v>42</v>
      </c>
      <c r="D7">
        <v>10</v>
      </c>
      <c r="E7" t="s">
        <v>136</v>
      </c>
      <c r="F7" t="s">
        <v>89</v>
      </c>
      <c r="G7" t="s">
        <v>137</v>
      </c>
      <c r="H7" t="s">
        <v>148</v>
      </c>
    </row>
    <row r="8" spans="1:8">
      <c r="A8" t="s">
        <v>141</v>
      </c>
      <c r="B8">
        <v>1.9</v>
      </c>
      <c r="C8" t="s">
        <v>42</v>
      </c>
      <c r="D8">
        <v>10</v>
      </c>
      <c r="E8" t="s">
        <v>136</v>
      </c>
      <c r="F8" t="s">
        <v>89</v>
      </c>
      <c r="G8" t="s">
        <v>138</v>
      </c>
      <c r="H8" t="s">
        <v>148</v>
      </c>
    </row>
    <row r="9" spans="1:8">
      <c r="A9" t="s">
        <v>141</v>
      </c>
      <c r="B9">
        <v>2</v>
      </c>
      <c r="C9" t="s">
        <v>42</v>
      </c>
      <c r="D9">
        <v>10</v>
      </c>
      <c r="E9" t="s">
        <v>136</v>
      </c>
      <c r="F9" t="s">
        <v>89</v>
      </c>
      <c r="G9" t="s">
        <v>142</v>
      </c>
      <c r="H9" t="s">
        <v>149</v>
      </c>
    </row>
    <row r="10" spans="1:8">
      <c r="A10" t="s">
        <v>141</v>
      </c>
      <c r="B10">
        <v>0.8</v>
      </c>
      <c r="C10" t="s">
        <v>42</v>
      </c>
      <c r="D10">
        <v>10</v>
      </c>
      <c r="E10" t="s">
        <v>136</v>
      </c>
      <c r="F10" t="s">
        <v>89</v>
      </c>
      <c r="G10" t="s">
        <v>143</v>
      </c>
      <c r="H10" t="s">
        <v>149</v>
      </c>
    </row>
    <row r="11" spans="1:8">
      <c r="A11" t="s">
        <v>240</v>
      </c>
      <c r="B11" s="15">
        <f>((10^1)/(10^2.1))*100</f>
        <v>7.9432823472428122</v>
      </c>
      <c r="C11" t="s">
        <v>42</v>
      </c>
      <c r="D11">
        <v>42</v>
      </c>
      <c r="E11" t="s">
        <v>136</v>
      </c>
      <c r="F11" t="s">
        <v>89</v>
      </c>
      <c r="G11" t="s">
        <v>247</v>
      </c>
      <c r="H11" t="s">
        <v>149</v>
      </c>
    </row>
    <row r="12" spans="1:8">
      <c r="A12" t="s">
        <v>240</v>
      </c>
      <c r="B12">
        <f>((10^1)/(10^1.3))*100</f>
        <v>50.118723362727202</v>
      </c>
      <c r="C12" t="s">
        <v>42</v>
      </c>
      <c r="D12">
        <v>42</v>
      </c>
      <c r="E12" t="s">
        <v>136</v>
      </c>
      <c r="F12" t="s">
        <v>89</v>
      </c>
      <c r="G12" t="s">
        <v>248</v>
      </c>
      <c r="H12" t="s">
        <v>149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32F40-19EF-4B47-B754-C4641E6FCC98}">
  <dimension ref="A1:J85"/>
  <sheetViews>
    <sheetView tabSelected="1" workbookViewId="0">
      <selection activeCell="B2" sqref="B2"/>
    </sheetView>
  </sheetViews>
  <sheetFormatPr defaultRowHeight="14.5"/>
  <cols>
    <col min="1" max="1" width="27.81640625" bestFit="1" customWidth="1"/>
    <col min="2" max="2" width="19.1796875" customWidth="1"/>
    <col min="3" max="3" width="5.1796875" customWidth="1"/>
    <col min="4" max="4" width="6.6328125" customWidth="1"/>
    <col min="5" max="5" width="22.54296875" customWidth="1"/>
    <col min="6" max="6" width="20" customWidth="1"/>
    <col min="7" max="7" width="8.7265625" customWidth="1"/>
  </cols>
  <sheetData>
    <row r="1" spans="1:10">
      <c r="A1" s="2" t="s">
        <v>33</v>
      </c>
      <c r="B1" s="2" t="s">
        <v>34</v>
      </c>
      <c r="C1" s="2" t="s">
        <v>35</v>
      </c>
      <c r="D1" s="2" t="s">
        <v>147</v>
      </c>
      <c r="E1" s="2" t="s">
        <v>63</v>
      </c>
      <c r="F1" t="s">
        <v>64</v>
      </c>
      <c r="G1" s="2" t="s">
        <v>133</v>
      </c>
      <c r="H1" s="2" t="s">
        <v>154</v>
      </c>
      <c r="I1" s="2" t="s">
        <v>155</v>
      </c>
      <c r="J1" s="2" t="s">
        <v>85</v>
      </c>
    </row>
    <row r="2" spans="1:10" s="12" customFormat="1">
      <c r="A2" s="12" t="s">
        <v>8</v>
      </c>
      <c r="B2" s="13">
        <f>3*10^-9</f>
        <v>3.0000000000000004E-9</v>
      </c>
      <c r="C2" s="12" t="s">
        <v>65</v>
      </c>
      <c r="D2" s="14">
        <v>18</v>
      </c>
      <c r="E2" s="13">
        <f>B2*(1/D2)</f>
        <v>1.6666666666666669E-10</v>
      </c>
      <c r="F2" s="8" t="s">
        <v>66</v>
      </c>
      <c r="G2" s="12" t="s">
        <v>92</v>
      </c>
      <c r="H2" s="12" t="s">
        <v>144</v>
      </c>
      <c r="I2" s="12" t="s">
        <v>157</v>
      </c>
      <c r="J2" s="12" t="s">
        <v>95</v>
      </c>
    </row>
    <row r="3" spans="1:10" s="12" customFormat="1">
      <c r="A3" s="12" t="s">
        <v>8</v>
      </c>
      <c r="B3" s="13">
        <v>3E-9</v>
      </c>
      <c r="C3" s="12" t="s">
        <v>65</v>
      </c>
      <c r="D3" s="12">
        <v>18</v>
      </c>
      <c r="E3" s="12">
        <f t="shared" ref="E2:E33" si="0">B3*(1/D3)</f>
        <v>1.6666666666666666E-10</v>
      </c>
      <c r="F3" s="8" t="s">
        <v>66</v>
      </c>
      <c r="G3" s="12" t="s">
        <v>92</v>
      </c>
      <c r="H3" s="12" t="s">
        <v>145</v>
      </c>
      <c r="I3" s="12" t="s">
        <v>157</v>
      </c>
      <c r="J3" s="12" t="s">
        <v>95</v>
      </c>
    </row>
    <row r="4" spans="1:10">
      <c r="A4" s="1" t="s">
        <v>8</v>
      </c>
      <c r="B4" s="6">
        <v>1E-8</v>
      </c>
      <c r="C4" t="s">
        <v>65</v>
      </c>
      <c r="D4">
        <v>18</v>
      </c>
      <c r="E4" s="12">
        <f t="shared" si="0"/>
        <v>5.5555555555555553E-10</v>
      </c>
      <c r="F4" s="8" t="s">
        <v>66</v>
      </c>
      <c r="G4" t="s">
        <v>89</v>
      </c>
      <c r="H4" t="s">
        <v>146</v>
      </c>
      <c r="I4" s="12" t="s">
        <v>157</v>
      </c>
      <c r="J4" t="s">
        <v>95</v>
      </c>
    </row>
    <row r="5" spans="1:10">
      <c r="A5" s="1" t="s">
        <v>8</v>
      </c>
      <c r="B5" s="6">
        <v>9.9999999999999995E-7</v>
      </c>
      <c r="C5" t="s">
        <v>65</v>
      </c>
      <c r="D5">
        <v>18</v>
      </c>
      <c r="E5" s="12">
        <f t="shared" si="0"/>
        <v>5.5555555555555548E-8</v>
      </c>
      <c r="F5" s="8" t="s">
        <v>66</v>
      </c>
      <c r="G5" t="s">
        <v>89</v>
      </c>
      <c r="H5" t="s">
        <v>146</v>
      </c>
      <c r="I5" s="12" t="s">
        <v>157</v>
      </c>
      <c r="J5" t="s">
        <v>95</v>
      </c>
    </row>
    <row r="6" spans="1:10">
      <c r="A6" t="s">
        <v>1</v>
      </c>
      <c r="B6" s="6">
        <v>1E-4</v>
      </c>
      <c r="C6" t="s">
        <v>65</v>
      </c>
      <c r="D6">
        <v>18</v>
      </c>
      <c r="E6" s="12">
        <f t="shared" si="0"/>
        <v>5.5555555555555558E-6</v>
      </c>
      <c r="F6" s="8" t="s">
        <v>66</v>
      </c>
      <c r="G6" t="s">
        <v>89</v>
      </c>
      <c r="H6" t="s">
        <v>150</v>
      </c>
      <c r="I6" t="s">
        <v>156</v>
      </c>
      <c r="J6" t="s">
        <v>91</v>
      </c>
    </row>
    <row r="7" spans="1:10">
      <c r="A7" t="s">
        <v>1</v>
      </c>
      <c r="B7" s="6">
        <v>9.0000000000000006E-5</v>
      </c>
      <c r="C7" t="s">
        <v>65</v>
      </c>
      <c r="D7">
        <v>18</v>
      </c>
      <c r="E7" s="12">
        <f t="shared" si="0"/>
        <v>5.0000000000000004E-6</v>
      </c>
      <c r="F7" s="8" t="s">
        <v>66</v>
      </c>
      <c r="G7" t="s">
        <v>89</v>
      </c>
      <c r="H7" t="s">
        <v>150</v>
      </c>
      <c r="I7" t="s">
        <v>156</v>
      </c>
      <c r="J7" t="s">
        <v>91</v>
      </c>
    </row>
    <row r="8" spans="1:10">
      <c r="A8" t="s">
        <v>1</v>
      </c>
      <c r="B8" s="6">
        <v>4.0000000000000001E-3</v>
      </c>
      <c r="C8" t="s">
        <v>65</v>
      </c>
      <c r="D8">
        <v>18</v>
      </c>
      <c r="E8" s="12">
        <f t="shared" si="0"/>
        <v>2.2222222222222221E-4</v>
      </c>
      <c r="F8" s="8" t="s">
        <v>66</v>
      </c>
      <c r="G8" t="s">
        <v>89</v>
      </c>
      <c r="H8" t="s">
        <v>151</v>
      </c>
      <c r="I8" t="s">
        <v>156</v>
      </c>
      <c r="J8" t="s">
        <v>91</v>
      </c>
    </row>
    <row r="9" spans="1:10">
      <c r="A9" t="s">
        <v>1</v>
      </c>
      <c r="B9" s="6">
        <v>8.0000000000000004E-4</v>
      </c>
      <c r="C9" t="s">
        <v>65</v>
      </c>
      <c r="D9">
        <v>18</v>
      </c>
      <c r="E9" s="12">
        <f t="shared" si="0"/>
        <v>4.4444444444444447E-5</v>
      </c>
      <c r="F9" s="8" t="s">
        <v>66</v>
      </c>
      <c r="G9" t="s">
        <v>89</v>
      </c>
      <c r="H9" t="s">
        <v>151</v>
      </c>
      <c r="I9" t="s">
        <v>156</v>
      </c>
      <c r="J9" t="s">
        <v>91</v>
      </c>
    </row>
    <row r="10" spans="1:10">
      <c r="A10" t="s">
        <v>1</v>
      </c>
      <c r="B10" s="6">
        <v>0.2</v>
      </c>
      <c r="C10" t="s">
        <v>65</v>
      </c>
      <c r="D10">
        <v>18</v>
      </c>
      <c r="E10" s="12">
        <f t="shared" si="0"/>
        <v>1.1111111111111112E-2</v>
      </c>
      <c r="F10" s="8" t="s">
        <v>66</v>
      </c>
      <c r="G10" t="s">
        <v>89</v>
      </c>
      <c r="H10" t="s">
        <v>152</v>
      </c>
      <c r="I10" t="s">
        <v>156</v>
      </c>
      <c r="J10" t="s">
        <v>91</v>
      </c>
    </row>
    <row r="11" spans="1:10">
      <c r="A11" t="s">
        <v>1</v>
      </c>
      <c r="B11" s="6">
        <v>0.08</v>
      </c>
      <c r="C11" t="s">
        <v>65</v>
      </c>
      <c r="D11">
        <v>18</v>
      </c>
      <c r="E11" s="12">
        <f t="shared" si="0"/>
        <v>4.4444444444444444E-3</v>
      </c>
      <c r="F11" s="8" t="s">
        <v>66</v>
      </c>
      <c r="G11" t="s">
        <v>89</v>
      </c>
      <c r="H11" t="s">
        <v>152</v>
      </c>
      <c r="I11" t="s">
        <v>156</v>
      </c>
      <c r="J11" t="s">
        <v>91</v>
      </c>
    </row>
    <row r="12" spans="1:10">
      <c r="A12" t="s">
        <v>1</v>
      </c>
      <c r="B12" s="6">
        <v>8.0000000000000004E-4</v>
      </c>
      <c r="C12" t="s">
        <v>65</v>
      </c>
      <c r="D12">
        <v>18</v>
      </c>
      <c r="E12" s="12">
        <f t="shared" si="0"/>
        <v>4.4444444444444447E-5</v>
      </c>
      <c r="F12" s="8" t="s">
        <v>66</v>
      </c>
      <c r="G12" t="s">
        <v>89</v>
      </c>
      <c r="H12" t="s">
        <v>153</v>
      </c>
      <c r="I12" t="s">
        <v>156</v>
      </c>
      <c r="J12" t="s">
        <v>91</v>
      </c>
    </row>
    <row r="13" spans="1:10">
      <c r="A13" t="s">
        <v>1</v>
      </c>
      <c r="B13" s="6">
        <v>2.9999999999999997E-4</v>
      </c>
      <c r="C13" t="s">
        <v>65</v>
      </c>
      <c r="D13">
        <v>18</v>
      </c>
      <c r="E13" s="12">
        <f t="shared" si="0"/>
        <v>1.6666666666666664E-5</v>
      </c>
      <c r="F13" s="8" t="s">
        <v>66</v>
      </c>
      <c r="G13" t="s">
        <v>89</v>
      </c>
      <c r="H13" t="s">
        <v>153</v>
      </c>
      <c r="I13" t="s">
        <v>156</v>
      </c>
      <c r="J13" t="s">
        <v>91</v>
      </c>
    </row>
    <row r="14" spans="1:10">
      <c r="A14" t="s">
        <v>9</v>
      </c>
      <c r="B14" s="6">
        <v>1E-8</v>
      </c>
      <c r="C14" t="s">
        <v>65</v>
      </c>
      <c r="D14">
        <v>4</v>
      </c>
      <c r="E14" s="12">
        <f t="shared" si="0"/>
        <v>2.5000000000000001E-9</v>
      </c>
      <c r="F14" s="8" t="s">
        <v>67</v>
      </c>
      <c r="G14" t="s">
        <v>92</v>
      </c>
      <c r="H14" t="s">
        <v>158</v>
      </c>
      <c r="I14" t="s">
        <v>159</v>
      </c>
      <c r="J14" t="s">
        <v>96</v>
      </c>
    </row>
    <row r="15" spans="1:10">
      <c r="A15" t="s">
        <v>9</v>
      </c>
      <c r="B15" s="6">
        <v>1E-8</v>
      </c>
      <c r="C15" t="s">
        <v>65</v>
      </c>
      <c r="D15">
        <v>4</v>
      </c>
      <c r="E15" s="12">
        <f t="shared" si="0"/>
        <v>2.5000000000000001E-9</v>
      </c>
      <c r="F15" s="8" t="s">
        <v>67</v>
      </c>
      <c r="G15" t="s">
        <v>92</v>
      </c>
      <c r="H15" t="s">
        <v>160</v>
      </c>
      <c r="I15" t="s">
        <v>159</v>
      </c>
      <c r="J15" t="s">
        <v>96</v>
      </c>
    </row>
    <row r="16" spans="1:10">
      <c r="A16" t="s">
        <v>9</v>
      </c>
      <c r="B16" s="6">
        <v>7.0000000000000001E-3</v>
      </c>
      <c r="C16" t="s">
        <v>65</v>
      </c>
      <c r="D16">
        <v>4</v>
      </c>
      <c r="E16" s="12">
        <f t="shared" si="0"/>
        <v>1.75E-3</v>
      </c>
      <c r="F16" s="8" t="s">
        <v>67</v>
      </c>
      <c r="G16" t="s">
        <v>92</v>
      </c>
      <c r="H16" t="s">
        <v>158</v>
      </c>
      <c r="I16" t="s">
        <v>161</v>
      </c>
      <c r="J16" t="s">
        <v>96</v>
      </c>
    </row>
    <row r="17" spans="1:10">
      <c r="A17" t="s">
        <v>9</v>
      </c>
      <c r="B17" s="6">
        <v>4.0000000000000001E-3</v>
      </c>
      <c r="C17" t="s">
        <v>65</v>
      </c>
      <c r="D17">
        <v>4</v>
      </c>
      <c r="E17" s="12">
        <f t="shared" si="0"/>
        <v>1E-3</v>
      </c>
      <c r="F17" s="8" t="s">
        <v>67</v>
      </c>
      <c r="G17" t="s">
        <v>92</v>
      </c>
      <c r="H17" t="s">
        <v>160</v>
      </c>
      <c r="I17" t="s">
        <v>161</v>
      </c>
      <c r="J17" t="s">
        <v>96</v>
      </c>
    </row>
    <row r="18" spans="1:10">
      <c r="A18" t="s">
        <v>9</v>
      </c>
      <c r="B18" s="6">
        <v>1E-3</v>
      </c>
      <c r="C18" t="s">
        <v>65</v>
      </c>
      <c r="D18">
        <v>4</v>
      </c>
      <c r="E18" s="12">
        <f t="shared" si="0"/>
        <v>2.5000000000000001E-4</v>
      </c>
      <c r="F18" s="8" t="s">
        <v>67</v>
      </c>
      <c r="G18" t="s">
        <v>92</v>
      </c>
      <c r="H18" t="s">
        <v>163</v>
      </c>
      <c r="I18" t="s">
        <v>162</v>
      </c>
      <c r="J18" t="s">
        <v>96</v>
      </c>
    </row>
    <row r="19" spans="1:10">
      <c r="A19" t="s">
        <v>9</v>
      </c>
      <c r="B19" s="6">
        <v>2E-3</v>
      </c>
      <c r="C19" t="s">
        <v>65</v>
      </c>
      <c r="D19">
        <v>4</v>
      </c>
      <c r="E19" s="12">
        <f t="shared" si="0"/>
        <v>5.0000000000000001E-4</v>
      </c>
      <c r="F19" s="8" t="s">
        <v>67</v>
      </c>
      <c r="G19" t="s">
        <v>92</v>
      </c>
      <c r="H19" t="s">
        <v>164</v>
      </c>
      <c r="I19" t="s">
        <v>162</v>
      </c>
      <c r="J19" t="s">
        <v>96</v>
      </c>
    </row>
    <row r="20" spans="1:10">
      <c r="A20" t="s">
        <v>9</v>
      </c>
      <c r="B20" s="6">
        <v>8.0000000000000004E-4</v>
      </c>
      <c r="C20" t="s">
        <v>65</v>
      </c>
      <c r="D20">
        <v>4</v>
      </c>
      <c r="E20" s="12">
        <f t="shared" si="0"/>
        <v>2.0000000000000001E-4</v>
      </c>
      <c r="F20" s="8" t="s">
        <v>67</v>
      </c>
      <c r="G20" t="s">
        <v>92</v>
      </c>
      <c r="H20" t="s">
        <v>165</v>
      </c>
      <c r="I20" t="s">
        <v>161</v>
      </c>
      <c r="J20" t="s">
        <v>96</v>
      </c>
    </row>
    <row r="21" spans="1:10">
      <c r="A21" t="s">
        <v>9</v>
      </c>
      <c r="B21" s="6">
        <v>6.9999999999999999E-4</v>
      </c>
      <c r="C21" t="s">
        <v>65</v>
      </c>
      <c r="D21">
        <v>4</v>
      </c>
      <c r="E21" s="12">
        <f t="shared" si="0"/>
        <v>1.75E-4</v>
      </c>
      <c r="F21" s="8" t="s">
        <v>67</v>
      </c>
      <c r="G21" t="s">
        <v>92</v>
      </c>
      <c r="H21" t="s">
        <v>166</v>
      </c>
      <c r="I21" t="s">
        <v>161</v>
      </c>
      <c r="J21" t="s">
        <v>96</v>
      </c>
    </row>
    <row r="22" spans="1:10">
      <c r="A22" t="s">
        <v>68</v>
      </c>
      <c r="B22" s="6">
        <v>1.0000000000000001E-5</v>
      </c>
      <c r="C22" t="s">
        <v>65</v>
      </c>
      <c r="D22">
        <v>15</v>
      </c>
      <c r="E22" s="7">
        <f t="shared" si="0"/>
        <v>6.6666666666666671E-7</v>
      </c>
      <c r="F22" s="8" t="s">
        <v>69</v>
      </c>
      <c r="G22" t="s">
        <v>92</v>
      </c>
      <c r="H22" t="s">
        <v>167</v>
      </c>
      <c r="I22" t="s">
        <v>168</v>
      </c>
      <c r="J22" t="s">
        <v>95</v>
      </c>
    </row>
    <row r="23" spans="1:10">
      <c r="A23" t="s">
        <v>10</v>
      </c>
      <c r="B23" s="6">
        <v>2.9999999999999997E-8</v>
      </c>
      <c r="C23" t="s">
        <v>65</v>
      </c>
      <c r="D23">
        <v>4</v>
      </c>
      <c r="E23" s="7">
        <f t="shared" si="0"/>
        <v>7.4999999999999993E-9</v>
      </c>
      <c r="F23" s="8" t="s">
        <v>70</v>
      </c>
      <c r="G23" t="s">
        <v>89</v>
      </c>
      <c r="H23" t="s">
        <v>169</v>
      </c>
      <c r="I23" t="s">
        <v>168</v>
      </c>
      <c r="J23" t="s">
        <v>91</v>
      </c>
    </row>
    <row r="24" spans="1:10">
      <c r="A24" t="s">
        <v>10</v>
      </c>
      <c r="B24" s="6">
        <v>9.9999999999999995E-8</v>
      </c>
      <c r="C24" t="s">
        <v>65</v>
      </c>
      <c r="D24">
        <v>4</v>
      </c>
      <c r="E24" s="7">
        <f t="shared" si="0"/>
        <v>2.4999999999999999E-8</v>
      </c>
      <c r="F24" s="8" t="s">
        <v>70</v>
      </c>
      <c r="G24" t="s">
        <v>89</v>
      </c>
      <c r="H24" t="s">
        <v>169</v>
      </c>
      <c r="I24" t="s">
        <v>168</v>
      </c>
      <c r="J24" t="s">
        <v>91</v>
      </c>
    </row>
    <row r="25" spans="1:10">
      <c r="A25" t="s">
        <v>10</v>
      </c>
      <c r="B25" s="6">
        <v>9.3999999999999995E-8</v>
      </c>
      <c r="C25" t="s">
        <v>65</v>
      </c>
      <c r="D25">
        <v>4</v>
      </c>
      <c r="E25" s="7">
        <f t="shared" si="0"/>
        <v>2.3499999999999999E-8</v>
      </c>
      <c r="F25" s="8" t="s">
        <v>70</v>
      </c>
      <c r="G25" t="s">
        <v>89</v>
      </c>
      <c r="H25" t="s">
        <v>169</v>
      </c>
      <c r="I25" t="s">
        <v>168</v>
      </c>
      <c r="J25" t="s">
        <v>91</v>
      </c>
    </row>
    <row r="26" spans="1:10">
      <c r="A26" t="s">
        <v>10</v>
      </c>
      <c r="B26" s="6">
        <v>1.8300000000000001E-7</v>
      </c>
      <c r="C26" t="s">
        <v>65</v>
      </c>
      <c r="D26">
        <v>4</v>
      </c>
      <c r="E26" s="7">
        <f t="shared" si="0"/>
        <v>4.5750000000000003E-8</v>
      </c>
      <c r="F26" s="8" t="s">
        <v>70</v>
      </c>
      <c r="G26" t="s">
        <v>89</v>
      </c>
      <c r="H26" t="s">
        <v>169</v>
      </c>
      <c r="I26" t="s">
        <v>168</v>
      </c>
      <c r="J26" t="s">
        <v>91</v>
      </c>
    </row>
    <row r="27" spans="1:10">
      <c r="A27" t="s">
        <v>10</v>
      </c>
      <c r="B27" s="6">
        <v>1.0999999999999999E-8</v>
      </c>
      <c r="C27" t="s">
        <v>65</v>
      </c>
      <c r="D27">
        <v>4</v>
      </c>
      <c r="E27" s="7">
        <f t="shared" si="0"/>
        <v>2.7499999999999998E-9</v>
      </c>
      <c r="F27" s="8" t="s">
        <v>70</v>
      </c>
      <c r="G27" t="s">
        <v>89</v>
      </c>
      <c r="H27" t="s">
        <v>169</v>
      </c>
      <c r="I27" t="s">
        <v>168</v>
      </c>
      <c r="J27" t="s">
        <v>91</v>
      </c>
    </row>
    <row r="28" spans="1:10">
      <c r="A28" t="s">
        <v>10</v>
      </c>
      <c r="B28" s="6">
        <v>6.5999999999999995E-8</v>
      </c>
      <c r="C28" t="s">
        <v>65</v>
      </c>
      <c r="D28">
        <v>4</v>
      </c>
      <c r="E28" s="7">
        <f t="shared" si="0"/>
        <v>1.6499999999999999E-8</v>
      </c>
      <c r="F28" s="8" t="s">
        <v>70</v>
      </c>
      <c r="G28" t="s">
        <v>89</v>
      </c>
      <c r="H28" t="s">
        <v>169</v>
      </c>
      <c r="I28" t="s">
        <v>168</v>
      </c>
      <c r="J28" t="s">
        <v>91</v>
      </c>
    </row>
    <row r="29" spans="1:10">
      <c r="A29" t="s">
        <v>170</v>
      </c>
      <c r="B29" s="6">
        <v>5.4999999999999999E-6</v>
      </c>
      <c r="C29" t="s">
        <v>65</v>
      </c>
      <c r="D29">
        <v>24</v>
      </c>
      <c r="E29" s="7">
        <f t="shared" si="0"/>
        <v>2.2916666666666666E-7</v>
      </c>
      <c r="F29" s="8" t="s">
        <v>66</v>
      </c>
      <c r="G29" t="s">
        <v>89</v>
      </c>
      <c r="H29" t="s">
        <v>171</v>
      </c>
      <c r="I29" t="s">
        <v>168</v>
      </c>
      <c r="J29" t="s">
        <v>87</v>
      </c>
    </row>
    <row r="30" spans="1:10">
      <c r="A30" t="s">
        <v>170</v>
      </c>
      <c r="B30" s="6">
        <v>3.5999999999999998E-6</v>
      </c>
      <c r="C30" t="s">
        <v>65</v>
      </c>
      <c r="D30">
        <v>24</v>
      </c>
      <c r="E30" s="7">
        <f t="shared" si="0"/>
        <v>1.4999999999999999E-7</v>
      </c>
      <c r="F30" s="8" t="s">
        <v>66</v>
      </c>
      <c r="G30" t="s">
        <v>89</v>
      </c>
      <c r="H30" t="s">
        <v>171</v>
      </c>
      <c r="I30" t="s">
        <v>168</v>
      </c>
      <c r="J30" t="s">
        <v>87</v>
      </c>
    </row>
    <row r="31" spans="1:10">
      <c r="A31" t="s">
        <v>170</v>
      </c>
      <c r="B31" s="6">
        <v>3.4999999999999999E-6</v>
      </c>
      <c r="C31" t="s">
        <v>65</v>
      </c>
      <c r="D31">
        <v>24</v>
      </c>
      <c r="E31" s="7">
        <f t="shared" si="0"/>
        <v>1.4583333333333332E-7</v>
      </c>
      <c r="F31" s="8" t="s">
        <v>66</v>
      </c>
      <c r="G31" t="s">
        <v>89</v>
      </c>
      <c r="H31" t="s">
        <v>172</v>
      </c>
      <c r="I31" t="s">
        <v>168</v>
      </c>
      <c r="J31" t="s">
        <v>87</v>
      </c>
    </row>
    <row r="32" spans="1:10">
      <c r="A32" t="s">
        <v>170</v>
      </c>
      <c r="B32" s="6">
        <v>6.1999999999999999E-7</v>
      </c>
      <c r="C32" t="s">
        <v>65</v>
      </c>
      <c r="D32">
        <v>24</v>
      </c>
      <c r="E32" s="7">
        <f t="shared" si="0"/>
        <v>2.5833333333333333E-8</v>
      </c>
      <c r="F32" s="8" t="s">
        <v>66</v>
      </c>
      <c r="G32" t="s">
        <v>89</v>
      </c>
      <c r="H32" t="s">
        <v>172</v>
      </c>
      <c r="I32" t="s">
        <v>168</v>
      </c>
      <c r="J32" t="s">
        <v>87</v>
      </c>
    </row>
    <row r="33" spans="1:10">
      <c r="A33" t="s">
        <v>170</v>
      </c>
      <c r="B33" s="6">
        <v>1.7E-6</v>
      </c>
      <c r="C33" t="s">
        <v>65</v>
      </c>
      <c r="D33">
        <v>24</v>
      </c>
      <c r="E33" s="7">
        <f t="shared" si="0"/>
        <v>7.0833333333333326E-8</v>
      </c>
      <c r="F33" s="8" t="s">
        <v>66</v>
      </c>
      <c r="G33" t="s">
        <v>89</v>
      </c>
      <c r="H33" t="s">
        <v>173</v>
      </c>
      <c r="I33" t="s">
        <v>168</v>
      </c>
      <c r="J33" t="s">
        <v>87</v>
      </c>
    </row>
    <row r="34" spans="1:10">
      <c r="A34" t="s">
        <v>170</v>
      </c>
      <c r="B34" s="6">
        <v>8.1999999999999998E-7</v>
      </c>
      <c r="C34" t="s">
        <v>65</v>
      </c>
      <c r="D34">
        <v>24</v>
      </c>
      <c r="E34" s="7">
        <f t="shared" ref="E34:E65" si="1">B34*(1/D34)</f>
        <v>3.4166666666666662E-8</v>
      </c>
      <c r="F34" s="8" t="s">
        <v>66</v>
      </c>
      <c r="G34" t="s">
        <v>89</v>
      </c>
      <c r="H34" t="s">
        <v>173</v>
      </c>
      <c r="I34" t="s">
        <v>168</v>
      </c>
      <c r="J34" t="s">
        <v>87</v>
      </c>
    </row>
    <row r="35" spans="1:10">
      <c r="A35" t="s">
        <v>170</v>
      </c>
      <c r="B35" s="6">
        <v>2.8999999999999998E-7</v>
      </c>
      <c r="C35" t="s">
        <v>65</v>
      </c>
      <c r="D35">
        <v>24</v>
      </c>
      <c r="E35" s="7">
        <f t="shared" si="1"/>
        <v>1.2083333333333332E-8</v>
      </c>
      <c r="F35" s="8" t="s">
        <v>66</v>
      </c>
      <c r="G35" t="s">
        <v>89</v>
      </c>
      <c r="H35" t="s">
        <v>173</v>
      </c>
      <c r="I35" t="s">
        <v>168</v>
      </c>
      <c r="J35" t="s">
        <v>87</v>
      </c>
    </row>
    <row r="36" spans="1:10">
      <c r="A36" t="s">
        <v>170</v>
      </c>
      <c r="B36" s="6">
        <v>5.6000000000000004E-7</v>
      </c>
      <c r="C36" t="s">
        <v>65</v>
      </c>
      <c r="D36">
        <v>24</v>
      </c>
      <c r="E36" s="7">
        <f t="shared" si="1"/>
        <v>2.3333333333333334E-8</v>
      </c>
      <c r="F36" s="8" t="s">
        <v>66</v>
      </c>
      <c r="G36" t="s">
        <v>89</v>
      </c>
      <c r="H36" t="s">
        <v>174</v>
      </c>
      <c r="I36" t="s">
        <v>168</v>
      </c>
      <c r="J36" t="s">
        <v>87</v>
      </c>
    </row>
    <row r="37" spans="1:10">
      <c r="A37" t="s">
        <v>170</v>
      </c>
      <c r="B37" s="6">
        <v>2.3999999999999998E-7</v>
      </c>
      <c r="C37" t="s">
        <v>65</v>
      </c>
      <c r="D37">
        <v>24</v>
      </c>
      <c r="E37" s="7">
        <f t="shared" si="1"/>
        <v>9.9999999999999986E-9</v>
      </c>
      <c r="F37" s="8" t="s">
        <v>66</v>
      </c>
      <c r="G37" t="s">
        <v>89</v>
      </c>
      <c r="H37" t="s">
        <v>174</v>
      </c>
      <c r="I37" t="s">
        <v>168</v>
      </c>
      <c r="J37" t="s">
        <v>87</v>
      </c>
    </row>
    <row r="38" spans="1:10">
      <c r="A38" t="s">
        <v>170</v>
      </c>
      <c r="B38" s="6">
        <v>5.3000000000000001E-7</v>
      </c>
      <c r="C38" t="s">
        <v>65</v>
      </c>
      <c r="D38">
        <v>24</v>
      </c>
      <c r="E38" s="7">
        <f t="shared" si="1"/>
        <v>2.2083333333333333E-8</v>
      </c>
      <c r="F38" s="8" t="s">
        <v>66</v>
      </c>
      <c r="G38" t="s">
        <v>89</v>
      </c>
      <c r="H38" t="s">
        <v>174</v>
      </c>
      <c r="I38" t="s">
        <v>168</v>
      </c>
      <c r="J38" t="s">
        <v>87</v>
      </c>
    </row>
    <row r="39" spans="1:10">
      <c r="A39" t="s">
        <v>170</v>
      </c>
      <c r="B39" s="6">
        <v>2.3999999999999999E-6</v>
      </c>
      <c r="C39" t="s">
        <v>65</v>
      </c>
      <c r="D39">
        <v>24</v>
      </c>
      <c r="E39" s="7">
        <f t="shared" si="1"/>
        <v>9.9999999999999995E-8</v>
      </c>
      <c r="F39" s="8" t="s">
        <v>66</v>
      </c>
      <c r="G39" t="s">
        <v>89</v>
      </c>
      <c r="H39" t="s">
        <v>175</v>
      </c>
      <c r="I39" t="s">
        <v>168</v>
      </c>
      <c r="J39" t="s">
        <v>87</v>
      </c>
    </row>
    <row r="40" spans="1:10">
      <c r="A40" t="s">
        <v>170</v>
      </c>
      <c r="B40" s="6">
        <v>1.1000000000000001E-7</v>
      </c>
      <c r="C40" t="s">
        <v>65</v>
      </c>
      <c r="D40">
        <v>24</v>
      </c>
      <c r="E40" s="7">
        <f t="shared" si="1"/>
        <v>4.583333333333333E-9</v>
      </c>
      <c r="F40" s="8" t="s">
        <v>66</v>
      </c>
      <c r="G40" t="s">
        <v>89</v>
      </c>
      <c r="H40" t="s">
        <v>175</v>
      </c>
      <c r="I40" t="s">
        <v>168</v>
      </c>
      <c r="J40" t="s">
        <v>87</v>
      </c>
    </row>
    <row r="41" spans="1:10">
      <c r="A41" t="s">
        <v>170</v>
      </c>
      <c r="B41" s="6">
        <v>8.0999999999999997E-7</v>
      </c>
      <c r="C41" t="s">
        <v>65</v>
      </c>
      <c r="D41">
        <v>24</v>
      </c>
      <c r="E41" s="7">
        <f t="shared" si="1"/>
        <v>3.3749999999999995E-8</v>
      </c>
      <c r="F41" s="8" t="s">
        <v>66</v>
      </c>
      <c r="G41" t="s">
        <v>89</v>
      </c>
      <c r="H41" t="s">
        <v>176</v>
      </c>
      <c r="I41" t="s">
        <v>168</v>
      </c>
      <c r="J41" t="s">
        <v>87</v>
      </c>
    </row>
    <row r="42" spans="1:10">
      <c r="A42" t="s">
        <v>170</v>
      </c>
      <c r="B42" s="6">
        <v>8.7000000000000003E-7</v>
      </c>
      <c r="C42" t="s">
        <v>65</v>
      </c>
      <c r="D42">
        <v>24</v>
      </c>
      <c r="E42" s="7">
        <f t="shared" si="1"/>
        <v>3.6249999999999997E-8</v>
      </c>
      <c r="F42" s="8" t="s">
        <v>66</v>
      </c>
      <c r="G42" t="s">
        <v>89</v>
      </c>
      <c r="H42" t="s">
        <v>176</v>
      </c>
      <c r="I42" t="s">
        <v>168</v>
      </c>
      <c r="J42" t="s">
        <v>87</v>
      </c>
    </row>
    <row r="43" spans="1:10">
      <c r="A43" t="s">
        <v>170</v>
      </c>
      <c r="B43" s="6">
        <v>7.1999999999999999E-7</v>
      </c>
      <c r="C43" t="s">
        <v>65</v>
      </c>
      <c r="D43">
        <v>24</v>
      </c>
      <c r="E43" s="7">
        <f t="shared" si="1"/>
        <v>2.9999999999999997E-8</v>
      </c>
      <c r="F43" s="8" t="s">
        <v>66</v>
      </c>
      <c r="G43" t="s">
        <v>89</v>
      </c>
      <c r="H43" t="s">
        <v>176</v>
      </c>
      <c r="I43" t="s">
        <v>168</v>
      </c>
      <c r="J43" t="s">
        <v>87</v>
      </c>
    </row>
    <row r="44" spans="1:10">
      <c r="A44" t="s">
        <v>170</v>
      </c>
      <c r="B44" s="6">
        <v>7.9999999999999996E-7</v>
      </c>
      <c r="C44" t="s">
        <v>65</v>
      </c>
      <c r="D44">
        <v>24</v>
      </c>
      <c r="E44" s="7">
        <f t="shared" si="1"/>
        <v>3.3333333333333327E-8</v>
      </c>
      <c r="F44" s="8" t="s">
        <v>66</v>
      </c>
      <c r="G44" t="s">
        <v>89</v>
      </c>
      <c r="H44" t="s">
        <v>177</v>
      </c>
      <c r="I44" t="s">
        <v>168</v>
      </c>
      <c r="J44" t="s">
        <v>87</v>
      </c>
    </row>
    <row r="45" spans="1:10">
      <c r="A45" t="s">
        <v>170</v>
      </c>
      <c r="B45" s="6">
        <v>6.1999999999999999E-7</v>
      </c>
      <c r="C45" t="s">
        <v>65</v>
      </c>
      <c r="D45">
        <v>24</v>
      </c>
      <c r="E45" s="7">
        <f t="shared" si="1"/>
        <v>2.5833333333333333E-8</v>
      </c>
      <c r="F45" s="8" t="s">
        <v>66</v>
      </c>
      <c r="G45" t="s">
        <v>89</v>
      </c>
      <c r="H45" t="s">
        <v>177</v>
      </c>
      <c r="I45" t="s">
        <v>168</v>
      </c>
      <c r="J45" t="s">
        <v>87</v>
      </c>
    </row>
    <row r="46" spans="1:10">
      <c r="A46" t="s">
        <v>170</v>
      </c>
      <c r="B46" s="6">
        <v>1.2E-8</v>
      </c>
      <c r="C46" t="s">
        <v>65</v>
      </c>
      <c r="D46">
        <v>24</v>
      </c>
      <c r="E46" s="7">
        <f t="shared" si="1"/>
        <v>4.9999999999999993E-10</v>
      </c>
      <c r="F46" s="8" t="s">
        <v>66</v>
      </c>
      <c r="G46" t="s">
        <v>89</v>
      </c>
      <c r="H46" t="s">
        <v>178</v>
      </c>
      <c r="I46" t="s">
        <v>168</v>
      </c>
      <c r="J46" t="s">
        <v>87</v>
      </c>
    </row>
    <row r="47" spans="1:10">
      <c r="A47" t="s">
        <v>170</v>
      </c>
      <c r="B47" s="6">
        <v>8.4E-7</v>
      </c>
      <c r="C47" t="s">
        <v>65</v>
      </c>
      <c r="D47">
        <v>24</v>
      </c>
      <c r="E47" s="7">
        <f t="shared" si="1"/>
        <v>3.4999999999999996E-8</v>
      </c>
      <c r="F47" s="8" t="s">
        <v>66</v>
      </c>
      <c r="G47" t="s">
        <v>89</v>
      </c>
      <c r="H47" t="s">
        <v>178</v>
      </c>
      <c r="I47" t="s">
        <v>168</v>
      </c>
      <c r="J47" t="s">
        <v>87</v>
      </c>
    </row>
    <row r="48" spans="1:10">
      <c r="A48" t="s">
        <v>170</v>
      </c>
      <c r="B48" s="6">
        <v>2.3000000000000001E-8</v>
      </c>
      <c r="C48" t="s">
        <v>65</v>
      </c>
      <c r="D48">
        <v>24</v>
      </c>
      <c r="E48" s="7">
        <f t="shared" si="1"/>
        <v>9.5833333333333323E-10</v>
      </c>
      <c r="F48" s="8" t="s">
        <v>66</v>
      </c>
      <c r="G48" t="s">
        <v>89</v>
      </c>
      <c r="H48" t="s">
        <v>178</v>
      </c>
      <c r="I48" t="s">
        <v>168</v>
      </c>
      <c r="J48" t="s">
        <v>87</v>
      </c>
    </row>
    <row r="49" spans="1:10">
      <c r="A49" t="s">
        <v>170</v>
      </c>
      <c r="B49" s="6">
        <v>2.2999999999999999E-7</v>
      </c>
      <c r="C49" t="s">
        <v>65</v>
      </c>
      <c r="D49">
        <v>24</v>
      </c>
      <c r="E49" s="7">
        <f t="shared" si="1"/>
        <v>9.5833333333333331E-9</v>
      </c>
      <c r="F49" s="8" t="s">
        <v>66</v>
      </c>
      <c r="G49" t="s">
        <v>89</v>
      </c>
      <c r="H49" t="s">
        <v>179</v>
      </c>
      <c r="I49" t="s">
        <v>168</v>
      </c>
      <c r="J49" t="s">
        <v>87</v>
      </c>
    </row>
    <row r="50" spans="1:10">
      <c r="A50" t="s">
        <v>170</v>
      </c>
      <c r="B50" s="6">
        <v>1.8E-7</v>
      </c>
      <c r="C50" t="s">
        <v>65</v>
      </c>
      <c r="D50">
        <v>24</v>
      </c>
      <c r="E50" s="7">
        <f t="shared" si="1"/>
        <v>7.4999999999999993E-9</v>
      </c>
      <c r="F50" s="8" t="s">
        <v>66</v>
      </c>
      <c r="G50" t="s">
        <v>89</v>
      </c>
      <c r="H50" t="s">
        <v>179</v>
      </c>
      <c r="I50" t="s">
        <v>168</v>
      </c>
      <c r="J50" t="s">
        <v>87</v>
      </c>
    </row>
    <row r="51" spans="1:10">
      <c r="A51" t="s">
        <v>170</v>
      </c>
      <c r="B51" s="6">
        <v>2.1E-7</v>
      </c>
      <c r="C51" t="s">
        <v>65</v>
      </c>
      <c r="D51">
        <v>24</v>
      </c>
      <c r="E51" s="7">
        <f t="shared" si="1"/>
        <v>8.7499999999999989E-9</v>
      </c>
      <c r="F51" s="8" t="s">
        <v>66</v>
      </c>
      <c r="G51" t="s">
        <v>89</v>
      </c>
      <c r="H51" t="s">
        <v>180</v>
      </c>
      <c r="I51" t="s">
        <v>168</v>
      </c>
      <c r="J51" t="s">
        <v>87</v>
      </c>
    </row>
    <row r="52" spans="1:10">
      <c r="A52" t="s">
        <v>170</v>
      </c>
      <c r="B52" s="6">
        <v>8.8000000000000004E-6</v>
      </c>
      <c r="C52" t="s">
        <v>65</v>
      </c>
      <c r="D52">
        <v>24</v>
      </c>
      <c r="E52" s="7">
        <f t="shared" si="1"/>
        <v>3.6666666666666667E-7</v>
      </c>
      <c r="F52" s="8" t="s">
        <v>66</v>
      </c>
      <c r="G52" t="s">
        <v>89</v>
      </c>
      <c r="H52" t="s">
        <v>180</v>
      </c>
      <c r="I52" t="s">
        <v>168</v>
      </c>
      <c r="J52" t="s">
        <v>87</v>
      </c>
    </row>
    <row r="53" spans="1:10">
      <c r="A53" t="s">
        <v>170</v>
      </c>
      <c r="B53" s="6">
        <v>1.6999999999999999E-7</v>
      </c>
      <c r="C53" t="s">
        <v>65</v>
      </c>
      <c r="D53">
        <v>24</v>
      </c>
      <c r="E53" s="7">
        <f t="shared" si="1"/>
        <v>7.0833333333333322E-9</v>
      </c>
      <c r="F53" s="8" t="s">
        <v>66</v>
      </c>
      <c r="G53" t="s">
        <v>89</v>
      </c>
      <c r="H53" t="s">
        <v>180</v>
      </c>
      <c r="I53" t="s">
        <v>168</v>
      </c>
      <c r="J53" t="s">
        <v>87</v>
      </c>
    </row>
    <row r="54" spans="1:10">
      <c r="A54" t="s">
        <v>170</v>
      </c>
      <c r="B54" s="6">
        <v>2.7999999999999999E-6</v>
      </c>
      <c r="C54" t="s">
        <v>65</v>
      </c>
      <c r="D54">
        <v>24</v>
      </c>
      <c r="E54" s="7">
        <f t="shared" si="1"/>
        <v>1.1666666666666665E-7</v>
      </c>
      <c r="F54" s="8" t="s">
        <v>66</v>
      </c>
      <c r="G54" t="s">
        <v>89</v>
      </c>
      <c r="H54" t="s">
        <v>181</v>
      </c>
      <c r="I54" t="s">
        <v>168</v>
      </c>
      <c r="J54" t="s">
        <v>87</v>
      </c>
    </row>
    <row r="55" spans="1:10">
      <c r="A55" t="s">
        <v>170</v>
      </c>
      <c r="B55" s="6">
        <v>8.1000000000000004E-6</v>
      </c>
      <c r="C55" t="s">
        <v>65</v>
      </c>
      <c r="D55">
        <v>24</v>
      </c>
      <c r="E55" s="7">
        <f t="shared" si="1"/>
        <v>3.375E-7</v>
      </c>
      <c r="F55" s="8" t="s">
        <v>66</v>
      </c>
      <c r="G55" t="s">
        <v>89</v>
      </c>
      <c r="H55" t="s">
        <v>181</v>
      </c>
      <c r="I55" t="s">
        <v>168</v>
      </c>
      <c r="J55" t="s">
        <v>87</v>
      </c>
    </row>
    <row r="56" spans="1:10">
      <c r="A56" t="s">
        <v>170</v>
      </c>
      <c r="B56" s="6">
        <v>2.3999999999999998E-7</v>
      </c>
      <c r="C56" t="s">
        <v>65</v>
      </c>
      <c r="D56">
        <v>24</v>
      </c>
      <c r="E56" s="7">
        <f t="shared" si="1"/>
        <v>9.9999999999999986E-9</v>
      </c>
      <c r="F56" s="8" t="s">
        <v>66</v>
      </c>
      <c r="G56" t="s">
        <v>89</v>
      </c>
      <c r="H56" t="s">
        <v>182</v>
      </c>
      <c r="I56" t="s">
        <v>168</v>
      </c>
      <c r="J56" t="s">
        <v>87</v>
      </c>
    </row>
    <row r="57" spans="1:10">
      <c r="A57" t="s">
        <v>170</v>
      </c>
      <c r="B57" s="6">
        <v>3.5999999999999999E-7</v>
      </c>
      <c r="C57" t="s">
        <v>65</v>
      </c>
      <c r="D57">
        <v>24</v>
      </c>
      <c r="E57" s="7">
        <f t="shared" si="1"/>
        <v>1.4999999999999999E-8</v>
      </c>
      <c r="F57" s="8" t="s">
        <v>66</v>
      </c>
      <c r="G57" t="s">
        <v>89</v>
      </c>
      <c r="H57" t="s">
        <v>182</v>
      </c>
      <c r="I57" t="s">
        <v>168</v>
      </c>
      <c r="J57" t="s">
        <v>87</v>
      </c>
    </row>
    <row r="58" spans="1:10">
      <c r="A58" t="s">
        <v>170</v>
      </c>
      <c r="B58" s="6">
        <v>5.5000000000000003E-7</v>
      </c>
      <c r="C58" t="s">
        <v>65</v>
      </c>
      <c r="D58">
        <v>24</v>
      </c>
      <c r="E58" s="7">
        <f t="shared" si="1"/>
        <v>2.2916666666666667E-8</v>
      </c>
      <c r="F58" s="8" t="s">
        <v>66</v>
      </c>
      <c r="G58" t="s">
        <v>89</v>
      </c>
      <c r="H58" t="s">
        <v>182</v>
      </c>
      <c r="I58" t="s">
        <v>168</v>
      </c>
      <c r="J58" t="s">
        <v>87</v>
      </c>
    </row>
    <row r="59" spans="1:10">
      <c r="A59" t="s">
        <v>170</v>
      </c>
      <c r="B59" s="6">
        <v>3.7000000000000002E-6</v>
      </c>
      <c r="C59" t="s">
        <v>65</v>
      </c>
      <c r="D59">
        <v>24</v>
      </c>
      <c r="E59" s="7">
        <f t="shared" si="1"/>
        <v>1.5416666666666666E-7</v>
      </c>
      <c r="F59" s="8" t="s">
        <v>66</v>
      </c>
      <c r="G59" t="s">
        <v>89</v>
      </c>
      <c r="H59" t="s">
        <v>183</v>
      </c>
      <c r="I59" t="s">
        <v>168</v>
      </c>
      <c r="J59" t="s">
        <v>87</v>
      </c>
    </row>
    <row r="60" spans="1:10">
      <c r="A60" t="s">
        <v>170</v>
      </c>
      <c r="B60" s="6">
        <v>8.1000000000000004E-6</v>
      </c>
      <c r="C60" t="s">
        <v>65</v>
      </c>
      <c r="D60">
        <v>24</v>
      </c>
      <c r="E60" s="7">
        <f t="shared" si="1"/>
        <v>3.375E-7</v>
      </c>
      <c r="F60" s="8" t="s">
        <v>66</v>
      </c>
      <c r="G60" t="s">
        <v>89</v>
      </c>
      <c r="H60" t="s">
        <v>183</v>
      </c>
      <c r="I60" t="s">
        <v>168</v>
      </c>
      <c r="J60" t="s">
        <v>87</v>
      </c>
    </row>
    <row r="61" spans="1:10">
      <c r="A61" t="s">
        <v>170</v>
      </c>
      <c r="B61" s="6">
        <v>6.9999999999999999E-6</v>
      </c>
      <c r="C61" t="s">
        <v>65</v>
      </c>
      <c r="D61">
        <v>24</v>
      </c>
      <c r="E61" s="7">
        <f t="shared" si="1"/>
        <v>2.9166666666666664E-7</v>
      </c>
      <c r="F61" s="8" t="s">
        <v>66</v>
      </c>
      <c r="G61" t="s">
        <v>89</v>
      </c>
      <c r="H61" t="s">
        <v>184</v>
      </c>
      <c r="I61" t="s">
        <v>168</v>
      </c>
      <c r="J61" t="s">
        <v>87</v>
      </c>
    </row>
    <row r="62" spans="1:10">
      <c r="A62" t="s">
        <v>170</v>
      </c>
      <c r="B62" s="6">
        <v>6.4000000000000001E-7</v>
      </c>
      <c r="C62" t="s">
        <v>65</v>
      </c>
      <c r="D62">
        <v>24</v>
      </c>
      <c r="E62" s="7">
        <f t="shared" si="1"/>
        <v>2.6666666666666667E-8</v>
      </c>
      <c r="F62" s="8" t="s">
        <v>66</v>
      </c>
      <c r="G62" t="s">
        <v>89</v>
      </c>
      <c r="H62" t="s">
        <v>184</v>
      </c>
      <c r="I62" t="s">
        <v>168</v>
      </c>
      <c r="J62" t="s">
        <v>87</v>
      </c>
    </row>
    <row r="63" spans="1:10">
      <c r="A63" t="s">
        <v>170</v>
      </c>
      <c r="B63" s="6">
        <v>1.5E-6</v>
      </c>
      <c r="C63" t="s">
        <v>65</v>
      </c>
      <c r="D63">
        <v>24</v>
      </c>
      <c r="E63" s="7">
        <f t="shared" si="1"/>
        <v>6.2499999999999997E-8</v>
      </c>
      <c r="F63" s="8" t="s">
        <v>66</v>
      </c>
      <c r="G63" t="s">
        <v>89</v>
      </c>
      <c r="H63" t="s">
        <v>185</v>
      </c>
      <c r="I63" t="s">
        <v>168</v>
      </c>
      <c r="J63" t="s">
        <v>87</v>
      </c>
    </row>
    <row r="64" spans="1:10">
      <c r="A64" t="s">
        <v>170</v>
      </c>
      <c r="B64" s="6">
        <v>3.1999999999999999E-6</v>
      </c>
      <c r="C64" t="s">
        <v>65</v>
      </c>
      <c r="D64">
        <v>24</v>
      </c>
      <c r="E64" s="7">
        <f t="shared" si="1"/>
        <v>1.3333333333333331E-7</v>
      </c>
      <c r="F64" s="8" t="s">
        <v>66</v>
      </c>
      <c r="G64" t="s">
        <v>89</v>
      </c>
      <c r="H64" t="s">
        <v>185</v>
      </c>
      <c r="I64" t="s">
        <v>168</v>
      </c>
      <c r="J64" t="s">
        <v>87</v>
      </c>
    </row>
    <row r="65" spans="1:10">
      <c r="A65" t="s">
        <v>170</v>
      </c>
      <c r="B65" s="6">
        <v>2.9000000000000002E-6</v>
      </c>
      <c r="C65" t="s">
        <v>65</v>
      </c>
      <c r="D65">
        <v>24</v>
      </c>
      <c r="E65" s="7">
        <f t="shared" si="1"/>
        <v>1.2083333333333332E-7</v>
      </c>
      <c r="F65" s="8" t="s">
        <v>66</v>
      </c>
      <c r="G65" t="s">
        <v>89</v>
      </c>
      <c r="H65" t="s">
        <v>186</v>
      </c>
      <c r="I65" t="s">
        <v>168</v>
      </c>
      <c r="J65" t="s">
        <v>87</v>
      </c>
    </row>
    <row r="66" spans="1:10">
      <c r="A66" t="s">
        <v>170</v>
      </c>
      <c r="B66" s="6">
        <v>1.3999999999999999E-6</v>
      </c>
      <c r="C66" t="s">
        <v>65</v>
      </c>
      <c r="D66">
        <v>24</v>
      </c>
      <c r="E66" s="7">
        <f t="shared" ref="E66:E79" si="2">B66*(1/D66)</f>
        <v>5.8333333333333326E-8</v>
      </c>
      <c r="F66" s="8" t="s">
        <v>66</v>
      </c>
      <c r="G66" t="s">
        <v>89</v>
      </c>
      <c r="H66" t="s">
        <v>186</v>
      </c>
      <c r="I66" t="s">
        <v>168</v>
      </c>
      <c r="J66" t="s">
        <v>87</v>
      </c>
    </row>
    <row r="67" spans="1:10">
      <c r="A67" t="s">
        <v>170</v>
      </c>
      <c r="B67" s="6">
        <v>4.0000000000000003E-5</v>
      </c>
      <c r="C67" t="s">
        <v>65</v>
      </c>
      <c r="D67">
        <v>24</v>
      </c>
      <c r="E67" s="7">
        <f t="shared" si="2"/>
        <v>1.6666666666666667E-6</v>
      </c>
      <c r="F67" s="8" t="s">
        <v>66</v>
      </c>
      <c r="G67" t="s">
        <v>89</v>
      </c>
      <c r="H67" t="s">
        <v>186</v>
      </c>
      <c r="I67" t="s">
        <v>168</v>
      </c>
      <c r="J67" t="s">
        <v>87</v>
      </c>
    </row>
    <row r="68" spans="1:10">
      <c r="A68" t="s">
        <v>170</v>
      </c>
      <c r="B68" s="6">
        <v>2.9E-5</v>
      </c>
      <c r="C68" t="s">
        <v>65</v>
      </c>
      <c r="D68">
        <v>24</v>
      </c>
      <c r="E68" s="7">
        <f t="shared" si="2"/>
        <v>1.2083333333333333E-6</v>
      </c>
      <c r="F68" s="8" t="s">
        <v>66</v>
      </c>
      <c r="G68" t="s">
        <v>89</v>
      </c>
      <c r="H68" t="s">
        <v>186</v>
      </c>
      <c r="I68" t="s">
        <v>168</v>
      </c>
      <c r="J68" t="s">
        <v>87</v>
      </c>
    </row>
    <row r="69" spans="1:10">
      <c r="A69" t="s">
        <v>170</v>
      </c>
      <c r="B69" s="6">
        <v>1.8E-7</v>
      </c>
      <c r="C69" t="s">
        <v>65</v>
      </c>
      <c r="D69">
        <v>24</v>
      </c>
      <c r="E69" s="7">
        <f t="shared" si="2"/>
        <v>7.4999999999999993E-9</v>
      </c>
      <c r="F69" s="8" t="s">
        <v>66</v>
      </c>
      <c r="G69" t="s">
        <v>89</v>
      </c>
      <c r="H69" t="s">
        <v>187</v>
      </c>
      <c r="I69" t="s">
        <v>168</v>
      </c>
      <c r="J69" t="s">
        <v>87</v>
      </c>
    </row>
    <row r="70" spans="1:10">
      <c r="A70" t="s">
        <v>170</v>
      </c>
      <c r="B70" s="6">
        <v>1.1999999999999999E-7</v>
      </c>
      <c r="C70" t="s">
        <v>65</v>
      </c>
      <c r="D70">
        <v>24</v>
      </c>
      <c r="E70" s="7">
        <f t="shared" si="2"/>
        <v>4.9999999999999993E-9</v>
      </c>
      <c r="F70" s="8" t="s">
        <v>66</v>
      </c>
      <c r="G70" t="s">
        <v>89</v>
      </c>
      <c r="H70" t="s">
        <v>187</v>
      </c>
      <c r="I70" t="s">
        <v>168</v>
      </c>
      <c r="J70" t="s">
        <v>87</v>
      </c>
    </row>
    <row r="71" spans="1:10">
      <c r="A71" t="s">
        <v>170</v>
      </c>
      <c r="B71" s="6">
        <v>7.7999999999999999E-6</v>
      </c>
      <c r="C71" t="s">
        <v>65</v>
      </c>
      <c r="D71">
        <v>24</v>
      </c>
      <c r="E71" s="7">
        <f t="shared" si="2"/>
        <v>3.2499999999999996E-7</v>
      </c>
      <c r="F71" s="8" t="s">
        <v>66</v>
      </c>
      <c r="G71" t="s">
        <v>89</v>
      </c>
      <c r="H71" t="s">
        <v>187</v>
      </c>
      <c r="I71" t="s">
        <v>168</v>
      </c>
      <c r="J71" t="s">
        <v>87</v>
      </c>
    </row>
    <row r="72" spans="1:10">
      <c r="A72" t="s">
        <v>170</v>
      </c>
      <c r="B72" s="6">
        <v>3.3000000000000002E-6</v>
      </c>
      <c r="C72" t="s">
        <v>65</v>
      </c>
      <c r="D72">
        <v>24</v>
      </c>
      <c r="E72" s="7">
        <f t="shared" si="2"/>
        <v>1.3750000000000001E-7</v>
      </c>
      <c r="F72" s="8" t="s">
        <v>66</v>
      </c>
      <c r="G72" t="s">
        <v>89</v>
      </c>
      <c r="H72" t="s">
        <v>187</v>
      </c>
      <c r="I72" t="s">
        <v>168</v>
      </c>
      <c r="J72" t="s">
        <v>87</v>
      </c>
    </row>
    <row r="73" spans="1:10">
      <c r="A73" t="s">
        <v>170</v>
      </c>
      <c r="B73" s="6">
        <v>5.4999999999999999E-6</v>
      </c>
      <c r="C73" t="s">
        <v>65</v>
      </c>
      <c r="D73">
        <v>24</v>
      </c>
      <c r="E73" s="7">
        <f t="shared" si="2"/>
        <v>2.2916666666666666E-7</v>
      </c>
      <c r="F73" s="8" t="s">
        <v>66</v>
      </c>
      <c r="G73" t="s">
        <v>89</v>
      </c>
      <c r="H73" t="s">
        <v>188</v>
      </c>
      <c r="I73" t="s">
        <v>168</v>
      </c>
      <c r="J73" t="s">
        <v>87</v>
      </c>
    </row>
    <row r="74" spans="1:10">
      <c r="A74" t="s">
        <v>170</v>
      </c>
      <c r="B74" s="6">
        <v>8.3000000000000002E-6</v>
      </c>
      <c r="C74" t="s">
        <v>65</v>
      </c>
      <c r="D74">
        <v>24</v>
      </c>
      <c r="E74" s="7">
        <f t="shared" si="2"/>
        <v>3.4583333333333334E-7</v>
      </c>
      <c r="F74" s="8" t="s">
        <v>66</v>
      </c>
      <c r="G74" t="s">
        <v>89</v>
      </c>
      <c r="H74" t="s">
        <v>188</v>
      </c>
      <c r="I74" t="s">
        <v>168</v>
      </c>
      <c r="J74" t="s">
        <v>87</v>
      </c>
    </row>
    <row r="75" spans="1:10">
      <c r="A75" t="s">
        <v>170</v>
      </c>
      <c r="B75" s="6">
        <v>9.2E-6</v>
      </c>
      <c r="C75" t="s">
        <v>65</v>
      </c>
      <c r="D75">
        <v>24</v>
      </c>
      <c r="E75" s="7">
        <f t="shared" si="2"/>
        <v>3.833333333333333E-7</v>
      </c>
      <c r="F75" s="8" t="s">
        <v>66</v>
      </c>
      <c r="G75" t="s">
        <v>89</v>
      </c>
      <c r="H75" t="s">
        <v>188</v>
      </c>
      <c r="I75" t="s">
        <v>168</v>
      </c>
      <c r="J75" t="s">
        <v>87</v>
      </c>
    </row>
    <row r="76" spans="1:10">
      <c r="A76" t="s">
        <v>170</v>
      </c>
      <c r="B76" s="6">
        <v>9.7000000000000003E-6</v>
      </c>
      <c r="C76" t="s">
        <v>65</v>
      </c>
      <c r="D76">
        <v>24</v>
      </c>
      <c r="E76" s="7">
        <f t="shared" si="2"/>
        <v>4.0416666666666668E-7</v>
      </c>
      <c r="F76" s="8" t="s">
        <v>66</v>
      </c>
      <c r="G76" t="s">
        <v>89</v>
      </c>
      <c r="H76" t="s">
        <v>188</v>
      </c>
      <c r="I76" t="s">
        <v>168</v>
      </c>
      <c r="J76" t="s">
        <v>87</v>
      </c>
    </row>
    <row r="77" spans="1:10">
      <c r="A77" t="s">
        <v>170</v>
      </c>
      <c r="B77" s="6">
        <v>4.3000000000000003E-6</v>
      </c>
      <c r="C77" t="s">
        <v>65</v>
      </c>
      <c r="D77">
        <v>24</v>
      </c>
      <c r="E77" s="7">
        <f t="shared" si="2"/>
        <v>1.7916666666666666E-7</v>
      </c>
      <c r="F77" s="8" t="s">
        <v>66</v>
      </c>
      <c r="G77" t="s">
        <v>89</v>
      </c>
      <c r="H77" t="s">
        <v>189</v>
      </c>
      <c r="I77" t="s">
        <v>168</v>
      </c>
      <c r="J77" t="s">
        <v>87</v>
      </c>
    </row>
    <row r="78" spans="1:10">
      <c r="A78" t="s">
        <v>170</v>
      </c>
      <c r="B78" s="6">
        <v>7.7999999999999999E-6</v>
      </c>
      <c r="C78" t="s">
        <v>65</v>
      </c>
      <c r="D78">
        <v>24</v>
      </c>
      <c r="E78" s="7">
        <f t="shared" si="2"/>
        <v>3.2499999999999996E-7</v>
      </c>
      <c r="F78" s="8" t="s">
        <v>66</v>
      </c>
      <c r="G78" t="s">
        <v>89</v>
      </c>
      <c r="H78" t="s">
        <v>189</v>
      </c>
      <c r="I78" t="s">
        <v>168</v>
      </c>
      <c r="J78" t="s">
        <v>87</v>
      </c>
    </row>
    <row r="79" spans="1:10">
      <c r="A79" t="s">
        <v>170</v>
      </c>
      <c r="B79" s="6">
        <v>5.6999999999999996E-6</v>
      </c>
      <c r="C79" t="s">
        <v>65</v>
      </c>
      <c r="D79">
        <v>24</v>
      </c>
      <c r="E79" s="7">
        <f t="shared" si="2"/>
        <v>2.3749999999999998E-7</v>
      </c>
      <c r="F79" s="8" t="s">
        <v>66</v>
      </c>
      <c r="G79" t="s">
        <v>89</v>
      </c>
      <c r="H79" t="s">
        <v>189</v>
      </c>
      <c r="I79" t="s">
        <v>168</v>
      </c>
      <c r="J79" t="s">
        <v>87</v>
      </c>
    </row>
    <row r="80" spans="1:10">
      <c r="A80" t="s">
        <v>170</v>
      </c>
      <c r="B80" s="6">
        <v>7.7000000000000008E-6</v>
      </c>
      <c r="C80" t="s">
        <v>65</v>
      </c>
      <c r="D80">
        <v>24</v>
      </c>
      <c r="E80" s="7">
        <f t="shared" ref="E80:E85" si="3">B80*(1/D80)</f>
        <v>3.2083333333333337E-7</v>
      </c>
      <c r="F80" s="8" t="s">
        <v>66</v>
      </c>
      <c r="G80" t="s">
        <v>89</v>
      </c>
      <c r="H80" t="s">
        <v>189</v>
      </c>
      <c r="I80" t="s">
        <v>168</v>
      </c>
      <c r="J80" t="s">
        <v>87</v>
      </c>
    </row>
    <row r="81" spans="1:10">
      <c r="A81" t="s">
        <v>71</v>
      </c>
      <c r="B81" s="6">
        <v>7.7999999999999996E-3</v>
      </c>
      <c r="C81" t="s">
        <v>65</v>
      </c>
      <c r="D81">
        <v>24</v>
      </c>
      <c r="E81" s="7">
        <f t="shared" si="3"/>
        <v>3.2499999999999999E-4</v>
      </c>
      <c r="F81" s="8" t="s">
        <v>67</v>
      </c>
      <c r="G81" t="s">
        <v>92</v>
      </c>
      <c r="H81" t="s">
        <v>190</v>
      </c>
      <c r="I81" t="s">
        <v>191</v>
      </c>
      <c r="J81" t="s">
        <v>115</v>
      </c>
    </row>
    <row r="82" spans="1:10">
      <c r="A82" t="s">
        <v>71</v>
      </c>
      <c r="B82" s="6">
        <v>0.122</v>
      </c>
      <c r="C82" t="s">
        <v>65</v>
      </c>
      <c r="D82">
        <v>24</v>
      </c>
      <c r="E82" s="7">
        <f t="shared" si="3"/>
        <v>5.0833333333333329E-3</v>
      </c>
      <c r="F82" s="8" t="s">
        <v>67</v>
      </c>
      <c r="G82" t="s">
        <v>92</v>
      </c>
      <c r="H82" t="s">
        <v>192</v>
      </c>
      <c r="I82" t="s">
        <v>191</v>
      </c>
      <c r="J82" t="s">
        <v>115</v>
      </c>
    </row>
    <row r="83" spans="1:10">
      <c r="A83" t="s">
        <v>72</v>
      </c>
      <c r="B83" s="6">
        <v>1.4000000000000001E-7</v>
      </c>
      <c r="C83" t="s">
        <v>65</v>
      </c>
      <c r="D83">
        <v>12</v>
      </c>
      <c r="E83" s="7">
        <f t="shared" si="3"/>
        <v>1.1666666666666667E-8</v>
      </c>
      <c r="F83" s="8" t="s">
        <v>66</v>
      </c>
      <c r="G83" t="s">
        <v>92</v>
      </c>
      <c r="H83" t="s">
        <v>193</v>
      </c>
      <c r="I83" t="s">
        <v>168</v>
      </c>
    </row>
    <row r="84" spans="1:10">
      <c r="A84" t="s">
        <v>72</v>
      </c>
      <c r="B84" s="6">
        <v>1.7699999999999999E-4</v>
      </c>
      <c r="C84" t="s">
        <v>65</v>
      </c>
      <c r="D84">
        <v>12</v>
      </c>
      <c r="E84" s="7">
        <f t="shared" si="3"/>
        <v>1.4749999999999999E-5</v>
      </c>
      <c r="F84" s="8" t="s">
        <v>66</v>
      </c>
      <c r="G84" t="s">
        <v>92</v>
      </c>
      <c r="H84" t="s">
        <v>194</v>
      </c>
      <c r="I84" t="s">
        <v>168</v>
      </c>
    </row>
    <row r="85" spans="1:10">
      <c r="A85" t="s">
        <v>72</v>
      </c>
      <c r="B85" s="6">
        <v>9.9999999999999995E-7</v>
      </c>
      <c r="C85" t="s">
        <v>65</v>
      </c>
      <c r="D85">
        <v>12</v>
      </c>
      <c r="E85" s="7">
        <f t="shared" si="3"/>
        <v>8.3333333333333325E-8</v>
      </c>
      <c r="F85" s="8" t="s">
        <v>66</v>
      </c>
      <c r="G85" t="s">
        <v>92</v>
      </c>
      <c r="H85" t="s">
        <v>195</v>
      </c>
      <c r="I85" t="s">
        <v>168</v>
      </c>
    </row>
  </sheetData>
  <phoneticPr fontId="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BBCD9-B402-4977-92D9-04221D85952E}">
  <dimension ref="A1:G28"/>
  <sheetViews>
    <sheetView workbookViewId="0">
      <selection activeCell="E30" sqref="E30"/>
    </sheetView>
  </sheetViews>
  <sheetFormatPr defaultRowHeight="14.5"/>
  <cols>
    <col min="1" max="1" width="18.1796875" customWidth="1"/>
    <col min="2" max="2" width="18.453125" customWidth="1"/>
    <col min="3" max="3" width="18.26953125" customWidth="1"/>
    <col min="4" max="4" width="36.7265625" customWidth="1"/>
    <col min="5" max="5" width="18" customWidth="1"/>
  </cols>
  <sheetData>
    <row r="1" spans="1:7">
      <c r="A1" s="2" t="s">
        <v>33</v>
      </c>
      <c r="B1" s="2" t="s">
        <v>34</v>
      </c>
      <c r="C1" s="2" t="s">
        <v>35</v>
      </c>
      <c r="D1" s="2" t="s">
        <v>73</v>
      </c>
      <c r="E1" s="2" t="s">
        <v>196</v>
      </c>
      <c r="F1" s="2" t="s">
        <v>133</v>
      </c>
      <c r="G1" s="2" t="s">
        <v>85</v>
      </c>
    </row>
    <row r="2" spans="1:7">
      <c r="A2" s="1" t="s">
        <v>5</v>
      </c>
      <c r="B2" s="6">
        <f>LOG10(2800000)</f>
        <v>6.4471580313422194</v>
      </c>
      <c r="C2" t="s">
        <v>74</v>
      </c>
      <c r="D2" s="1" t="s">
        <v>203</v>
      </c>
      <c r="E2" s="4">
        <v>20</v>
      </c>
      <c r="F2" t="s">
        <v>92</v>
      </c>
      <c r="G2" t="s">
        <v>95</v>
      </c>
    </row>
    <row r="3" spans="1:7">
      <c r="A3" t="s">
        <v>7</v>
      </c>
      <c r="B3" s="3">
        <v>6.67</v>
      </c>
      <c r="C3" t="s">
        <v>74</v>
      </c>
      <c r="D3" s="1" t="s">
        <v>204</v>
      </c>
      <c r="E3" s="3">
        <v>15</v>
      </c>
      <c r="F3" t="s">
        <v>89</v>
      </c>
      <c r="G3" t="s">
        <v>97</v>
      </c>
    </row>
    <row r="4" spans="1:7">
      <c r="A4" t="s">
        <v>7</v>
      </c>
      <c r="B4" s="3">
        <v>6.57</v>
      </c>
      <c r="C4" t="s">
        <v>74</v>
      </c>
      <c r="D4" s="1" t="s">
        <v>204</v>
      </c>
      <c r="E4" s="3">
        <v>15</v>
      </c>
      <c r="F4" t="s">
        <v>89</v>
      </c>
      <c r="G4" t="s">
        <v>97</v>
      </c>
    </row>
    <row r="5" spans="1:7">
      <c r="A5" t="s">
        <v>75</v>
      </c>
      <c r="B5" s="3">
        <v>5.29</v>
      </c>
      <c r="C5" t="s">
        <v>74</v>
      </c>
      <c r="D5" s="1" t="s">
        <v>198</v>
      </c>
      <c r="E5" s="3">
        <v>10</v>
      </c>
      <c r="F5" t="s">
        <v>89</v>
      </c>
      <c r="G5" t="s">
        <v>115</v>
      </c>
    </row>
    <row r="6" spans="1:7">
      <c r="A6" t="s">
        <v>75</v>
      </c>
      <c r="B6" s="3">
        <v>4.12</v>
      </c>
      <c r="C6" t="s">
        <v>74</v>
      </c>
      <c r="D6" s="1" t="s">
        <v>199</v>
      </c>
      <c r="E6" s="3">
        <v>10</v>
      </c>
      <c r="F6" t="s">
        <v>89</v>
      </c>
      <c r="G6" t="s">
        <v>115</v>
      </c>
    </row>
    <row r="7" spans="1:7">
      <c r="A7" t="s">
        <v>75</v>
      </c>
      <c r="B7" s="3">
        <v>5.93</v>
      </c>
      <c r="C7" t="s">
        <v>74</v>
      </c>
      <c r="D7" s="1" t="s">
        <v>200</v>
      </c>
      <c r="E7" s="3">
        <v>10</v>
      </c>
      <c r="F7" t="s">
        <v>89</v>
      </c>
      <c r="G7" t="s">
        <v>115</v>
      </c>
    </row>
    <row r="8" spans="1:7">
      <c r="A8" t="s">
        <v>75</v>
      </c>
      <c r="B8" s="3">
        <v>6.06</v>
      </c>
      <c r="C8" t="s">
        <v>74</v>
      </c>
      <c r="D8" s="1" t="s">
        <v>201</v>
      </c>
      <c r="E8" s="3">
        <v>10</v>
      </c>
      <c r="F8" t="s">
        <v>89</v>
      </c>
      <c r="G8" t="s">
        <v>115</v>
      </c>
    </row>
    <row r="9" spans="1:7">
      <c r="A9" t="s">
        <v>75</v>
      </c>
      <c r="B9" s="3">
        <v>6.51</v>
      </c>
      <c r="C9" t="s">
        <v>74</v>
      </c>
      <c r="D9" s="1" t="s">
        <v>198</v>
      </c>
      <c r="E9" s="3">
        <v>10</v>
      </c>
      <c r="F9" t="s">
        <v>89</v>
      </c>
      <c r="G9" t="s">
        <v>115</v>
      </c>
    </row>
    <row r="10" spans="1:7">
      <c r="A10" t="s">
        <v>75</v>
      </c>
      <c r="B10" s="3">
        <v>6.43</v>
      </c>
      <c r="C10" t="s">
        <v>74</v>
      </c>
      <c r="D10" s="1" t="s">
        <v>199</v>
      </c>
      <c r="E10" s="3">
        <v>10</v>
      </c>
      <c r="F10" t="s">
        <v>89</v>
      </c>
      <c r="G10" t="s">
        <v>115</v>
      </c>
    </row>
    <row r="11" spans="1:7">
      <c r="A11" t="s">
        <v>75</v>
      </c>
      <c r="B11" s="3">
        <v>5.32</v>
      </c>
      <c r="C11" t="s">
        <v>74</v>
      </c>
      <c r="D11" s="1" t="s">
        <v>200</v>
      </c>
      <c r="E11" s="3">
        <v>10</v>
      </c>
      <c r="F11" t="s">
        <v>89</v>
      </c>
      <c r="G11" t="s">
        <v>115</v>
      </c>
    </row>
    <row r="12" spans="1:7">
      <c r="A12" t="s">
        <v>75</v>
      </c>
      <c r="B12" s="3">
        <v>5.53</v>
      </c>
      <c r="C12" t="s">
        <v>74</v>
      </c>
      <c r="D12" s="1" t="s">
        <v>201</v>
      </c>
      <c r="E12" s="3">
        <v>10</v>
      </c>
      <c r="F12" t="s">
        <v>89</v>
      </c>
      <c r="G12" t="s">
        <v>115</v>
      </c>
    </row>
    <row r="13" spans="1:7">
      <c r="A13" t="s">
        <v>75</v>
      </c>
      <c r="B13" s="3">
        <v>6.32</v>
      </c>
      <c r="C13" t="s">
        <v>74</v>
      </c>
      <c r="D13" s="1" t="s">
        <v>198</v>
      </c>
      <c r="E13" s="3">
        <v>10</v>
      </c>
      <c r="F13" t="s">
        <v>89</v>
      </c>
      <c r="G13" t="s">
        <v>115</v>
      </c>
    </row>
    <row r="14" spans="1:7">
      <c r="A14" t="s">
        <v>75</v>
      </c>
      <c r="B14" s="3">
        <v>6.34</v>
      </c>
      <c r="C14" t="s">
        <v>74</v>
      </c>
      <c r="D14" s="1" t="s">
        <v>199</v>
      </c>
      <c r="E14" s="3">
        <v>10</v>
      </c>
      <c r="F14" t="s">
        <v>89</v>
      </c>
      <c r="G14" t="s">
        <v>115</v>
      </c>
    </row>
    <row r="15" spans="1:7">
      <c r="A15" t="s">
        <v>75</v>
      </c>
      <c r="B15" s="3">
        <v>6.59</v>
      </c>
      <c r="C15" t="s">
        <v>74</v>
      </c>
      <c r="D15" s="1" t="s">
        <v>200</v>
      </c>
      <c r="E15" s="3">
        <v>10</v>
      </c>
      <c r="F15" t="s">
        <v>89</v>
      </c>
      <c r="G15" t="s">
        <v>115</v>
      </c>
    </row>
    <row r="16" spans="1:7">
      <c r="A16" t="s">
        <v>75</v>
      </c>
      <c r="B16" s="3">
        <v>6.41</v>
      </c>
      <c r="C16" t="s">
        <v>74</v>
      </c>
      <c r="D16" s="1" t="s">
        <v>201</v>
      </c>
      <c r="E16" s="3">
        <v>10</v>
      </c>
      <c r="F16" t="s">
        <v>89</v>
      </c>
      <c r="G16" t="s">
        <v>115</v>
      </c>
    </row>
    <row r="17" spans="1:7">
      <c r="A17" t="s">
        <v>75</v>
      </c>
      <c r="B17" s="3">
        <v>5.76</v>
      </c>
      <c r="C17" t="s">
        <v>74</v>
      </c>
      <c r="D17" s="1" t="s">
        <v>198</v>
      </c>
      <c r="E17" s="3">
        <v>10</v>
      </c>
      <c r="F17" t="s">
        <v>89</v>
      </c>
      <c r="G17" t="s">
        <v>115</v>
      </c>
    </row>
    <row r="18" spans="1:7">
      <c r="A18" t="s">
        <v>75</v>
      </c>
      <c r="B18" s="3">
        <v>6.01</v>
      </c>
      <c r="C18" t="s">
        <v>74</v>
      </c>
      <c r="D18" s="1" t="s">
        <v>199</v>
      </c>
      <c r="E18" s="3">
        <v>10</v>
      </c>
      <c r="F18" t="s">
        <v>89</v>
      </c>
      <c r="G18" t="s">
        <v>115</v>
      </c>
    </row>
    <row r="19" spans="1:7">
      <c r="A19" t="s">
        <v>75</v>
      </c>
      <c r="B19" s="3">
        <v>6.23</v>
      </c>
      <c r="C19" t="s">
        <v>74</v>
      </c>
      <c r="D19" s="1" t="s">
        <v>200</v>
      </c>
      <c r="E19" s="3">
        <v>10</v>
      </c>
      <c r="F19" t="s">
        <v>89</v>
      </c>
      <c r="G19" t="s">
        <v>115</v>
      </c>
    </row>
    <row r="20" spans="1:7">
      <c r="A20" t="s">
        <v>75</v>
      </c>
      <c r="B20" s="3">
        <v>5.99</v>
      </c>
      <c r="C20" t="s">
        <v>74</v>
      </c>
      <c r="D20" s="1" t="s">
        <v>201</v>
      </c>
      <c r="E20" s="3">
        <v>10</v>
      </c>
      <c r="F20" t="s">
        <v>89</v>
      </c>
      <c r="G20" t="s">
        <v>115</v>
      </c>
    </row>
    <row r="21" spans="1:7">
      <c r="A21" t="s">
        <v>76</v>
      </c>
      <c r="B21" s="3">
        <v>5.3749010000000004</v>
      </c>
      <c r="C21" t="s">
        <v>74</v>
      </c>
      <c r="D21" s="1" t="s">
        <v>77</v>
      </c>
      <c r="E21" s="3">
        <v>270</v>
      </c>
      <c r="F21" t="s">
        <v>92</v>
      </c>
      <c r="G21" t="s">
        <v>202</v>
      </c>
    </row>
    <row r="22" spans="1:7">
      <c r="A22" t="s">
        <v>76</v>
      </c>
      <c r="B22" s="3">
        <v>5.1594691419999998</v>
      </c>
      <c r="C22" t="s">
        <v>74</v>
      </c>
      <c r="D22" s="1" t="s">
        <v>78</v>
      </c>
      <c r="E22" s="3">
        <v>288</v>
      </c>
      <c r="F22" t="s">
        <v>92</v>
      </c>
      <c r="G22" t="s">
        <v>202</v>
      </c>
    </row>
    <row r="23" spans="1:7">
      <c r="A23" s="1" t="s">
        <v>6</v>
      </c>
      <c r="B23" s="3">
        <v>4.62</v>
      </c>
      <c r="C23" t="s">
        <v>74</v>
      </c>
      <c r="D23" s="1" t="s">
        <v>79</v>
      </c>
      <c r="E23" s="3">
        <v>3</v>
      </c>
      <c r="F23" t="s">
        <v>92</v>
      </c>
      <c r="G23" t="s">
        <v>91</v>
      </c>
    </row>
    <row r="24" spans="1:7">
      <c r="A24" t="s">
        <v>240</v>
      </c>
      <c r="B24" s="3">
        <v>2.1</v>
      </c>
      <c r="C24" t="s">
        <v>74</v>
      </c>
      <c r="D24" s="1" t="s">
        <v>241</v>
      </c>
      <c r="E24" s="3">
        <v>42</v>
      </c>
      <c r="F24" t="s">
        <v>89</v>
      </c>
      <c r="G24" t="s">
        <v>242</v>
      </c>
    </row>
    <row r="25" spans="1:7">
      <c r="A25" t="s">
        <v>240</v>
      </c>
      <c r="B25" s="3">
        <v>1.3</v>
      </c>
      <c r="C25" t="s">
        <v>74</v>
      </c>
      <c r="D25" s="1" t="s">
        <v>243</v>
      </c>
      <c r="E25" s="3">
        <v>42</v>
      </c>
      <c r="F25" t="s">
        <v>89</v>
      </c>
      <c r="G25" t="s">
        <v>242</v>
      </c>
    </row>
    <row r="26" spans="1:7">
      <c r="A26" t="s">
        <v>240</v>
      </c>
      <c r="B26" s="3">
        <v>3.3</v>
      </c>
      <c r="C26" t="s">
        <v>74</v>
      </c>
      <c r="D26" s="1" t="s">
        <v>244</v>
      </c>
      <c r="E26" s="3">
        <v>42</v>
      </c>
      <c r="F26" t="s">
        <v>89</v>
      </c>
      <c r="G26" t="s">
        <v>242</v>
      </c>
    </row>
    <row r="27" spans="1:7">
      <c r="A27" t="s">
        <v>240</v>
      </c>
      <c r="B27" s="3">
        <v>3.8</v>
      </c>
      <c r="C27" t="s">
        <v>74</v>
      </c>
      <c r="D27" s="1" t="s">
        <v>245</v>
      </c>
      <c r="E27" s="3">
        <v>42</v>
      </c>
      <c r="F27" t="s">
        <v>89</v>
      </c>
      <c r="G27" t="s">
        <v>242</v>
      </c>
    </row>
    <row r="28" spans="1:7">
      <c r="A28" t="s">
        <v>240</v>
      </c>
      <c r="B28" s="3">
        <v>4.0999999999999996</v>
      </c>
      <c r="C28" t="s">
        <v>74</v>
      </c>
      <c r="D28" s="1" t="s">
        <v>246</v>
      </c>
      <c r="E28" s="3">
        <v>42</v>
      </c>
      <c r="F28" t="s">
        <v>89</v>
      </c>
      <c r="G28" t="s">
        <v>242</v>
      </c>
    </row>
  </sheetData>
  <phoneticPr fontId="4"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6BC75-163E-499D-BD8F-D6FF731463F6}">
  <dimension ref="A1:L37"/>
  <sheetViews>
    <sheetView workbookViewId="0">
      <selection activeCell="F1" sqref="F1"/>
    </sheetView>
  </sheetViews>
  <sheetFormatPr defaultRowHeight="14.5"/>
  <cols>
    <col min="1" max="1" width="18.26953125" customWidth="1"/>
    <col min="2" max="2" width="18.54296875" customWidth="1"/>
    <col min="3" max="3" width="18.1796875" customWidth="1"/>
    <col min="4" max="4" width="36.7265625" customWidth="1"/>
    <col min="5" max="5" width="18.1796875" customWidth="1"/>
  </cols>
  <sheetData>
    <row r="1" spans="1:12">
      <c r="A1" s="2" t="s">
        <v>33</v>
      </c>
      <c r="B1" s="2" t="s">
        <v>34</v>
      </c>
      <c r="C1" s="2" t="s">
        <v>35</v>
      </c>
      <c r="D1" s="2" t="s">
        <v>73</v>
      </c>
      <c r="E1" s="2" t="s">
        <v>196</v>
      </c>
      <c r="F1" s="2" t="s">
        <v>197</v>
      </c>
      <c r="G1" s="2" t="s">
        <v>85</v>
      </c>
      <c r="J1" s="2" t="s">
        <v>233</v>
      </c>
      <c r="K1" s="2" t="s">
        <v>234</v>
      </c>
      <c r="L1" s="2" t="s">
        <v>235</v>
      </c>
    </row>
    <row r="2" spans="1:12">
      <c r="A2" t="s">
        <v>6</v>
      </c>
      <c r="B2" s="11">
        <v>5.78</v>
      </c>
      <c r="C2" t="s">
        <v>74</v>
      </c>
      <c r="D2" s="1" t="s">
        <v>205</v>
      </c>
      <c r="E2">
        <v>3</v>
      </c>
      <c r="F2" t="s">
        <v>92</v>
      </c>
      <c r="G2" t="s">
        <v>91</v>
      </c>
      <c r="J2" t="s">
        <v>216</v>
      </c>
      <c r="K2" t="s">
        <v>82</v>
      </c>
      <c r="L2" t="s">
        <v>82</v>
      </c>
    </row>
    <row r="3" spans="1:12">
      <c r="A3" t="s">
        <v>7</v>
      </c>
      <c r="B3">
        <v>5.16</v>
      </c>
      <c r="C3" t="s">
        <v>74</v>
      </c>
      <c r="D3" s="1" t="s">
        <v>206</v>
      </c>
      <c r="E3">
        <v>15</v>
      </c>
      <c r="F3" t="s">
        <v>89</v>
      </c>
      <c r="G3" t="s">
        <v>97</v>
      </c>
      <c r="J3">
        <v>0</v>
      </c>
      <c r="K3">
        <v>6.5194627594627503</v>
      </c>
      <c r="L3">
        <v>6.6746987951807197</v>
      </c>
    </row>
    <row r="4" spans="1:12">
      <c r="A4" t="s">
        <v>7</v>
      </c>
      <c r="B4">
        <v>5.41</v>
      </c>
      <c r="C4" t="s">
        <v>74</v>
      </c>
      <c r="D4" s="1" t="s">
        <v>206</v>
      </c>
      <c r="E4">
        <v>15</v>
      </c>
      <c r="F4" t="s">
        <v>89</v>
      </c>
      <c r="G4" t="s">
        <v>97</v>
      </c>
      <c r="J4">
        <v>2</v>
      </c>
      <c r="K4">
        <v>6.8138217338217304</v>
      </c>
      <c r="L4">
        <v>6.5542168674698704</v>
      </c>
    </row>
    <row r="5" spans="1:12">
      <c r="A5" t="s">
        <v>7</v>
      </c>
      <c r="B5">
        <v>3.79</v>
      </c>
      <c r="C5" t="s">
        <v>74</v>
      </c>
      <c r="D5" s="1" t="s">
        <v>207</v>
      </c>
      <c r="E5">
        <v>15</v>
      </c>
      <c r="F5" t="s">
        <v>89</v>
      </c>
      <c r="G5" t="s">
        <v>97</v>
      </c>
      <c r="J5">
        <v>4</v>
      </c>
      <c r="K5">
        <v>6.2959218559218497</v>
      </c>
      <c r="L5">
        <v>6.4096385542168601</v>
      </c>
    </row>
    <row r="6" spans="1:12">
      <c r="A6" t="s">
        <v>7</v>
      </c>
      <c r="B6">
        <v>3.1</v>
      </c>
      <c r="C6" t="s">
        <v>74</v>
      </c>
      <c r="D6" s="1" t="s">
        <v>207</v>
      </c>
      <c r="E6">
        <v>15</v>
      </c>
      <c r="F6" t="s">
        <v>89</v>
      </c>
      <c r="G6" t="s">
        <v>97</v>
      </c>
      <c r="J6">
        <v>6</v>
      </c>
      <c r="K6">
        <v>5.8764835164835096</v>
      </c>
      <c r="L6">
        <v>6.2168674698795101</v>
      </c>
    </row>
    <row r="7" spans="1:12">
      <c r="A7" t="s">
        <v>7</v>
      </c>
      <c r="B7">
        <v>1.87</v>
      </c>
      <c r="C7" t="s">
        <v>74</v>
      </c>
      <c r="D7" s="1" t="s">
        <v>208</v>
      </c>
      <c r="E7">
        <v>15</v>
      </c>
      <c r="F7" t="s">
        <v>89</v>
      </c>
      <c r="G7" t="s">
        <v>97</v>
      </c>
      <c r="J7">
        <v>8</v>
      </c>
      <c r="K7">
        <v>5.4816605616605596</v>
      </c>
      <c r="L7">
        <v>6.04819277108433</v>
      </c>
    </row>
    <row r="8" spans="1:12">
      <c r="A8" t="s">
        <v>7</v>
      </c>
      <c r="B8">
        <v>2.31</v>
      </c>
      <c r="C8" t="s">
        <v>74</v>
      </c>
      <c r="D8" s="1" t="s">
        <v>208</v>
      </c>
      <c r="E8">
        <v>15</v>
      </c>
      <c r="F8" t="s">
        <v>89</v>
      </c>
      <c r="G8" t="s">
        <v>97</v>
      </c>
      <c r="J8">
        <v>15</v>
      </c>
      <c r="K8">
        <v>4.4689621489621398</v>
      </c>
      <c r="L8">
        <v>4.7951807228915602</v>
      </c>
    </row>
    <row r="9" spans="1:12">
      <c r="A9" t="s">
        <v>14</v>
      </c>
      <c r="B9">
        <v>1.6</v>
      </c>
      <c r="C9" t="s">
        <v>74</v>
      </c>
      <c r="D9" s="1" t="s">
        <v>209</v>
      </c>
      <c r="E9">
        <v>10</v>
      </c>
      <c r="F9" t="s">
        <v>89</v>
      </c>
      <c r="G9" t="s">
        <v>87</v>
      </c>
      <c r="J9">
        <v>22</v>
      </c>
      <c r="K9">
        <v>4.4162637362637298</v>
      </c>
      <c r="L9">
        <v>4.7228915662650603</v>
      </c>
    </row>
    <row r="10" spans="1:12">
      <c r="A10" t="s">
        <v>14</v>
      </c>
      <c r="B10">
        <v>4.0999999999999996</v>
      </c>
      <c r="C10" t="s">
        <v>74</v>
      </c>
      <c r="D10" s="1" t="s">
        <v>210</v>
      </c>
      <c r="E10">
        <v>14</v>
      </c>
      <c r="F10" t="s">
        <v>89</v>
      </c>
      <c r="G10" t="s">
        <v>87</v>
      </c>
      <c r="J10">
        <v>29</v>
      </c>
      <c r="K10">
        <v>4.1420757020757</v>
      </c>
      <c r="L10">
        <v>3.9759036144578301</v>
      </c>
    </row>
    <row r="11" spans="1:12">
      <c r="A11" t="s">
        <v>14</v>
      </c>
      <c r="B11">
        <v>3.7</v>
      </c>
      <c r="C11" t="s">
        <v>74</v>
      </c>
      <c r="D11" s="1" t="s">
        <v>211</v>
      </c>
      <c r="E11">
        <v>1</v>
      </c>
      <c r="F11" t="s">
        <v>89</v>
      </c>
      <c r="G11" t="s">
        <v>96</v>
      </c>
      <c r="J11">
        <v>43</v>
      </c>
      <c r="K11">
        <v>3.76595848595848</v>
      </c>
      <c r="L11">
        <v>4.1686746987951802</v>
      </c>
    </row>
    <row r="12" spans="1:12">
      <c r="A12" t="s">
        <v>15</v>
      </c>
      <c r="B12">
        <f>LOG10(254000000)</f>
        <v>8.4048337166199385</v>
      </c>
      <c r="C12" t="s">
        <v>74</v>
      </c>
      <c r="D12" s="1" t="s">
        <v>212</v>
      </c>
      <c r="E12">
        <v>5</v>
      </c>
      <c r="F12" t="s">
        <v>89</v>
      </c>
      <c r="G12" t="s">
        <v>94</v>
      </c>
    </row>
    <row r="13" spans="1:12">
      <c r="A13" t="s">
        <v>15</v>
      </c>
      <c r="B13">
        <f>LOG10(754000000)</f>
        <v>8.8773713458697738</v>
      </c>
      <c r="C13" t="s">
        <v>74</v>
      </c>
      <c r="D13" s="1" t="s">
        <v>213</v>
      </c>
      <c r="E13">
        <v>5</v>
      </c>
      <c r="F13" t="s">
        <v>89</v>
      </c>
      <c r="G13" t="s">
        <v>94</v>
      </c>
    </row>
    <row r="14" spans="1:12">
      <c r="A14" t="s">
        <v>15</v>
      </c>
      <c r="B14">
        <f>LOG10(4840000)</f>
        <v>6.6848453616444123</v>
      </c>
      <c r="C14" t="s">
        <v>74</v>
      </c>
      <c r="D14" s="1" t="s">
        <v>214</v>
      </c>
      <c r="E14">
        <v>5</v>
      </c>
      <c r="F14" t="s">
        <v>89</v>
      </c>
      <c r="G14" t="s">
        <v>94</v>
      </c>
    </row>
    <row r="15" spans="1:12">
      <c r="A15" t="s">
        <v>15</v>
      </c>
      <c r="B15">
        <f>LOG10(58800000)</f>
        <v>7.7693773260761381</v>
      </c>
      <c r="C15" t="s">
        <v>74</v>
      </c>
      <c r="D15" s="1" t="s">
        <v>215</v>
      </c>
      <c r="E15">
        <v>5</v>
      </c>
      <c r="F15" t="s">
        <v>89</v>
      </c>
      <c r="G15" t="s">
        <v>94</v>
      </c>
    </row>
    <row r="16" spans="1:12">
      <c r="A16" t="s">
        <v>80</v>
      </c>
      <c r="B16">
        <v>6.0742260000000003</v>
      </c>
      <c r="C16" t="s">
        <v>74</v>
      </c>
      <c r="D16" s="1" t="s">
        <v>81</v>
      </c>
      <c r="E16" s="11">
        <v>270</v>
      </c>
      <c r="F16" t="s">
        <v>92</v>
      </c>
      <c r="G16" t="s">
        <v>202</v>
      </c>
    </row>
    <row r="17" spans="1:7">
      <c r="A17" t="s">
        <v>124</v>
      </c>
      <c r="B17">
        <f>ROUND(K3,2)</f>
        <v>6.52</v>
      </c>
      <c r="C17" t="s">
        <v>74</v>
      </c>
      <c r="D17" s="1" t="s">
        <v>224</v>
      </c>
      <c r="E17">
        <v>18</v>
      </c>
      <c r="F17" t="s">
        <v>89</v>
      </c>
      <c r="G17" t="s">
        <v>217</v>
      </c>
    </row>
    <row r="18" spans="1:7">
      <c r="A18" t="s">
        <v>124</v>
      </c>
      <c r="B18">
        <f t="shared" ref="B18:B23" si="0">ROUND(K4,2)</f>
        <v>6.81</v>
      </c>
      <c r="C18" t="s">
        <v>74</v>
      </c>
      <c r="D18" s="1" t="s">
        <v>225</v>
      </c>
      <c r="E18">
        <v>18</v>
      </c>
      <c r="F18" t="s">
        <v>89</v>
      </c>
      <c r="G18" t="s">
        <v>217</v>
      </c>
    </row>
    <row r="19" spans="1:7">
      <c r="A19" t="s">
        <v>124</v>
      </c>
      <c r="B19">
        <f t="shared" si="0"/>
        <v>6.3</v>
      </c>
      <c r="C19" t="s">
        <v>74</v>
      </c>
      <c r="D19" s="1" t="s">
        <v>226</v>
      </c>
      <c r="E19">
        <v>18</v>
      </c>
      <c r="F19" t="s">
        <v>89</v>
      </c>
      <c r="G19" t="s">
        <v>217</v>
      </c>
    </row>
    <row r="20" spans="1:7">
      <c r="A20" t="s">
        <v>124</v>
      </c>
      <c r="B20">
        <f t="shared" si="0"/>
        <v>5.88</v>
      </c>
      <c r="C20" t="s">
        <v>74</v>
      </c>
      <c r="D20" s="1" t="s">
        <v>227</v>
      </c>
      <c r="E20">
        <v>18</v>
      </c>
      <c r="F20" t="s">
        <v>89</v>
      </c>
      <c r="G20" t="s">
        <v>217</v>
      </c>
    </row>
    <row r="21" spans="1:7">
      <c r="A21" t="s">
        <v>124</v>
      </c>
      <c r="B21">
        <f t="shared" si="0"/>
        <v>5.48</v>
      </c>
      <c r="C21" t="s">
        <v>74</v>
      </c>
      <c r="D21" s="1" t="s">
        <v>228</v>
      </c>
      <c r="E21">
        <v>18</v>
      </c>
      <c r="F21" t="s">
        <v>89</v>
      </c>
      <c r="G21" t="s">
        <v>217</v>
      </c>
    </row>
    <row r="22" spans="1:7">
      <c r="A22" t="s">
        <v>124</v>
      </c>
      <c r="B22">
        <f t="shared" si="0"/>
        <v>4.47</v>
      </c>
      <c r="C22" t="s">
        <v>74</v>
      </c>
      <c r="D22" s="1" t="s">
        <v>229</v>
      </c>
      <c r="E22">
        <v>18</v>
      </c>
      <c r="F22" t="s">
        <v>89</v>
      </c>
      <c r="G22" t="s">
        <v>217</v>
      </c>
    </row>
    <row r="23" spans="1:7">
      <c r="A23" t="s">
        <v>124</v>
      </c>
      <c r="B23">
        <f t="shared" si="0"/>
        <v>4.42</v>
      </c>
      <c r="C23" t="s">
        <v>74</v>
      </c>
      <c r="D23" s="1" t="s">
        <v>230</v>
      </c>
      <c r="E23">
        <v>18</v>
      </c>
      <c r="F23" t="s">
        <v>89</v>
      </c>
      <c r="G23" t="s">
        <v>217</v>
      </c>
    </row>
    <row r="24" spans="1:7">
      <c r="A24" t="s">
        <v>124</v>
      </c>
      <c r="B24">
        <f>ROUND(K10,2)</f>
        <v>4.1399999999999997</v>
      </c>
      <c r="C24" t="s">
        <v>74</v>
      </c>
      <c r="D24" s="1" t="s">
        <v>231</v>
      </c>
      <c r="E24">
        <v>18</v>
      </c>
      <c r="F24" t="s">
        <v>89</v>
      </c>
      <c r="G24" t="s">
        <v>217</v>
      </c>
    </row>
    <row r="25" spans="1:7">
      <c r="A25" t="s">
        <v>124</v>
      </c>
      <c r="B25">
        <f>ROUND(K11,2)</f>
        <v>3.77</v>
      </c>
      <c r="C25" t="s">
        <v>74</v>
      </c>
      <c r="D25" s="1" t="s">
        <v>232</v>
      </c>
      <c r="E25">
        <v>18</v>
      </c>
      <c r="F25" t="s">
        <v>89</v>
      </c>
      <c r="G25" t="s">
        <v>217</v>
      </c>
    </row>
    <row r="26" spans="1:7">
      <c r="A26" t="s">
        <v>124</v>
      </c>
      <c r="B26">
        <f>ROUND(L3,2)</f>
        <v>6.67</v>
      </c>
      <c r="C26" t="s">
        <v>74</v>
      </c>
      <c r="D26" s="1" t="s">
        <v>218</v>
      </c>
      <c r="E26">
        <v>18</v>
      </c>
      <c r="F26" t="s">
        <v>89</v>
      </c>
      <c r="G26" t="s">
        <v>239</v>
      </c>
    </row>
    <row r="27" spans="1:7">
      <c r="A27" t="s">
        <v>124</v>
      </c>
      <c r="B27">
        <f t="shared" ref="B27:B34" si="1">ROUND(L4,2)</f>
        <v>6.55</v>
      </c>
      <c r="C27" t="s">
        <v>74</v>
      </c>
      <c r="D27" s="1" t="s">
        <v>219</v>
      </c>
      <c r="E27">
        <v>18</v>
      </c>
      <c r="F27" t="s">
        <v>89</v>
      </c>
      <c r="G27" t="s">
        <v>239</v>
      </c>
    </row>
    <row r="28" spans="1:7">
      <c r="A28" t="s">
        <v>124</v>
      </c>
      <c r="B28">
        <f t="shared" si="1"/>
        <v>6.41</v>
      </c>
      <c r="C28" t="s">
        <v>74</v>
      </c>
      <c r="D28" s="1" t="s">
        <v>220</v>
      </c>
      <c r="E28">
        <v>18</v>
      </c>
      <c r="F28" t="s">
        <v>89</v>
      </c>
      <c r="G28" t="s">
        <v>239</v>
      </c>
    </row>
    <row r="29" spans="1:7">
      <c r="A29" t="s">
        <v>124</v>
      </c>
      <c r="B29">
        <f t="shared" si="1"/>
        <v>6.22</v>
      </c>
      <c r="C29" t="s">
        <v>74</v>
      </c>
      <c r="D29" s="1" t="s">
        <v>221</v>
      </c>
      <c r="E29">
        <v>18</v>
      </c>
      <c r="F29" t="s">
        <v>89</v>
      </c>
      <c r="G29" t="s">
        <v>239</v>
      </c>
    </row>
    <row r="30" spans="1:7">
      <c r="A30" t="s">
        <v>124</v>
      </c>
      <c r="B30">
        <f t="shared" si="1"/>
        <v>6.05</v>
      </c>
      <c r="C30" t="s">
        <v>74</v>
      </c>
      <c r="D30" s="1" t="s">
        <v>222</v>
      </c>
      <c r="E30">
        <v>18</v>
      </c>
      <c r="F30" t="s">
        <v>89</v>
      </c>
      <c r="G30" t="s">
        <v>239</v>
      </c>
    </row>
    <row r="31" spans="1:7">
      <c r="A31" t="s">
        <v>124</v>
      </c>
      <c r="B31">
        <f t="shared" si="1"/>
        <v>4.8</v>
      </c>
      <c r="C31" t="s">
        <v>74</v>
      </c>
      <c r="D31" s="1" t="s">
        <v>223</v>
      </c>
      <c r="E31">
        <v>18</v>
      </c>
      <c r="F31" t="s">
        <v>89</v>
      </c>
      <c r="G31" t="s">
        <v>239</v>
      </c>
    </row>
    <row r="32" spans="1:7">
      <c r="A32" t="s">
        <v>124</v>
      </c>
      <c r="B32">
        <f t="shared" si="1"/>
        <v>4.72</v>
      </c>
      <c r="C32" t="s">
        <v>74</v>
      </c>
      <c r="D32" s="1" t="s">
        <v>236</v>
      </c>
      <c r="E32">
        <v>18</v>
      </c>
      <c r="F32" t="s">
        <v>89</v>
      </c>
      <c r="G32" t="s">
        <v>239</v>
      </c>
    </row>
    <row r="33" spans="1:7">
      <c r="A33" t="s">
        <v>124</v>
      </c>
      <c r="B33">
        <f t="shared" si="1"/>
        <v>3.98</v>
      </c>
      <c r="C33" t="s">
        <v>74</v>
      </c>
      <c r="D33" s="1" t="s">
        <v>237</v>
      </c>
      <c r="E33">
        <v>18</v>
      </c>
      <c r="F33" t="s">
        <v>89</v>
      </c>
      <c r="G33" t="s">
        <v>239</v>
      </c>
    </row>
    <row r="34" spans="1:7">
      <c r="A34" t="s">
        <v>124</v>
      </c>
      <c r="B34">
        <f t="shared" si="1"/>
        <v>4.17</v>
      </c>
      <c r="C34" t="s">
        <v>74</v>
      </c>
      <c r="D34" s="1" t="s">
        <v>238</v>
      </c>
      <c r="E34">
        <v>18</v>
      </c>
      <c r="F34" t="s">
        <v>89</v>
      </c>
      <c r="G34" t="s">
        <v>239</v>
      </c>
    </row>
    <row r="35" spans="1:7">
      <c r="A35" t="s">
        <v>240</v>
      </c>
      <c r="B35">
        <v>5.6</v>
      </c>
      <c r="C35" t="s">
        <v>74</v>
      </c>
      <c r="D35" s="1" t="s">
        <v>244</v>
      </c>
      <c r="E35">
        <v>28</v>
      </c>
      <c r="F35" t="s">
        <v>89</v>
      </c>
      <c r="G35" t="s">
        <v>249</v>
      </c>
    </row>
    <row r="36" spans="1:7">
      <c r="A36" t="s">
        <v>240</v>
      </c>
      <c r="B36">
        <v>5.7</v>
      </c>
      <c r="C36" t="s">
        <v>74</v>
      </c>
      <c r="D36" s="1" t="s">
        <v>245</v>
      </c>
      <c r="E36">
        <v>28</v>
      </c>
      <c r="F36" t="s">
        <v>89</v>
      </c>
      <c r="G36" t="s">
        <v>249</v>
      </c>
    </row>
    <row r="37" spans="1:7">
      <c r="A37" t="s">
        <v>240</v>
      </c>
      <c r="B37">
        <v>5</v>
      </c>
      <c r="C37" t="s">
        <v>74</v>
      </c>
      <c r="D37" s="1" t="s">
        <v>246</v>
      </c>
      <c r="E37">
        <v>28</v>
      </c>
      <c r="F37" t="s">
        <v>89</v>
      </c>
      <c r="G37" t="s">
        <v>249</v>
      </c>
    </row>
  </sheetData>
  <phoneticPr fontId="4"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37444-69D9-492B-B3BC-98AF630C9728}">
  <dimension ref="A1:F5"/>
  <sheetViews>
    <sheetView workbookViewId="0">
      <selection activeCell="K1" sqref="G1:K2"/>
    </sheetView>
  </sheetViews>
  <sheetFormatPr defaultRowHeight="14.5"/>
  <cols>
    <col min="1" max="2" width="20" customWidth="1"/>
    <col min="3" max="3" width="18.7265625" customWidth="1"/>
    <col min="4" max="4" width="18.26953125" customWidth="1"/>
  </cols>
  <sheetData>
    <row r="1" spans="1:6">
      <c r="A1" s="2" t="s">
        <v>33</v>
      </c>
      <c r="B1" s="2" t="s">
        <v>34</v>
      </c>
      <c r="C1" s="2" t="s">
        <v>35</v>
      </c>
      <c r="D1" s="2" t="s">
        <v>73</v>
      </c>
      <c r="E1" s="2" t="s">
        <v>197</v>
      </c>
      <c r="F1" s="2" t="s">
        <v>85</v>
      </c>
    </row>
    <row r="2" spans="1:6">
      <c r="A2" t="s">
        <v>240</v>
      </c>
      <c r="B2">
        <v>0.7</v>
      </c>
      <c r="C2" t="s">
        <v>321</v>
      </c>
      <c r="D2" t="s">
        <v>241</v>
      </c>
      <c r="E2" t="s">
        <v>89</v>
      </c>
      <c r="F2" t="s">
        <v>324</v>
      </c>
    </row>
    <row r="3" spans="1:6">
      <c r="A3" t="s">
        <v>240</v>
      </c>
      <c r="B3">
        <v>3.1</v>
      </c>
      <c r="C3" t="s">
        <v>321</v>
      </c>
      <c r="D3" t="s">
        <v>322</v>
      </c>
      <c r="E3" t="s">
        <v>89</v>
      </c>
      <c r="F3" t="s">
        <v>324</v>
      </c>
    </row>
    <row r="4" spans="1:6">
      <c r="A4" t="s">
        <v>240</v>
      </c>
      <c r="B4">
        <v>1.4</v>
      </c>
      <c r="C4" t="s">
        <v>321</v>
      </c>
      <c r="D4" t="s">
        <v>323</v>
      </c>
      <c r="E4" t="s">
        <v>89</v>
      </c>
      <c r="F4" t="s">
        <v>324</v>
      </c>
    </row>
    <row r="5" spans="1:6">
      <c r="A5" t="s">
        <v>240</v>
      </c>
      <c r="B5">
        <v>1.4</v>
      </c>
      <c r="C5" t="s">
        <v>321</v>
      </c>
      <c r="D5" t="s">
        <v>246</v>
      </c>
      <c r="E5" t="s">
        <v>89</v>
      </c>
      <c r="F5" t="s">
        <v>324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1320C-B99E-4CEE-9404-A4928E9205F2}">
  <dimension ref="A1:G7"/>
  <sheetViews>
    <sheetView workbookViewId="0">
      <selection activeCell="C10" sqref="C10"/>
    </sheetView>
  </sheetViews>
  <sheetFormatPr defaultRowHeight="14.5"/>
  <cols>
    <col min="1" max="2" width="19.26953125" customWidth="1"/>
    <col min="3" max="4" width="17.26953125" customWidth="1"/>
  </cols>
  <sheetData>
    <row r="1" spans="1:7">
      <c r="A1" s="2" t="s">
        <v>33</v>
      </c>
      <c r="B1" s="2" t="s">
        <v>34</v>
      </c>
      <c r="C1" s="2" t="s">
        <v>35</v>
      </c>
      <c r="D1" s="2" t="s">
        <v>196</v>
      </c>
      <c r="E1" s="2" t="s">
        <v>250</v>
      </c>
      <c r="F1" s="2" t="s">
        <v>85</v>
      </c>
      <c r="G1" s="2" t="s">
        <v>73</v>
      </c>
    </row>
    <row r="2" spans="1:7">
      <c r="A2" t="s">
        <v>125</v>
      </c>
      <c r="B2" s="6">
        <f>LOG10(4700000)</f>
        <v>6.6720978579357171</v>
      </c>
      <c r="C2" t="s">
        <v>83</v>
      </c>
      <c r="D2">
        <v>3</v>
      </c>
      <c r="E2" t="s">
        <v>92</v>
      </c>
      <c r="F2" t="s">
        <v>251</v>
      </c>
    </row>
    <row r="3" spans="1:7">
      <c r="A3" t="s">
        <v>253</v>
      </c>
      <c r="B3" s="6">
        <f>LOG10(110)</f>
        <v>2.0413926851582249</v>
      </c>
      <c r="C3" t="s">
        <v>83</v>
      </c>
      <c r="D3">
        <v>16</v>
      </c>
      <c r="E3" t="s">
        <v>92</v>
      </c>
      <c r="F3" t="s">
        <v>252</v>
      </c>
    </row>
    <row r="4" spans="1:7">
      <c r="A4" t="s">
        <v>240</v>
      </c>
      <c r="B4">
        <v>3.8</v>
      </c>
      <c r="C4" t="s">
        <v>83</v>
      </c>
      <c r="D4">
        <v>7</v>
      </c>
      <c r="E4" t="s">
        <v>89</v>
      </c>
      <c r="F4" t="s">
        <v>325</v>
      </c>
      <c r="G4" t="s">
        <v>241</v>
      </c>
    </row>
    <row r="5" spans="1:7">
      <c r="A5" t="s">
        <v>240</v>
      </c>
      <c r="B5">
        <v>4.8</v>
      </c>
      <c r="C5" t="s">
        <v>83</v>
      </c>
      <c r="D5">
        <v>7</v>
      </c>
      <c r="E5" t="s">
        <v>89</v>
      </c>
      <c r="F5" t="s">
        <v>325</v>
      </c>
      <c r="G5" t="s">
        <v>322</v>
      </c>
    </row>
    <row r="6" spans="1:7">
      <c r="A6" t="s">
        <v>240</v>
      </c>
      <c r="B6">
        <v>4.5999999999999996</v>
      </c>
      <c r="C6" t="s">
        <v>83</v>
      </c>
      <c r="D6">
        <v>7</v>
      </c>
      <c r="E6" t="s">
        <v>89</v>
      </c>
      <c r="F6" t="s">
        <v>325</v>
      </c>
      <c r="G6" t="s">
        <v>323</v>
      </c>
    </row>
    <row r="7" spans="1:7">
      <c r="A7" t="s">
        <v>240</v>
      </c>
      <c r="B7">
        <v>5</v>
      </c>
      <c r="C7" t="s">
        <v>83</v>
      </c>
      <c r="D7">
        <v>7</v>
      </c>
      <c r="E7" t="s">
        <v>89</v>
      </c>
      <c r="F7" t="s">
        <v>325</v>
      </c>
      <c r="G7" t="s">
        <v>246</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5880C-7E3B-4256-B219-683DBB645406}">
  <dimension ref="A1:M16"/>
  <sheetViews>
    <sheetView zoomScaleNormal="100" workbookViewId="0">
      <selection activeCell="H10" sqref="H10"/>
    </sheetView>
  </sheetViews>
  <sheetFormatPr defaultRowHeight="14.5"/>
  <cols>
    <col min="1" max="1" width="15.26953125" bestFit="1" customWidth="1"/>
    <col min="2" max="2" width="15" bestFit="1" customWidth="1"/>
    <col min="3" max="3" width="15" customWidth="1"/>
    <col min="7" max="13" width="8.7265625" style="18"/>
  </cols>
  <sheetData>
    <row r="1" spans="1:13">
      <c r="A1" s="16" t="s">
        <v>256</v>
      </c>
      <c r="B1" s="16" t="s">
        <v>257</v>
      </c>
      <c r="C1" s="16" t="s">
        <v>35</v>
      </c>
      <c r="D1" s="16" t="s">
        <v>310</v>
      </c>
      <c r="E1" s="16" t="s">
        <v>250</v>
      </c>
      <c r="F1" s="16" t="s">
        <v>85</v>
      </c>
      <c r="G1" s="17" t="s">
        <v>258</v>
      </c>
      <c r="H1" s="17" t="s">
        <v>259</v>
      </c>
      <c r="I1" s="17" t="s">
        <v>260</v>
      </c>
      <c r="J1" s="17" t="s">
        <v>261</v>
      </c>
      <c r="K1" s="17" t="s">
        <v>262</v>
      </c>
      <c r="L1" s="17" t="s">
        <v>263</v>
      </c>
      <c r="M1" s="17" t="s">
        <v>264</v>
      </c>
    </row>
    <row r="2" spans="1:13">
      <c r="A2" t="s">
        <v>19</v>
      </c>
      <c r="B2">
        <f>LN(2)/(D2*24)</f>
        <v>6.4180294496291234E-3</v>
      </c>
      <c r="C2" t="s">
        <v>46</v>
      </c>
      <c r="D2">
        <v>4.5</v>
      </c>
      <c r="E2" t="s">
        <v>92</v>
      </c>
      <c r="F2" t="s">
        <v>87</v>
      </c>
      <c r="G2" s="18" t="s">
        <v>265</v>
      </c>
      <c r="H2" s="18" t="s">
        <v>266</v>
      </c>
      <c r="I2" s="18" t="s">
        <v>267</v>
      </c>
      <c r="J2" s="18" t="s">
        <v>268</v>
      </c>
      <c r="K2" s="18" t="s">
        <v>269</v>
      </c>
      <c r="L2" s="18" t="s">
        <v>270</v>
      </c>
      <c r="M2" s="4" t="s">
        <v>271</v>
      </c>
    </row>
    <row r="3" spans="1:13">
      <c r="A3" t="s">
        <v>20</v>
      </c>
      <c r="B3">
        <f>0.31/24</f>
        <v>1.2916666666666667E-2</v>
      </c>
      <c r="C3" t="s">
        <v>46</v>
      </c>
      <c r="D3">
        <f>(LN(2)/B3)/24</f>
        <v>2.2359586469675654</v>
      </c>
      <c r="E3" t="s">
        <v>92</v>
      </c>
      <c r="F3" t="s">
        <v>87</v>
      </c>
      <c r="G3" s="18" t="s">
        <v>273</v>
      </c>
      <c r="H3" s="18" t="s">
        <v>274</v>
      </c>
      <c r="I3" s="18" t="s">
        <v>275</v>
      </c>
      <c r="J3" s="18" t="s">
        <v>276</v>
      </c>
      <c r="K3" s="18" t="s">
        <v>277</v>
      </c>
      <c r="L3" s="18" t="s">
        <v>32</v>
      </c>
      <c r="M3" s="18" t="s">
        <v>278</v>
      </c>
    </row>
    <row r="4" spans="1:13">
      <c r="A4" t="s">
        <v>21</v>
      </c>
      <c r="B4">
        <f>0.029/24</f>
        <v>1.2083333333333334E-3</v>
      </c>
      <c r="C4" t="s">
        <v>46</v>
      </c>
      <c r="D4">
        <v>23</v>
      </c>
      <c r="E4" t="s">
        <v>89</v>
      </c>
      <c r="F4" t="s">
        <v>87</v>
      </c>
      <c r="G4" s="18" t="s">
        <v>279</v>
      </c>
      <c r="H4" s="19" t="s">
        <v>280</v>
      </c>
      <c r="I4" s="18" t="s">
        <v>272</v>
      </c>
      <c r="J4" s="18" t="s">
        <v>281</v>
      </c>
      <c r="K4" s="18" t="s">
        <v>282</v>
      </c>
      <c r="L4" s="18" t="s">
        <v>32</v>
      </c>
      <c r="M4" s="21" t="s">
        <v>283</v>
      </c>
    </row>
    <row r="5" spans="1:13">
      <c r="A5" t="s">
        <v>21</v>
      </c>
      <c r="B5">
        <f>0.042/24</f>
        <v>1.75E-3</v>
      </c>
      <c r="C5" t="s">
        <v>46</v>
      </c>
      <c r="D5">
        <v>16</v>
      </c>
      <c r="E5" t="s">
        <v>89</v>
      </c>
      <c r="F5" t="s">
        <v>87</v>
      </c>
      <c r="G5" s="18" t="s">
        <v>279</v>
      </c>
      <c r="H5" s="19" t="s">
        <v>284</v>
      </c>
      <c r="I5" s="18" t="s">
        <v>275</v>
      </c>
      <c r="J5" s="18" t="s">
        <v>281</v>
      </c>
      <c r="K5" s="18" t="s">
        <v>282</v>
      </c>
      <c r="L5" s="18" t="s">
        <v>32</v>
      </c>
      <c r="M5" s="21"/>
    </row>
    <row r="6" spans="1:13">
      <c r="A6" t="s">
        <v>21</v>
      </c>
      <c r="B6">
        <f>0.037/24</f>
        <v>1.5416666666666667E-3</v>
      </c>
      <c r="C6" t="s">
        <v>46</v>
      </c>
      <c r="D6">
        <v>19</v>
      </c>
      <c r="E6" t="s">
        <v>89</v>
      </c>
      <c r="F6" t="s">
        <v>87</v>
      </c>
      <c r="G6" s="18" t="s">
        <v>279</v>
      </c>
      <c r="H6" s="19" t="s">
        <v>285</v>
      </c>
      <c r="I6" s="18" t="s">
        <v>275</v>
      </c>
      <c r="J6" s="18" t="s">
        <v>281</v>
      </c>
      <c r="K6" s="18" t="s">
        <v>286</v>
      </c>
      <c r="L6" s="18" t="s">
        <v>32</v>
      </c>
      <c r="M6" s="21"/>
    </row>
    <row r="7" spans="1:13">
      <c r="A7" t="s">
        <v>22</v>
      </c>
      <c r="B7">
        <f t="shared" ref="B7:B13" si="0">LN(2)/(D7*24)</f>
        <v>4.6582471811824275E-3</v>
      </c>
      <c r="C7" t="s">
        <v>46</v>
      </c>
      <c r="D7">
        <v>6.2</v>
      </c>
      <c r="E7" t="s">
        <v>92</v>
      </c>
      <c r="F7" t="s">
        <v>87</v>
      </c>
      <c r="G7" s="18" t="s">
        <v>287</v>
      </c>
      <c r="H7" s="18" t="s">
        <v>288</v>
      </c>
      <c r="I7" s="18" t="s">
        <v>275</v>
      </c>
      <c r="J7" s="18" t="s">
        <v>276</v>
      </c>
      <c r="K7" s="18" t="s">
        <v>276</v>
      </c>
      <c r="L7" s="18" t="s">
        <v>32</v>
      </c>
      <c r="M7" s="21" t="s">
        <v>289</v>
      </c>
    </row>
    <row r="8" spans="1:13">
      <c r="A8" t="s">
        <v>22</v>
      </c>
      <c r="B8">
        <f t="shared" si="0"/>
        <v>3.8001490162277705E-3</v>
      </c>
      <c r="C8" t="s">
        <v>46</v>
      </c>
      <c r="D8">
        <v>7.6</v>
      </c>
      <c r="E8" t="s">
        <v>92</v>
      </c>
      <c r="F8" t="s">
        <v>87</v>
      </c>
      <c r="G8" s="18" t="s">
        <v>290</v>
      </c>
      <c r="H8" s="18" t="s">
        <v>288</v>
      </c>
      <c r="I8" s="18" t="s">
        <v>275</v>
      </c>
      <c r="J8" s="18" t="s">
        <v>276</v>
      </c>
      <c r="K8" s="18" t="s">
        <v>276</v>
      </c>
      <c r="L8" s="18" t="s">
        <v>32</v>
      </c>
      <c r="M8" s="21"/>
    </row>
    <row r="9" spans="1:13">
      <c r="A9" t="s">
        <v>22</v>
      </c>
      <c r="B9">
        <f t="shared" si="0"/>
        <v>3.8001490162277705E-3</v>
      </c>
      <c r="C9" t="s">
        <v>46</v>
      </c>
      <c r="D9">
        <v>7.6</v>
      </c>
      <c r="E9" t="s">
        <v>92</v>
      </c>
      <c r="F9" t="s">
        <v>87</v>
      </c>
      <c r="G9" s="18" t="s">
        <v>291</v>
      </c>
      <c r="H9" s="18" t="s">
        <v>288</v>
      </c>
      <c r="I9" s="18" t="s">
        <v>275</v>
      </c>
      <c r="J9" s="18" t="s">
        <v>276</v>
      </c>
      <c r="K9" s="18" t="s">
        <v>276</v>
      </c>
      <c r="L9" s="18" t="s">
        <v>32</v>
      </c>
      <c r="M9" s="21"/>
    </row>
    <row r="10" spans="1:13">
      <c r="A10" t="s">
        <v>23</v>
      </c>
      <c r="B10">
        <f t="shared" si="0"/>
        <v>2.9470543391154134E-3</v>
      </c>
      <c r="C10" t="s">
        <v>46</v>
      </c>
      <c r="D10">
        <v>9.8000000000000007</v>
      </c>
      <c r="E10" t="s">
        <v>92</v>
      </c>
      <c r="F10" t="s">
        <v>94</v>
      </c>
      <c r="G10" s="18" t="s">
        <v>292</v>
      </c>
      <c r="H10" s="18" t="s">
        <v>294</v>
      </c>
      <c r="I10" s="18" t="s">
        <v>272</v>
      </c>
      <c r="J10" s="18" t="s">
        <v>293</v>
      </c>
      <c r="K10" s="18" t="s">
        <v>295</v>
      </c>
      <c r="L10" s="18" t="s">
        <v>32</v>
      </c>
      <c r="M10" s="4"/>
    </row>
    <row r="11" spans="1:13">
      <c r="A11" t="s">
        <v>24</v>
      </c>
      <c r="B11">
        <f t="shared" si="0"/>
        <v>5.0668653549703607E-3</v>
      </c>
      <c r="C11" t="s">
        <v>46</v>
      </c>
      <c r="D11">
        <f>AVERAGE(3.3,8.1)</f>
        <v>5.6999999999999993</v>
      </c>
      <c r="E11" t="s">
        <v>92</v>
      </c>
      <c r="F11" t="s">
        <v>95</v>
      </c>
      <c r="G11" s="18" t="s">
        <v>296</v>
      </c>
      <c r="H11" s="18" t="s">
        <v>297</v>
      </c>
      <c r="I11" s="18" t="s">
        <v>272</v>
      </c>
      <c r="J11" s="18" t="s">
        <v>276</v>
      </c>
      <c r="K11" s="18" t="s">
        <v>276</v>
      </c>
      <c r="L11" s="18" t="s">
        <v>32</v>
      </c>
      <c r="M11" s="4" t="s">
        <v>298</v>
      </c>
    </row>
    <row r="12" spans="1:13">
      <c r="A12" t="s">
        <v>25</v>
      </c>
      <c r="B12">
        <f t="shared" si="0"/>
        <v>6.1449218134746915E-3</v>
      </c>
      <c r="C12" t="s">
        <v>46</v>
      </c>
      <c r="D12">
        <v>4.7</v>
      </c>
      <c r="E12" t="s">
        <v>92</v>
      </c>
      <c r="F12" t="s">
        <v>95</v>
      </c>
      <c r="G12" s="18" t="s">
        <v>299</v>
      </c>
      <c r="H12" s="18" t="s">
        <v>300</v>
      </c>
      <c r="I12" s="18" t="s">
        <v>272</v>
      </c>
      <c r="J12" s="18">
        <v>9.1999999999999993</v>
      </c>
      <c r="K12" s="18" t="s">
        <v>301</v>
      </c>
      <c r="L12" s="18" t="s">
        <v>32</v>
      </c>
      <c r="M12" s="18" t="s">
        <v>302</v>
      </c>
    </row>
    <row r="13" spans="1:13">
      <c r="A13" t="s">
        <v>26</v>
      </c>
      <c r="B13">
        <f t="shared" si="0"/>
        <v>9.053646559037949E-4</v>
      </c>
      <c r="C13" t="s">
        <v>46</v>
      </c>
      <c r="D13">
        <v>31.9</v>
      </c>
      <c r="E13" t="s">
        <v>92</v>
      </c>
      <c r="F13" t="s">
        <v>95</v>
      </c>
      <c r="G13" s="18" t="s">
        <v>303</v>
      </c>
      <c r="M13" s="18" t="s">
        <v>311</v>
      </c>
    </row>
    <row r="14" spans="1:13">
      <c r="A14" t="s">
        <v>20</v>
      </c>
      <c r="B14">
        <f>0.07/24</f>
        <v>2.9166666666666668E-3</v>
      </c>
      <c r="C14" t="s">
        <v>46</v>
      </c>
      <c r="D14">
        <f>(LN(2)/B14)/24</f>
        <v>9.9021025794277886</v>
      </c>
      <c r="E14" t="s">
        <v>92</v>
      </c>
      <c r="F14" t="s">
        <v>87</v>
      </c>
      <c r="G14" s="18" t="s">
        <v>304</v>
      </c>
      <c r="H14" s="18" t="s">
        <v>305</v>
      </c>
      <c r="I14" s="18" t="s">
        <v>275</v>
      </c>
      <c r="J14" s="18" t="s">
        <v>276</v>
      </c>
      <c r="K14" s="18" t="s">
        <v>277</v>
      </c>
      <c r="L14" s="18" t="s">
        <v>32</v>
      </c>
      <c r="M14" s="20" t="s">
        <v>306</v>
      </c>
    </row>
    <row r="15" spans="1:13">
      <c r="A15" t="s">
        <v>312</v>
      </c>
      <c r="B15">
        <f>0.047/24</f>
        <v>1.9583333333333332E-3</v>
      </c>
      <c r="C15" t="s">
        <v>46</v>
      </c>
      <c r="D15">
        <f>(LN(2)/B15)/24</f>
        <v>14.747812352339261</v>
      </c>
      <c r="E15" t="s">
        <v>92</v>
      </c>
      <c r="F15" t="s">
        <v>91</v>
      </c>
      <c r="G15" s="18" t="s">
        <v>307</v>
      </c>
      <c r="H15" s="18" t="s">
        <v>308</v>
      </c>
    </row>
    <row r="16" spans="1:13">
      <c r="A16" t="s">
        <v>27</v>
      </c>
      <c r="B16">
        <f>0.07/24</f>
        <v>2.9166666666666668E-3</v>
      </c>
      <c r="C16" t="s">
        <v>46</v>
      </c>
      <c r="D16">
        <v>9.6999999999999993</v>
      </c>
      <c r="E16" t="s">
        <v>92</v>
      </c>
      <c r="F16" t="s">
        <v>96</v>
      </c>
      <c r="G16" s="18" t="s">
        <v>309</v>
      </c>
    </row>
  </sheetData>
  <mergeCells count="2">
    <mergeCell ref="M4:M6"/>
    <mergeCell ref="M7:M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D53CC-94F8-47B0-8230-5D789C8D3A3F}">
  <dimension ref="A1:E7"/>
  <sheetViews>
    <sheetView workbookViewId="0">
      <selection activeCell="E6" sqref="E6"/>
    </sheetView>
  </sheetViews>
  <sheetFormatPr defaultRowHeight="14.5"/>
  <cols>
    <col min="3" max="3" width="12.6328125" bestFit="1" customWidth="1"/>
  </cols>
  <sheetData>
    <row r="1" spans="1:5">
      <c r="A1" s="9" t="s">
        <v>33</v>
      </c>
      <c r="B1" s="9" t="s">
        <v>254</v>
      </c>
      <c r="C1" s="9" t="s">
        <v>34</v>
      </c>
      <c r="D1" s="9" t="s">
        <v>250</v>
      </c>
      <c r="E1" s="9" t="s">
        <v>85</v>
      </c>
    </row>
    <row r="2" spans="1:5">
      <c r="A2" t="s">
        <v>11</v>
      </c>
      <c r="B2" t="s">
        <v>255</v>
      </c>
      <c r="C2">
        <v>1.7070000000000001</v>
      </c>
      <c r="D2" t="s">
        <v>92</v>
      </c>
      <c r="E2" t="s">
        <v>115</v>
      </c>
    </row>
    <row r="4" spans="1:5">
      <c r="A4" t="s">
        <v>319</v>
      </c>
      <c r="D4" t="s">
        <v>320</v>
      </c>
    </row>
    <row r="5" spans="1:5">
      <c r="A5" t="s">
        <v>13</v>
      </c>
      <c r="D5" t="s">
        <v>13</v>
      </c>
    </row>
    <row r="6" spans="1:5">
      <c r="A6" t="s">
        <v>131</v>
      </c>
      <c r="B6">
        <f>ROUND(C2*0.75,1)</f>
        <v>1.3</v>
      </c>
      <c r="D6" t="s">
        <v>131</v>
      </c>
      <c r="E6">
        <f>ROUND(C2*2*0.75,1)</f>
        <v>2.6</v>
      </c>
    </row>
    <row r="7" spans="1:5">
      <c r="A7" t="s">
        <v>132</v>
      </c>
      <c r="B7">
        <f>ROUND(C2*1.25,1)</f>
        <v>2.1</v>
      </c>
      <c r="D7" t="s">
        <v>132</v>
      </c>
      <c r="E7">
        <f>ROUND(C2*2*1.25,1)</f>
        <v>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B832A-D9C4-4FD9-8DD5-389F142D9969}">
  <dimension ref="A1:D3"/>
  <sheetViews>
    <sheetView workbookViewId="0">
      <selection activeCell="A6" sqref="A6"/>
    </sheetView>
  </sheetViews>
  <sheetFormatPr defaultRowHeight="14.5"/>
  <cols>
    <col min="1" max="1" width="20.54296875" customWidth="1"/>
    <col min="2" max="2" width="13.81640625" bestFit="1" customWidth="1"/>
  </cols>
  <sheetData>
    <row r="1" spans="1:4">
      <c r="A1" s="9" t="s">
        <v>33</v>
      </c>
      <c r="B1" s="9" t="s">
        <v>34</v>
      </c>
      <c r="C1" s="9" t="s">
        <v>35</v>
      </c>
      <c r="D1" s="9" t="s">
        <v>85</v>
      </c>
    </row>
    <row r="2" spans="1:4">
      <c r="A2" t="s">
        <v>102</v>
      </c>
      <c r="B2">
        <f>(0.75*1000)/24</f>
        <v>31.25</v>
      </c>
      <c r="C2" t="s">
        <v>36</v>
      </c>
      <c r="D2" t="s">
        <v>91</v>
      </c>
    </row>
    <row r="3" spans="1:4">
      <c r="A3" t="s">
        <v>18</v>
      </c>
      <c r="B3">
        <f>(0.3*1000)/24</f>
        <v>12.5</v>
      </c>
      <c r="C3" t="s">
        <v>36</v>
      </c>
      <c r="D3"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BC423-BD85-4D17-B05E-77872CB7A65E}">
  <dimension ref="A1:E3"/>
  <sheetViews>
    <sheetView workbookViewId="0">
      <selection activeCell="G32" sqref="G32"/>
    </sheetView>
  </sheetViews>
  <sheetFormatPr defaultRowHeight="14.5"/>
  <cols>
    <col min="1" max="1" width="18.453125" customWidth="1"/>
    <col min="2" max="2" width="18.26953125" customWidth="1"/>
    <col min="3" max="3" width="10.1796875" bestFit="1" customWidth="1"/>
  </cols>
  <sheetData>
    <row r="1" spans="1:5">
      <c r="A1" s="9" t="s">
        <v>33</v>
      </c>
      <c r="B1" s="9" t="s">
        <v>34</v>
      </c>
      <c r="C1" s="9" t="s">
        <v>35</v>
      </c>
      <c r="D1" s="9" t="s">
        <v>85</v>
      </c>
      <c r="E1" s="9" t="s">
        <v>0</v>
      </c>
    </row>
    <row r="2" spans="1:5">
      <c r="A2" t="s">
        <v>102</v>
      </c>
      <c r="B2">
        <f>(11*1000)/24</f>
        <v>458.33333333333331</v>
      </c>
      <c r="C2" t="s">
        <v>37</v>
      </c>
      <c r="D2" t="s">
        <v>91</v>
      </c>
    </row>
    <row r="3" spans="1:5">
      <c r="A3" t="s">
        <v>38</v>
      </c>
      <c r="B3">
        <v>516.52</v>
      </c>
      <c r="C3" t="s">
        <v>37</v>
      </c>
      <c r="D3" t="s">
        <v>103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1AC12-D758-4856-BD5E-72C14BDA9F23}">
  <dimension ref="A1:G6"/>
  <sheetViews>
    <sheetView workbookViewId="0">
      <selection activeCell="F15" sqref="F15"/>
    </sheetView>
  </sheetViews>
  <sheetFormatPr defaultRowHeight="14.5"/>
  <cols>
    <col min="1" max="1" width="21.7265625" customWidth="1"/>
    <col min="2" max="2" width="18" customWidth="1"/>
    <col min="3" max="3" width="17.26953125" customWidth="1"/>
  </cols>
  <sheetData>
    <row r="1" spans="1:7">
      <c r="A1" s="9" t="s">
        <v>33</v>
      </c>
      <c r="B1" s="9" t="s">
        <v>316</v>
      </c>
      <c r="C1" s="9" t="s">
        <v>35</v>
      </c>
      <c r="D1" s="2" t="s">
        <v>317</v>
      </c>
      <c r="E1" s="9" t="s">
        <v>318</v>
      </c>
      <c r="F1" s="9" t="s">
        <v>85</v>
      </c>
      <c r="G1" s="9" t="s">
        <v>0</v>
      </c>
    </row>
    <row r="2" spans="1:7">
      <c r="A2" t="s">
        <v>39</v>
      </c>
      <c r="B2">
        <f>AVERAGE(7,15,8,17,8,20)*3.79</f>
        <v>47.375</v>
      </c>
      <c r="C2" t="s">
        <v>40</v>
      </c>
      <c r="D2">
        <f>(B2*1000)/24</f>
        <v>1973.9583333333333</v>
      </c>
      <c r="E2" t="s">
        <v>84</v>
      </c>
      <c r="F2" t="s">
        <v>91</v>
      </c>
      <c r="G2" t="s">
        <v>104</v>
      </c>
    </row>
    <row r="3" spans="1:7">
      <c r="A3" t="s">
        <v>16</v>
      </c>
      <c r="B3">
        <f>AVERAGE(6.3,9.2,7.3,10.7,8.7,12.6)*3.79</f>
        <v>34.615333333333339</v>
      </c>
      <c r="C3" t="s">
        <v>40</v>
      </c>
      <c r="D3">
        <f t="shared" ref="D3:D4" si="0">(B3*1000)/24</f>
        <v>1442.3055555555557</v>
      </c>
      <c r="E3" t="s">
        <v>84</v>
      </c>
      <c r="F3" t="s">
        <v>105</v>
      </c>
      <c r="G3" t="s">
        <v>106</v>
      </c>
    </row>
    <row r="4" spans="1:7">
      <c r="A4" t="s">
        <v>17</v>
      </c>
      <c r="B4">
        <v>35.299999999999997</v>
      </c>
      <c r="C4" t="s">
        <v>40</v>
      </c>
      <c r="D4">
        <f t="shared" si="0"/>
        <v>1470.8333333333333</v>
      </c>
      <c r="E4" t="s">
        <v>84</v>
      </c>
      <c r="F4" t="s">
        <v>107</v>
      </c>
      <c r="G4" t="s">
        <v>108</v>
      </c>
    </row>
    <row r="5" spans="1:7">
      <c r="A5" t="s">
        <v>110</v>
      </c>
      <c r="B5">
        <f>AVERAGE(8,25)*3.79</f>
        <v>62.535000000000004</v>
      </c>
      <c r="C5" t="s">
        <v>40</v>
      </c>
      <c r="D5">
        <f t="shared" ref="D5" si="1">(B5*1000)/24</f>
        <v>2605.6250000000005</v>
      </c>
      <c r="E5" t="s">
        <v>84</v>
      </c>
      <c r="F5" t="s">
        <v>91</v>
      </c>
      <c r="G5" t="s">
        <v>109</v>
      </c>
    </row>
    <row r="6" spans="1:7">
      <c r="A6" t="s">
        <v>111</v>
      </c>
      <c r="B6">
        <f>AVERAGE(6,6,8,9.5, 17.6, 19)*3.79</f>
        <v>41.753166666666665</v>
      </c>
      <c r="C6" t="s">
        <v>40</v>
      </c>
      <c r="D6">
        <f t="shared" ref="D6" si="2">(B6*1000)/24</f>
        <v>1739.7152777777776</v>
      </c>
      <c r="E6" t="s">
        <v>84</v>
      </c>
      <c r="F6" t="s">
        <v>91</v>
      </c>
      <c r="G6" t="s">
        <v>112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15DDA-F5D6-44EE-96DB-62E4C0729584}">
  <dimension ref="A1:H10"/>
  <sheetViews>
    <sheetView workbookViewId="0">
      <selection activeCell="H3" sqref="H3"/>
    </sheetView>
  </sheetViews>
  <sheetFormatPr defaultRowHeight="14.5"/>
  <cols>
    <col min="1" max="1" width="23.7265625" customWidth="1"/>
    <col min="2" max="2" width="18" customWidth="1"/>
    <col min="3" max="3" width="5.36328125" customWidth="1"/>
    <col min="4" max="4" width="8.36328125" customWidth="1"/>
    <col min="5" max="5" width="6.453125" bestFit="1" customWidth="1"/>
    <col min="6" max="6" width="27.453125" customWidth="1"/>
    <col min="7" max="7" width="18.81640625" customWidth="1"/>
  </cols>
  <sheetData>
    <row r="1" spans="1:8">
      <c r="A1" s="9" t="s">
        <v>33</v>
      </c>
      <c r="B1" s="9" t="s">
        <v>34</v>
      </c>
      <c r="C1" s="9" t="s">
        <v>35</v>
      </c>
      <c r="D1" s="9" t="s">
        <v>44</v>
      </c>
      <c r="E1" s="9" t="s">
        <v>85</v>
      </c>
      <c r="F1" s="9" t="s">
        <v>86</v>
      </c>
      <c r="G1" s="2" t="s">
        <v>41</v>
      </c>
      <c r="H1" s="9" t="s">
        <v>0</v>
      </c>
    </row>
    <row r="2" spans="1:8">
      <c r="A2" t="s">
        <v>3</v>
      </c>
      <c r="B2">
        <v>3</v>
      </c>
      <c r="C2" t="s">
        <v>42</v>
      </c>
      <c r="D2">
        <f>(15-3)/1.96</f>
        <v>6.1224489795918364</v>
      </c>
      <c r="E2" t="s">
        <v>91</v>
      </c>
      <c r="F2" t="s">
        <v>92</v>
      </c>
      <c r="G2">
        <v>4</v>
      </c>
      <c r="H2" t="s">
        <v>114</v>
      </c>
    </row>
    <row r="3" spans="1:8">
      <c r="A3" t="s">
        <v>3</v>
      </c>
      <c r="B3">
        <v>3</v>
      </c>
      <c r="C3" t="s">
        <v>42</v>
      </c>
      <c r="D3">
        <f>(10-3)/1.96</f>
        <v>3.5714285714285716</v>
      </c>
      <c r="E3" t="s">
        <v>91</v>
      </c>
      <c r="F3" t="s">
        <v>92</v>
      </c>
      <c r="G3">
        <v>4</v>
      </c>
      <c r="H3" t="s">
        <v>114</v>
      </c>
    </row>
    <row r="4" spans="1:8">
      <c r="A4" t="s">
        <v>3</v>
      </c>
      <c r="B4">
        <v>1</v>
      </c>
      <c r="C4" t="s">
        <v>42</v>
      </c>
      <c r="D4">
        <f>(3-1)/1.96</f>
        <v>1.0204081632653061</v>
      </c>
      <c r="E4" t="s">
        <v>91</v>
      </c>
      <c r="F4" t="s">
        <v>92</v>
      </c>
      <c r="G4">
        <v>4</v>
      </c>
      <c r="H4" t="s">
        <v>114</v>
      </c>
    </row>
    <row r="5" spans="1:8">
      <c r="A5" t="s">
        <v>3</v>
      </c>
      <c r="B5">
        <v>1</v>
      </c>
      <c r="C5" t="s">
        <v>42</v>
      </c>
      <c r="D5">
        <f>(2-1)/1.96</f>
        <v>0.51020408163265307</v>
      </c>
      <c r="E5" t="s">
        <v>91</v>
      </c>
      <c r="F5" t="s">
        <v>92</v>
      </c>
      <c r="G5">
        <v>4</v>
      </c>
      <c r="H5" t="s">
        <v>114</v>
      </c>
    </row>
    <row r="6" spans="1:8">
      <c r="A6" t="s">
        <v>3</v>
      </c>
      <c r="B6">
        <v>1</v>
      </c>
      <c r="C6" t="s">
        <v>42</v>
      </c>
      <c r="D6">
        <f>(11-1)/1.96</f>
        <v>5.1020408163265305</v>
      </c>
      <c r="E6" t="s">
        <v>91</v>
      </c>
      <c r="F6" t="s">
        <v>92</v>
      </c>
      <c r="G6">
        <v>4</v>
      </c>
      <c r="H6" t="s">
        <v>114</v>
      </c>
    </row>
    <row r="7" spans="1:8">
      <c r="A7" t="s">
        <v>3</v>
      </c>
      <c r="B7">
        <v>3</v>
      </c>
      <c r="C7" t="s">
        <v>42</v>
      </c>
      <c r="D7">
        <f>(7-3)/1.96</f>
        <v>2.0408163265306123</v>
      </c>
      <c r="E7" t="s">
        <v>91</v>
      </c>
      <c r="F7" t="s">
        <v>92</v>
      </c>
      <c r="G7">
        <v>4</v>
      </c>
      <c r="H7" t="s">
        <v>114</v>
      </c>
    </row>
    <row r="8" spans="1:8">
      <c r="A8" t="s">
        <v>3</v>
      </c>
      <c r="B8">
        <v>2</v>
      </c>
      <c r="C8" t="s">
        <v>42</v>
      </c>
      <c r="D8">
        <f>(5-2)/1.96</f>
        <v>1.5306122448979591</v>
      </c>
      <c r="E8" t="s">
        <v>91</v>
      </c>
      <c r="F8" t="s">
        <v>92</v>
      </c>
      <c r="G8">
        <v>4</v>
      </c>
      <c r="H8" t="s">
        <v>114</v>
      </c>
    </row>
    <row r="9" spans="1:8">
      <c r="A9" t="s">
        <v>3</v>
      </c>
      <c r="B9">
        <v>3</v>
      </c>
      <c r="C9" t="s">
        <v>42</v>
      </c>
      <c r="D9">
        <f>(8-3)/1.96</f>
        <v>2.5510204081632653</v>
      </c>
      <c r="E9" t="s">
        <v>91</v>
      </c>
      <c r="F9" t="s">
        <v>92</v>
      </c>
      <c r="G9">
        <v>4</v>
      </c>
      <c r="H9" t="s">
        <v>114</v>
      </c>
    </row>
    <row r="10" spans="1:8">
      <c r="A10" t="s">
        <v>2</v>
      </c>
      <c r="B10">
        <v>6.5</v>
      </c>
      <c r="C10" t="s">
        <v>42</v>
      </c>
      <c r="D10">
        <v>0.6</v>
      </c>
      <c r="E10" t="s">
        <v>95</v>
      </c>
      <c r="F10" t="s">
        <v>92</v>
      </c>
      <c r="G10">
        <v>3</v>
      </c>
      <c r="H10" t="s">
        <v>113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54AE5-54CC-4E64-9539-CBE4AEE322FB}">
  <dimension ref="A1:G6"/>
  <sheetViews>
    <sheetView workbookViewId="0">
      <selection activeCell="D1" sqref="D1"/>
    </sheetView>
  </sheetViews>
  <sheetFormatPr defaultRowHeight="14.5"/>
  <cols>
    <col min="1" max="1" width="17.81640625" customWidth="1"/>
    <col min="2" max="2" width="12.6328125" bestFit="1" customWidth="1"/>
    <col min="3" max="3" width="18" customWidth="1"/>
    <col min="4" max="4" width="13.90625" customWidth="1"/>
  </cols>
  <sheetData>
    <row r="1" spans="1:7">
      <c r="A1" s="9" t="s">
        <v>33</v>
      </c>
      <c r="B1" s="9" t="s">
        <v>34</v>
      </c>
      <c r="C1" s="2" t="s">
        <v>35</v>
      </c>
      <c r="D1" t="s">
        <v>118</v>
      </c>
      <c r="E1" t="s">
        <v>85</v>
      </c>
      <c r="F1" t="s">
        <v>117</v>
      </c>
      <c r="G1" t="s">
        <v>0</v>
      </c>
    </row>
    <row r="2" spans="1:7">
      <c r="A2" t="s">
        <v>43</v>
      </c>
      <c r="B2">
        <v>-1</v>
      </c>
      <c r="C2" t="s">
        <v>116</v>
      </c>
      <c r="D2">
        <f>AVERAGE(1,1)</f>
        <v>1</v>
      </c>
      <c r="E2" t="s">
        <v>87</v>
      </c>
      <c r="F2" t="s">
        <v>92</v>
      </c>
      <c r="G2" t="s">
        <v>119</v>
      </c>
    </row>
    <row r="3" spans="1:7">
      <c r="A3" t="s">
        <v>43</v>
      </c>
      <c r="B3">
        <v>0</v>
      </c>
      <c r="C3" t="s">
        <v>116</v>
      </c>
      <c r="D3">
        <f>ROUNDDOWN(AVERAGE(13,14),0)</f>
        <v>13</v>
      </c>
      <c r="E3" t="s">
        <v>87</v>
      </c>
      <c r="F3" t="s">
        <v>92</v>
      </c>
      <c r="G3" t="s">
        <v>119</v>
      </c>
    </row>
    <row r="4" spans="1:7">
      <c r="A4" t="s">
        <v>43</v>
      </c>
      <c r="B4">
        <v>1</v>
      </c>
      <c r="C4" t="s">
        <v>116</v>
      </c>
      <c r="D4">
        <f>ROUNDDOWN(AVERAGE(9,6),0)</f>
        <v>7</v>
      </c>
      <c r="E4" t="s">
        <v>87</v>
      </c>
      <c r="F4" t="s">
        <v>92</v>
      </c>
      <c r="G4" t="s">
        <v>119</v>
      </c>
    </row>
    <row r="5" spans="1:7">
      <c r="A5" t="s">
        <v>43</v>
      </c>
      <c r="B5">
        <v>2</v>
      </c>
      <c r="C5" t="s">
        <v>116</v>
      </c>
      <c r="D5">
        <f>AVERAGE(2,2)</f>
        <v>2</v>
      </c>
      <c r="E5" t="s">
        <v>87</v>
      </c>
      <c r="F5" t="s">
        <v>92</v>
      </c>
      <c r="G5" t="s">
        <v>119</v>
      </c>
    </row>
    <row r="6" spans="1:7">
      <c r="A6" t="s">
        <v>43</v>
      </c>
      <c r="B6">
        <v>3</v>
      </c>
      <c r="C6" t="s">
        <v>116</v>
      </c>
      <c r="D6">
        <f>ROUNDDOWN(AVERAGE(1,2),0)</f>
        <v>1</v>
      </c>
      <c r="E6" t="s">
        <v>87</v>
      </c>
      <c r="F6" t="s">
        <v>92</v>
      </c>
      <c r="G6" t="s">
        <v>119</v>
      </c>
    </row>
  </sheetData>
  <phoneticPr fontId="4"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593B5-CBEE-4C7F-A295-54C090B8C6E5}">
  <dimension ref="A1:J77"/>
  <sheetViews>
    <sheetView workbookViewId="0">
      <selection activeCell="G67" sqref="G67"/>
    </sheetView>
  </sheetViews>
  <sheetFormatPr defaultRowHeight="14.5"/>
  <cols>
    <col min="1" max="1" width="26.81640625" customWidth="1"/>
    <col min="2" max="3" width="18.54296875" customWidth="1"/>
    <col min="4" max="4" width="11.81640625" bestFit="1" customWidth="1"/>
    <col min="5" max="5" width="5.1796875" bestFit="1" customWidth="1"/>
    <col min="6" max="6" width="8.453125" bestFit="1" customWidth="1"/>
    <col min="7" max="7" width="8.81640625" customWidth="1"/>
    <col min="8" max="8" width="23.7265625" bestFit="1" customWidth="1"/>
    <col min="9" max="9" width="9.1796875" bestFit="1" customWidth="1"/>
  </cols>
  <sheetData>
    <row r="1" spans="1:10">
      <c r="A1" s="9" t="s">
        <v>33</v>
      </c>
      <c r="B1" s="9" t="s">
        <v>34</v>
      </c>
      <c r="C1" s="9" t="s">
        <v>93</v>
      </c>
      <c r="D1" s="9" t="s">
        <v>44</v>
      </c>
      <c r="E1" s="9" t="s">
        <v>35</v>
      </c>
      <c r="F1" s="9" t="s">
        <v>45</v>
      </c>
      <c r="G1" s="9" t="s">
        <v>85</v>
      </c>
      <c r="H1" s="9" t="s">
        <v>86</v>
      </c>
      <c r="I1" s="10" t="s">
        <v>90</v>
      </c>
      <c r="J1" s="9"/>
    </row>
    <row r="2" spans="1:10">
      <c r="A2" t="s">
        <v>4</v>
      </c>
      <c r="B2">
        <f>0.0015*60</f>
        <v>0.09</v>
      </c>
      <c r="C2" t="s">
        <v>88</v>
      </c>
      <c r="D2" t="s">
        <v>88</v>
      </c>
      <c r="E2" t="s">
        <v>46</v>
      </c>
      <c r="F2" t="s">
        <v>47</v>
      </c>
      <c r="G2" t="s">
        <v>87</v>
      </c>
      <c r="H2" t="s">
        <v>89</v>
      </c>
      <c r="I2">
        <v>2</v>
      </c>
    </row>
    <row r="3" spans="1:10">
      <c r="A3" t="s">
        <v>4</v>
      </c>
      <c r="B3">
        <f>0.0035*60</f>
        <v>0.21</v>
      </c>
      <c r="C3" t="s">
        <v>88</v>
      </c>
      <c r="D3" t="s">
        <v>88</v>
      </c>
      <c r="E3" t="s">
        <v>46</v>
      </c>
      <c r="F3" t="s">
        <v>47</v>
      </c>
      <c r="G3" t="s">
        <v>87</v>
      </c>
      <c r="H3" t="s">
        <v>89</v>
      </c>
      <c r="I3">
        <v>2</v>
      </c>
    </row>
    <row r="4" spans="1:10">
      <c r="A4" t="s">
        <v>4</v>
      </c>
      <c r="B4">
        <f>0.0073*60</f>
        <v>0.438</v>
      </c>
      <c r="C4" t="s">
        <v>88</v>
      </c>
      <c r="D4" t="s">
        <v>88</v>
      </c>
      <c r="E4" t="s">
        <v>46</v>
      </c>
      <c r="F4" t="s">
        <v>47</v>
      </c>
      <c r="G4" t="s">
        <v>87</v>
      </c>
      <c r="H4" t="s">
        <v>89</v>
      </c>
      <c r="I4">
        <v>2</v>
      </c>
    </row>
    <row r="5" spans="1:10">
      <c r="A5" t="s">
        <v>4</v>
      </c>
      <c r="B5">
        <f>0.0128*60</f>
        <v>0.76800000000000002</v>
      </c>
      <c r="C5" t="s">
        <v>88</v>
      </c>
      <c r="D5" t="s">
        <v>88</v>
      </c>
      <c r="E5" t="s">
        <v>46</v>
      </c>
      <c r="F5" t="s">
        <v>47</v>
      </c>
      <c r="G5" t="s">
        <v>87</v>
      </c>
      <c r="H5" t="s">
        <v>89</v>
      </c>
      <c r="I5">
        <v>2</v>
      </c>
    </row>
    <row r="6" spans="1:10">
      <c r="A6" t="s">
        <v>4</v>
      </c>
      <c r="B6">
        <f>0.0009*60</f>
        <v>5.3999999999999999E-2</v>
      </c>
      <c r="C6" t="s">
        <v>88</v>
      </c>
      <c r="D6" t="s">
        <v>88</v>
      </c>
      <c r="E6" t="s">
        <v>46</v>
      </c>
      <c r="F6" t="s">
        <v>47</v>
      </c>
      <c r="G6" t="s">
        <v>87</v>
      </c>
      <c r="H6" t="s">
        <v>89</v>
      </c>
      <c r="I6">
        <v>2</v>
      </c>
    </row>
    <row r="7" spans="1:10">
      <c r="A7" t="s">
        <v>48</v>
      </c>
      <c r="B7">
        <f>(LN(1.23)-LN(0.53))/(4-3)</f>
        <v>0.84189244182029566</v>
      </c>
      <c r="C7" t="s">
        <v>88</v>
      </c>
      <c r="D7" t="s">
        <v>88</v>
      </c>
      <c r="E7" t="s">
        <v>46</v>
      </c>
      <c r="F7" t="s">
        <v>47</v>
      </c>
      <c r="G7" t="s">
        <v>120</v>
      </c>
      <c r="H7" t="s">
        <v>92</v>
      </c>
      <c r="I7">
        <v>1</v>
      </c>
    </row>
    <row r="8" spans="1:10">
      <c r="A8" t="s">
        <v>49</v>
      </c>
      <c r="B8">
        <v>4.9000000000000002E-2</v>
      </c>
      <c r="C8">
        <v>1.7000000000000001E-2</v>
      </c>
      <c r="D8">
        <f>C8/1.96</f>
        <v>8.673469387755102E-3</v>
      </c>
      <c r="E8" t="s">
        <v>46</v>
      </c>
      <c r="F8" t="s">
        <v>47</v>
      </c>
      <c r="G8" t="s">
        <v>91</v>
      </c>
      <c r="H8" t="s">
        <v>92</v>
      </c>
      <c r="I8">
        <v>2</v>
      </c>
    </row>
    <row r="9" spans="1:10">
      <c r="A9" t="s">
        <v>49</v>
      </c>
      <c r="B9">
        <v>3.5999999999999997E-2</v>
      </c>
      <c r="C9">
        <v>8.0000000000000002E-3</v>
      </c>
      <c r="D9">
        <f t="shared" ref="D9:D55" si="0">C9/1.96</f>
        <v>4.0816326530612249E-3</v>
      </c>
      <c r="E9" t="s">
        <v>46</v>
      </c>
      <c r="F9" t="s">
        <v>47</v>
      </c>
      <c r="G9" t="s">
        <v>91</v>
      </c>
      <c r="H9" t="s">
        <v>92</v>
      </c>
      <c r="I9">
        <v>2</v>
      </c>
    </row>
    <row r="10" spans="1:10">
      <c r="A10" t="s">
        <v>49</v>
      </c>
      <c r="B10">
        <v>0.221</v>
      </c>
      <c r="C10">
        <v>2.1999999999999999E-2</v>
      </c>
      <c r="D10">
        <f t="shared" si="0"/>
        <v>1.1224489795918367E-2</v>
      </c>
      <c r="E10" t="s">
        <v>46</v>
      </c>
      <c r="F10" t="s">
        <v>47</v>
      </c>
      <c r="G10" t="s">
        <v>91</v>
      </c>
      <c r="H10" t="s">
        <v>92</v>
      </c>
      <c r="I10">
        <v>2</v>
      </c>
    </row>
    <row r="11" spans="1:10">
      <c r="A11" t="s">
        <v>49</v>
      </c>
      <c r="B11">
        <v>5.6000000000000001E-2</v>
      </c>
      <c r="C11">
        <v>4.2999999999999997E-2</v>
      </c>
      <c r="D11">
        <f t="shared" si="0"/>
        <v>2.1938775510204081E-2</v>
      </c>
      <c r="E11" t="s">
        <v>46</v>
      </c>
      <c r="F11" t="s">
        <v>47</v>
      </c>
      <c r="G11" t="s">
        <v>91</v>
      </c>
      <c r="H11" t="s">
        <v>92</v>
      </c>
      <c r="I11">
        <v>2</v>
      </c>
    </row>
    <row r="12" spans="1:10">
      <c r="A12" t="s">
        <v>49</v>
      </c>
      <c r="B12">
        <v>6.2E-2</v>
      </c>
      <c r="C12">
        <v>3.1E-2</v>
      </c>
      <c r="D12">
        <f t="shared" si="0"/>
        <v>1.5816326530612244E-2</v>
      </c>
      <c r="E12" t="s">
        <v>46</v>
      </c>
      <c r="F12" t="s">
        <v>47</v>
      </c>
      <c r="G12" t="s">
        <v>91</v>
      </c>
      <c r="H12" t="s">
        <v>92</v>
      </c>
      <c r="I12">
        <v>2</v>
      </c>
    </row>
    <row r="13" spans="1:10">
      <c r="A13" t="s">
        <v>49</v>
      </c>
      <c r="B13">
        <v>1.2E-2</v>
      </c>
      <c r="C13">
        <v>3.6999999999999998E-2</v>
      </c>
      <c r="D13">
        <f t="shared" si="0"/>
        <v>1.8877551020408164E-2</v>
      </c>
      <c r="E13" t="s">
        <v>46</v>
      </c>
      <c r="F13" t="s">
        <v>47</v>
      </c>
      <c r="G13" t="s">
        <v>91</v>
      </c>
      <c r="H13" t="s">
        <v>92</v>
      </c>
      <c r="I13">
        <v>2</v>
      </c>
    </row>
    <row r="14" spans="1:10">
      <c r="A14" t="s">
        <v>49</v>
      </c>
      <c r="B14">
        <v>0.188</v>
      </c>
      <c r="C14">
        <v>0.51700000000000002</v>
      </c>
      <c r="D14">
        <f t="shared" si="0"/>
        <v>0.26377551020408163</v>
      </c>
      <c r="E14" t="s">
        <v>46</v>
      </c>
      <c r="F14" t="s">
        <v>47</v>
      </c>
      <c r="G14" t="s">
        <v>91</v>
      </c>
      <c r="H14" t="s">
        <v>92</v>
      </c>
      <c r="I14">
        <v>2</v>
      </c>
    </row>
    <row r="15" spans="1:10">
      <c r="A15" t="s">
        <v>49</v>
      </c>
      <c r="B15">
        <v>7.8E-2</v>
      </c>
      <c r="C15">
        <v>0.03</v>
      </c>
      <c r="D15">
        <f t="shared" si="0"/>
        <v>1.5306122448979591E-2</v>
      </c>
      <c r="E15" t="s">
        <v>46</v>
      </c>
      <c r="F15" t="s">
        <v>47</v>
      </c>
      <c r="G15" t="s">
        <v>91</v>
      </c>
      <c r="H15" t="s">
        <v>92</v>
      </c>
      <c r="I15">
        <v>2</v>
      </c>
    </row>
    <row r="16" spans="1:10">
      <c r="A16" t="s">
        <v>49</v>
      </c>
      <c r="B16">
        <v>0.10299999999999999</v>
      </c>
      <c r="C16">
        <v>4.5999999999999999E-2</v>
      </c>
      <c r="D16">
        <f t="shared" si="0"/>
        <v>2.3469387755102041E-2</v>
      </c>
      <c r="E16" t="s">
        <v>46</v>
      </c>
      <c r="F16" t="s">
        <v>47</v>
      </c>
      <c r="G16" t="s">
        <v>91</v>
      </c>
      <c r="H16" t="s">
        <v>92</v>
      </c>
      <c r="I16">
        <v>2</v>
      </c>
    </row>
    <row r="17" spans="1:9">
      <c r="A17" t="s">
        <v>49</v>
      </c>
      <c r="B17">
        <v>0.11700000000000001</v>
      </c>
      <c r="C17">
        <v>0.23799999999999999</v>
      </c>
      <c r="D17">
        <f t="shared" si="0"/>
        <v>0.12142857142857143</v>
      </c>
      <c r="E17" t="s">
        <v>46</v>
      </c>
      <c r="F17" t="s">
        <v>47</v>
      </c>
      <c r="G17" t="s">
        <v>91</v>
      </c>
      <c r="H17" t="s">
        <v>92</v>
      </c>
      <c r="I17">
        <v>2</v>
      </c>
    </row>
    <row r="18" spans="1:9">
      <c r="A18" t="s">
        <v>49</v>
      </c>
      <c r="B18">
        <v>0.14499999999999999</v>
      </c>
      <c r="C18">
        <v>9.8000000000000004E-2</v>
      </c>
      <c r="D18">
        <f t="shared" si="0"/>
        <v>0.05</v>
      </c>
      <c r="E18" t="s">
        <v>46</v>
      </c>
      <c r="F18" t="s">
        <v>47</v>
      </c>
      <c r="G18" t="s">
        <v>91</v>
      </c>
      <c r="H18" t="s">
        <v>92</v>
      </c>
      <c r="I18">
        <v>2</v>
      </c>
    </row>
    <row r="19" spans="1:9">
      <c r="A19" t="s">
        <v>49</v>
      </c>
      <c r="B19">
        <v>0.13400000000000001</v>
      </c>
      <c r="C19">
        <v>2.3E-2</v>
      </c>
      <c r="D19">
        <f t="shared" si="0"/>
        <v>1.1734693877551021E-2</v>
      </c>
      <c r="E19" t="s">
        <v>46</v>
      </c>
      <c r="F19" t="s">
        <v>47</v>
      </c>
      <c r="G19" t="s">
        <v>91</v>
      </c>
      <c r="H19" t="s">
        <v>92</v>
      </c>
      <c r="I19">
        <v>2</v>
      </c>
    </row>
    <row r="20" spans="1:9">
      <c r="A20" t="s">
        <v>49</v>
      </c>
      <c r="B20">
        <v>0.158</v>
      </c>
      <c r="C20">
        <v>0.432</v>
      </c>
      <c r="D20">
        <f t="shared" si="0"/>
        <v>0.22040816326530613</v>
      </c>
      <c r="E20" t="s">
        <v>46</v>
      </c>
      <c r="F20" t="s">
        <v>47</v>
      </c>
      <c r="G20" t="s">
        <v>91</v>
      </c>
      <c r="H20" t="s">
        <v>92</v>
      </c>
      <c r="I20">
        <v>2</v>
      </c>
    </row>
    <row r="21" spans="1:9">
      <c r="A21" t="s">
        <v>49</v>
      </c>
      <c r="B21">
        <v>4.8000000000000001E-2</v>
      </c>
      <c r="C21">
        <v>0.02</v>
      </c>
      <c r="D21">
        <f t="shared" si="0"/>
        <v>1.0204081632653062E-2</v>
      </c>
      <c r="E21" t="s">
        <v>46</v>
      </c>
      <c r="F21" t="s">
        <v>47</v>
      </c>
      <c r="G21" t="s">
        <v>91</v>
      </c>
      <c r="H21" t="s">
        <v>92</v>
      </c>
      <c r="I21">
        <v>2</v>
      </c>
    </row>
    <row r="22" spans="1:9">
      <c r="A22" t="s">
        <v>49</v>
      </c>
      <c r="B22">
        <v>1.4999999999999999E-2</v>
      </c>
      <c r="C22">
        <v>2.1000000000000001E-2</v>
      </c>
      <c r="D22">
        <f t="shared" si="0"/>
        <v>1.0714285714285714E-2</v>
      </c>
      <c r="E22" t="s">
        <v>46</v>
      </c>
      <c r="F22" t="s">
        <v>47</v>
      </c>
      <c r="G22" t="s">
        <v>91</v>
      </c>
      <c r="H22" t="s">
        <v>92</v>
      </c>
      <c r="I22">
        <v>2</v>
      </c>
    </row>
    <row r="23" spans="1:9">
      <c r="A23" t="s">
        <v>49</v>
      </c>
      <c r="B23">
        <v>0.114</v>
      </c>
      <c r="C23">
        <v>8.5000000000000006E-2</v>
      </c>
      <c r="D23">
        <f t="shared" si="0"/>
        <v>4.3367346938775517E-2</v>
      </c>
      <c r="E23" t="s">
        <v>46</v>
      </c>
      <c r="F23" t="s">
        <v>47</v>
      </c>
      <c r="G23" t="s">
        <v>91</v>
      </c>
      <c r="H23" t="s">
        <v>92</v>
      </c>
      <c r="I23">
        <v>2</v>
      </c>
    </row>
    <row r="24" spans="1:9">
      <c r="A24" t="s">
        <v>49</v>
      </c>
      <c r="B24">
        <v>5.7000000000000002E-2</v>
      </c>
      <c r="C24">
        <v>4.3999999999999997E-2</v>
      </c>
      <c r="D24">
        <f t="shared" si="0"/>
        <v>2.2448979591836733E-2</v>
      </c>
      <c r="E24" t="s">
        <v>46</v>
      </c>
      <c r="F24" t="s">
        <v>47</v>
      </c>
      <c r="G24" t="s">
        <v>91</v>
      </c>
      <c r="H24" t="s">
        <v>92</v>
      </c>
      <c r="I24">
        <v>2</v>
      </c>
    </row>
    <row r="25" spans="1:9">
      <c r="A25" t="s">
        <v>49</v>
      </c>
      <c r="B25">
        <v>1.4E-2</v>
      </c>
      <c r="C25">
        <v>0.13400000000000001</v>
      </c>
      <c r="D25">
        <f t="shared" si="0"/>
        <v>6.8367346938775511E-2</v>
      </c>
      <c r="E25" t="s">
        <v>46</v>
      </c>
      <c r="F25" t="s">
        <v>47</v>
      </c>
      <c r="G25" t="s">
        <v>91</v>
      </c>
      <c r="H25" t="s">
        <v>92</v>
      </c>
      <c r="I25">
        <v>2</v>
      </c>
    </row>
    <row r="26" spans="1:9">
      <c r="A26" t="s">
        <v>49</v>
      </c>
      <c r="B26">
        <v>0.48799999999999999</v>
      </c>
      <c r="C26">
        <v>2.5169999999999999</v>
      </c>
      <c r="D26">
        <f t="shared" si="0"/>
        <v>1.2841836734693877</v>
      </c>
      <c r="E26" t="s">
        <v>46</v>
      </c>
      <c r="F26" t="s">
        <v>47</v>
      </c>
      <c r="G26" t="s">
        <v>91</v>
      </c>
      <c r="H26" t="s">
        <v>92</v>
      </c>
      <c r="I26">
        <v>2</v>
      </c>
    </row>
    <row r="27" spans="1:9">
      <c r="A27" t="s">
        <v>49</v>
      </c>
      <c r="B27">
        <v>0.20200000000000001</v>
      </c>
      <c r="C27">
        <v>0.21299999999999999</v>
      </c>
      <c r="D27">
        <f t="shared" si="0"/>
        <v>0.1086734693877551</v>
      </c>
      <c r="E27" t="s">
        <v>46</v>
      </c>
      <c r="F27" t="s">
        <v>47</v>
      </c>
      <c r="G27" t="s">
        <v>91</v>
      </c>
      <c r="H27" t="s">
        <v>92</v>
      </c>
      <c r="I27">
        <v>2</v>
      </c>
    </row>
    <row r="28" spans="1:9">
      <c r="A28" t="s">
        <v>49</v>
      </c>
      <c r="B28">
        <v>0.19600000000000001</v>
      </c>
      <c r="C28">
        <v>0.41899999999999998</v>
      </c>
      <c r="D28">
        <f t="shared" si="0"/>
        <v>0.21377551020408161</v>
      </c>
      <c r="E28" t="s">
        <v>46</v>
      </c>
      <c r="F28" t="s">
        <v>47</v>
      </c>
      <c r="G28" t="s">
        <v>91</v>
      </c>
      <c r="H28" t="s">
        <v>92</v>
      </c>
      <c r="I28">
        <v>2</v>
      </c>
    </row>
    <row r="29" spans="1:9">
      <c r="A29" t="s">
        <v>49</v>
      </c>
      <c r="B29">
        <v>0.189</v>
      </c>
      <c r="C29">
        <v>0.35699999999999998</v>
      </c>
      <c r="D29">
        <f t="shared" si="0"/>
        <v>0.18214285714285713</v>
      </c>
      <c r="E29" t="s">
        <v>46</v>
      </c>
      <c r="F29" t="s">
        <v>47</v>
      </c>
      <c r="G29" t="s">
        <v>91</v>
      </c>
      <c r="H29" t="s">
        <v>92</v>
      </c>
      <c r="I29">
        <v>2</v>
      </c>
    </row>
    <row r="30" spans="1:9">
      <c r="A30" t="s">
        <v>49</v>
      </c>
      <c r="B30">
        <v>0.17</v>
      </c>
      <c r="C30">
        <v>0.20100000000000001</v>
      </c>
      <c r="D30">
        <f t="shared" si="0"/>
        <v>0.10255102040816327</v>
      </c>
      <c r="E30" t="s">
        <v>46</v>
      </c>
      <c r="F30" t="s">
        <v>47</v>
      </c>
      <c r="G30" t="s">
        <v>91</v>
      </c>
      <c r="H30" t="s">
        <v>92</v>
      </c>
      <c r="I30">
        <v>2</v>
      </c>
    </row>
    <row r="31" spans="1:9">
      <c r="A31" t="s">
        <v>49</v>
      </c>
      <c r="B31">
        <v>0.17</v>
      </c>
      <c r="C31">
        <v>0.33</v>
      </c>
      <c r="D31">
        <f t="shared" si="0"/>
        <v>0.16836734693877553</v>
      </c>
      <c r="E31" t="s">
        <v>46</v>
      </c>
      <c r="F31" t="s">
        <v>47</v>
      </c>
      <c r="G31" t="s">
        <v>91</v>
      </c>
      <c r="H31" t="s">
        <v>92</v>
      </c>
      <c r="I31">
        <v>2</v>
      </c>
    </row>
    <row r="32" spans="1:9">
      <c r="A32" t="s">
        <v>49</v>
      </c>
      <c r="B32">
        <v>5.8999999999999997E-2</v>
      </c>
      <c r="C32">
        <v>2.4E-2</v>
      </c>
      <c r="D32">
        <f t="shared" si="0"/>
        <v>1.2244897959183675E-2</v>
      </c>
      <c r="E32" t="s">
        <v>46</v>
      </c>
      <c r="F32" t="s">
        <v>47</v>
      </c>
      <c r="G32" t="s">
        <v>94</v>
      </c>
      <c r="H32" t="s">
        <v>92</v>
      </c>
      <c r="I32">
        <v>2</v>
      </c>
    </row>
    <row r="33" spans="1:9">
      <c r="A33" t="s">
        <v>49</v>
      </c>
      <c r="B33">
        <v>3.4000000000000002E-2</v>
      </c>
      <c r="C33">
        <v>6.0000000000000001E-3</v>
      </c>
      <c r="D33">
        <f t="shared" si="0"/>
        <v>3.0612244897959186E-3</v>
      </c>
      <c r="E33" t="s">
        <v>46</v>
      </c>
      <c r="F33" t="s">
        <v>47</v>
      </c>
      <c r="G33" t="s">
        <v>94</v>
      </c>
      <c r="H33" t="s">
        <v>92</v>
      </c>
      <c r="I33">
        <v>2</v>
      </c>
    </row>
    <row r="34" spans="1:9">
      <c r="A34" t="s">
        <v>49</v>
      </c>
      <c r="B34">
        <v>3.6999999999999998E-2</v>
      </c>
      <c r="C34">
        <v>0.02</v>
      </c>
      <c r="D34">
        <f t="shared" si="0"/>
        <v>1.0204081632653062E-2</v>
      </c>
      <c r="E34" t="s">
        <v>46</v>
      </c>
      <c r="F34" t="s">
        <v>47</v>
      </c>
      <c r="G34" t="s">
        <v>94</v>
      </c>
      <c r="H34" t="s">
        <v>92</v>
      </c>
      <c r="I34">
        <v>2</v>
      </c>
    </row>
    <row r="35" spans="1:9">
      <c r="A35" t="s">
        <v>49</v>
      </c>
      <c r="B35">
        <v>5.7000000000000002E-2</v>
      </c>
      <c r="C35">
        <v>2.5000000000000001E-2</v>
      </c>
      <c r="D35">
        <f t="shared" si="0"/>
        <v>1.2755102040816327E-2</v>
      </c>
      <c r="E35" t="s">
        <v>46</v>
      </c>
      <c r="F35" t="s">
        <v>47</v>
      </c>
      <c r="G35" t="s">
        <v>94</v>
      </c>
      <c r="H35" t="s">
        <v>92</v>
      </c>
      <c r="I35">
        <v>2</v>
      </c>
    </row>
    <row r="36" spans="1:9">
      <c r="A36" t="s">
        <v>49</v>
      </c>
      <c r="B36">
        <v>3.4000000000000002E-2</v>
      </c>
      <c r="C36">
        <v>3.4000000000000002E-2</v>
      </c>
      <c r="D36">
        <f t="shared" si="0"/>
        <v>1.7346938775510204E-2</v>
      </c>
      <c r="E36" t="s">
        <v>46</v>
      </c>
      <c r="F36" t="s">
        <v>47</v>
      </c>
      <c r="G36" t="s">
        <v>94</v>
      </c>
      <c r="H36" t="s">
        <v>92</v>
      </c>
      <c r="I36">
        <v>2</v>
      </c>
    </row>
    <row r="37" spans="1:9">
      <c r="A37" t="s">
        <v>49</v>
      </c>
      <c r="B37">
        <v>0</v>
      </c>
      <c r="C37">
        <v>1.2999999999999999E-2</v>
      </c>
      <c r="D37">
        <f t="shared" si="0"/>
        <v>6.6326530612244895E-3</v>
      </c>
      <c r="E37" t="s">
        <v>46</v>
      </c>
      <c r="F37" t="s">
        <v>47</v>
      </c>
      <c r="G37" t="s">
        <v>94</v>
      </c>
      <c r="H37" t="s">
        <v>92</v>
      </c>
      <c r="I37">
        <v>2</v>
      </c>
    </row>
    <row r="38" spans="1:9">
      <c r="A38" t="s">
        <v>49</v>
      </c>
      <c r="B38">
        <v>0.16700000000000001</v>
      </c>
      <c r="C38">
        <v>0.17399999999999999</v>
      </c>
      <c r="D38">
        <f t="shared" si="0"/>
        <v>8.8775510204081629E-2</v>
      </c>
      <c r="E38" t="s">
        <v>46</v>
      </c>
      <c r="F38" t="s">
        <v>47</v>
      </c>
      <c r="G38" t="s">
        <v>94</v>
      </c>
      <c r="H38" t="s">
        <v>92</v>
      </c>
      <c r="I38">
        <v>2</v>
      </c>
    </row>
    <row r="39" spans="1:9">
      <c r="A39" t="s">
        <v>49</v>
      </c>
      <c r="B39">
        <v>5.6000000000000001E-2</v>
      </c>
      <c r="C39">
        <v>2.4E-2</v>
      </c>
      <c r="D39">
        <f t="shared" si="0"/>
        <v>1.2244897959183675E-2</v>
      </c>
      <c r="E39" t="s">
        <v>46</v>
      </c>
      <c r="F39" t="s">
        <v>47</v>
      </c>
      <c r="G39" t="s">
        <v>94</v>
      </c>
      <c r="H39" t="s">
        <v>92</v>
      </c>
      <c r="I39">
        <v>2</v>
      </c>
    </row>
    <row r="40" spans="1:9">
      <c r="A40" t="s">
        <v>49</v>
      </c>
      <c r="B40">
        <v>0.113</v>
      </c>
      <c r="C40">
        <v>3.9E-2</v>
      </c>
      <c r="D40">
        <f t="shared" si="0"/>
        <v>1.9897959183673469E-2</v>
      </c>
      <c r="E40" t="s">
        <v>46</v>
      </c>
      <c r="F40" t="s">
        <v>47</v>
      </c>
      <c r="G40" t="s">
        <v>94</v>
      </c>
      <c r="H40" t="s">
        <v>92</v>
      </c>
      <c r="I40">
        <v>2</v>
      </c>
    </row>
    <row r="41" spans="1:9">
      <c r="A41" t="s">
        <v>49</v>
      </c>
      <c r="B41">
        <v>0.127</v>
      </c>
      <c r="C41">
        <v>0.16900000000000001</v>
      </c>
      <c r="D41">
        <f t="shared" si="0"/>
        <v>8.6224489795918374E-2</v>
      </c>
      <c r="E41" t="s">
        <v>46</v>
      </c>
      <c r="F41" t="s">
        <v>47</v>
      </c>
      <c r="G41" t="s">
        <v>94</v>
      </c>
      <c r="H41" t="s">
        <v>92</v>
      </c>
      <c r="I41">
        <v>2</v>
      </c>
    </row>
    <row r="42" spans="1:9">
      <c r="A42" t="s">
        <v>49</v>
      </c>
      <c r="B42">
        <v>9.7000000000000003E-2</v>
      </c>
      <c r="C42">
        <v>2.4E-2</v>
      </c>
      <c r="D42">
        <f t="shared" si="0"/>
        <v>1.2244897959183675E-2</v>
      </c>
      <c r="E42" t="s">
        <v>46</v>
      </c>
      <c r="F42" t="s">
        <v>47</v>
      </c>
      <c r="G42" t="s">
        <v>94</v>
      </c>
      <c r="H42" t="s">
        <v>92</v>
      </c>
      <c r="I42">
        <v>2</v>
      </c>
    </row>
    <row r="43" spans="1:9">
      <c r="A43" t="s">
        <v>49</v>
      </c>
      <c r="B43">
        <v>0.105</v>
      </c>
      <c r="C43">
        <v>4.2000000000000003E-2</v>
      </c>
      <c r="D43">
        <f t="shared" si="0"/>
        <v>2.1428571428571429E-2</v>
      </c>
      <c r="E43" t="s">
        <v>46</v>
      </c>
      <c r="F43" t="s">
        <v>47</v>
      </c>
      <c r="G43" t="s">
        <v>94</v>
      </c>
      <c r="H43" t="s">
        <v>92</v>
      </c>
      <c r="I43">
        <v>2</v>
      </c>
    </row>
    <row r="44" spans="1:9">
      <c r="A44" t="s">
        <v>49</v>
      </c>
      <c r="B44">
        <v>0.2</v>
      </c>
      <c r="C44">
        <v>0.20399999999999999</v>
      </c>
      <c r="D44">
        <f t="shared" si="0"/>
        <v>0.10408163265306122</v>
      </c>
      <c r="E44" t="s">
        <v>46</v>
      </c>
      <c r="F44" t="s">
        <v>47</v>
      </c>
      <c r="G44" t="s">
        <v>94</v>
      </c>
      <c r="H44" t="s">
        <v>92</v>
      </c>
      <c r="I44">
        <v>2</v>
      </c>
    </row>
    <row r="45" spans="1:9">
      <c r="A45" t="s">
        <v>49</v>
      </c>
      <c r="B45">
        <v>5.0999999999999997E-2</v>
      </c>
      <c r="C45">
        <v>6.9000000000000006E-2</v>
      </c>
      <c r="D45">
        <f t="shared" si="0"/>
        <v>3.5204081632653067E-2</v>
      </c>
      <c r="E45" t="s">
        <v>46</v>
      </c>
      <c r="F45" t="s">
        <v>47</v>
      </c>
      <c r="G45" t="s">
        <v>94</v>
      </c>
      <c r="H45" t="s">
        <v>92</v>
      </c>
      <c r="I45">
        <v>2</v>
      </c>
    </row>
    <row r="46" spans="1:9">
      <c r="A46" t="s">
        <v>49</v>
      </c>
      <c r="B46">
        <v>0</v>
      </c>
      <c r="C46">
        <v>2.1999999999999999E-2</v>
      </c>
      <c r="D46">
        <f t="shared" si="0"/>
        <v>1.1224489795918367E-2</v>
      </c>
      <c r="E46" t="s">
        <v>46</v>
      </c>
      <c r="F46" t="s">
        <v>47</v>
      </c>
      <c r="G46" t="s">
        <v>94</v>
      </c>
      <c r="H46" t="s">
        <v>92</v>
      </c>
      <c r="I46">
        <v>2</v>
      </c>
    </row>
    <row r="47" spans="1:9">
      <c r="A47" t="s">
        <v>49</v>
      </c>
      <c r="B47">
        <v>0.107</v>
      </c>
      <c r="C47">
        <v>0.05</v>
      </c>
      <c r="D47">
        <f t="shared" si="0"/>
        <v>2.5510204081632654E-2</v>
      </c>
      <c r="E47" t="s">
        <v>46</v>
      </c>
      <c r="F47" t="s">
        <v>47</v>
      </c>
      <c r="G47" t="s">
        <v>94</v>
      </c>
      <c r="H47" t="s">
        <v>92</v>
      </c>
      <c r="I47">
        <v>2</v>
      </c>
    </row>
    <row r="48" spans="1:9">
      <c r="A48" t="s">
        <v>49</v>
      </c>
      <c r="B48">
        <v>0.14499999999999999</v>
      </c>
      <c r="C48">
        <v>8.8999999999999996E-2</v>
      </c>
      <c r="D48">
        <f t="shared" si="0"/>
        <v>4.5408163265306119E-2</v>
      </c>
      <c r="E48" t="s">
        <v>46</v>
      </c>
      <c r="F48" t="s">
        <v>47</v>
      </c>
      <c r="G48" t="s">
        <v>94</v>
      </c>
      <c r="H48" t="s">
        <v>92</v>
      </c>
      <c r="I48">
        <v>2</v>
      </c>
    </row>
    <row r="49" spans="1:9">
      <c r="A49" t="s">
        <v>49</v>
      </c>
      <c r="B49">
        <v>8.9999999999999993E-3</v>
      </c>
      <c r="C49">
        <v>1.179</v>
      </c>
      <c r="D49">
        <f t="shared" si="0"/>
        <v>0.60153061224489801</v>
      </c>
      <c r="E49" t="s">
        <v>46</v>
      </c>
      <c r="F49" t="s">
        <v>47</v>
      </c>
      <c r="G49" t="s">
        <v>94</v>
      </c>
      <c r="H49" t="s">
        <v>92</v>
      </c>
      <c r="I49">
        <v>2</v>
      </c>
    </row>
    <row r="50" spans="1:9">
      <c r="A50" t="s">
        <v>49</v>
      </c>
      <c r="B50">
        <v>0.61799999999999999</v>
      </c>
      <c r="C50">
        <v>0.81599999999999995</v>
      </c>
      <c r="D50">
        <f t="shared" si="0"/>
        <v>0.41632653061224489</v>
      </c>
      <c r="E50" t="s">
        <v>46</v>
      </c>
      <c r="F50" t="s">
        <v>47</v>
      </c>
      <c r="G50" t="s">
        <v>94</v>
      </c>
      <c r="H50" t="s">
        <v>92</v>
      </c>
      <c r="I50">
        <v>2</v>
      </c>
    </row>
    <row r="51" spans="1:9">
      <c r="A51" t="s">
        <v>49</v>
      </c>
      <c r="B51">
        <v>0.184</v>
      </c>
      <c r="C51">
        <v>0.128</v>
      </c>
      <c r="D51">
        <f t="shared" si="0"/>
        <v>6.5306122448979598E-2</v>
      </c>
      <c r="E51" t="s">
        <v>46</v>
      </c>
      <c r="F51" t="s">
        <v>47</v>
      </c>
      <c r="G51" t="s">
        <v>94</v>
      </c>
      <c r="H51" t="s">
        <v>92</v>
      </c>
      <c r="I51">
        <v>2</v>
      </c>
    </row>
    <row r="52" spans="1:9">
      <c r="A52" t="s">
        <v>49</v>
      </c>
      <c r="B52">
        <v>0.186</v>
      </c>
      <c r="C52">
        <v>0.503</v>
      </c>
      <c r="D52">
        <f t="shared" si="0"/>
        <v>0.25663265306122451</v>
      </c>
      <c r="E52" t="s">
        <v>46</v>
      </c>
      <c r="F52" t="s">
        <v>47</v>
      </c>
      <c r="G52" t="s">
        <v>94</v>
      </c>
      <c r="H52" t="s">
        <v>92</v>
      </c>
      <c r="I52">
        <v>2</v>
      </c>
    </row>
    <row r="53" spans="1:9">
      <c r="A53" t="s">
        <v>49</v>
      </c>
      <c r="B53">
        <v>0.216</v>
      </c>
      <c r="C53">
        <v>0.371</v>
      </c>
      <c r="D53">
        <f t="shared" si="0"/>
        <v>0.18928571428571428</v>
      </c>
      <c r="E53" t="s">
        <v>46</v>
      </c>
      <c r="F53" t="s">
        <v>47</v>
      </c>
      <c r="G53" t="s">
        <v>94</v>
      </c>
      <c r="H53" t="s">
        <v>92</v>
      </c>
      <c r="I53">
        <v>2</v>
      </c>
    </row>
    <row r="54" spans="1:9">
      <c r="A54" t="s">
        <v>49</v>
      </c>
      <c r="B54">
        <v>0.107</v>
      </c>
      <c r="C54">
        <v>5.6000000000000001E-2</v>
      </c>
      <c r="D54">
        <f t="shared" si="0"/>
        <v>2.8571428571428574E-2</v>
      </c>
      <c r="E54" t="s">
        <v>46</v>
      </c>
      <c r="F54" t="s">
        <v>47</v>
      </c>
      <c r="G54" t="s">
        <v>94</v>
      </c>
      <c r="H54" t="s">
        <v>92</v>
      </c>
      <c r="I54">
        <v>2</v>
      </c>
    </row>
    <row r="55" spans="1:9">
      <c r="A55" t="s">
        <v>49</v>
      </c>
      <c r="B55">
        <v>0.22</v>
      </c>
      <c r="C55">
        <v>0.314</v>
      </c>
      <c r="D55">
        <f t="shared" si="0"/>
        <v>0.16020408163265307</v>
      </c>
      <c r="E55" t="s">
        <v>46</v>
      </c>
      <c r="F55" t="s">
        <v>47</v>
      </c>
      <c r="G55" t="s">
        <v>94</v>
      </c>
      <c r="H55" t="s">
        <v>92</v>
      </c>
      <c r="I55">
        <v>2</v>
      </c>
    </row>
    <row r="56" spans="1:9">
      <c r="A56" t="s">
        <v>50</v>
      </c>
      <c r="B56">
        <v>0.61799999999999999</v>
      </c>
      <c r="C56" t="s">
        <v>88</v>
      </c>
      <c r="D56" t="s">
        <v>88</v>
      </c>
      <c r="E56" t="s">
        <v>46</v>
      </c>
      <c r="F56" t="s">
        <v>47</v>
      </c>
      <c r="G56" t="s">
        <v>95</v>
      </c>
      <c r="H56" t="s">
        <v>92</v>
      </c>
      <c r="I56">
        <v>3</v>
      </c>
    </row>
    <row r="57" spans="1:9">
      <c r="A57" t="s">
        <v>51</v>
      </c>
      <c r="B57">
        <v>0.623</v>
      </c>
      <c r="C57" t="s">
        <v>88</v>
      </c>
      <c r="D57" t="s">
        <v>88</v>
      </c>
      <c r="E57" t="s">
        <v>46</v>
      </c>
      <c r="F57" t="s">
        <v>47</v>
      </c>
      <c r="G57" t="s">
        <v>95</v>
      </c>
      <c r="H57" t="s">
        <v>92</v>
      </c>
      <c r="I57">
        <v>3</v>
      </c>
    </row>
    <row r="58" spans="1:9">
      <c r="A58" t="s">
        <v>52</v>
      </c>
      <c r="B58">
        <v>0.36</v>
      </c>
      <c r="C58" t="s">
        <v>88</v>
      </c>
      <c r="D58">
        <f>B58*0.05</f>
        <v>1.7999999999999999E-2</v>
      </c>
      <c r="E58" t="s">
        <v>46</v>
      </c>
      <c r="F58" t="s">
        <v>47</v>
      </c>
      <c r="G58" t="s">
        <v>94</v>
      </c>
      <c r="H58" t="s">
        <v>92</v>
      </c>
      <c r="I58">
        <v>2</v>
      </c>
    </row>
    <row r="59" spans="1:9">
      <c r="A59" t="s">
        <v>52</v>
      </c>
      <c r="B59">
        <v>0.39</v>
      </c>
      <c r="C59" t="s">
        <v>88</v>
      </c>
      <c r="D59">
        <f t="shared" ref="D59:D62" si="1">B59*0.05</f>
        <v>1.9500000000000003E-2</v>
      </c>
      <c r="E59" t="s">
        <v>46</v>
      </c>
      <c r="F59" t="s">
        <v>47</v>
      </c>
      <c r="G59" t="s">
        <v>94</v>
      </c>
      <c r="H59" t="s">
        <v>92</v>
      </c>
      <c r="I59">
        <v>2</v>
      </c>
    </row>
    <row r="60" spans="1:9">
      <c r="A60" t="s">
        <v>52</v>
      </c>
      <c r="B60">
        <v>0.31</v>
      </c>
      <c r="C60" t="s">
        <v>88</v>
      </c>
      <c r="D60">
        <f t="shared" si="1"/>
        <v>1.55E-2</v>
      </c>
      <c r="E60" t="s">
        <v>46</v>
      </c>
      <c r="F60" t="s">
        <v>47</v>
      </c>
      <c r="G60" t="s">
        <v>94</v>
      </c>
      <c r="H60" t="s">
        <v>92</v>
      </c>
      <c r="I60">
        <v>2</v>
      </c>
    </row>
    <row r="61" spans="1:9">
      <c r="A61" t="s">
        <v>52</v>
      </c>
      <c r="B61">
        <v>0.35</v>
      </c>
      <c r="C61" t="s">
        <v>88</v>
      </c>
      <c r="D61">
        <f t="shared" si="1"/>
        <v>1.7499999999999998E-2</v>
      </c>
      <c r="E61" t="s">
        <v>46</v>
      </c>
      <c r="F61" t="s">
        <v>47</v>
      </c>
      <c r="G61" t="s">
        <v>94</v>
      </c>
      <c r="H61" t="s">
        <v>92</v>
      </c>
      <c r="I61">
        <v>2</v>
      </c>
    </row>
    <row r="62" spans="1:9">
      <c r="A62" t="s">
        <v>52</v>
      </c>
      <c r="B62">
        <v>0.37</v>
      </c>
      <c r="C62" t="s">
        <v>88</v>
      </c>
      <c r="D62">
        <f t="shared" si="1"/>
        <v>1.8499999999999999E-2</v>
      </c>
      <c r="E62" t="s">
        <v>46</v>
      </c>
      <c r="F62" t="s">
        <v>47</v>
      </c>
      <c r="G62" t="s">
        <v>94</v>
      </c>
      <c r="H62" t="s">
        <v>92</v>
      </c>
      <c r="I62">
        <v>2</v>
      </c>
    </row>
    <row r="63" spans="1:9">
      <c r="A63" t="s">
        <v>53</v>
      </c>
      <c r="B63">
        <v>0.88</v>
      </c>
      <c r="C63" t="s">
        <v>88</v>
      </c>
      <c r="D63">
        <v>0.02</v>
      </c>
      <c r="E63" t="s">
        <v>46</v>
      </c>
      <c r="F63" t="s">
        <v>47</v>
      </c>
      <c r="G63" t="s">
        <v>97</v>
      </c>
      <c r="H63" t="s">
        <v>89</v>
      </c>
      <c r="I63">
        <v>3</v>
      </c>
    </row>
    <row r="64" spans="1:9">
      <c r="A64" t="s">
        <v>54</v>
      </c>
      <c r="B64">
        <v>0.88</v>
      </c>
      <c r="C64" t="s">
        <v>88</v>
      </c>
      <c r="D64">
        <v>0.02</v>
      </c>
      <c r="E64" t="s">
        <v>46</v>
      </c>
      <c r="F64" t="s">
        <v>47</v>
      </c>
      <c r="G64" t="s">
        <v>97</v>
      </c>
      <c r="H64" t="s">
        <v>89</v>
      </c>
      <c r="I64">
        <v>3</v>
      </c>
    </row>
    <row r="65" spans="1:9">
      <c r="A65" t="s">
        <v>55</v>
      </c>
      <c r="B65">
        <f>1.9*10^-2</f>
        <v>1.9E-2</v>
      </c>
      <c r="C65" t="s">
        <v>88</v>
      </c>
      <c r="D65" t="s">
        <v>88</v>
      </c>
      <c r="E65" t="s">
        <v>46</v>
      </c>
      <c r="F65" t="s">
        <v>47</v>
      </c>
      <c r="G65" t="s">
        <v>91</v>
      </c>
      <c r="H65" t="s">
        <v>89</v>
      </c>
      <c r="I65">
        <v>1</v>
      </c>
    </row>
    <row r="66" spans="1:9">
      <c r="A66" t="s">
        <v>56</v>
      </c>
      <c r="B66">
        <f>1.7*10^-2</f>
        <v>1.7000000000000001E-2</v>
      </c>
      <c r="C66" t="s">
        <v>88</v>
      </c>
      <c r="D66" t="s">
        <v>88</v>
      </c>
      <c r="E66" t="s">
        <v>46</v>
      </c>
      <c r="F66" t="s">
        <v>47</v>
      </c>
      <c r="G66" t="s">
        <v>91</v>
      </c>
      <c r="H66" t="s">
        <v>89</v>
      </c>
      <c r="I66">
        <v>1</v>
      </c>
    </row>
    <row r="67" spans="1:9">
      <c r="A67" t="s">
        <v>56</v>
      </c>
      <c r="B67">
        <f>2.2*10^-2</f>
        <v>2.2000000000000002E-2</v>
      </c>
      <c r="C67" t="s">
        <v>88</v>
      </c>
      <c r="D67" t="s">
        <v>88</v>
      </c>
      <c r="E67" t="s">
        <v>46</v>
      </c>
      <c r="F67" t="s">
        <v>47</v>
      </c>
      <c r="G67" t="s">
        <v>91</v>
      </c>
      <c r="H67" t="s">
        <v>89</v>
      </c>
      <c r="I67">
        <v>1</v>
      </c>
    </row>
    <row r="68" spans="1:9">
      <c r="A68" t="s">
        <v>56</v>
      </c>
      <c r="B68">
        <f>1.9*10^-2</f>
        <v>1.9E-2</v>
      </c>
      <c r="C68" t="s">
        <v>88</v>
      </c>
      <c r="D68" t="s">
        <v>88</v>
      </c>
      <c r="E68" t="s">
        <v>46</v>
      </c>
      <c r="F68" t="s">
        <v>47</v>
      </c>
      <c r="G68" t="s">
        <v>91</v>
      </c>
      <c r="H68" t="s">
        <v>89</v>
      </c>
      <c r="I68">
        <v>1</v>
      </c>
    </row>
    <row r="69" spans="1:9">
      <c r="A69" t="s">
        <v>56</v>
      </c>
      <c r="B69">
        <f>2*10^-2</f>
        <v>0.02</v>
      </c>
      <c r="C69" t="s">
        <v>88</v>
      </c>
      <c r="D69" t="s">
        <v>88</v>
      </c>
      <c r="E69" t="s">
        <v>46</v>
      </c>
      <c r="F69" t="s">
        <v>47</v>
      </c>
      <c r="G69" t="s">
        <v>91</v>
      </c>
      <c r="H69" t="s">
        <v>89</v>
      </c>
      <c r="I69">
        <v>1</v>
      </c>
    </row>
    <row r="70" spans="1:9">
      <c r="A70" t="s">
        <v>56</v>
      </c>
      <c r="B70">
        <f>2*10^-2</f>
        <v>0.02</v>
      </c>
      <c r="C70" t="s">
        <v>88</v>
      </c>
      <c r="D70" t="s">
        <v>88</v>
      </c>
      <c r="E70" t="s">
        <v>46</v>
      </c>
      <c r="F70" t="s">
        <v>47</v>
      </c>
      <c r="G70" t="s">
        <v>91</v>
      </c>
      <c r="H70" t="s">
        <v>89</v>
      </c>
      <c r="I70">
        <v>1</v>
      </c>
    </row>
    <row r="71" spans="1:9">
      <c r="A71" t="s">
        <v>57</v>
      </c>
      <c r="B71">
        <v>0.8</v>
      </c>
      <c r="C71" t="s">
        <v>88</v>
      </c>
      <c r="D71">
        <v>0.02</v>
      </c>
      <c r="E71" t="s">
        <v>46</v>
      </c>
      <c r="F71" t="s">
        <v>47</v>
      </c>
      <c r="G71" t="s">
        <v>98</v>
      </c>
      <c r="H71" t="s">
        <v>89</v>
      </c>
      <c r="I71">
        <v>3</v>
      </c>
    </row>
    <row r="72" spans="1:9">
      <c r="A72" t="s">
        <v>57</v>
      </c>
      <c r="B72">
        <v>0.8</v>
      </c>
      <c r="C72" t="s">
        <v>88</v>
      </c>
      <c r="D72">
        <v>0.02</v>
      </c>
      <c r="E72" t="s">
        <v>46</v>
      </c>
      <c r="F72" t="s">
        <v>47</v>
      </c>
      <c r="G72" t="s">
        <v>98</v>
      </c>
      <c r="H72" t="s">
        <v>89</v>
      </c>
      <c r="I72">
        <v>3</v>
      </c>
    </row>
    <row r="73" spans="1:9">
      <c r="A73" t="s">
        <v>57</v>
      </c>
      <c r="B73">
        <v>0.7</v>
      </c>
      <c r="C73" t="s">
        <v>88</v>
      </c>
      <c r="D73">
        <v>0.01</v>
      </c>
      <c r="E73" t="s">
        <v>46</v>
      </c>
      <c r="F73" t="s">
        <v>47</v>
      </c>
      <c r="G73" t="s">
        <v>99</v>
      </c>
      <c r="H73" t="s">
        <v>89</v>
      </c>
      <c r="I73">
        <v>3</v>
      </c>
    </row>
    <row r="74" spans="1:9">
      <c r="A74" t="s">
        <v>57</v>
      </c>
      <c r="B74">
        <v>0.7</v>
      </c>
      <c r="C74" t="s">
        <v>88</v>
      </c>
      <c r="D74">
        <v>0.01</v>
      </c>
      <c r="E74" t="s">
        <v>46</v>
      </c>
      <c r="F74" t="s">
        <v>47</v>
      </c>
      <c r="G74" t="s">
        <v>99</v>
      </c>
      <c r="H74" t="s">
        <v>89</v>
      </c>
      <c r="I74">
        <v>3</v>
      </c>
    </row>
    <row r="75" spans="1:9">
      <c r="A75" t="s">
        <v>58</v>
      </c>
      <c r="B75">
        <v>0.09</v>
      </c>
      <c r="C75" t="s">
        <v>88</v>
      </c>
      <c r="D75" t="s">
        <v>88</v>
      </c>
      <c r="E75" t="s">
        <v>46</v>
      </c>
      <c r="F75" t="s">
        <v>47</v>
      </c>
      <c r="G75" t="s">
        <v>100</v>
      </c>
      <c r="H75" t="s">
        <v>92</v>
      </c>
      <c r="I75">
        <v>22</v>
      </c>
    </row>
    <row r="76" spans="1:9">
      <c r="A76" t="s">
        <v>58</v>
      </c>
      <c r="B76">
        <v>0.06</v>
      </c>
      <c r="C76" t="s">
        <v>88</v>
      </c>
      <c r="D76" t="s">
        <v>88</v>
      </c>
      <c r="E76" t="s">
        <v>46</v>
      </c>
      <c r="F76" t="s">
        <v>47</v>
      </c>
      <c r="G76" t="s">
        <v>101</v>
      </c>
      <c r="H76" t="s">
        <v>92</v>
      </c>
      <c r="I76">
        <v>16</v>
      </c>
    </row>
    <row r="77" spans="1:9">
      <c r="A77" t="s">
        <v>59</v>
      </c>
      <c r="B77">
        <v>0.48</v>
      </c>
      <c r="C77" t="s">
        <v>88</v>
      </c>
      <c r="D77" t="s">
        <v>88</v>
      </c>
      <c r="E77" t="s">
        <v>46</v>
      </c>
      <c r="F77" t="s">
        <v>47</v>
      </c>
      <c r="G77" t="s">
        <v>94</v>
      </c>
      <c r="H77" t="s">
        <v>92</v>
      </c>
      <c r="I77">
        <v>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Sorption</vt:lpstr>
      <vt:lpstr>Degradation Rate</vt:lpstr>
      <vt:lpstr>Hill Coefficient</vt:lpstr>
      <vt:lpstr>Environment Intake</vt:lpstr>
      <vt:lpstr>Feed Intake</vt:lpstr>
      <vt:lpstr>Water Consumption</vt:lpstr>
      <vt:lpstr>Fitness Cost</vt:lpstr>
      <vt:lpstr>Aerobicity</vt:lpstr>
      <vt:lpstr>Enterococcus Growth</vt:lpstr>
      <vt:lpstr>Enterococcus Death Pen</vt:lpstr>
      <vt:lpstr>Enterococcus Death Water</vt:lpstr>
      <vt:lpstr>Enterococcus Death Feed</vt:lpstr>
      <vt:lpstr>Starting Fraction Resistant</vt:lpstr>
      <vt:lpstr>Plasmid Transfer Frequency</vt:lpstr>
      <vt:lpstr>Cattle Carrying Capacity</vt:lpstr>
      <vt:lpstr>Pen Carrying Capacity</vt:lpstr>
      <vt:lpstr>Water Carrying Capacity</vt:lpstr>
      <vt:lpstr>Feed Carrying Capacity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Casey Cazer</dc:creator>
  <cp:keywords/>
  <dc:description/>
  <cp:lastModifiedBy>Casey Cazer</cp:lastModifiedBy>
  <cp:revision/>
  <dcterms:created xsi:type="dcterms:W3CDTF">2019-02-01T19:09:43Z</dcterms:created>
  <dcterms:modified xsi:type="dcterms:W3CDTF">2020-02-21T22:19:46Z</dcterms:modified>
  <cp:category/>
  <cp:contentStatus/>
</cp:coreProperties>
</file>