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tisk0\PycharmProjects\英語過去問\"/>
    </mc:Choice>
  </mc:AlternateContent>
  <xr:revisionPtr revIDLastSave="0" documentId="13_ncr:1_{7B401150-B0F4-4099-9E17-6B9390F1635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環境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32" i="1" l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534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451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337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<sst xmlns="http://schemas.openxmlformats.org/spreadsheetml/2006/main" count="10733" uniqueCount="8144">
  <si>
    <t>the</t>
  </si>
  <si>
    <t>of</t>
  </si>
  <si>
    <t>to</t>
  </si>
  <si>
    <t>and</t>
  </si>
  <si>
    <t>a</t>
  </si>
  <si>
    <t>in</t>
  </si>
  <si>
    <t>that</t>
  </si>
  <si>
    <t>is</t>
  </si>
  <si>
    <t>it</t>
  </si>
  <si>
    <t>for</t>
  </si>
  <si>
    <t>as</t>
  </si>
  <si>
    <t>be</t>
  </si>
  <si>
    <t>with</t>
  </si>
  <si>
    <t>are</t>
  </si>
  <si>
    <t>this</t>
  </si>
  <si>
    <t>on</t>
  </si>
  <si>
    <t>by</t>
  </si>
  <si>
    <t>not</t>
  </si>
  <si>
    <t>have</t>
  </si>
  <si>
    <t>or</t>
  </si>
  <si>
    <t>an</t>
  </si>
  <si>
    <t>from</t>
  </si>
  <si>
    <t>we</t>
  </si>
  <si>
    <t>which</t>
  </si>
  <si>
    <t>but</t>
  </si>
  <si>
    <t>they</t>
  </si>
  <si>
    <t>more</t>
  </si>
  <si>
    <t>was</t>
  </si>
  <si>
    <t>at</t>
  </si>
  <si>
    <t>their</t>
  </si>
  <si>
    <t>has</t>
  </si>
  <si>
    <t>one</t>
  </si>
  <si>
    <t>can</t>
  </si>
  <si>
    <t>than</t>
  </si>
  <si>
    <t>people</t>
  </si>
  <si>
    <t>who</t>
  </si>
  <si>
    <t>will</t>
  </si>
  <si>
    <t>may</t>
  </si>
  <si>
    <t>other</t>
  </si>
  <si>
    <t>our</t>
  </si>
  <si>
    <t>what</t>
  </si>
  <si>
    <t>his</t>
  </si>
  <si>
    <t>all</t>
  </si>
  <si>
    <t>new</t>
  </si>
  <si>
    <t>were</t>
  </si>
  <si>
    <t>had</t>
  </si>
  <si>
    <t>been</t>
  </si>
  <si>
    <t>he</t>
  </si>
  <si>
    <t>when</t>
  </si>
  <si>
    <t>you</t>
  </si>
  <si>
    <t>human</t>
  </si>
  <si>
    <t>some</t>
  </si>
  <si>
    <t>many</t>
  </si>
  <si>
    <t>its</t>
  </si>
  <si>
    <t>about</t>
  </si>
  <si>
    <t>would</t>
  </si>
  <si>
    <t>if</t>
  </si>
  <si>
    <t>so</t>
  </si>
  <si>
    <t>social</t>
  </si>
  <si>
    <t>into</t>
  </si>
  <si>
    <t>do</t>
  </si>
  <si>
    <t>these</t>
  </si>
  <si>
    <t>no</t>
  </si>
  <si>
    <t>such</t>
  </si>
  <si>
    <t>between</t>
  </si>
  <si>
    <t>there</t>
  </si>
  <si>
    <t>also</t>
  </si>
  <si>
    <t>because</t>
  </si>
  <si>
    <t>those</t>
  </si>
  <si>
    <t>how</t>
  </si>
  <si>
    <t>most</t>
  </si>
  <si>
    <t>only</t>
  </si>
  <si>
    <t>time</t>
  </si>
  <si>
    <t>two</t>
  </si>
  <si>
    <t>language</t>
  </si>
  <si>
    <t>even</t>
  </si>
  <si>
    <t>them</t>
  </si>
  <si>
    <t>much</t>
  </si>
  <si>
    <t>use</t>
  </si>
  <si>
    <t>children</t>
  </si>
  <si>
    <t>could</t>
  </si>
  <si>
    <t>over</t>
  </si>
  <si>
    <t>us</t>
  </si>
  <si>
    <t>should</t>
  </si>
  <si>
    <t>way</t>
  </si>
  <si>
    <t>child</t>
  </si>
  <si>
    <t>political</t>
  </si>
  <si>
    <t>however</t>
  </si>
  <si>
    <t>same</t>
  </si>
  <si>
    <t>i</t>
  </si>
  <si>
    <t>make</t>
  </si>
  <si>
    <t>like</t>
  </si>
  <si>
    <t>information</t>
  </si>
  <si>
    <t>any</t>
  </si>
  <si>
    <t>life</t>
  </si>
  <si>
    <t>through</t>
  </si>
  <si>
    <t>different</t>
  </si>
  <si>
    <t>following</t>
  </si>
  <si>
    <t>humans</t>
  </si>
  <si>
    <t>must</t>
  </si>
  <si>
    <t>b</t>
  </si>
  <si>
    <t>being</t>
  </si>
  <si>
    <t>up</t>
  </si>
  <si>
    <t>first</t>
  </si>
  <si>
    <t>very</t>
  </si>
  <si>
    <t>often</t>
  </si>
  <si>
    <t>own</t>
  </si>
  <si>
    <t>global</t>
  </si>
  <si>
    <t>year</t>
  </si>
  <si>
    <t>environment</t>
  </si>
  <si>
    <t>modern</t>
  </si>
  <si>
    <t>found</t>
  </si>
  <si>
    <t>does</t>
  </si>
  <si>
    <t>self</t>
  </si>
  <si>
    <t>both</t>
  </si>
  <si>
    <t>your</t>
  </si>
  <si>
    <t>among</t>
  </si>
  <si>
    <t>according</t>
  </si>
  <si>
    <t>now</t>
  </si>
  <si>
    <t>out</t>
  </si>
  <si>
    <t>become</t>
  </si>
  <si>
    <t>years</t>
  </si>
  <si>
    <t>each</t>
  </si>
  <si>
    <t>might</t>
  </si>
  <si>
    <t>based</t>
  </si>
  <si>
    <t>well</t>
  </si>
  <si>
    <t>form</t>
  </si>
  <si>
    <t>take</t>
  </si>
  <si>
    <t>world</t>
  </si>
  <si>
    <t>did</t>
  </si>
  <si>
    <t>individuals</t>
  </si>
  <si>
    <t>within</t>
  </si>
  <si>
    <t>just</t>
  </si>
  <si>
    <t>order</t>
  </si>
  <si>
    <t>less</t>
  </si>
  <si>
    <t>communication</t>
  </si>
  <si>
    <t>good</t>
  </si>
  <si>
    <t>society</t>
  </si>
  <si>
    <t>her</t>
  </si>
  <si>
    <t>example</t>
  </si>
  <si>
    <t>another</t>
  </si>
  <si>
    <t>used</t>
  </si>
  <si>
    <t>liberalism</t>
  </si>
  <si>
    <t>culture</t>
  </si>
  <si>
    <t>t</t>
  </si>
  <si>
    <t>part</t>
  </si>
  <si>
    <t>species</t>
  </si>
  <si>
    <t>see</t>
  </si>
  <si>
    <t>population</t>
  </si>
  <si>
    <t>after</t>
  </si>
  <si>
    <t>still</t>
  </si>
  <si>
    <t>rather</t>
  </si>
  <si>
    <t>animal</t>
  </si>
  <si>
    <t>leadership</t>
  </si>
  <si>
    <t>animals</t>
  </si>
  <si>
    <t>theory</t>
  </si>
  <si>
    <t>possible</t>
  </si>
  <si>
    <t>always</t>
  </si>
  <si>
    <t>universal</t>
  </si>
  <si>
    <t>problems</t>
  </si>
  <si>
    <t>leaders</t>
  </si>
  <si>
    <t>economic</t>
  </si>
  <si>
    <t>against</t>
  </si>
  <si>
    <t>research</t>
  </si>
  <si>
    <t>power</t>
  </si>
  <si>
    <t>help</t>
  </si>
  <si>
    <t>great</t>
  </si>
  <si>
    <t>century</t>
  </si>
  <si>
    <t>best</t>
  </si>
  <si>
    <t>problem</t>
  </si>
  <si>
    <t>idea</t>
  </si>
  <si>
    <t>genetic</t>
  </si>
  <si>
    <t>far</t>
  </si>
  <si>
    <t>el</t>
  </si>
  <si>
    <t>article</t>
  </si>
  <si>
    <t>source</t>
  </si>
  <si>
    <t>she</t>
  </si>
  <si>
    <t>why</t>
  </si>
  <si>
    <t>paragraph</t>
  </si>
  <si>
    <t>living</t>
  </si>
  <si>
    <t>learn</t>
  </si>
  <si>
    <t>something</t>
  </si>
  <si>
    <t>made</t>
  </si>
  <si>
    <t>environmental</t>
  </si>
  <si>
    <t>toward</t>
  </si>
  <si>
    <t>come</t>
  </si>
  <si>
    <t>cannot</t>
  </si>
  <si>
    <t>think</t>
  </si>
  <si>
    <t>system</t>
  </si>
  <si>
    <t>developed</t>
  </si>
  <si>
    <t>then</t>
  </si>
  <si>
    <t>personal</t>
  </si>
  <si>
    <t>festival</t>
  </si>
  <si>
    <t>where</t>
  </si>
  <si>
    <t>real</t>
  </si>
  <si>
    <t>better</t>
  </si>
  <si>
    <t>process</t>
  </si>
  <si>
    <t>need</t>
  </si>
  <si>
    <t>likely</t>
  </si>
  <si>
    <t>although</t>
  </si>
  <si>
    <t>study</t>
  </si>
  <si>
    <t>civil</t>
  </si>
  <si>
    <t>able</t>
  </si>
  <si>
    <t>future</t>
  </si>
  <si>
    <t>cultural</t>
  </si>
  <si>
    <t>while</t>
  </si>
  <si>
    <t>during</t>
  </si>
  <si>
    <t>create</t>
  </si>
  <si>
    <t>term</t>
  </si>
  <si>
    <t>small</t>
  </si>
  <si>
    <t>called</t>
  </si>
  <si>
    <t>second</t>
  </si>
  <si>
    <t>million</t>
  </si>
  <si>
    <t>sense</t>
  </si>
  <si>
    <t>point</t>
  </si>
  <si>
    <t>learning</t>
  </si>
  <si>
    <t>change</t>
  </si>
  <si>
    <t>several</t>
  </si>
  <si>
    <t>medical</t>
  </si>
  <si>
    <t>important</t>
  </si>
  <si>
    <t>author</t>
  </si>
  <si>
    <t>others</t>
  </si>
  <si>
    <t>long</t>
  </si>
  <si>
    <t>landmarks</t>
  </si>
  <si>
    <t>development</t>
  </si>
  <si>
    <t>him</t>
  </si>
  <si>
    <t>growth</t>
  </si>
  <si>
    <t>before</t>
  </si>
  <si>
    <t>related</t>
  </si>
  <si>
    <t>go</t>
  </si>
  <si>
    <t>individual</t>
  </si>
  <si>
    <t>evolutionary</t>
  </si>
  <si>
    <t>yet</t>
  </si>
  <si>
    <t>water</t>
  </si>
  <si>
    <t>provide</t>
  </si>
  <si>
    <t>find</t>
  </si>
  <si>
    <t>usually</t>
  </si>
  <si>
    <t>too</t>
  </si>
  <si>
    <t>simply</t>
  </si>
  <si>
    <t>result</t>
  </si>
  <si>
    <t>every</t>
  </si>
  <si>
    <t>american</t>
  </si>
  <si>
    <t>view</t>
  </si>
  <si>
    <t>since</t>
  </si>
  <si>
    <t>seems</t>
  </si>
  <si>
    <t>country</t>
  </si>
  <si>
    <t>behavior</t>
  </si>
  <si>
    <t>number</t>
  </si>
  <si>
    <t>making</t>
  </si>
  <si>
    <t>longer</t>
  </si>
  <si>
    <t>least</t>
  </si>
  <si>
    <t>get</t>
  </si>
  <si>
    <t>particular</t>
  </si>
  <si>
    <t>makes</t>
  </si>
  <si>
    <t>forms</t>
  </si>
  <si>
    <t>finding</t>
  </si>
  <si>
    <t>without</t>
  </si>
  <si>
    <t>upon</t>
  </si>
  <si>
    <t>school</t>
  </si>
  <si>
    <t>knowledge</t>
  </si>
  <si>
    <t>history</t>
  </si>
  <si>
    <t>happiness</t>
  </si>
  <si>
    <t>government</t>
  </si>
  <si>
    <t>state</t>
  </si>
  <si>
    <t>certain</t>
  </si>
  <si>
    <t>work</t>
  </si>
  <si>
    <t>public</t>
  </si>
  <si>
    <t>large</t>
  </si>
  <si>
    <t>fact</t>
  </si>
  <si>
    <t>doing</t>
  </si>
  <si>
    <t>common</t>
  </si>
  <si>
    <t>using</t>
  </si>
  <si>
    <t>set</t>
  </si>
  <si>
    <t>liberal</t>
  </si>
  <si>
    <t>lead</t>
  </si>
  <si>
    <t>internet</t>
  </si>
  <si>
    <t>independent</t>
  </si>
  <si>
    <t>group</t>
  </si>
  <si>
    <t>general</t>
  </si>
  <si>
    <t>civility</t>
  </si>
  <si>
    <t>changes</t>
  </si>
  <si>
    <t>students</t>
  </si>
  <si>
    <t>software</t>
  </si>
  <si>
    <t>similar</t>
  </si>
  <si>
    <t>seen</t>
  </si>
  <si>
    <t>model</t>
  </si>
  <si>
    <t>family</t>
  </si>
  <si>
    <t>early</t>
  </si>
  <si>
    <t>whether</t>
  </si>
  <si>
    <t>under</t>
  </si>
  <si>
    <t>though</t>
  </si>
  <si>
    <t>themselves</t>
  </si>
  <si>
    <t>media</t>
  </si>
  <si>
    <t>look</t>
  </si>
  <si>
    <t>give</t>
  </si>
  <si>
    <t>consider</t>
  </si>
  <si>
    <t>whose</t>
  </si>
  <si>
    <t>things</t>
  </si>
  <si>
    <t>technology</t>
  </si>
  <si>
    <t>paper</t>
  </si>
  <si>
    <t>know</t>
  </si>
  <si>
    <t>complex</t>
  </si>
  <si>
    <t>already</t>
  </si>
  <si>
    <t>person</t>
  </si>
  <si>
    <t>means</t>
  </si>
  <si>
    <t>comes</t>
  </si>
  <si>
    <t>became</t>
  </si>
  <si>
    <t>value</t>
  </si>
  <si>
    <t>thus</t>
  </si>
  <si>
    <t>planet</t>
  </si>
  <si>
    <t>industrial</t>
  </si>
  <si>
    <t>device</t>
  </si>
  <si>
    <t>lovelock</t>
  </si>
  <si>
    <t>displays</t>
  </si>
  <si>
    <t>considered</t>
  </si>
  <si>
    <t>away</t>
  </si>
  <si>
    <t>warm</t>
  </si>
  <si>
    <t>university</t>
  </si>
  <si>
    <t>united</t>
  </si>
  <si>
    <t>terms</t>
  </si>
  <si>
    <t>seem</t>
  </si>
  <si>
    <t>says</t>
  </si>
  <si>
    <t>probably</t>
  </si>
  <si>
    <t>nature</t>
  </si>
  <si>
    <t>concept</t>
  </si>
  <si>
    <t>want</t>
  </si>
  <si>
    <t>surveillance</t>
  </si>
  <si>
    <t>revolution</t>
  </si>
  <si>
    <t>perhaps</t>
  </si>
  <si>
    <t>opportunities</t>
  </si>
  <si>
    <t>high</t>
  </si>
  <si>
    <t>few</t>
  </si>
  <si>
    <t>difficult</t>
  </si>
  <si>
    <t>believe</t>
  </si>
  <si>
    <t>around</t>
  </si>
  <si>
    <t>word</t>
  </si>
  <si>
    <t>whole</t>
  </si>
  <si>
    <t>three</t>
  </si>
  <si>
    <t>specie</t>
  </si>
  <si>
    <t>scientists</t>
  </si>
  <si>
    <t>researchers</t>
  </si>
  <si>
    <t>question</t>
  </si>
  <si>
    <t>old</t>
  </si>
  <si>
    <t>moral</t>
  </si>
  <si>
    <t>down</t>
  </si>
  <si>
    <t>data</t>
  </si>
  <si>
    <t>urban</t>
  </si>
  <si>
    <t>times</t>
  </si>
  <si>
    <t>single</t>
  </si>
  <si>
    <t>say</t>
  </si>
  <si>
    <t>said</t>
  </si>
  <si>
    <t>rules</t>
  </si>
  <si>
    <t>relatively</t>
  </si>
  <si>
    <t>open</t>
  </si>
  <si>
    <t>documents</t>
  </si>
  <si>
    <t>back</t>
  </si>
  <si>
    <t>national</t>
  </si>
  <si>
    <t>local</t>
  </si>
  <si>
    <t>including</t>
  </si>
  <si>
    <t>earth</t>
  </si>
  <si>
    <t>asked</t>
  </si>
  <si>
    <t>along</t>
  </si>
  <si>
    <t>suggested</t>
  </si>
  <si>
    <t>statements</t>
  </si>
  <si>
    <t>scientific</t>
  </si>
  <si>
    <t>recent</t>
  </si>
  <si>
    <t>place</t>
  </si>
  <si>
    <t>natural</t>
  </si>
  <si>
    <t>feel</t>
  </si>
  <si>
    <t>computer</t>
  </si>
  <si>
    <t>understand</t>
  </si>
  <si>
    <t>traditional</t>
  </si>
  <si>
    <t>strong</t>
  </si>
  <si>
    <t>short</t>
  </si>
  <si>
    <t>prime</t>
  </si>
  <si>
    <t>objects</t>
  </si>
  <si>
    <t>known</t>
  </si>
  <si>
    <t>groups</t>
  </si>
  <si>
    <t>greater</t>
  </si>
  <si>
    <t>cities</t>
  </si>
  <si>
    <t>book</t>
  </si>
  <si>
    <t>average</t>
  </si>
  <si>
    <t>thought</t>
  </si>
  <si>
    <t>situation</t>
  </si>
  <si>
    <t>physical</t>
  </si>
  <si>
    <t>fda</t>
  </si>
  <si>
    <t>evolution</t>
  </si>
  <si>
    <t>essential</t>
  </si>
  <si>
    <t>developing</t>
  </si>
  <si>
    <t>clear</t>
  </si>
  <si>
    <t>chomsky</t>
  </si>
  <si>
    <t>beginning</t>
  </si>
  <si>
    <t>atmosphere</t>
  </si>
  <si>
    <t>young</t>
  </si>
  <si>
    <t>little</t>
  </si>
  <si>
    <t>landmark</t>
  </si>
  <si>
    <t>enso</t>
  </si>
  <si>
    <t>concern</t>
  </si>
  <si>
    <t>birds</t>
  </si>
  <si>
    <t>approach</t>
  </si>
  <si>
    <t>almost</t>
  </si>
  <si>
    <t>african</t>
  </si>
  <si>
    <t>tendency</t>
  </si>
  <si>
    <t>position</t>
  </si>
  <si>
    <t>men</t>
  </si>
  <si>
    <t>major</t>
  </si>
  <si>
    <t>images</t>
  </si>
  <si>
    <t>edison</t>
  </si>
  <si>
    <t>develop</t>
  </si>
  <si>
    <t>case</t>
  </si>
  <si>
    <t>ago</t>
  </si>
  <si>
    <t>act</t>
  </si>
  <si>
    <t>supported</t>
  </si>
  <si>
    <t>support</t>
  </si>
  <si>
    <t>structure</t>
  </si>
  <si>
    <t>right</t>
  </si>
  <si>
    <t>past</t>
  </si>
  <si>
    <t>parents</t>
  </si>
  <si>
    <t>online</t>
  </si>
  <si>
    <t>occur</t>
  </si>
  <si>
    <t>mass</t>
  </si>
  <si>
    <t>lot</t>
  </si>
  <si>
    <t>led</t>
  </si>
  <si>
    <t>importance</t>
  </si>
  <si>
    <t>given</t>
  </si>
  <si>
    <t>experience</t>
  </si>
  <si>
    <t>dr</t>
  </si>
  <si>
    <t>countries</t>
  </si>
  <si>
    <t>rulers</t>
  </si>
  <si>
    <t>outside</t>
  </si>
  <si>
    <t>my</t>
  </si>
  <si>
    <t>medium</t>
  </si>
  <si>
    <t>further</t>
  </si>
  <si>
    <t>display</t>
  </si>
  <si>
    <t>course</t>
  </si>
  <si>
    <t>city</t>
  </si>
  <si>
    <t>again</t>
  </si>
  <si>
    <t>religious</t>
  </si>
  <si>
    <t>play</t>
  </si>
  <si>
    <t>members</t>
  </si>
  <si>
    <t>invention</t>
  </si>
  <si>
    <t>happy</t>
  </si>
  <si>
    <t>function</t>
  </si>
  <si>
    <t>evidence</t>
  </si>
  <si>
    <t>context</t>
  </si>
  <si>
    <t>compared</t>
  </si>
  <si>
    <t>polo</t>
  </si>
  <si>
    <t>larger</t>
  </si>
  <si>
    <t>generally</t>
  </si>
  <si>
    <t>characteristics</t>
  </si>
  <si>
    <t>came</t>
  </si>
  <si>
    <t>warming</t>
  </si>
  <si>
    <t>until</t>
  </si>
  <si>
    <t>specialized</t>
  </si>
  <si>
    <t>show</t>
  </si>
  <si>
    <t>share</t>
  </si>
  <si>
    <t>s</t>
  </si>
  <si>
    <t>relative</t>
  </si>
  <si>
    <t>powerful</t>
  </si>
  <si>
    <t>non</t>
  </si>
  <si>
    <t>mitochondrial</t>
  </si>
  <si>
    <t>millions</t>
  </si>
  <si>
    <t>mentioned</t>
  </si>
  <si>
    <t>live</t>
  </si>
  <si>
    <t>appears</t>
  </si>
  <si>
    <t>try</t>
  </si>
  <si>
    <t>qualities</t>
  </si>
  <si>
    <t>needed</t>
  </si>
  <si>
    <t>mean</t>
  </si>
  <si>
    <t>level</t>
  </si>
  <si>
    <t>face</t>
  </si>
  <si>
    <t>especially</t>
  </si>
  <si>
    <t>digital</t>
  </si>
  <si>
    <t>control</t>
  </si>
  <si>
    <t>begin</t>
  </si>
  <si>
    <t>tend</t>
  </si>
  <si>
    <t>teacher</t>
  </si>
  <si>
    <t>role</t>
  </si>
  <si>
    <t>levels</t>
  </si>
  <si>
    <t>left</t>
  </si>
  <si>
    <t>french</t>
  </si>
  <si>
    <t>evolved</t>
  </si>
  <si>
    <t>cost</t>
  </si>
  <si>
    <t>contract</t>
  </si>
  <si>
    <t>competitive</t>
  </si>
  <si>
    <t>asl</t>
  </si>
  <si>
    <t>values</t>
  </si>
  <si>
    <t>throughout</t>
  </si>
  <si>
    <t>technologies</t>
  </si>
  <si>
    <t>science</t>
  </si>
  <si>
    <t>resources</t>
  </si>
  <si>
    <t>once</t>
  </si>
  <si>
    <t>move</t>
  </si>
  <si>
    <t>income</t>
  </si>
  <si>
    <t>half</t>
  </si>
  <si>
    <t>failure</t>
  </si>
  <si>
    <t>enough</t>
  </si>
  <si>
    <t>created</t>
  </si>
  <si>
    <t>commercial</t>
  </si>
  <si>
    <t>brain</t>
  </si>
  <si>
    <t>benefit</t>
  </si>
  <si>
    <t>bangladesh</t>
  </si>
  <si>
    <t>areas</t>
  </si>
  <si>
    <t>africa</t>
  </si>
  <si>
    <t>activity</t>
  </si>
  <si>
    <t>taken</t>
  </si>
  <si>
    <t>surface</t>
  </si>
  <si>
    <t>suggest</t>
  </si>
  <si>
    <t>project</t>
  </si>
  <si>
    <t>populations</t>
  </si>
  <si>
    <t>poor</t>
  </si>
  <si>
    <t>origin</t>
  </si>
  <si>
    <t>never</t>
  </si>
  <si>
    <t>line</t>
  </si>
  <si>
    <t>grammar</t>
  </si>
  <si>
    <t>food</t>
  </si>
  <si>
    <t>exercise</t>
  </si>
  <si>
    <t>estimate</t>
  </si>
  <si>
    <t>end</t>
  </si>
  <si>
    <t>document</t>
  </si>
  <si>
    <t>conditions</t>
  </si>
  <si>
    <t>began</t>
  </si>
  <si>
    <t>acquisition</t>
  </si>
  <si>
    <t>various</t>
  </si>
  <si>
    <t>special</t>
  </si>
  <si>
    <t>space</t>
  </si>
  <si>
    <t>rights</t>
  </si>
  <si>
    <t>results</t>
  </si>
  <si>
    <t>required</t>
  </si>
  <si>
    <t>picture</t>
  </si>
  <si>
    <t>keep</t>
  </si>
  <si>
    <t>image</t>
  </si>
  <si>
    <t>identity</t>
  </si>
  <si>
    <t>gain</t>
  </si>
  <si>
    <t>external</t>
  </si>
  <si>
    <t>contrast</t>
  </si>
  <si>
    <t>connected</t>
  </si>
  <si>
    <t>attempt</t>
  </si>
  <si>
    <t>associated</t>
  </si>
  <si>
    <t>analysis</t>
  </si>
  <si>
    <t>across</t>
  </si>
  <si>
    <t>ability</t>
  </si>
  <si>
    <t>ways</t>
  </si>
  <si>
    <t>understanding</t>
  </si>
  <si>
    <t>together</t>
  </si>
  <si>
    <t>sustainable</t>
  </si>
  <si>
    <t>resource</t>
  </si>
  <si>
    <t>religion</t>
  </si>
  <si>
    <t>present</t>
  </si>
  <si>
    <t>persons</t>
  </si>
  <si>
    <t>mental</t>
  </si>
  <si>
    <t>limited</t>
  </si>
  <si>
    <t>interaction</t>
  </si>
  <si>
    <t>having</t>
  </si>
  <si>
    <t>getting</t>
  </si>
  <si>
    <t>four</t>
  </si>
  <si>
    <t>foreign</t>
  </si>
  <si>
    <t>factors</t>
  </si>
  <si>
    <t>facebook</t>
  </si>
  <si>
    <t>experiment</t>
  </si>
  <si>
    <t>creating</t>
  </si>
  <si>
    <t>concerned</t>
  </si>
  <si>
    <t>brought</t>
  </si>
  <si>
    <t>billion</t>
  </si>
  <si>
    <t>amount</t>
  </si>
  <si>
    <t>unique</t>
  </si>
  <si>
    <t>type</t>
  </si>
  <si>
    <t>turn</t>
  </si>
  <si>
    <t>television</t>
  </si>
  <si>
    <t>someone</t>
  </si>
  <si>
    <t>record</t>
  </si>
  <si>
    <t>ourselves</t>
  </si>
  <si>
    <t>off</t>
  </si>
  <si>
    <t>man</t>
  </si>
  <si>
    <t>last</t>
  </si>
  <si>
    <t>key</t>
  </si>
  <si>
    <t>identify</t>
  </si>
  <si>
    <t>hold</t>
  </si>
  <si>
    <t>hand</t>
  </si>
  <si>
    <t>distance</t>
  </si>
  <si>
    <t>complete</t>
  </si>
  <si>
    <t>compact</t>
  </si>
  <si>
    <t>business</t>
  </si>
  <si>
    <t>british</t>
  </si>
  <si>
    <t>anthropomorphism</t>
  </si>
  <si>
    <t>age</t>
  </si>
  <si>
    <t>tool</t>
  </si>
  <si>
    <t>states</t>
  </si>
  <si>
    <t>sometimes</t>
  </si>
  <si>
    <t>rich</t>
  </si>
  <si>
    <t>opinion</t>
  </si>
  <si>
    <t>looking</t>
  </si>
  <si>
    <t>learned</t>
  </si>
  <si>
    <t>leader</t>
  </si>
  <si>
    <t>ever</t>
  </si>
  <si>
    <t>despite</t>
  </si>
  <si>
    <t>described</t>
  </si>
  <si>
    <t>cultures</t>
  </si>
  <si>
    <t>content</t>
  </si>
  <si>
    <t>circumstances</t>
  </si>
  <si>
    <t>c</t>
  </si>
  <si>
    <t>appropriate</t>
  </si>
  <si>
    <t>ancient</t>
  </si>
  <si>
    <t>today</t>
  </si>
  <si>
    <t>symbolic</t>
  </si>
  <si>
    <t>scale</t>
  </si>
  <si>
    <t>reason</t>
  </si>
  <si>
    <t>percent</t>
  </si>
  <si>
    <t>ones</t>
  </si>
  <si>
    <t>ngo</t>
  </si>
  <si>
    <t>necessarily</t>
  </si>
  <si>
    <t>land</t>
  </si>
  <si>
    <t>lack</t>
  </si>
  <si>
    <t>itself</t>
  </si>
  <si>
    <t>indeed</t>
  </si>
  <si>
    <t>increased</t>
  </si>
  <si>
    <t>home</t>
  </si>
  <si>
    <t>equally</t>
  </si>
  <si>
    <t>economists</t>
  </si>
  <si>
    <t>draw</t>
  </si>
  <si>
    <t>combination</t>
  </si>
  <si>
    <t>caused</t>
  </si>
  <si>
    <t>took</t>
  </si>
  <si>
    <t>told</t>
  </si>
  <si>
    <t>soon</t>
  </si>
  <si>
    <t>risen</t>
  </si>
  <si>
    <t>reasonable</t>
  </si>
  <si>
    <t>plan</t>
  </si>
  <si>
    <t>nothing</t>
  </si>
  <si>
    <t>kind</t>
  </si>
  <si>
    <t>humanity</t>
  </si>
  <si>
    <t>household</t>
  </si>
  <si>
    <t>highly</t>
  </si>
  <si>
    <t>google</t>
  </si>
  <si>
    <t>everything</t>
  </si>
  <si>
    <t>due</t>
  </si>
  <si>
    <t>differences</t>
  </si>
  <si>
    <t>avoid</t>
  </si>
  <si>
    <t>arsenic</t>
  </si>
  <si>
    <t>acquired</t>
  </si>
  <si>
    <t>words</t>
  </si>
  <si>
    <t>travel</t>
  </si>
  <si>
    <t>traits</t>
  </si>
  <si>
    <t>task</t>
  </si>
  <si>
    <t>specific</t>
  </si>
  <si>
    <t>situations</t>
  </si>
  <si>
    <t>rapid</t>
  </si>
  <si>
    <t>pacific</t>
  </si>
  <si>
    <t>movement</t>
  </si>
  <si>
    <t>me</t>
  </si>
  <si>
    <t>knew</t>
  </si>
  <si>
    <t>heat</t>
  </si>
  <si>
    <t>experiments</t>
  </si>
  <si>
    <t>emotion</t>
  </si>
  <si>
    <t>cause</t>
  </si>
  <si>
    <t>call</t>
  </si>
  <si>
    <t>area</t>
  </si>
  <si>
    <t>agriculture</t>
  </si>
  <si>
    <t>actually</t>
  </si>
  <si>
    <t>working</t>
  </si>
  <si>
    <t>tools</t>
  </si>
  <si>
    <t>takes</t>
  </si>
  <si>
    <t>suffering</t>
  </si>
  <si>
    <t>struggle</t>
  </si>
  <si>
    <t>strength</t>
  </si>
  <si>
    <t>risk</t>
  </si>
  <si>
    <t>remains</t>
  </si>
  <si>
    <t>recognize</t>
  </si>
  <si>
    <t>production</t>
  </si>
  <si>
    <t>money</t>
  </si>
  <si>
    <t>meaning</t>
  </si>
  <si>
    <t>king</t>
  </si>
  <si>
    <t>ideas</t>
  </si>
  <si>
    <t>happen</t>
  </si>
  <si>
    <t>going</t>
  </si>
  <si>
    <t>goes</t>
  </si>
  <si>
    <t>free</t>
  </si>
  <si>
    <t>follow</t>
  </si>
  <si>
    <t>european</t>
  </si>
  <si>
    <t>error</t>
  </si>
  <si>
    <t>devices</t>
  </si>
  <si>
    <t>cognitive</t>
  </si>
  <si>
    <t>clearly</t>
  </si>
  <si>
    <t>chemical</t>
  </si>
  <si>
    <t>benefits</t>
  </si>
  <si>
    <t>basis</t>
  </si>
  <si>
    <t>authority</t>
  </si>
  <si>
    <t>atmospheric</t>
  </si>
  <si>
    <t>answer</t>
  </si>
  <si>
    <t>allow</t>
  </si>
  <si>
    <t>agree</t>
  </si>
  <si>
    <t>account</t>
  </si>
  <si>
    <t>tropical</t>
  </si>
  <si>
    <t>suggests</t>
  </si>
  <si>
    <t>success</t>
  </si>
  <si>
    <t>six</t>
  </si>
  <si>
    <t>serious</t>
  </si>
  <si>
    <t>room</t>
  </si>
  <si>
    <t>ready</t>
  </si>
  <si>
    <t>produced</t>
  </si>
  <si>
    <t>produce</t>
  </si>
  <si>
    <t>period</t>
  </si>
  <si>
    <t>offer</t>
  </si>
  <si>
    <t>nation</t>
  </si>
  <si>
    <t>minister</t>
  </si>
  <si>
    <t>management</t>
  </si>
  <si>
    <t>lower</t>
  </si>
  <si>
    <t>laboratory</t>
  </si>
  <si>
    <t>la</t>
  </si>
  <si>
    <t>interactions</t>
  </si>
  <si>
    <t>habitat</t>
  </si>
  <si>
    <t>fundamental</t>
  </si>
  <si>
    <t>explain</t>
  </si>
  <si>
    <t>easy</t>
  </si>
  <si>
    <t>design</t>
  </si>
  <si>
    <t>consumption</t>
  </si>
  <si>
    <t>colleagues</t>
  </si>
  <si>
    <t>becoming</t>
  </si>
  <si>
    <t>ancestor</t>
  </si>
  <si>
    <t>allowed</t>
  </si>
  <si>
    <t>adults</t>
  </si>
  <si>
    <t>temperature</t>
  </si>
  <si>
    <t>technical</t>
  </si>
  <si>
    <t>systems</t>
  </si>
  <si>
    <t>require</t>
  </si>
  <si>
    <t>reduce</t>
  </si>
  <si>
    <t>psychologists</t>
  </si>
  <si>
    <t>provides</t>
  </si>
  <si>
    <t>primary</t>
  </si>
  <si>
    <t>needs</t>
  </si>
  <si>
    <t>matter</t>
  </si>
  <si>
    <t>lose</t>
  </si>
  <si>
    <t>linked</t>
  </si>
  <si>
    <t>internal</t>
  </si>
  <si>
    <t>innovation</t>
  </si>
  <si>
    <t>increase</t>
  </si>
  <si>
    <t>imagine</t>
  </si>
  <si>
    <t>house</t>
  </si>
  <si>
    <t>education</t>
  </si>
  <si>
    <t>decisions</t>
  </si>
  <si>
    <t>current</t>
  </si>
  <si>
    <t>creates</t>
  </si>
  <si>
    <t>belief</t>
  </si>
  <si>
    <t>behaviour</t>
  </si>
  <si>
    <t>association</t>
  </si>
  <si>
    <t>anything</t>
  </si>
  <si>
    <t>acquire</t>
  </si>
  <si>
    <t>absolute</t>
  </si>
  <si>
    <t>video</t>
  </si>
  <si>
    <t>thousands</t>
  </si>
  <si>
    <t>therefore</t>
  </si>
  <si>
    <t>sought</t>
  </si>
  <si>
    <t>series</t>
  </si>
  <si>
    <t>rural</t>
  </si>
  <si>
    <t>route</t>
  </si>
  <si>
    <t>relationships</t>
  </si>
  <si>
    <t>reality</t>
  </si>
  <si>
    <t>read</t>
  </si>
  <si>
    <t>politics</t>
  </si>
  <si>
    <t>party</t>
  </si>
  <si>
    <t>organization</t>
  </si>
  <si>
    <t>nor</t>
  </si>
  <si>
    <t>mind</t>
  </si>
  <si>
    <t>martian</t>
  </si>
  <si>
    <t>map</t>
  </si>
  <si>
    <t>main</t>
  </si>
  <si>
    <t>issue</t>
  </si>
  <si>
    <t>himself</t>
  </si>
  <si>
    <t>here</t>
  </si>
  <si>
    <t>health</t>
  </si>
  <si>
    <t>hard</t>
  </si>
  <si>
    <t>h</t>
  </si>
  <si>
    <t>gives</t>
  </si>
  <si>
    <t>gave</t>
  </si>
  <si>
    <t>field</t>
  </si>
  <si>
    <t>feelings</t>
  </si>
  <si>
    <t>feeling</t>
  </si>
  <si>
    <t>favor</t>
  </si>
  <si>
    <t>europe</t>
  </si>
  <si>
    <t>effort</t>
  </si>
  <si>
    <t>day</t>
  </si>
  <si>
    <t>continue</t>
  </si>
  <si>
    <t>combined</t>
  </si>
  <si>
    <t>climate</t>
  </si>
  <si>
    <t>classical</t>
  </si>
  <si>
    <t>class</t>
  </si>
  <si>
    <t>available</t>
  </si>
  <si>
    <t>weather</t>
  </si>
  <si>
    <t>taking</t>
  </si>
  <si>
    <t>subjective</t>
  </si>
  <si>
    <t>studies</t>
  </si>
  <si>
    <t>significant</t>
  </si>
  <si>
    <t>reveal</t>
  </si>
  <si>
    <t>respect</t>
  </si>
  <si>
    <t>remain</t>
  </si>
  <si>
    <t>re</t>
  </si>
  <si>
    <t>put</t>
  </si>
  <si>
    <t>policy</t>
  </si>
  <si>
    <t>photograph</t>
  </si>
  <si>
    <t>pattern</t>
  </si>
  <si>
    <t>participants</t>
  </si>
  <si>
    <t>maintain</t>
  </si>
  <si>
    <t>later</t>
  </si>
  <si>
    <t>late</t>
  </si>
  <si>
    <t>it's</t>
  </si>
  <si>
    <t>extremely</t>
  </si>
  <si>
    <t>educational</t>
  </si>
  <si>
    <t>degree</t>
  </si>
  <si>
    <t>condition</t>
  </si>
  <si>
    <t>closely</t>
  </si>
  <si>
    <t>assumption</t>
  </si>
  <si>
    <t>allows</t>
  </si>
  <si>
    <t>went</t>
  </si>
  <si>
    <t>views</t>
  </si>
  <si>
    <t>tv</t>
  </si>
  <si>
    <t>tree</t>
  </si>
  <si>
    <t>top</t>
  </si>
  <si>
    <t>spite</t>
  </si>
  <si>
    <t>spend</t>
  </si>
  <si>
    <t>represents</t>
  </si>
  <si>
    <t>possibly</t>
  </si>
  <si>
    <t>personality</t>
  </si>
  <si>
    <t>newspaper</t>
  </si>
  <si>
    <t>interest</t>
  </si>
  <si>
    <t>improve</t>
  </si>
  <si>
    <t>greatest</t>
  </si>
  <si>
    <t>generation</t>
  </si>
  <si>
    <t>felt</t>
  </si>
  <si>
    <t>exist</t>
  </si>
  <si>
    <t>deep</t>
  </si>
  <si>
    <t>charles</t>
  </si>
  <si>
    <t>aspect</t>
  </si>
  <si>
    <t>ancestors</t>
  </si>
  <si>
    <t>waste</t>
  </si>
  <si>
    <t>variety</t>
  </si>
  <si>
    <t>third</t>
  </si>
  <si>
    <t>teach</t>
  </si>
  <si>
    <t>service</t>
  </si>
  <si>
    <t>screen</t>
  </si>
  <si>
    <t>responsible</t>
  </si>
  <si>
    <t>refers</t>
  </si>
  <si>
    <t>psychological</t>
  </si>
  <si>
    <t>potential</t>
  </si>
  <si>
    <t>per</t>
  </si>
  <si>
    <t>organic</t>
  </si>
  <si>
    <t>ordinary</t>
  </si>
  <si>
    <t>objective</t>
  </si>
  <si>
    <t>middle</t>
  </si>
  <si>
    <t>merely</t>
  </si>
  <si>
    <t>kinds</t>
  </si>
  <si>
    <t>involved</t>
  </si>
  <si>
    <t>indicate</t>
  </si>
  <si>
    <t>impact</t>
  </si>
  <si>
    <t>immediate</t>
  </si>
  <si>
    <t>hormonal</t>
  </si>
  <si>
    <t>energy</t>
  </si>
  <si>
    <t>elements</t>
  </si>
  <si>
    <t>effects</t>
  </si>
  <si>
    <t>effect</t>
  </si>
  <si>
    <t>easier</t>
  </si>
  <si>
    <t>direct</t>
  </si>
  <si>
    <t>destroy</t>
  </si>
  <si>
    <t>describe</t>
  </si>
  <si>
    <t>continued</t>
  </si>
  <si>
    <t>code</t>
  </si>
  <si>
    <t>church</t>
  </si>
  <si>
    <t>buying</t>
  </si>
  <si>
    <t>breeding</t>
  </si>
  <si>
    <t>body</t>
  </si>
  <si>
    <t>attempts</t>
  </si>
  <si>
    <t>associates</t>
  </si>
  <si>
    <t>art</t>
  </si>
  <si>
    <t>aggressive</t>
  </si>
  <si>
    <t>yourself</t>
  </si>
  <si>
    <t>works</t>
  </si>
  <si>
    <t>web</t>
  </si>
  <si>
    <t>war</t>
  </si>
  <si>
    <t>wants</t>
  </si>
  <si>
    <t>trait</t>
  </si>
  <si>
    <t>thousand</t>
  </si>
  <si>
    <t>tended</t>
  </si>
  <si>
    <t>routes</t>
  </si>
  <si>
    <t>rising</t>
  </si>
  <si>
    <t>reports</t>
  </si>
  <si>
    <t>relation</t>
  </si>
  <si>
    <t>quite</t>
  </si>
  <si>
    <t>principle</t>
  </si>
  <si>
    <t>perspective</t>
  </si>
  <si>
    <t>performance</t>
  </si>
  <si>
    <t>people's</t>
  </si>
  <si>
    <t>parent</t>
  </si>
  <si>
    <t>opposed</t>
  </si>
  <si>
    <t>ocean</t>
  </si>
  <si>
    <t>manner</t>
  </si>
  <si>
    <t>maintenance</t>
  </si>
  <si>
    <t>liberals</t>
  </si>
  <si>
    <t>keeping</t>
  </si>
  <si>
    <t>intercultural</t>
  </si>
  <si>
    <t>instead</t>
  </si>
  <si>
    <t>instance</t>
  </si>
  <si>
    <t>ideal</t>
  </si>
  <si>
    <t>holds</t>
  </si>
  <si>
    <t>happened</t>
  </si>
  <si>
    <t>frame</t>
  </si>
  <si>
    <t>expected</t>
  </si>
  <si>
    <t>event</t>
  </si>
  <si>
    <t>erasmus</t>
  </si>
  <si>
    <t>emerge</t>
  </si>
  <si>
    <t>efficient</t>
  </si>
  <si>
    <t>effective</t>
  </si>
  <si>
    <t>economist</t>
  </si>
  <si>
    <t>dna</t>
  </si>
  <si>
    <t>disease</t>
  </si>
  <si>
    <t>direction</t>
  </si>
  <si>
    <t>designed</t>
  </si>
  <si>
    <t>depends</t>
  </si>
  <si>
    <t>debate</t>
  </si>
  <si>
    <t>college</t>
  </si>
  <si>
    <t>circumstance</t>
  </si>
  <si>
    <t>carried</t>
  </si>
  <si>
    <t>birth</t>
  </si>
  <si>
    <t>beings</t>
  </si>
  <si>
    <t>attributed</t>
  </si>
  <si>
    <t>ask</t>
  </si>
  <si>
    <t>advance</t>
  </si>
  <si>
    <t>unlike</t>
  </si>
  <si>
    <t>ultimately</t>
  </si>
  <si>
    <t>thinking</t>
  </si>
  <si>
    <t>ten</t>
  </si>
  <si>
    <t>symbols</t>
  </si>
  <si>
    <t>succeed</t>
  </si>
  <si>
    <t>standard</t>
  </si>
  <si>
    <t>slightly</t>
  </si>
  <si>
    <t>serve</t>
  </si>
  <si>
    <t>seemed</t>
  </si>
  <si>
    <t>satisfaction</t>
  </si>
  <si>
    <t>report</t>
  </si>
  <si>
    <t>relationship</t>
  </si>
  <si>
    <t>recently</t>
  </si>
  <si>
    <t>reading</t>
  </si>
  <si>
    <t>range</t>
  </si>
  <si>
    <t>product</t>
  </si>
  <si>
    <t>otherwise</t>
  </si>
  <si>
    <t>next</t>
  </si>
  <si>
    <t>nations</t>
  </si>
  <si>
    <t>nasa</t>
  </si>
  <si>
    <t>light</t>
  </si>
  <si>
    <t>interesting</t>
  </si>
  <si>
    <t>institute</t>
  </si>
  <si>
    <t>influence</t>
  </si>
  <si>
    <t>impossible</t>
  </si>
  <si>
    <t>hundreds</t>
  </si>
  <si>
    <t>god</t>
  </si>
  <si>
    <t>forces</t>
  </si>
  <si>
    <t>finally</t>
  </si>
  <si>
    <t>familiar</t>
  </si>
  <si>
    <t>expression</t>
  </si>
  <si>
    <t>existence</t>
  </si>
  <si>
    <t>essence</t>
  </si>
  <si>
    <t>enjoy</t>
  </si>
  <si>
    <t>driven</t>
  </si>
  <si>
    <t>diverse</t>
  </si>
  <si>
    <t>dialectal</t>
  </si>
  <si>
    <t>decision</t>
  </si>
  <si>
    <t>deal</t>
  </si>
  <si>
    <t>danger</t>
  </si>
  <si>
    <t>competition</t>
  </si>
  <si>
    <t>company</t>
  </si>
  <si>
    <t>communicate</t>
  </si>
  <si>
    <t>chimpanzee</t>
  </si>
  <si>
    <t>characterized</t>
  </si>
  <si>
    <t>characteristic</t>
  </si>
  <si>
    <t>character</t>
  </si>
  <si>
    <t>cd</t>
  </si>
  <si>
    <t>born</t>
  </si>
  <si>
    <t>bad</t>
  </si>
  <si>
    <t>ass</t>
  </si>
  <si>
    <t>aspects</t>
  </si>
  <si>
    <t>affairs</t>
  </si>
  <si>
    <t>wish</t>
  </si>
  <si>
    <t>whom</t>
  </si>
  <si>
    <t>wells</t>
  </si>
  <si>
    <t>versus</t>
  </si>
  <si>
    <t>version</t>
  </si>
  <si>
    <t>tendencies</t>
  </si>
  <si>
    <t>suffer</t>
  </si>
  <si>
    <t>subjects</t>
  </si>
  <si>
    <t>student</t>
  </si>
  <si>
    <t>spread</t>
  </si>
  <si>
    <t>simple</t>
  </si>
  <si>
    <t>represent</t>
  </si>
  <si>
    <t>red</t>
  </si>
  <si>
    <t>proved</t>
  </si>
  <si>
    <t>proportion</t>
  </si>
  <si>
    <t>progress</t>
  </si>
  <si>
    <t>productive</t>
  </si>
  <si>
    <t>predicted</t>
  </si>
  <si>
    <t>parties</t>
  </si>
  <si>
    <t>overcome</t>
  </si>
  <si>
    <t>occurs</t>
  </si>
  <si>
    <t>networking</t>
  </si>
  <si>
    <t>mar</t>
  </si>
  <si>
    <t>magazine</t>
  </si>
  <si>
    <t>looked</t>
  </si>
  <si>
    <t>judge</t>
  </si>
  <si>
    <t>issues</t>
  </si>
  <si>
    <t>increasingly</t>
  </si>
  <si>
    <t>increasing</t>
  </si>
  <si>
    <t>head</t>
  </si>
  <si>
    <t>happier</t>
  </si>
  <si>
    <t>grew</t>
  </si>
  <si>
    <t>giving</t>
  </si>
  <si>
    <t>genetically</t>
  </si>
  <si>
    <t>garlic</t>
  </si>
  <si>
    <t>failed</t>
  </si>
  <si>
    <t>extended</t>
  </si>
  <si>
    <t>expect</t>
  </si>
  <si>
    <t>evaluate</t>
  </si>
  <si>
    <t>economy</t>
  </si>
  <si>
    <t>discovery</t>
  </si>
  <si>
    <t>difference</t>
  </si>
  <si>
    <t>decade</t>
  </si>
  <si>
    <t>communicator</t>
  </si>
  <si>
    <t>collective</t>
  </si>
  <si>
    <t>classes</t>
  </si>
  <si>
    <t>chaos</t>
  </si>
  <si>
    <t>built</t>
  </si>
  <si>
    <t>bring</t>
  </si>
  <si>
    <t>biosphere</t>
  </si>
  <si>
    <t>behaviors</t>
  </si>
  <si>
    <t>annual</t>
  </si>
  <si>
    <t>advantage</t>
  </si>
  <si>
    <t>add</t>
  </si>
  <si>
    <t>worked</t>
  </si>
  <si>
    <t>wide</t>
  </si>
  <si>
    <t>western</t>
  </si>
  <si>
    <t>washoe</t>
  </si>
  <si>
    <t>virtually</t>
  </si>
  <si>
    <t>ve</t>
  </si>
  <si>
    <t>users</t>
  </si>
  <si>
    <t>thing</t>
  </si>
  <si>
    <t>thereby</t>
  </si>
  <si>
    <t>survival</t>
  </si>
  <si>
    <t>structural</t>
  </si>
  <si>
    <t>slave</t>
  </si>
  <si>
    <t>similarly</t>
  </si>
  <si>
    <t>showed</t>
  </si>
  <si>
    <t>serf</t>
  </si>
  <si>
    <t>separate</t>
  </si>
  <si>
    <t>saw</t>
  </si>
  <si>
    <t>rise</t>
  </si>
  <si>
    <t>resolution</t>
  </si>
  <si>
    <t>reflect</t>
  </si>
  <si>
    <t>provided</t>
  </si>
  <si>
    <t>proposed</t>
  </si>
  <si>
    <t>practices</t>
  </si>
  <si>
    <t>nervous</t>
  </si>
  <si>
    <t>neither</t>
  </si>
  <si>
    <t>negative</t>
  </si>
  <si>
    <t>molecular</t>
  </si>
  <si>
    <t>models</t>
  </si>
  <si>
    <t>mjo</t>
  </si>
  <si>
    <t>mistakes</t>
  </si>
  <si>
    <t>love</t>
  </si>
  <si>
    <t>largely</t>
  </si>
  <si>
    <t>languages</t>
  </si>
  <si>
    <t>john</t>
  </si>
  <si>
    <t>inner</t>
  </si>
  <si>
    <t>include</t>
  </si>
  <si>
    <t>growing</t>
  </si>
  <si>
    <t>farmland</t>
  </si>
  <si>
    <t>events</t>
  </si>
  <si>
    <t>estimates</t>
  </si>
  <si>
    <t>enables</t>
  </si>
  <si>
    <t>enable</t>
  </si>
  <si>
    <t>electric</t>
  </si>
  <si>
    <t>done</t>
  </si>
  <si>
    <t>distances</t>
  </si>
  <si>
    <t>defeat</t>
  </si>
  <si>
    <t>crucial</t>
  </si>
  <si>
    <t>cover</t>
  </si>
  <si>
    <t>constant</t>
  </si>
  <si>
    <t>consistent</t>
  </si>
  <si>
    <t>closest</t>
  </si>
  <si>
    <t>capacity</t>
  </si>
  <si>
    <t>break</t>
  </si>
  <si>
    <t>beyond</t>
  </si>
  <si>
    <t>aid</t>
  </si>
  <si>
    <t>address</t>
  </si>
  <si>
    <t>addition</t>
  </si>
  <si>
    <t>academic</t>
  </si>
  <si>
    <t>worse</t>
  </si>
  <si>
    <t>wealth</t>
  </si>
  <si>
    <t>understood</t>
  </si>
  <si>
    <t>trying</t>
  </si>
  <si>
    <t>towards</t>
  </si>
  <si>
    <t>target</t>
  </si>
  <si>
    <t>supply</t>
  </si>
  <si>
    <t>suitable</t>
  </si>
  <si>
    <t>stage</t>
  </si>
  <si>
    <t>shows</t>
  </si>
  <si>
    <t>shown</t>
  </si>
  <si>
    <t>sapiens</t>
  </si>
  <si>
    <t>questions</t>
  </si>
  <si>
    <t>products</t>
  </si>
  <si>
    <t>popular</t>
  </si>
  <si>
    <t>playing</t>
  </si>
  <si>
    <t>parts</t>
  </si>
  <si>
    <t>participatory</t>
  </si>
  <si>
    <t>page</t>
  </si>
  <si>
    <t>organisms</t>
  </si>
  <si>
    <t>organ</t>
  </si>
  <si>
    <t>older</t>
  </si>
  <si>
    <t>nevertheless</t>
  </si>
  <si>
    <t>nearly</t>
  </si>
  <si>
    <t>name</t>
  </si>
  <si>
    <t>multimedia</t>
  </si>
  <si>
    <t>mistake</t>
  </si>
  <si>
    <t>minimum</t>
  </si>
  <si>
    <t>message</t>
  </si>
  <si>
    <t>mere</t>
  </si>
  <si>
    <t>markers</t>
  </si>
  <si>
    <t>low</t>
  </si>
  <si>
    <t>justice</t>
  </si>
  <si>
    <t>indicates</t>
  </si>
  <si>
    <t>illustrate</t>
  </si>
  <si>
    <t>hypothesis</t>
  </si>
  <si>
    <t>higher</t>
  </si>
  <si>
    <t>harmful</t>
  </si>
  <si>
    <t>hardly</t>
  </si>
  <si>
    <t>gyllensten</t>
  </si>
  <si>
    <t>got</t>
  </si>
  <si>
    <t>friends</t>
  </si>
  <si>
    <t>fresh</t>
  </si>
  <si>
    <t>forced</t>
  </si>
  <si>
    <t>force</t>
  </si>
  <si>
    <t>film</t>
  </si>
  <si>
    <t>features</t>
  </si>
  <si>
    <t>extent</t>
  </si>
  <si>
    <t>explanation</t>
  </si>
  <si>
    <t>expansion</t>
  </si>
  <si>
    <t>establishing</t>
  </si>
  <si>
    <t>engage</t>
  </si>
  <si>
    <t>electronic</t>
  </si>
  <si>
    <t>either</t>
  </si>
  <si>
    <t>efforts</t>
  </si>
  <si>
    <t>dependent</t>
  </si>
  <si>
    <t>decline</t>
  </si>
  <si>
    <t>contribute</t>
  </si>
  <si>
    <t>components</t>
  </si>
  <si>
    <t>claim</t>
  </si>
  <si>
    <t>centuries</t>
  </si>
  <si>
    <t>cells</t>
  </si>
  <si>
    <t>cell</t>
  </si>
  <si>
    <t>begun</t>
  </si>
  <si>
    <t>aware</t>
  </si>
  <si>
    <t>argue</t>
  </si>
  <si>
    <t>achieved</t>
  </si>
  <si>
    <t>accept</t>
  </si>
  <si>
    <t>wave</t>
  </si>
  <si>
    <t>tax</t>
  </si>
  <si>
    <t>sure</t>
  </si>
  <si>
    <t>sources</t>
  </si>
  <si>
    <t>skill</t>
  </si>
  <si>
    <t>site</t>
  </si>
  <si>
    <t>sin</t>
  </si>
  <si>
    <t>sign</t>
  </si>
  <si>
    <t>shirt</t>
  </si>
  <si>
    <t>shared</t>
  </si>
  <si>
    <t>select</t>
  </si>
  <si>
    <t>search</t>
  </si>
  <si>
    <t>schools</t>
  </si>
  <si>
    <t>run</t>
  </si>
  <si>
    <t>ruler</t>
  </si>
  <si>
    <t>rest</t>
  </si>
  <si>
    <t>reforming</t>
  </si>
  <si>
    <t>rate</t>
  </si>
  <si>
    <t>rapidly</t>
  </si>
  <si>
    <t>private</t>
  </si>
  <si>
    <t>post</t>
  </si>
  <si>
    <t>positive</t>
  </si>
  <si>
    <t>personalization</t>
  </si>
  <si>
    <t>pc</t>
  </si>
  <si>
    <t>patent</t>
  </si>
  <si>
    <t>organs</t>
  </si>
  <si>
    <t>opposite</t>
  </si>
  <si>
    <t>opportunity</t>
  </si>
  <si>
    <t>near</t>
  </si>
  <si>
    <t>measure</t>
  </si>
  <si>
    <t>massive</t>
  </si>
  <si>
    <t>liberty</t>
  </si>
  <si>
    <t>justified</t>
  </si>
  <si>
    <t>james</t>
  </si>
  <si>
    <t>involve</t>
  </si>
  <si>
    <t>intensification</t>
  </si>
  <si>
    <t>inside</t>
  </si>
  <si>
    <t>india</t>
  </si>
  <si>
    <t>includes</t>
  </si>
  <si>
    <t>implication</t>
  </si>
  <si>
    <t>hour</t>
  </si>
  <si>
    <t>held</t>
  </si>
  <si>
    <t>gnps</t>
  </si>
  <si>
    <t>gnp</t>
  </si>
  <si>
    <t>gas</t>
  </si>
  <si>
    <t>garden</t>
  </si>
  <si>
    <t>fine</t>
  </si>
  <si>
    <t>existing</t>
  </si>
  <si>
    <t>exactly</t>
  </si>
  <si>
    <t>ethical</t>
  </si>
  <si>
    <t>established</t>
  </si>
  <si>
    <t>enlightenment</t>
  </si>
  <si>
    <t>elephant</t>
  </si>
  <si>
    <t>editing</t>
  </si>
  <si>
    <t>earlier</t>
  </si>
  <si>
    <t>drive</t>
  </si>
  <si>
    <t>don't</t>
  </si>
  <si>
    <t>directed</t>
  </si>
  <si>
    <t>delta</t>
  </si>
  <si>
    <t>defined</t>
  </si>
  <si>
    <t>constantly</t>
  </si>
  <si>
    <t>competence</t>
  </si>
  <si>
    <t>community</t>
  </si>
  <si>
    <t>communicative</t>
  </si>
  <si>
    <t>combine</t>
  </si>
  <si>
    <t>chimps</t>
  </si>
  <si>
    <t>chances</t>
  </si>
  <si>
    <t>asian</t>
  </si>
  <si>
    <t>argument</t>
  </si>
  <si>
    <t>anyone</t>
  </si>
  <si>
    <t>agricultural</t>
  </si>
  <si>
    <t>actual</t>
  </si>
  <si>
    <t>worth</t>
  </si>
  <si>
    <t>whatever</t>
  </si>
  <si>
    <t>viewed</t>
  </si>
  <si>
    <t>tradition</t>
  </si>
  <si>
    <t>trade</t>
  </si>
  <si>
    <t>touch</t>
  </si>
  <si>
    <t>title</t>
  </si>
  <si>
    <t>tasks</t>
  </si>
  <si>
    <t>survey</t>
  </si>
  <si>
    <t>stored</t>
  </si>
  <si>
    <t>speaking</t>
  </si>
  <si>
    <t>speak</t>
  </si>
  <si>
    <t>sound</t>
  </si>
  <si>
    <t>size</t>
  </si>
  <si>
    <t>sets</t>
  </si>
  <si>
    <t>send</t>
  </si>
  <si>
    <t>seek</t>
  </si>
  <si>
    <t>safe</t>
  </si>
  <si>
    <t>retreat</t>
  </si>
  <si>
    <t>regard</t>
  </si>
  <si>
    <t>reach</t>
  </si>
  <si>
    <t>rational</t>
  </si>
  <si>
    <t>providing</t>
  </si>
  <si>
    <t>professional</t>
  </si>
  <si>
    <t>processes</t>
  </si>
  <si>
    <t>privacy</t>
  </si>
  <si>
    <t>previously</t>
  </si>
  <si>
    <t>preserve</t>
  </si>
  <si>
    <t>prejudice</t>
  </si>
  <si>
    <t>one's</t>
  </si>
  <si>
    <t>odds</t>
  </si>
  <si>
    <t>normal</t>
  </si>
  <si>
    <t>none</t>
  </si>
  <si>
    <t>neurons</t>
  </si>
  <si>
    <t>network</t>
  </si>
  <si>
    <t>necessary</t>
  </si>
  <si>
    <t>music</t>
  </si>
  <si>
    <t>mtdna</t>
  </si>
  <si>
    <t>merit</t>
  </si>
  <si>
    <t>meant</t>
  </si>
  <si>
    <t>manners</t>
  </si>
  <si>
    <t>manipulation</t>
  </si>
  <si>
    <t>managed</t>
  </si>
  <si>
    <t>male</t>
  </si>
  <si>
    <t>links</t>
  </si>
  <si>
    <t>knows</t>
  </si>
  <si>
    <t>interpretation</t>
  </si>
  <si>
    <t>intellectual</t>
  </si>
  <si>
    <t>hot</t>
  </si>
  <si>
    <t>groundwater</t>
  </si>
  <si>
    <t>gene</t>
  </si>
  <si>
    <t>functions</t>
  </si>
  <si>
    <t>full</t>
  </si>
  <si>
    <t>fourth</t>
  </si>
  <si>
    <t>formed</t>
  </si>
  <si>
    <t>five</t>
  </si>
  <si>
    <t>fail</t>
  </si>
  <si>
    <t>expectations</t>
  </si>
  <si>
    <t>evolve</t>
  </si>
  <si>
    <t>essentially</t>
  </si>
  <si>
    <t>ecological</t>
  </si>
  <si>
    <t>dialects</t>
  </si>
  <si>
    <t>destiny</t>
  </si>
  <si>
    <t>democratic</t>
  </si>
  <si>
    <t>deeply</t>
  </si>
  <si>
    <t>configurational</t>
  </si>
  <si>
    <t>conducted</t>
  </si>
  <si>
    <t>concepts</t>
  </si>
  <si>
    <t>completely</t>
  </si>
  <si>
    <t>coming</t>
  </si>
  <si>
    <t>claims</t>
  </si>
  <si>
    <t>chimpanzees</t>
  </si>
  <si>
    <t>calculate</t>
  </si>
  <si>
    <t>brutal</t>
  </si>
  <si>
    <t>bound</t>
  </si>
  <si>
    <t>bird</t>
  </si>
  <si>
    <t>becomes</t>
  </si>
  <si>
    <t>asserted</t>
  </si>
  <si>
    <t>appear</t>
  </si>
  <si>
    <t>apes</t>
  </si>
  <si>
    <t>africans</t>
  </si>
  <si>
    <t>activities</t>
  </si>
  <si>
    <t>action</t>
  </si>
  <si>
    <t>wholly</t>
  </si>
  <si>
    <t>whereas</t>
  </si>
  <si>
    <t>vocal</t>
  </si>
  <si>
    <t>vehicle</t>
  </si>
  <si>
    <t>vast</t>
  </si>
  <si>
    <t>totally</t>
  </si>
  <si>
    <t>telephone</t>
  </si>
  <si>
    <t>talent</t>
  </si>
  <si>
    <t>sufficient</t>
  </si>
  <si>
    <t>suddenly</t>
  </si>
  <si>
    <t>succeeded</t>
  </si>
  <si>
    <t>store</t>
  </si>
  <si>
    <t>stood</t>
  </si>
  <si>
    <t>station</t>
  </si>
  <si>
    <t>sort</t>
  </si>
  <si>
    <t>somewhere</t>
  </si>
  <si>
    <t>skills</t>
  </si>
  <si>
    <t>sequence</t>
  </si>
  <si>
    <t>sea</t>
  </si>
  <si>
    <t>schemes</t>
  </si>
  <si>
    <t>scheme</t>
  </si>
  <si>
    <t>roots</t>
  </si>
  <si>
    <t>representation</t>
  </si>
  <si>
    <t>reported</t>
  </si>
  <si>
    <t>regions</t>
  </si>
  <si>
    <t>regardless</t>
  </si>
  <si>
    <t>reflects</t>
  </si>
  <si>
    <t>racial</t>
  </si>
  <si>
    <t>quickly</t>
  </si>
  <si>
    <t>professor</t>
  </si>
  <si>
    <t>possibility</t>
  </si>
  <si>
    <t>politicians</t>
  </si>
  <si>
    <t>points</t>
  </si>
  <si>
    <t>placed</t>
  </si>
  <si>
    <t>pieces</t>
  </si>
  <si>
    <t>pearl</t>
  </si>
  <si>
    <t>origins</t>
  </si>
  <si>
    <t>original</t>
  </si>
  <si>
    <t>nonetheless</t>
  </si>
  <si>
    <t>movements</t>
  </si>
  <si>
    <t>ministers</t>
  </si>
  <si>
    <t>metaphor</t>
  </si>
  <si>
    <t>logical</t>
  </si>
  <si>
    <t>location</t>
  </si>
  <si>
    <t>lies</t>
  </si>
  <si>
    <t>leave</t>
  </si>
  <si>
    <t>invented</t>
  </si>
  <si>
    <t>gestural</t>
  </si>
  <si>
    <t>gases</t>
  </si>
  <si>
    <t>freedom</t>
  </si>
  <si>
    <t>france</t>
  </si>
  <si>
    <t>eyes</t>
  </si>
  <si>
    <t>expanding</t>
  </si>
  <si>
    <t>excess</t>
  </si>
  <si>
    <t>ethic</t>
  </si>
  <si>
    <t>equal</t>
  </si>
  <si>
    <t>enlighten</t>
  </si>
  <si>
    <t>enemies</t>
  </si>
  <si>
    <t>encounter</t>
  </si>
  <si>
    <t>else</t>
  </si>
  <si>
    <t>electrical</t>
  </si>
  <si>
    <t>duration</t>
  </si>
  <si>
    <t>distinction</t>
  </si>
  <si>
    <t>distant</t>
  </si>
  <si>
    <t>descended</t>
  </si>
  <si>
    <t>democracy</t>
  </si>
  <si>
    <t>declaration</t>
  </si>
  <si>
    <t>d</t>
  </si>
  <si>
    <t>cycle</t>
  </si>
  <si>
    <t>critter</t>
  </si>
  <si>
    <t>conventional</t>
  </si>
  <si>
    <t>competent</t>
  </si>
  <si>
    <t>color</t>
  </si>
  <si>
    <t>changed</t>
  </si>
  <si>
    <t>central</t>
  </si>
  <si>
    <t>center</t>
  </si>
  <si>
    <t>career</t>
  </si>
  <si>
    <t>biodiversity</t>
  </si>
  <si>
    <t>basic</t>
  </si>
  <si>
    <t>assumed</t>
  </si>
  <si>
    <t>apply</t>
  </si>
  <si>
    <t>afford</t>
  </si>
  <si>
    <t>york</t>
  </si>
  <si>
    <t>wrong</t>
  </si>
  <si>
    <t>worried</t>
  </si>
  <si>
    <t>widespread</t>
  </si>
  <si>
    <t>whenever</t>
  </si>
  <si>
    <t>west</t>
  </si>
  <si>
    <t>watch</t>
  </si>
  <si>
    <t>vulture</t>
  </si>
  <si>
    <t>violent</t>
  </si>
  <si>
    <t>viewing</t>
  </si>
  <si>
    <t>victims</t>
  </si>
  <si>
    <t>variations</t>
  </si>
  <si>
    <t>uses</t>
  </si>
  <si>
    <t>tried</t>
  </si>
  <si>
    <t>text</t>
  </si>
  <si>
    <t>surprising</t>
  </si>
  <si>
    <t>successfully</t>
  </si>
  <si>
    <t>successful</t>
  </si>
  <si>
    <t>street</t>
  </si>
  <si>
    <t>started</t>
  </si>
  <si>
    <t>southern</t>
  </si>
  <si>
    <t>somehow</t>
  </si>
  <si>
    <t>solve</t>
  </si>
  <si>
    <t>societies</t>
  </si>
  <si>
    <t>setting</t>
  </si>
  <si>
    <t>sell</t>
  </si>
  <si>
    <t>secular</t>
  </si>
  <si>
    <t>rout</t>
  </si>
  <si>
    <t>roughly</t>
  </si>
  <si>
    <t>rom</t>
  </si>
  <si>
    <t>return</t>
  </si>
  <si>
    <t>rated</t>
  </si>
  <si>
    <t>psychologist</t>
  </si>
  <si>
    <t>prove</t>
  </si>
  <si>
    <t>promoted</t>
  </si>
  <si>
    <t>promote</t>
  </si>
  <si>
    <t>program</t>
  </si>
  <si>
    <t>productivity</t>
  </si>
  <si>
    <t>previous</t>
  </si>
  <si>
    <t>phenomenon</t>
  </si>
  <si>
    <t>organizational</t>
  </si>
  <si>
    <t>oneself</t>
  </si>
  <si>
    <t>offers</t>
  </si>
  <si>
    <t>news</t>
  </si>
  <si>
    <t>narrow</t>
  </si>
  <si>
    <t>multiregional</t>
  </si>
  <si>
    <t>multi</t>
  </si>
  <si>
    <t>minutes</t>
  </si>
  <si>
    <t>military</t>
  </si>
  <si>
    <t>manages</t>
  </si>
  <si>
    <t>majority</t>
  </si>
  <si>
    <t>lives</t>
  </si>
  <si>
    <t>literally</t>
  </si>
  <si>
    <t>leisure</t>
  </si>
  <si>
    <t>job</t>
  </si>
  <si>
    <t>jar</t>
  </si>
  <si>
    <t>irregularity</t>
  </si>
  <si>
    <t>intervention</t>
  </si>
  <si>
    <t>instruments</t>
  </si>
  <si>
    <t>innovations</t>
  </si>
  <si>
    <t>infusion</t>
  </si>
  <si>
    <t>industries</t>
  </si>
  <si>
    <t>industrialization</t>
  </si>
  <si>
    <t>hostile</t>
  </si>
  <si>
    <t>hierarchical</t>
  </si>
  <si>
    <t>heritage</t>
  </si>
  <si>
    <t>hands</t>
  </si>
  <si>
    <t>gods</t>
  </si>
  <si>
    <t>generations</t>
  </si>
  <si>
    <t>gender</t>
  </si>
  <si>
    <t>furthermore</t>
  </si>
  <si>
    <t>friend</t>
  </si>
  <si>
    <t>fossil</t>
  </si>
  <si>
    <t>fortunately</t>
  </si>
  <si>
    <t>fortunate</t>
  </si>
  <si>
    <t>fear</t>
  </si>
  <si>
    <t>explore</t>
  </si>
  <si>
    <t>everyone</t>
  </si>
  <si>
    <t>engaged</t>
  </si>
  <si>
    <t>eastern</t>
  </si>
  <si>
    <t>district</t>
  </si>
  <si>
    <t>discovered</t>
  </si>
  <si>
    <t>destructive</t>
  </si>
  <si>
    <t>desktop</t>
  </si>
  <si>
    <t>dangerous</t>
  </si>
  <si>
    <t>costs</t>
  </si>
  <si>
    <t>corporate</t>
  </si>
  <si>
    <t>consequences</t>
  </si>
  <si>
    <t>complicated</t>
  </si>
  <si>
    <t>cold</t>
  </si>
  <si>
    <t>care</t>
  </si>
  <si>
    <t>bone</t>
  </si>
  <si>
    <t>behind</t>
  </si>
  <si>
    <t>analyses</t>
  </si>
  <si>
    <t>americans</t>
  </si>
  <si>
    <t>alternative</t>
  </si>
  <si>
    <t>alone</t>
  </si>
  <si>
    <t>acts</t>
  </si>
  <si>
    <t>actions</t>
  </si>
  <si>
    <t>wild</t>
  </si>
  <si>
    <t>voice</t>
  </si>
  <si>
    <t>vision</t>
  </si>
  <si>
    <t>virtue</t>
  </si>
  <si>
    <t>variable</t>
  </si>
  <si>
    <t>v</t>
  </si>
  <si>
    <t>useful</t>
  </si>
  <si>
    <t>undergo</t>
  </si>
  <si>
    <t>transfer</t>
  </si>
  <si>
    <t>trained</t>
  </si>
  <si>
    <t>total</t>
  </si>
  <si>
    <t>testing</t>
  </si>
  <si>
    <t>teeth</t>
  </si>
  <si>
    <t>systematic</t>
  </si>
  <si>
    <t>symbol</t>
  </si>
  <si>
    <t>surprisingly</t>
  </si>
  <si>
    <t>suggestion</t>
  </si>
  <si>
    <t>structures</t>
  </si>
  <si>
    <t>strongest</t>
  </si>
  <si>
    <t>strict</t>
  </si>
  <si>
    <t>stay</t>
  </si>
  <si>
    <t>statistical</t>
  </si>
  <si>
    <t>starting</t>
  </si>
  <si>
    <t>specialization</t>
  </si>
  <si>
    <t>solution</t>
  </si>
  <si>
    <t>shift</t>
  </si>
  <si>
    <t>sharing</t>
  </si>
  <si>
    <t>sequences</t>
  </si>
  <si>
    <t>sensitive</t>
  </si>
  <si>
    <t>scenario</t>
  </si>
  <si>
    <t>revolutionary</t>
  </si>
  <si>
    <t>retain</t>
  </si>
  <si>
    <t>republicans</t>
  </si>
  <si>
    <t>reducing</t>
  </si>
  <si>
    <t>realize</t>
  </si>
  <si>
    <t>pump</t>
  </si>
  <si>
    <t>publishing</t>
  </si>
  <si>
    <t>programs</t>
  </si>
  <si>
    <t>principles</t>
  </si>
  <si>
    <t>prince</t>
  </si>
  <si>
    <t>presence</t>
  </si>
  <si>
    <t>powers</t>
  </si>
  <si>
    <t>pictures</t>
  </si>
  <si>
    <t>phrase</t>
  </si>
  <si>
    <t>paid</t>
  </si>
  <si>
    <t>pace</t>
  </si>
  <si>
    <t>organism</t>
  </si>
  <si>
    <t>observation</t>
  </si>
  <si>
    <t>modify</t>
  </si>
  <si>
    <t>mid</t>
  </si>
  <si>
    <t>maps</t>
  </si>
  <si>
    <t>manage</t>
  </si>
  <si>
    <t>locations</t>
  </si>
  <si>
    <t>kingdom</t>
  </si>
  <si>
    <t>jobs</t>
  </si>
  <si>
    <t>interpret</t>
  </si>
  <si>
    <t>integrate</t>
  </si>
  <si>
    <t>inevitably</t>
  </si>
  <si>
    <t>indian</t>
  </si>
  <si>
    <t>impetus</t>
  </si>
  <si>
    <t>imitation</t>
  </si>
  <si>
    <t>hours</t>
  </si>
  <si>
    <t>holding</t>
  </si>
  <si>
    <t>heads</t>
  </si>
  <si>
    <t>happens</t>
  </si>
  <si>
    <t>green</t>
  </si>
  <si>
    <t>goals</t>
  </si>
  <si>
    <t>goal</t>
  </si>
  <si>
    <t>gaia</t>
  </si>
  <si>
    <t>former</t>
  </si>
  <si>
    <t>focusing</t>
  </si>
  <si>
    <t>fighting</t>
  </si>
  <si>
    <t>festivals</t>
  </si>
  <si>
    <t>favorable</t>
  </si>
  <si>
    <t>fascinated</t>
  </si>
  <si>
    <t>fae</t>
  </si>
  <si>
    <t>faced</t>
  </si>
  <si>
    <t>expensive</t>
  </si>
  <si>
    <t>except</t>
  </si>
  <si>
    <t>examine</t>
  </si>
  <si>
    <t>equatorial</t>
  </si>
  <si>
    <t>environments</t>
  </si>
  <si>
    <t>entirely</t>
  </si>
  <si>
    <t>enlightened</t>
  </si>
  <si>
    <t>enabled</t>
  </si>
  <si>
    <t>emotions</t>
  </si>
  <si>
    <t>element</t>
  </si>
  <si>
    <t>electricity</t>
  </si>
  <si>
    <t>eight</t>
  </si>
  <si>
    <t>doctrine</t>
  </si>
  <si>
    <t>divine</t>
  </si>
  <si>
    <t>diverged</t>
  </si>
  <si>
    <t>despotism</t>
  </si>
  <si>
    <t>demand</t>
  </si>
  <si>
    <t>declined</t>
  </si>
  <si>
    <t>de</t>
  </si>
  <si>
    <t>daily</t>
  </si>
  <si>
    <t>cycles</t>
  </si>
  <si>
    <t>criticism</t>
  </si>
  <si>
    <t>critical</t>
  </si>
  <si>
    <t>contributed</t>
  </si>
  <si>
    <t>constructed</t>
  </si>
  <si>
    <t>conceal</t>
  </si>
  <si>
    <t>companies</t>
  </si>
  <si>
    <t>commonly</t>
  </si>
  <si>
    <t>challenge</t>
  </si>
  <si>
    <t>build</t>
  </si>
  <si>
    <t>biographies</t>
  </si>
  <si>
    <t>attention</t>
  </si>
  <si>
    <t>attend</t>
  </si>
  <si>
    <t>aside</t>
  </si>
  <si>
    <t>arose</t>
  </si>
  <si>
    <t>ape</t>
  </si>
  <si>
    <t>anatomical</t>
  </si>
  <si>
    <t>aim</t>
  </si>
  <si>
    <t>accurate</t>
  </si>
  <si>
    <t>accessible</t>
  </si>
  <si>
    <t>above</t>
  </si>
  <si>
    <t>youth</t>
  </si>
  <si>
    <t>younger</t>
  </si>
  <si>
    <t>weight</t>
  </si>
  <si>
    <t>weapons</t>
  </si>
  <si>
    <t>trees</t>
  </si>
  <si>
    <t>transformed</t>
  </si>
  <si>
    <t>transform</t>
  </si>
  <si>
    <t>training</t>
  </si>
  <si>
    <t>traditionally</t>
  </si>
  <si>
    <t>temperatures</t>
  </si>
  <si>
    <t>technological</t>
  </si>
  <si>
    <t>surprise</t>
  </si>
  <si>
    <t>subject</t>
  </si>
  <si>
    <t>strategy</t>
  </si>
  <si>
    <t>speech</t>
  </si>
  <si>
    <t>spanish</t>
  </si>
  <si>
    <t>soil</t>
  </si>
  <si>
    <t>slow</t>
  </si>
  <si>
    <t>side</t>
  </si>
  <si>
    <t>selection</t>
  </si>
  <si>
    <t>sanitation</t>
  </si>
  <si>
    <t>rivers</t>
  </si>
  <si>
    <t>ritual</t>
  </si>
  <si>
    <t>rites</t>
  </si>
  <si>
    <t>ring</t>
  </si>
  <si>
    <t>requires</t>
  </si>
  <si>
    <t>reproduction</t>
  </si>
  <si>
    <t>representative</t>
  </si>
  <si>
    <t>relatives</t>
  </si>
  <si>
    <t>regulation</t>
  </si>
  <si>
    <t>regarded</t>
  </si>
  <si>
    <t>reference</t>
  </si>
  <si>
    <t>reached</t>
  </si>
  <si>
    <t>radically</t>
  </si>
  <si>
    <t>putting</t>
  </si>
  <si>
    <t>published</t>
  </si>
  <si>
    <t>protect</t>
  </si>
  <si>
    <t>pre</t>
  </si>
  <si>
    <t>piece</t>
  </si>
  <si>
    <t>patents</t>
  </si>
  <si>
    <t>occurred</t>
  </si>
  <si>
    <t>notion</t>
  </si>
  <si>
    <t>negligible</t>
  </si>
  <si>
    <t>motion</t>
  </si>
  <si>
    <t>mother</t>
  </si>
  <si>
    <t>modernization</t>
  </si>
  <si>
    <t>meanings</t>
  </si>
  <si>
    <t>machine</t>
  </si>
  <si>
    <t>lost</t>
  </si>
  <si>
    <t>leaving</t>
  </si>
  <si>
    <t>leads</t>
  </si>
  <si>
    <t>law</t>
  </si>
  <si>
    <t>kitchen</t>
  </si>
  <si>
    <t>kevin</t>
  </si>
  <si>
    <t>kept</t>
  </si>
  <si>
    <t>inversion</t>
  </si>
  <si>
    <t>inventor</t>
  </si>
  <si>
    <t>interact</t>
  </si>
  <si>
    <t>intelligence</t>
  </si>
  <si>
    <t>industry</t>
  </si>
  <si>
    <t>included</t>
  </si>
  <si>
    <t>illustrates</t>
  </si>
  <si>
    <t>ii</t>
  </si>
  <si>
    <t>highest</t>
  </si>
  <si>
    <t>guide</t>
  </si>
  <si>
    <t>governments</t>
  </si>
  <si>
    <t>fully</t>
  </si>
  <si>
    <t>founding</t>
  </si>
  <si>
    <t>forget</t>
  </si>
  <si>
    <t>forecast</t>
  </si>
  <si>
    <t>followed</t>
  </si>
  <si>
    <t>final</t>
  </si>
  <si>
    <t>farming</t>
  </si>
  <si>
    <t>famine</t>
  </si>
  <si>
    <t>experts</t>
  </si>
  <si>
    <t>essay</t>
  </si>
  <si>
    <t>equilibrium</t>
  </si>
  <si>
    <t>entire</t>
  </si>
  <si>
    <t>enterprise</t>
  </si>
  <si>
    <t>english</t>
  </si>
  <si>
    <t>encourage</t>
  </si>
  <si>
    <t>ease</t>
  </si>
  <si>
    <t>dubious</t>
  </si>
  <si>
    <t>distribute</t>
  </si>
  <si>
    <t>difficulty</t>
  </si>
  <si>
    <t>destruction</t>
  </si>
  <si>
    <t>describes</t>
  </si>
  <si>
    <t>depict</t>
  </si>
  <si>
    <t>date</t>
  </si>
  <si>
    <t>controlling</t>
  </si>
  <si>
    <t>consideration</t>
  </si>
  <si>
    <t>conflict</t>
  </si>
  <si>
    <t>composition</t>
  </si>
  <si>
    <t>classic</t>
  </si>
  <si>
    <t>chemicals</t>
  </si>
  <si>
    <t>cellular</t>
  </si>
  <si>
    <t>bengal</t>
  </si>
  <si>
    <t>believed</t>
  </si>
  <si>
    <t>behaviorist</t>
  </si>
  <si>
    <t>audience</t>
  </si>
  <si>
    <t>attitude</t>
  </si>
  <si>
    <t>attain</t>
  </si>
  <si>
    <t>asia</t>
  </si>
  <si>
    <t>argued</t>
  </si>
  <si>
    <t>arbitrary</t>
  </si>
  <si>
    <t>approximate</t>
  </si>
  <si>
    <t>anthropomorphic</t>
  </si>
  <si>
    <t>advantageous</t>
  </si>
  <si>
    <t>accurately</t>
  </si>
  <si>
    <t>accelerated</t>
  </si>
  <si>
    <t>abroad</t>
  </si>
  <si>
    <t>worship</t>
  </si>
  <si>
    <t>worries</t>
  </si>
  <si>
    <t>won</t>
  </si>
  <si>
    <t>widely</t>
  </si>
  <si>
    <t>wear</t>
  </si>
  <si>
    <t>vocalization</t>
  </si>
  <si>
    <t>vehicles</t>
  </si>
  <si>
    <t>underlying</t>
  </si>
  <si>
    <t>typically</t>
  </si>
  <si>
    <t>tying</t>
  </si>
  <si>
    <t>twentieth</t>
  </si>
  <si>
    <t>trunk</t>
  </si>
  <si>
    <t>transformation</t>
  </si>
  <si>
    <t>town</t>
  </si>
  <si>
    <t>thirst</t>
  </si>
  <si>
    <t>tested</t>
  </si>
  <si>
    <t>test</t>
  </si>
  <si>
    <t>telling</t>
  </si>
  <si>
    <t>surveyed</t>
  </si>
  <si>
    <t>suburban</t>
  </si>
  <si>
    <t>stated</t>
  </si>
  <si>
    <t>songbird</t>
  </si>
  <si>
    <t>solved</t>
  </si>
  <si>
    <t>simultaneously</t>
  </si>
  <si>
    <t>silent</t>
  </si>
  <si>
    <t>signals</t>
  </si>
  <si>
    <t>siblings</t>
  </si>
  <si>
    <t>services</t>
  </si>
  <si>
    <t>sees</t>
  </si>
  <si>
    <t>salary</t>
  </si>
  <si>
    <t>safety</t>
  </si>
  <si>
    <t>ruled</t>
  </si>
  <si>
    <t>rooted</t>
  </si>
  <si>
    <t>retained</t>
  </si>
  <si>
    <t>responses</t>
  </si>
  <si>
    <t>replaced</t>
  </si>
  <si>
    <t>replace</t>
  </si>
  <si>
    <t>repeat</t>
  </si>
  <si>
    <t>reluctant</t>
  </si>
  <si>
    <t>refer</t>
  </si>
  <si>
    <t>reasoning</t>
  </si>
  <si>
    <t>really</t>
  </si>
  <si>
    <t>reaching</t>
  </si>
  <si>
    <t>quality</t>
  </si>
  <si>
    <t>purpose</t>
  </si>
  <si>
    <t>practice</t>
  </si>
  <si>
    <t>possess</t>
  </si>
  <si>
    <t>permits</t>
  </si>
  <si>
    <t>perceived</t>
  </si>
  <si>
    <t>patterns</t>
  </si>
  <si>
    <t>patient</t>
  </si>
  <si>
    <t>passive</t>
  </si>
  <si>
    <t>oscillation</t>
  </si>
  <si>
    <t>offspring</t>
  </si>
  <si>
    <t>occasion</t>
  </si>
  <si>
    <t>nonhuman</t>
  </si>
  <si>
    <t>native</t>
  </si>
  <si>
    <t>moment</t>
  </si>
  <si>
    <t>modified</t>
  </si>
  <si>
    <t>millennia</t>
  </si>
  <si>
    <t>messages</t>
  </si>
  <si>
    <t>mars</t>
  </si>
  <si>
    <t>marginal</t>
  </si>
  <si>
    <t>lived</t>
  </si>
  <si>
    <t>lightweight</t>
  </si>
  <si>
    <t>leading</t>
  </si>
  <si>
    <t>le</t>
  </si>
  <si>
    <t>latter</t>
  </si>
  <si>
    <t>kilograms</t>
  </si>
  <si>
    <t>investigate</t>
  </si>
  <si>
    <t>interests</t>
  </si>
  <si>
    <t>institutional</t>
  </si>
  <si>
    <t>initial</t>
  </si>
  <si>
    <t>infinite</t>
  </si>
  <si>
    <t>infants</t>
  </si>
  <si>
    <t>induced</t>
  </si>
  <si>
    <t>inclined</t>
  </si>
  <si>
    <t>improved</t>
  </si>
  <si>
    <t>ignore</t>
  </si>
  <si>
    <t>ideology</t>
  </si>
  <si>
    <t>hundred</t>
  </si>
  <si>
    <t>homo</t>
  </si>
  <si>
    <t>historic</t>
  </si>
  <si>
    <t>hire</t>
  </si>
  <si>
    <t>hence</t>
  </si>
  <si>
    <t>handle</t>
  </si>
  <si>
    <t>grow</t>
  </si>
  <si>
    <t>governmental</t>
  </si>
  <si>
    <t>germany</t>
  </si>
  <si>
    <t>genomes</t>
  </si>
  <si>
    <t>gay</t>
  </si>
  <si>
    <t>footprint</t>
  </si>
  <si>
    <t>flaw</t>
  </si>
  <si>
    <t>feudal</t>
  </si>
  <si>
    <t>feels</t>
  </si>
  <si>
    <t>faster</t>
  </si>
  <si>
    <t>fall</t>
  </si>
  <si>
    <t>facial</t>
  </si>
  <si>
    <t>extraordinary</t>
  </si>
  <si>
    <t>estimated</t>
  </si>
  <si>
    <t>errors</t>
  </si>
  <si>
    <t>environmentalism</t>
  </si>
  <si>
    <t>enormous</t>
  </si>
  <si>
    <t>emphasis</t>
  </si>
  <si>
    <t>emission</t>
  </si>
  <si>
    <t>eliminate</t>
  </si>
  <si>
    <t>efficiency</t>
  </si>
  <si>
    <t>ecosystems</t>
  </si>
  <si>
    <t>easily</t>
  </si>
  <si>
    <t>drawn</t>
  </si>
  <si>
    <t>dominant</t>
  </si>
  <si>
    <t>division</t>
  </si>
  <si>
    <t>discourse</t>
  </si>
  <si>
    <t>discourage</t>
  </si>
  <si>
    <t>disappear</t>
  </si>
  <si>
    <t>directly</t>
  </si>
  <si>
    <t>desire</t>
  </si>
  <si>
    <t>decided</t>
  </si>
  <si>
    <t>debatable</t>
  </si>
  <si>
    <t>credit</t>
  </si>
  <si>
    <t>creativity</t>
  </si>
  <si>
    <t>contact</t>
  </si>
  <si>
    <t>concerns</t>
  </si>
  <si>
    <t>complexity</t>
  </si>
  <si>
    <t>closer</t>
  </si>
  <si>
    <t>claimed</t>
  </si>
  <si>
    <t>cited</t>
  </si>
  <si>
    <t>changing</t>
  </si>
  <si>
    <t>building</t>
  </si>
  <si>
    <t>bottleneck</t>
  </si>
  <si>
    <t>books</t>
  </si>
  <si>
    <t>behave</t>
  </si>
  <si>
    <t>assessment</t>
  </si>
  <si>
    <t>appeared</t>
  </si>
  <si>
    <t>alligator</t>
  </si>
  <si>
    <t>ahead</t>
  </si>
  <si>
    <t>advances</t>
  </si>
  <si>
    <t>adjust</t>
  </si>
  <si>
    <t>adding</t>
  </si>
  <si>
    <t>adapted</t>
  </si>
  <si>
    <t>active</t>
  </si>
  <si>
    <t>yes</t>
  </si>
  <si>
    <t>write</t>
  </si>
  <si>
    <t>worthwhile</t>
  </si>
  <si>
    <t>world's</t>
  </si>
  <si>
    <t>women</t>
  </si>
  <si>
    <t>we're</t>
  </si>
  <si>
    <t>walk</t>
  </si>
  <si>
    <t>vitality</t>
  </si>
  <si>
    <t>visual</t>
  </si>
  <si>
    <t>variation</t>
  </si>
  <si>
    <t>types</t>
  </si>
  <si>
    <t>traveling</t>
  </si>
  <si>
    <t>threat</t>
  </si>
  <si>
    <t>thoughts</t>
  </si>
  <si>
    <t>taught</t>
  </si>
  <si>
    <t>talking</t>
  </si>
  <si>
    <t>survive</t>
  </si>
  <si>
    <t>surveys</t>
  </si>
  <si>
    <t>studied</t>
  </si>
  <si>
    <t>struggled</t>
  </si>
  <si>
    <t>strange</t>
  </si>
  <si>
    <t>story</t>
  </si>
  <si>
    <t>stone</t>
  </si>
  <si>
    <t>status</t>
  </si>
  <si>
    <t>statement</t>
  </si>
  <si>
    <t>stand</t>
  </si>
  <si>
    <t>sophisticated</t>
  </si>
  <si>
    <t>song</t>
  </si>
  <si>
    <t>solar</t>
  </si>
  <si>
    <t>sky</t>
  </si>
  <si>
    <t>severe</t>
  </si>
  <si>
    <t>seeing</t>
  </si>
  <si>
    <t>saying</t>
  </si>
  <si>
    <t>saved</t>
  </si>
  <si>
    <t>rooms</t>
  </si>
  <si>
    <t>robot</t>
  </si>
  <si>
    <t>restore</t>
  </si>
  <si>
    <t>rely</t>
  </si>
  <si>
    <t>regulations</t>
  </si>
  <si>
    <t>register</t>
  </si>
  <si>
    <t>regarding</t>
  </si>
  <si>
    <t>received</t>
  </si>
  <si>
    <t>realm</t>
  </si>
  <si>
    <t>raised</t>
  </si>
  <si>
    <t>radio</t>
  </si>
  <si>
    <t>puts</t>
  </si>
  <si>
    <t>prosperity</t>
  </si>
  <si>
    <t>projection</t>
  </si>
  <si>
    <t>producing</t>
  </si>
  <si>
    <t>privilege</t>
  </si>
  <si>
    <t>pressure</t>
  </si>
  <si>
    <t>pollution</t>
  </si>
  <si>
    <t>politeness</t>
  </si>
  <si>
    <t>philosophy</t>
  </si>
  <si>
    <t>pay</t>
  </si>
  <si>
    <t>passage</t>
  </si>
  <si>
    <t>oyster</t>
  </si>
  <si>
    <t>organized</t>
  </si>
  <si>
    <t>organizations</t>
  </si>
  <si>
    <t>orders</t>
  </si>
  <si>
    <t>oppose</t>
  </si>
  <si>
    <t>office</t>
  </si>
  <si>
    <t>occasionally</t>
  </si>
  <si>
    <t>observe</t>
  </si>
  <si>
    <t>nowhere</t>
  </si>
  <si>
    <t>note</t>
  </si>
  <si>
    <t>neutral</t>
  </si>
  <si>
    <t>method</t>
  </si>
  <si>
    <t>meet</t>
  </si>
  <si>
    <t>material</t>
  </si>
  <si>
    <t>married</t>
  </si>
  <si>
    <t>manufacturer</t>
  </si>
  <si>
    <t>loss</t>
  </si>
  <si>
    <t>link</t>
  </si>
  <si>
    <t>lie</t>
  </si>
  <si>
    <t>lady</t>
  </si>
  <si>
    <t>labor</t>
  </si>
  <si>
    <t>joy</t>
  </si>
  <si>
    <t>jet</t>
  </si>
  <si>
    <t>jane</t>
  </si>
  <si>
    <t>items</t>
  </si>
  <si>
    <t>introduced</t>
  </si>
  <si>
    <t>intensive</t>
  </si>
  <si>
    <t>instrument</t>
  </si>
  <si>
    <t>indicating</t>
  </si>
  <si>
    <t>huxley</t>
  </si>
  <si>
    <t>hope</t>
  </si>
  <si>
    <t>ground</t>
  </si>
  <si>
    <t>greatly</t>
  </si>
  <si>
    <t>graphic</t>
  </si>
  <si>
    <t>governance</t>
  </si>
  <si>
    <t>genius</t>
  </si>
  <si>
    <t>forcing</t>
  </si>
  <si>
    <t>flow</t>
  </si>
  <si>
    <t>flight</t>
  </si>
  <si>
    <t>financial</t>
  </si>
  <si>
    <t>figure</t>
  </si>
  <si>
    <t>feature</t>
  </si>
  <si>
    <t>explaining</t>
  </si>
  <si>
    <t>entity</t>
  </si>
  <si>
    <t>enter</t>
  </si>
  <si>
    <t>enhance</t>
  </si>
  <si>
    <t>enemy</t>
  </si>
  <si>
    <t>economically</t>
  </si>
  <si>
    <t>earn</t>
  </si>
  <si>
    <t>dry</t>
  </si>
  <si>
    <t>drinking</t>
  </si>
  <si>
    <t>dramatically</t>
  </si>
  <si>
    <t>dozens</t>
  </si>
  <si>
    <t>divorced</t>
  </si>
  <si>
    <t>diversity</t>
  </si>
  <si>
    <t>distinctive</t>
  </si>
  <si>
    <t>disrupted</t>
  </si>
  <si>
    <t>discussion</t>
  </si>
  <si>
    <t>dioxide</t>
  </si>
  <si>
    <t>designer</t>
  </si>
  <si>
    <t>depending</t>
  </si>
  <si>
    <t>days</t>
  </si>
  <si>
    <t>core</t>
  </si>
  <si>
    <t>convenient</t>
  </si>
  <si>
    <t>contrary</t>
  </si>
  <si>
    <t>continually</t>
  </si>
  <si>
    <t>contextual</t>
  </si>
  <si>
    <t>conservatives</t>
  </si>
  <si>
    <t>conservation</t>
  </si>
  <si>
    <t>consequence</t>
  </si>
  <si>
    <t>consent</t>
  </si>
  <si>
    <t>configuration</t>
  </si>
  <si>
    <t>completed</t>
  </si>
  <si>
    <t>comparisons</t>
  </si>
  <si>
    <t>close</t>
  </si>
  <si>
    <t>choice</t>
  </si>
  <si>
    <t>chakraborty</t>
  </si>
  <si>
    <t>chain</t>
  </si>
  <si>
    <t>category</t>
  </si>
  <si>
    <t>careful</t>
  </si>
  <si>
    <t>carbon</t>
  </si>
  <si>
    <t>buy</t>
  </si>
  <si>
    <t>bulk</t>
  </si>
  <si>
    <t>britain</t>
  </si>
  <si>
    <t>biological</t>
  </si>
  <si>
    <t>behavioral</t>
  </si>
  <si>
    <t>assess</t>
  </si>
  <si>
    <t>arise</t>
  </si>
  <si>
    <t>americas</t>
  </si>
  <si>
    <t>alongside</t>
  </si>
  <si>
    <t>affluent</t>
  </si>
  <si>
    <t>affiliation</t>
  </si>
  <si>
    <t>affects</t>
  </si>
  <si>
    <t>adjacent</t>
  </si>
  <si>
    <t>added</t>
  </si>
  <si>
    <t>acting</t>
  </si>
  <si>
    <t>achieve</t>
  </si>
  <si>
    <t>accident</t>
  </si>
  <si>
    <t>writing</t>
  </si>
  <si>
    <t>writers</t>
  </si>
  <si>
    <t>winston</t>
  </si>
  <si>
    <t>willing</t>
  </si>
  <si>
    <t>wildlife</t>
  </si>
  <si>
    <t>wherever</t>
  </si>
  <si>
    <t>victim</t>
  </si>
  <si>
    <t>varying</t>
  </si>
  <si>
    <t>unless</t>
  </si>
  <si>
    <t>unified</t>
  </si>
  <si>
    <t>ultimate</t>
  </si>
  <si>
    <t>twice</t>
  </si>
  <si>
    <t>turning</t>
  </si>
  <si>
    <t>turned</t>
  </si>
  <si>
    <t>tribe</t>
  </si>
  <si>
    <t>trial</t>
  </si>
  <si>
    <t>totalitarian</t>
  </si>
  <si>
    <t>tell</t>
  </si>
  <si>
    <t>synchronize</t>
  </si>
  <si>
    <t>sv</t>
  </si>
  <si>
    <t>superior</t>
  </si>
  <si>
    <t>summarizes</t>
  </si>
  <si>
    <t>successes</t>
  </si>
  <si>
    <t>subtle</t>
  </si>
  <si>
    <t>stuck</t>
  </si>
  <si>
    <t>stronger</t>
  </si>
  <si>
    <t>step</t>
  </si>
  <si>
    <t>stakes</t>
  </si>
  <si>
    <t>stages</t>
  </si>
  <si>
    <t>spiritual</t>
  </si>
  <si>
    <t>specialist</t>
  </si>
  <si>
    <t>spacecraft</t>
  </si>
  <si>
    <t>sold</t>
  </si>
  <si>
    <t>slowly</t>
  </si>
  <si>
    <t>sentences</t>
  </si>
  <si>
    <t>seize</t>
  </si>
  <si>
    <t>sediment</t>
  </si>
  <si>
    <t>scan</t>
  </si>
  <si>
    <t>satisfying</t>
  </si>
  <si>
    <t>samples</t>
  </si>
  <si>
    <t>repeated</t>
  </si>
  <si>
    <t>renewed</t>
  </si>
  <si>
    <t>reliable</t>
  </si>
  <si>
    <t>reject</t>
  </si>
  <si>
    <t>reinforce</t>
  </si>
  <si>
    <t>reforms</t>
  </si>
  <si>
    <t>reduction</t>
  </si>
  <si>
    <t>reduced</t>
  </si>
  <si>
    <t>recommended</t>
  </si>
  <si>
    <t>recognized</t>
  </si>
  <si>
    <t>recipient</t>
  </si>
  <si>
    <t>receive</t>
  </si>
  <si>
    <t>realized</t>
  </si>
  <si>
    <t>reactions</t>
  </si>
  <si>
    <t>rarely</t>
  </si>
  <si>
    <t>raising</t>
  </si>
  <si>
    <t>raise</t>
  </si>
  <si>
    <t>race</t>
  </si>
  <si>
    <t>quantity</t>
  </si>
  <si>
    <t>pulitzer</t>
  </si>
  <si>
    <t>publishers</t>
  </si>
  <si>
    <t>prosper</t>
  </si>
  <si>
    <t>produces</t>
  </si>
  <si>
    <t>print</t>
  </si>
  <si>
    <t>price</t>
  </si>
  <si>
    <t>prevent</t>
  </si>
  <si>
    <t>presidents</t>
  </si>
  <si>
    <t>predator</t>
  </si>
  <si>
    <t>photographs</t>
  </si>
  <si>
    <t>permanence</t>
  </si>
  <si>
    <t>perfect</t>
  </si>
  <si>
    <t>pdo</t>
  </si>
  <si>
    <t>parallels</t>
  </si>
  <si>
    <t>outdoors</t>
  </si>
  <si>
    <t>originally</t>
  </si>
  <si>
    <t>olds</t>
  </si>
  <si>
    <t>oblige</t>
  </si>
  <si>
    <t>objection</t>
  </si>
  <si>
    <t>noticed</t>
  </si>
  <si>
    <t>northern</t>
  </si>
  <si>
    <t>north</t>
  </si>
  <si>
    <t>norm</t>
  </si>
  <si>
    <t>namely</t>
  </si>
  <si>
    <t>months</t>
  </si>
  <si>
    <t>monkey</t>
  </si>
  <si>
    <t>mobilized</t>
  </si>
  <si>
    <t>mechanisms</t>
  </si>
  <si>
    <t>markedly</t>
  </si>
  <si>
    <t>mark</t>
  </si>
  <si>
    <t>manipulative</t>
  </si>
  <si>
    <t>makeup</t>
  </si>
  <si>
    <t>machiavelli</t>
  </si>
  <si>
    <t>m</t>
  </si>
  <si>
    <t>lowest</t>
  </si>
  <si>
    <t>looks</t>
  </si>
  <si>
    <t>linguists</t>
  </si>
  <si>
    <t>linguistic</t>
  </si>
  <si>
    <t>lighting</t>
  </si>
  <si>
    <t>lenin</t>
  </si>
  <si>
    <t>legal</t>
  </si>
  <si>
    <t>layer</t>
  </si>
  <si>
    <t>landscapes</t>
  </si>
  <si>
    <t>landscape</t>
  </si>
  <si>
    <t>kids</t>
  </si>
  <si>
    <t>julian</t>
  </si>
  <si>
    <t>italian</t>
  </si>
  <si>
    <t>inventing</t>
  </si>
  <si>
    <t>introduction</t>
  </si>
  <si>
    <t>international</t>
  </si>
  <si>
    <t>interacting</t>
  </si>
  <si>
    <t>intensify</t>
  </si>
  <si>
    <t>intelligent</t>
  </si>
  <si>
    <t>ing</t>
  </si>
  <si>
    <t>ineffective</t>
  </si>
  <si>
    <t>indigenous</t>
  </si>
  <si>
    <t>independently</t>
  </si>
  <si>
    <t>incoherence</t>
  </si>
  <si>
    <t>inadequacy</t>
  </si>
  <si>
    <t>imply</t>
  </si>
  <si>
    <t>hobbes</t>
  </si>
  <si>
    <t>hit</t>
  </si>
  <si>
    <t>hired</t>
  </si>
  <si>
    <t>hierarchy</t>
  </si>
  <si>
    <t>heterogeneous</t>
  </si>
  <si>
    <t>helping</t>
  </si>
  <si>
    <t>guiding</t>
  </si>
  <si>
    <t>guidance</t>
  </si>
  <si>
    <t>google's</t>
  </si>
  <si>
    <t>globalization</t>
  </si>
  <si>
    <t>gesture</t>
  </si>
  <si>
    <t>geophysical</t>
  </si>
  <si>
    <t>gaining</t>
  </si>
  <si>
    <t>fulfilling</t>
  </si>
  <si>
    <t>fruits</t>
  </si>
  <si>
    <t>frequently</t>
  </si>
  <si>
    <t>freely</t>
  </si>
  <si>
    <t>francis</t>
  </si>
  <si>
    <t>framework</t>
  </si>
  <si>
    <t>focus</t>
  </si>
  <si>
    <t>flood</t>
  </si>
  <si>
    <t>fleeing</t>
  </si>
  <si>
    <t>flat</t>
  </si>
  <si>
    <t>fields</t>
  </si>
  <si>
    <t>fearful</t>
  </si>
  <si>
    <t>fashions</t>
  </si>
  <si>
    <t>falcon</t>
  </si>
  <si>
    <t>fails</t>
  </si>
  <si>
    <t>factory</t>
  </si>
  <si>
    <t>faces</t>
  </si>
  <si>
    <t>eye</t>
  </si>
  <si>
    <t>extort</t>
  </si>
  <si>
    <t>exploration</t>
  </si>
  <si>
    <t>exploitation</t>
  </si>
  <si>
    <t>expectation</t>
  </si>
  <si>
    <t>exodus</t>
  </si>
  <si>
    <t>exclusively</t>
  </si>
  <si>
    <t>exact</t>
  </si>
  <si>
    <t>eventually</t>
  </si>
  <si>
    <t>eugenics</t>
  </si>
  <si>
    <t>ethnic</t>
  </si>
  <si>
    <t>estimating</t>
  </si>
  <si>
    <t>esteem</t>
  </si>
  <si>
    <t>entrepreneurs</t>
  </si>
  <si>
    <t>entrenched</t>
  </si>
  <si>
    <t>entertainment</t>
  </si>
  <si>
    <t>encountered</t>
  </si>
  <si>
    <t>employ</t>
  </si>
  <si>
    <t>elevation</t>
  </si>
  <si>
    <t>egocentric</t>
  </si>
  <si>
    <t>economics</t>
  </si>
  <si>
    <t>dramatic</t>
  </si>
  <si>
    <t>dominated</t>
  </si>
  <si>
    <t>dominance</t>
  </si>
  <si>
    <t>distribution</t>
  </si>
  <si>
    <t>discover</t>
  </si>
  <si>
    <t>dilemma</t>
  </si>
  <si>
    <t>develops</t>
  </si>
  <si>
    <t>determine</t>
  </si>
  <si>
    <t>detect</t>
  </si>
  <si>
    <t>destination</t>
  </si>
  <si>
    <t>despot</t>
  </si>
  <si>
    <t>derives</t>
  </si>
  <si>
    <t>democrats</t>
  </si>
  <si>
    <t>decrease</t>
  </si>
  <si>
    <t>decide</t>
  </si>
  <si>
    <t>cut</t>
  </si>
  <si>
    <t>custom</t>
  </si>
  <si>
    <t>countryside</t>
  </si>
  <si>
    <t>counterpart</t>
  </si>
  <si>
    <t>coordinate</t>
  </si>
  <si>
    <t>consumer</t>
  </si>
  <si>
    <t>connections</t>
  </si>
  <si>
    <t>compare</t>
  </si>
  <si>
    <t>communities</t>
  </si>
  <si>
    <t>committed</t>
  </si>
  <si>
    <t>commitment</t>
  </si>
  <si>
    <t>commit</t>
  </si>
  <si>
    <t>cod</t>
  </si>
  <si>
    <t>click</t>
  </si>
  <si>
    <t>circle</t>
  </si>
  <si>
    <t>churchill</t>
  </si>
  <si>
    <t>choose</t>
  </si>
  <si>
    <t>channel</t>
  </si>
  <si>
    <t>capita</t>
  </si>
  <si>
    <t>broadcast</t>
  </si>
  <si>
    <t>breed</t>
  </si>
  <si>
    <t>box</t>
  </si>
  <si>
    <t>billions</t>
  </si>
  <si>
    <t>balance</t>
  </si>
  <si>
    <t>badges</t>
  </si>
  <si>
    <t>badge</t>
  </si>
  <si>
    <t>bacon</t>
  </si>
  <si>
    <t>authors</t>
  </si>
  <si>
    <t>attempted</t>
  </si>
  <si>
    <t>attachment</t>
  </si>
  <si>
    <t>assume</t>
  </si>
  <si>
    <t>assigned</t>
  </si>
  <si>
    <t>aspirations</t>
  </si>
  <si>
    <t>arm</t>
  </si>
  <si>
    <t>argues</t>
  </si>
  <si>
    <t>apparently</t>
  </si>
  <si>
    <t>anew</t>
  </si>
  <si>
    <t>anatomy</t>
  </si>
  <si>
    <t>ambiguous</t>
  </si>
  <si>
    <t>alertness</t>
  </si>
  <si>
    <t>affect</t>
  </si>
  <si>
    <t>advertise</t>
  </si>
  <si>
    <t>advantages</t>
  </si>
  <si>
    <t>admit</t>
  </si>
  <si>
    <t>admiration</t>
  </si>
  <si>
    <t>accuracy</t>
  </si>
  <si>
    <t>academics</t>
  </si>
  <si>
    <t>writings</t>
  </si>
  <si>
    <t>worldwide</t>
  </si>
  <si>
    <t>woman</t>
  </si>
  <si>
    <t>willingness</t>
  </si>
  <si>
    <t>welfare</t>
  </si>
  <si>
    <t>week</t>
  </si>
  <si>
    <t>wealthier</t>
  </si>
  <si>
    <t>weakening</t>
  </si>
  <si>
    <t>wanted</t>
  </si>
  <si>
    <t>walking</t>
  </si>
  <si>
    <t>visualize</t>
  </si>
  <si>
    <t>visible</t>
  </si>
  <si>
    <t>village</t>
  </si>
  <si>
    <t>viewpoint</t>
  </si>
  <si>
    <t>variables</t>
  </si>
  <si>
    <t>unwilling</t>
  </si>
  <si>
    <t>unusually</t>
  </si>
  <si>
    <t>unexpectedly</t>
  </si>
  <si>
    <t>transport</t>
  </si>
  <si>
    <t>transforming</t>
  </si>
  <si>
    <t>track</t>
  </si>
  <si>
    <t>toyota</t>
  </si>
  <si>
    <t>tion</t>
  </si>
  <si>
    <t>thinks</t>
  </si>
  <si>
    <t>thereof</t>
  </si>
  <si>
    <t>tens</t>
  </si>
  <si>
    <t>tends</t>
  </si>
  <si>
    <t>temporal</t>
  </si>
  <si>
    <t>teaching</t>
  </si>
  <si>
    <t>tcp</t>
  </si>
  <si>
    <t>suited</t>
  </si>
  <si>
    <t>sudan</t>
  </si>
  <si>
    <t>sub</t>
  </si>
  <si>
    <t>string</t>
  </si>
  <si>
    <t>stress</t>
  </si>
  <si>
    <t>standards</t>
  </si>
  <si>
    <t>stable</t>
  </si>
  <si>
    <t>south</t>
  </si>
  <si>
    <t>solutions</t>
  </si>
  <si>
    <t>simplify</t>
  </si>
  <si>
    <t>sides</t>
  </si>
  <si>
    <t>shopping</t>
  </si>
  <si>
    <t>shape</t>
  </si>
  <si>
    <t>seventy</t>
  </si>
  <si>
    <t>sequential</t>
  </si>
  <si>
    <t>selected</t>
  </si>
  <si>
    <t>scientist</t>
  </si>
  <si>
    <t>scientifically</t>
  </si>
  <si>
    <t>save</t>
  </si>
  <si>
    <t>ruthless</t>
  </si>
  <si>
    <t>roman</t>
  </si>
  <si>
    <t>roles</t>
  </si>
  <si>
    <t>responsive</t>
  </si>
  <si>
    <t>response</t>
  </si>
  <si>
    <t>replacement</t>
  </si>
  <si>
    <t>remote</t>
  </si>
  <si>
    <t>remembered</t>
  </si>
  <si>
    <t>remained</t>
  </si>
  <si>
    <t>relief</t>
  </si>
  <si>
    <t>regulatory</t>
  </si>
  <si>
    <t>regulating</t>
  </si>
  <si>
    <t>regulated</t>
  </si>
  <si>
    <t>regulate</t>
  </si>
  <si>
    <t>regional</t>
  </si>
  <si>
    <t>regimes</t>
  </si>
  <si>
    <t>recognition</t>
  </si>
  <si>
    <t>readily</t>
  </si>
  <si>
    <t>react</t>
  </si>
  <si>
    <t>rates</t>
  </si>
  <si>
    <t>rare</t>
  </si>
  <si>
    <t>purchase</t>
  </si>
  <si>
    <t>psychology</t>
  </si>
  <si>
    <t>propulsion</t>
  </si>
  <si>
    <t>properties</t>
  </si>
  <si>
    <t>profit</t>
  </si>
  <si>
    <t>prisoner</t>
  </si>
  <si>
    <t>pretty</t>
  </si>
  <si>
    <t>prestigious</t>
  </si>
  <si>
    <t>prefer</t>
  </si>
  <si>
    <t>predict</t>
  </si>
  <si>
    <t>practical</t>
  </si>
  <si>
    <t>potentially</t>
  </si>
  <si>
    <t>photo</t>
  </si>
  <si>
    <t>phone</t>
  </si>
  <si>
    <t>persistent</t>
  </si>
  <si>
    <t>permit</t>
  </si>
  <si>
    <t>perceive</t>
  </si>
  <si>
    <t>peace</t>
  </si>
  <si>
    <t>passed</t>
  </si>
  <si>
    <t>pass</t>
  </si>
  <si>
    <t>pas</t>
  </si>
  <si>
    <t>pampas</t>
  </si>
  <si>
    <t>oxygen</t>
  </si>
  <si>
    <t>oxen</t>
  </si>
  <si>
    <t>originated</t>
  </si>
  <si>
    <t>orange</t>
  </si>
  <si>
    <t>opening</t>
  </si>
  <si>
    <t>occurring</t>
  </si>
  <si>
    <t>occurrence</t>
  </si>
  <si>
    <t>obtaining</t>
  </si>
  <si>
    <t>obey</t>
  </si>
  <si>
    <t>o</t>
  </si>
  <si>
    <t>numbers</t>
  </si>
  <si>
    <t>norms</t>
  </si>
  <si>
    <t>ngos</t>
  </si>
  <si>
    <t>multiple</t>
  </si>
  <si>
    <t>mr</t>
  </si>
  <si>
    <t>moving</t>
  </si>
  <si>
    <t>moreover</t>
  </si>
  <si>
    <t>modes</t>
  </si>
  <si>
    <t>mindanao</t>
  </si>
  <si>
    <t>memory</t>
  </si>
  <si>
    <t>medicine</t>
  </si>
  <si>
    <t>materials</t>
  </si>
  <si>
    <t>master</t>
  </si>
  <si>
    <t>market</t>
  </si>
  <si>
    <t>manufacturers</t>
  </si>
  <si>
    <t>maintaining</t>
  </si>
  <si>
    <t>lots</t>
  </si>
  <si>
    <t>longing</t>
  </si>
  <si>
    <t>located</t>
  </si>
  <si>
    <t>lion</t>
  </si>
  <si>
    <t>lacked</t>
  </si>
  <si>
    <t>l</t>
  </si>
  <si>
    <t>judging</t>
  </si>
  <si>
    <t>join</t>
  </si>
  <si>
    <t>japanese</t>
  </si>
  <si>
    <t>irrigation</t>
  </si>
  <si>
    <t>involves</t>
  </si>
  <si>
    <t>interference</t>
  </si>
  <si>
    <t>interbreed</t>
  </si>
  <si>
    <t>initially</t>
  </si>
  <si>
    <t>inherited</t>
  </si>
  <si>
    <t>inherent</t>
  </si>
  <si>
    <t>inform</t>
  </si>
  <si>
    <t>indulge</t>
  </si>
  <si>
    <t>individualism</t>
  </si>
  <si>
    <t>increases</t>
  </si>
  <si>
    <t>improvements</t>
  </si>
  <si>
    <t>imagined</t>
  </si>
  <si>
    <t>ideally</t>
  </si>
  <si>
    <t>hotter</t>
  </si>
  <si>
    <t>hormones</t>
  </si>
  <si>
    <t>helps</t>
  </si>
  <si>
    <t>height</t>
  </si>
  <si>
    <t>hawk</t>
  </si>
  <si>
    <t>handling</t>
  </si>
  <si>
    <t>gradually</t>
  </si>
  <si>
    <t>gordon</t>
  </si>
  <si>
    <t>gone</t>
  </si>
  <si>
    <t>gap</t>
  </si>
  <si>
    <t>game</t>
  </si>
  <si>
    <t>functional</t>
  </si>
  <si>
    <t>foster</t>
  </si>
  <si>
    <t>fixed</t>
  </si>
  <si>
    <t>fifth</t>
  </si>
  <si>
    <t>female</t>
  </si>
  <si>
    <t>fashion</t>
  </si>
  <si>
    <t>famous</t>
  </si>
  <si>
    <t>factor</t>
  </si>
  <si>
    <t>extra</t>
  </si>
  <si>
    <t>extends</t>
  </si>
  <si>
    <t>express</t>
  </si>
  <si>
    <t>exponential</t>
  </si>
  <si>
    <t>excessive</t>
  </si>
  <si>
    <t>environmentally</t>
  </si>
  <si>
    <t>entrance</t>
  </si>
  <si>
    <t>engineering</t>
  </si>
  <si>
    <t>encompasses</t>
  </si>
  <si>
    <t>enactment</t>
  </si>
  <si>
    <t>employing</t>
  </si>
  <si>
    <t>emotional</t>
  </si>
  <si>
    <t>ei</t>
  </si>
  <si>
    <t>edge</t>
  </si>
  <si>
    <t>doubt</t>
  </si>
  <si>
    <t>differently</t>
  </si>
  <si>
    <t>differ</t>
  </si>
  <si>
    <t>dialog</t>
  </si>
  <si>
    <t>determining</t>
  </si>
  <si>
    <t>determines</t>
  </si>
  <si>
    <t>detailed</t>
  </si>
  <si>
    <t>densely</t>
  </si>
  <si>
    <t>denies</t>
  </si>
  <si>
    <t>denied</t>
  </si>
  <si>
    <t>define</t>
  </si>
  <si>
    <t>david</t>
  </si>
  <si>
    <t>damage</t>
  </si>
  <si>
    <t>currently</t>
  </si>
  <si>
    <t>cross</t>
  </si>
  <si>
    <t>critics</t>
  </si>
  <si>
    <t>criticized</t>
  </si>
  <si>
    <t>creative</t>
  </si>
  <si>
    <t>covers</t>
  </si>
  <si>
    <t>courtship</t>
  </si>
  <si>
    <t>coupled</t>
  </si>
  <si>
    <t>correct</t>
  </si>
  <si>
    <t>contaminated</t>
  </si>
  <si>
    <t>containing</t>
  </si>
  <si>
    <t>conservative</t>
  </si>
  <si>
    <t>conscious</t>
  </si>
  <si>
    <t>conform</t>
  </si>
  <si>
    <t>concentrate</t>
  </si>
  <si>
    <t>collaborative</t>
  </si>
  <si>
    <t>coexist</t>
  </si>
  <si>
    <t>classroom</t>
  </si>
  <si>
    <t>civilization</t>
  </si>
  <si>
    <t>christian</t>
  </si>
  <si>
    <t>characterize</t>
  </si>
  <si>
    <t>channels</t>
  </si>
  <si>
    <t>chance</t>
  </si>
  <si>
    <t>causing</t>
  </si>
  <si>
    <t>carter</t>
  </si>
  <si>
    <t>carefully</t>
  </si>
  <si>
    <t>bto</t>
  </si>
  <si>
    <t>broken</t>
  </si>
  <si>
    <t>breakthroughs</t>
  </si>
  <si>
    <t>blame</t>
  </si>
  <si>
    <t>beliefs</t>
  </si>
  <si>
    <t>barrier</t>
  </si>
  <si>
    <t>background</t>
  </si>
  <si>
    <t>attribute</t>
  </si>
  <si>
    <t>attitudes</t>
  </si>
  <si>
    <t>attempting</t>
  </si>
  <si>
    <t>assign</t>
  </si>
  <si>
    <t>aristocracy</t>
  </si>
  <si>
    <t>apparent</t>
  </si>
  <si>
    <t>analyze</t>
  </si>
  <si>
    <t>am</t>
  </si>
  <si>
    <t>alive</t>
  </si>
  <si>
    <t>agencies</t>
  </si>
  <si>
    <t>advanced</t>
  </si>
  <si>
    <t>adult</t>
  </si>
  <si>
    <t>adopt</t>
  </si>
  <si>
    <t>accommodate</t>
  </si>
  <si>
    <t>accidents</t>
  </si>
  <si>
    <t>abandon</t>
  </si>
  <si>
    <t>you're</t>
  </si>
  <si>
    <t>wreck</t>
  </si>
  <si>
    <t>worldview</t>
  </si>
  <si>
    <t>wonders</t>
  </si>
  <si>
    <t>wisdom</t>
  </si>
  <si>
    <t>wired</t>
  </si>
  <si>
    <t>weak</t>
  </si>
  <si>
    <t>visit</t>
  </si>
  <si>
    <t>viking</t>
  </si>
  <si>
    <t>videos</t>
  </si>
  <si>
    <t>victories</t>
  </si>
  <si>
    <t>via</t>
  </si>
  <si>
    <t>vary</t>
  </si>
  <si>
    <t>urge</t>
  </si>
  <si>
    <t>urbanization</t>
  </si>
  <si>
    <t>unprotected</t>
  </si>
  <si>
    <t>unpredictable</t>
  </si>
  <si>
    <t>unprecedented</t>
  </si>
  <si>
    <t>unhappy</t>
  </si>
  <si>
    <t>underwent</t>
  </si>
  <si>
    <t>underprivileged</t>
  </si>
  <si>
    <t>twin</t>
  </si>
  <si>
    <t>truly</t>
  </si>
  <si>
    <t>troubled</t>
  </si>
  <si>
    <t>translated</t>
  </si>
  <si>
    <t>transition</t>
  </si>
  <si>
    <t>trample</t>
  </si>
  <si>
    <t>tragedy</t>
  </si>
  <si>
    <t>traditions</t>
  </si>
  <si>
    <t>tito</t>
  </si>
  <si>
    <t>there's</t>
  </si>
  <si>
    <t>thanks</t>
  </si>
  <si>
    <t>technically</t>
  </si>
  <si>
    <t>team</t>
  </si>
  <si>
    <t>tape</t>
  </si>
  <si>
    <t>talk</t>
  </si>
  <si>
    <t>swings</t>
  </si>
  <si>
    <t>sustain</t>
  </si>
  <si>
    <t>suspends</t>
  </si>
  <si>
    <t>susceptible</t>
  </si>
  <si>
    <t>suggesting</t>
  </si>
  <si>
    <t>substitute</t>
  </si>
  <si>
    <t>submitted</t>
  </si>
  <si>
    <t>submerge</t>
  </si>
  <si>
    <t>strongly</t>
  </si>
  <si>
    <t>strategies</t>
  </si>
  <si>
    <t>stipulate</t>
  </si>
  <si>
    <t>start</t>
  </si>
  <si>
    <t>square</t>
  </si>
  <si>
    <t>spying</t>
  </si>
  <si>
    <t>spreading</t>
  </si>
  <si>
    <t>spinoza</t>
  </si>
  <si>
    <t>spin</t>
  </si>
  <si>
    <t>speculate</t>
  </si>
  <si>
    <t>sparrow</t>
  </si>
  <si>
    <t>spain</t>
  </si>
  <si>
    <t>songbirds</t>
  </si>
  <si>
    <t>solicit</t>
  </si>
  <si>
    <t>socialism</t>
  </si>
  <si>
    <t>signaling</t>
  </si>
  <si>
    <t>signal</t>
  </si>
  <si>
    <t>sighted</t>
  </si>
  <si>
    <t>shed</t>
  </si>
  <si>
    <t>shaping</t>
  </si>
  <si>
    <t>shades</t>
  </si>
  <si>
    <t>settle</t>
  </si>
  <si>
    <t>servant</t>
  </si>
  <si>
    <t>sent</t>
  </si>
  <si>
    <t>sandel</t>
  </si>
  <si>
    <t>sacred</t>
  </si>
  <si>
    <t>russia</t>
  </si>
  <si>
    <t>rule</t>
  </si>
  <si>
    <t>rufous</t>
  </si>
  <si>
    <t>round</t>
  </si>
  <si>
    <t>rings</t>
  </si>
  <si>
    <t>rid</t>
  </si>
  <si>
    <t>revise</t>
  </si>
  <si>
    <t>reverse</t>
  </si>
  <si>
    <t>resort</t>
  </si>
  <si>
    <t>resist</t>
  </si>
  <si>
    <t>reproductive</t>
  </si>
  <si>
    <t>relate</t>
  </si>
  <si>
    <t>region</t>
  </si>
  <si>
    <t>reflected</t>
  </si>
  <si>
    <t>referred</t>
  </si>
  <si>
    <t>recovery</t>
  </si>
  <si>
    <t>rebel</t>
  </si>
  <si>
    <t>readiness</t>
  </si>
  <si>
    <t>reader</t>
  </si>
  <si>
    <t>rationalization</t>
  </si>
  <si>
    <t>purposes</t>
  </si>
  <si>
    <t>prussia</t>
  </si>
  <si>
    <t>provider</t>
  </si>
  <si>
    <t>prostitute</t>
  </si>
  <si>
    <t>programmed</t>
  </si>
  <si>
    <t>professionals</t>
  </si>
  <si>
    <t>profess</t>
  </si>
  <si>
    <t>prevents</t>
  </si>
  <si>
    <t>presenting</t>
  </si>
  <si>
    <t>preoccupation</t>
  </si>
  <si>
    <t>predominance</t>
  </si>
  <si>
    <t>predicting</t>
  </si>
  <si>
    <t>precision</t>
  </si>
  <si>
    <t>possessed</t>
  </si>
  <si>
    <t>portability</t>
  </si>
  <si>
    <t>pluralism</t>
  </si>
  <si>
    <t>plants</t>
  </si>
  <si>
    <t>plans</t>
  </si>
  <si>
    <t>planning</t>
  </si>
  <si>
    <t>piles</t>
  </si>
  <si>
    <t>pick</t>
  </si>
  <si>
    <t>piaget</t>
  </si>
  <si>
    <t>pheromone</t>
  </si>
  <si>
    <t>perfection</t>
  </si>
  <si>
    <t>pen</t>
  </si>
  <si>
    <t>pathway</t>
  </si>
  <si>
    <t>pasadena</t>
  </si>
  <si>
    <t>participate</t>
  </si>
  <si>
    <t>partially</t>
  </si>
  <si>
    <t>parliament</t>
  </si>
  <si>
    <t>parental</t>
  </si>
  <si>
    <t>parallel</t>
  </si>
  <si>
    <t>papers</t>
  </si>
  <si>
    <t>outsource</t>
  </si>
  <si>
    <t>oriented</t>
  </si>
  <si>
    <t>organize</t>
  </si>
  <si>
    <t>opponent</t>
  </si>
  <si>
    <t>operation</t>
  </si>
  <si>
    <t>oil</t>
  </si>
  <si>
    <t>obviously</t>
  </si>
  <si>
    <t>obviate</t>
  </si>
  <si>
    <t>observations</t>
  </si>
  <si>
    <t>nonbehavioral</t>
  </si>
  <si>
    <t>newspapers</t>
  </si>
  <si>
    <t>neutralize</t>
  </si>
  <si>
    <t>neuron</t>
  </si>
  <si>
    <t>neighborhood</t>
  </si>
  <si>
    <t>nearby</t>
  </si>
  <si>
    <t>neanderthals</t>
  </si>
  <si>
    <t>naturally</t>
  </si>
  <si>
    <t>nationality</t>
  </si>
  <si>
    <t>named</t>
  </si>
  <si>
    <t>mystery</t>
  </si>
  <si>
    <t>mould</t>
  </si>
  <si>
    <t>motivated</t>
  </si>
  <si>
    <t>monthly</t>
  </si>
  <si>
    <t>moderate</t>
  </si>
  <si>
    <t>misery</t>
  </si>
  <si>
    <t>miserable</t>
  </si>
  <si>
    <t>miracle</t>
  </si>
  <si>
    <t>met</t>
  </si>
  <si>
    <t>mercy</t>
  </si>
  <si>
    <t>meditation</t>
  </si>
  <si>
    <t>measures</t>
  </si>
  <si>
    <t>measured</t>
  </si>
  <si>
    <t>maximize</t>
  </si>
  <si>
    <t>marriage</t>
  </si>
  <si>
    <t>marked</t>
  </si>
  <si>
    <t>mapped</t>
  </si>
  <si>
    <t>mao</t>
  </si>
  <si>
    <t>manifold</t>
  </si>
  <si>
    <t>manifest</t>
  </si>
  <si>
    <t>malthusian</t>
  </si>
  <si>
    <t>maltese</t>
  </si>
  <si>
    <t>malfunction</t>
  </si>
  <si>
    <t>locke</t>
  </si>
  <si>
    <t>locally</t>
  </si>
  <si>
    <t>lifestyles</t>
  </si>
  <si>
    <t>liberation</t>
  </si>
  <si>
    <t>liberally</t>
  </si>
  <si>
    <t>legislation</t>
  </si>
  <si>
    <t>kings</t>
  </si>
  <si>
    <t>kindness</t>
  </si>
  <si>
    <t>joseph</t>
  </si>
  <si>
    <t>jointly</t>
  </si>
  <si>
    <t>jaw</t>
  </si>
  <si>
    <t>isn't</t>
  </si>
  <si>
    <t>island</t>
  </si>
  <si>
    <t>interactive</t>
  </si>
  <si>
    <t>integrated</t>
  </si>
  <si>
    <t>institution</t>
  </si>
  <si>
    <t>instinctively</t>
  </si>
  <si>
    <t>inspire</t>
  </si>
  <si>
    <t>insecticide</t>
  </si>
  <si>
    <t>innate</t>
  </si>
  <si>
    <t>ingenuity</t>
  </si>
  <si>
    <t>inference</t>
  </si>
  <si>
    <t>indulgent</t>
  </si>
  <si>
    <t>induce</t>
  </si>
  <si>
    <t>indifferent</t>
  </si>
  <si>
    <t>indicated</t>
  </si>
  <si>
    <t>independence</t>
  </si>
  <si>
    <t>indefinite</t>
  </si>
  <si>
    <t>inaugurate</t>
  </si>
  <si>
    <t>imperfect</t>
  </si>
  <si>
    <t>imperative</t>
  </si>
  <si>
    <t>immense</t>
  </si>
  <si>
    <t>illustrious</t>
  </si>
  <si>
    <t>ignorance</t>
  </si>
  <si>
    <t>hospital</t>
  </si>
  <si>
    <t>holder</t>
  </si>
  <si>
    <t>hectare</t>
  </si>
  <si>
    <t>healthy</t>
  </si>
  <si>
    <t>hatching</t>
  </si>
  <si>
    <t>harmony</t>
  </si>
  <si>
    <t>hardware</t>
  </si>
  <si>
    <t>harder</t>
  </si>
  <si>
    <t>halt</t>
  </si>
  <si>
    <t>grind</t>
  </si>
  <si>
    <t>granted</t>
  </si>
  <si>
    <t>glamorous</t>
  </si>
  <si>
    <t>generalization</t>
  </si>
  <si>
    <t>gaulle</t>
  </si>
  <si>
    <t>fu</t>
  </si>
  <si>
    <t>friendly</t>
  </si>
  <si>
    <t>frederick</t>
  </si>
  <si>
    <t>fossils</t>
  </si>
  <si>
    <t>fortune</t>
  </si>
  <si>
    <t>formulas</t>
  </si>
  <si>
    <t>forgetting</t>
  </si>
  <si>
    <t>follows</t>
  </si>
  <si>
    <t>fit</t>
  </si>
  <si>
    <t>finite</t>
  </si>
  <si>
    <t>finished</t>
  </si>
  <si>
    <t>fight</t>
  </si>
  <si>
    <t>feudalism</t>
  </si>
  <si>
    <t>fellow</t>
  </si>
  <si>
    <t>feed</t>
  </si>
  <si>
    <t>farm</t>
  </si>
  <si>
    <t>fared</t>
  </si>
  <si>
    <t>facilitates</t>
  </si>
  <si>
    <t>extinct</t>
  </si>
  <si>
    <t>explorations</t>
  </si>
  <si>
    <t>exploit</t>
  </si>
  <si>
    <t>expert</t>
  </si>
  <si>
    <t>experimental</t>
  </si>
  <si>
    <t>experienced</t>
  </si>
  <si>
    <t>excluded</t>
  </si>
  <si>
    <t>examples</t>
  </si>
  <si>
    <t>evidently</t>
  </si>
  <si>
    <t>everyday</t>
  </si>
  <si>
    <t>everybody</t>
  </si>
  <si>
    <t>escape</t>
  </si>
  <si>
    <t>erroneous</t>
  </si>
  <si>
    <t>equipment</t>
  </si>
  <si>
    <t>environmentalist</t>
  </si>
  <si>
    <t>enumerate</t>
  </si>
  <si>
    <t>entitled</t>
  </si>
  <si>
    <t>engine</t>
  </si>
  <si>
    <t>encourages</t>
  </si>
  <si>
    <t>encouraged</t>
  </si>
  <si>
    <t>employed</t>
  </si>
  <si>
    <t>emphasize</t>
  </si>
  <si>
    <t>emit</t>
  </si>
  <si>
    <t>embedded</t>
  </si>
  <si>
    <t>eliminating</t>
  </si>
  <si>
    <t>drug</t>
  </si>
  <si>
    <t>drought</t>
  </si>
  <si>
    <t>doomsaying</t>
  </si>
  <si>
    <t>domestic</t>
  </si>
  <si>
    <t>divergence</t>
  </si>
  <si>
    <t>disunion</t>
  </si>
  <si>
    <t>dispute</t>
  </si>
  <si>
    <t>displace</t>
  </si>
  <si>
    <t>dispense</t>
  </si>
  <si>
    <t>discharge</t>
  </si>
  <si>
    <t>dialect</t>
  </si>
  <si>
    <t>devote</t>
  </si>
  <si>
    <t>detract</t>
  </si>
  <si>
    <t>description</t>
  </si>
  <si>
    <t>depicted</t>
  </si>
  <si>
    <t>depend</t>
  </si>
  <si>
    <t>demonstrate</t>
  </si>
  <si>
    <t>delirium</t>
  </si>
  <si>
    <t>degrees</t>
  </si>
  <si>
    <t>deflect</t>
  </si>
  <si>
    <t>definite</t>
  </si>
  <si>
    <t>defines</t>
  </si>
  <si>
    <t>declare</t>
  </si>
  <si>
    <t>death</t>
  </si>
  <si>
    <t>cyclic</t>
  </si>
  <si>
    <t>cue</t>
  </si>
  <si>
    <t>criterion</t>
  </si>
  <si>
    <t>creation</t>
  </si>
  <si>
    <t>courage</t>
  </si>
  <si>
    <t>correlate</t>
  </si>
  <si>
    <t>continuously</t>
  </si>
  <si>
    <t>contestant</t>
  </si>
  <si>
    <t>contends</t>
  </si>
  <si>
    <t>contemporary</t>
  </si>
  <si>
    <t>construct</t>
  </si>
  <si>
    <t>constraint</t>
  </si>
  <si>
    <t>constitutional</t>
  </si>
  <si>
    <t>constitution</t>
  </si>
  <si>
    <t>consistently</t>
  </si>
  <si>
    <t>conflicting</t>
  </si>
  <si>
    <t>confirm</t>
  </si>
  <si>
    <t>conduct</t>
  </si>
  <si>
    <t>concentrated</t>
  </si>
  <si>
    <t>computers</t>
  </si>
  <si>
    <t>compel</t>
  </si>
  <si>
    <t>commerce</t>
  </si>
  <si>
    <t>commands</t>
  </si>
  <si>
    <t>comic</t>
  </si>
  <si>
    <t>colony</t>
  </si>
  <si>
    <t>colonies</t>
  </si>
  <si>
    <t>coercion</t>
  </si>
  <si>
    <t>coalition</t>
  </si>
  <si>
    <t>cluster</t>
  </si>
  <si>
    <t>closed</t>
  </si>
  <si>
    <t>clocks</t>
  </si>
  <si>
    <t>charismatic</t>
  </si>
  <si>
    <t>cereal</t>
  </si>
  <si>
    <t>carrying</t>
  </si>
  <si>
    <t>calvin</t>
  </si>
  <si>
    <t>california</t>
  </si>
  <si>
    <t>bureaucracy</t>
  </si>
  <si>
    <t>buildings</t>
  </si>
  <si>
    <t>bug</t>
  </si>
  <si>
    <t>brittle</t>
  </si>
  <si>
    <t>brink</t>
  </si>
  <si>
    <t>borne</t>
  </si>
  <si>
    <t>bond</t>
  </si>
  <si>
    <t>blocks</t>
  </si>
  <si>
    <t>block</t>
  </si>
  <si>
    <t>big</t>
  </si>
  <si>
    <t>belong</t>
  </si>
  <si>
    <t>begins</t>
  </si>
  <si>
    <t>barbarians</t>
  </si>
  <si>
    <t>austria</t>
  </si>
  <si>
    <t>attack</t>
  </si>
  <si>
    <t>appreciate</t>
  </si>
  <si>
    <t>appliance</t>
  </si>
  <si>
    <t>appeal</t>
  </si>
  <si>
    <t>anticlericalism</t>
  </si>
  <si>
    <t>anthropocentrism</t>
  </si>
  <si>
    <t>animation</t>
  </si>
  <si>
    <t>ancestral</t>
  </si>
  <si>
    <t>analogy</t>
  </si>
  <si>
    <t>altruism</t>
  </si>
  <si>
    <t>ages</t>
  </si>
  <si>
    <t>acted</t>
  </si>
  <si>
    <t>achievements</t>
  </si>
  <si>
    <t>accordingly</t>
  </si>
  <si>
    <t>access</t>
  </si>
  <si>
    <t>accepted</t>
  </si>
  <si>
    <t>accelerate</t>
  </si>
  <si>
    <t>zero</t>
  </si>
  <si>
    <t>wonder</t>
  </si>
  <si>
    <t>winds</t>
  </si>
  <si>
    <t>wind</t>
  </si>
  <si>
    <t>weakness</t>
  </si>
  <si>
    <t>watcher</t>
  </si>
  <si>
    <t>walter</t>
  </si>
  <si>
    <t>volunteers</t>
  </si>
  <si>
    <t>valve</t>
  </si>
  <si>
    <t>valuing</t>
  </si>
  <si>
    <t>utilize</t>
  </si>
  <si>
    <t>upgrade</t>
  </si>
  <si>
    <t>unnecessary</t>
  </si>
  <si>
    <t>unforeseen</t>
  </si>
  <si>
    <t>undertake</t>
  </si>
  <si>
    <t>undermine</t>
  </si>
  <si>
    <t>uncovered</t>
  </si>
  <si>
    <t>unable</t>
  </si>
  <si>
    <t>turns</t>
  </si>
  <si>
    <t>trouble</t>
  </si>
  <si>
    <t>trends</t>
  </si>
  <si>
    <t>transportation</t>
  </si>
  <si>
    <t>transparent</t>
  </si>
  <si>
    <t>tough</t>
  </si>
  <si>
    <t>tie</t>
  </si>
  <si>
    <t>thrown</t>
  </si>
  <si>
    <t>threaten</t>
  </si>
  <si>
    <t>thorough</t>
  </si>
  <si>
    <t>thich</t>
  </si>
  <si>
    <t>therapy</t>
  </si>
  <si>
    <t>theories</t>
  </si>
  <si>
    <t>tests</t>
  </si>
  <si>
    <t>terminology</t>
  </si>
  <si>
    <t>technique</t>
  </si>
  <si>
    <t>teachers</t>
  </si>
  <si>
    <t>talented</t>
  </si>
  <si>
    <t>swept</t>
  </si>
  <si>
    <t>summer</t>
  </si>
  <si>
    <t>successive</t>
  </si>
  <si>
    <t>substantial</t>
  </si>
  <si>
    <t>subsidize</t>
  </si>
  <si>
    <t>subsequently</t>
  </si>
  <si>
    <t>studying</t>
  </si>
  <si>
    <t>strengthening</t>
  </si>
  <si>
    <t>storage</t>
  </si>
  <si>
    <t>stop</t>
  </si>
  <si>
    <t>statistics</t>
  </si>
  <si>
    <t>stagnant</t>
  </si>
  <si>
    <t>speed</t>
  </si>
  <si>
    <t>specifically</t>
  </si>
  <si>
    <t>specially</t>
  </si>
  <si>
    <t>solidarity</t>
  </si>
  <si>
    <t>socioeconomic</t>
  </si>
  <si>
    <t>socio</t>
  </si>
  <si>
    <t>socially</t>
  </si>
  <si>
    <t>slips</t>
  </si>
  <si>
    <t>sixties</t>
  </si>
  <si>
    <t>simpler</t>
  </si>
  <si>
    <t>sight</t>
  </si>
  <si>
    <t>shirts</t>
  </si>
  <si>
    <t>sex</t>
  </si>
  <si>
    <t>severely</t>
  </si>
  <si>
    <t>settlements</t>
  </si>
  <si>
    <t>sensations</t>
  </si>
  <si>
    <t>selectively</t>
  </si>
  <si>
    <t>security</t>
  </si>
  <si>
    <t>secretly</t>
  </si>
  <si>
    <t>scene</t>
  </si>
  <si>
    <t>savage</t>
  </si>
  <si>
    <t>sarah</t>
  </si>
  <si>
    <t>ruined</t>
  </si>
  <si>
    <t>robust</t>
  </si>
  <si>
    <t>rival</t>
  </si>
  <si>
    <t>revitalization</t>
  </si>
  <si>
    <t>reversal</t>
  </si>
  <si>
    <t>repetition</t>
  </si>
  <si>
    <t>removed</t>
  </si>
  <si>
    <t>reliability</t>
  </si>
  <si>
    <t>relevant</t>
  </si>
  <si>
    <t>relevance</t>
  </si>
  <si>
    <t>relaxation</t>
  </si>
  <si>
    <t>referring</t>
  </si>
  <si>
    <t>reduces</t>
  </si>
  <si>
    <t>recaptured</t>
  </si>
  <si>
    <t>raw</t>
  </si>
  <si>
    <t>random</t>
  </si>
  <si>
    <t>quit</t>
  </si>
  <si>
    <t>provision</t>
  </si>
  <si>
    <t>proves</t>
  </si>
  <si>
    <t>proposals</t>
  </si>
  <si>
    <t>prophecy</t>
  </si>
  <si>
    <t>prone</t>
  </si>
  <si>
    <t>professors</t>
  </si>
  <si>
    <t>probability</t>
  </si>
  <si>
    <t>prize</t>
  </si>
  <si>
    <t>printed</t>
  </si>
  <si>
    <t>pressures</t>
  </si>
  <si>
    <t>popularity</t>
  </si>
  <si>
    <t>policies</t>
  </si>
  <si>
    <t>poetry</t>
  </si>
  <si>
    <t>players</t>
  </si>
  <si>
    <t>planets</t>
  </si>
  <si>
    <t>places</t>
  </si>
  <si>
    <t>personify</t>
  </si>
  <si>
    <t>performers</t>
  </si>
  <si>
    <t>perform</t>
  </si>
  <si>
    <t>perception</t>
  </si>
  <si>
    <t>passionate</t>
  </si>
  <si>
    <t>paradoxically</t>
  </si>
  <si>
    <t>outstrip</t>
  </si>
  <si>
    <t>organizing</t>
  </si>
  <si>
    <t>onto</t>
  </si>
  <si>
    <t>official</t>
  </si>
  <si>
    <t>offense</t>
  </si>
  <si>
    <t>obvious</t>
  </si>
  <si>
    <t>obtain</t>
  </si>
  <si>
    <t>obstacles</t>
  </si>
  <si>
    <t>observed</t>
  </si>
  <si>
    <t>nuclei</t>
  </si>
  <si>
    <t>nuclear</t>
  </si>
  <si>
    <t>normally</t>
  </si>
  <si>
    <t>nonlinear</t>
  </si>
  <si>
    <t>night</t>
  </si>
  <si>
    <t>nhat</t>
  </si>
  <si>
    <t>mutual</t>
  </si>
  <si>
    <t>musical</t>
  </si>
  <si>
    <t>museum</t>
  </si>
  <si>
    <t>movies</t>
  </si>
  <si>
    <t>moved</t>
  </si>
  <si>
    <t>motor</t>
  </si>
  <si>
    <t>moon</t>
  </si>
  <si>
    <t>month</t>
  </si>
  <si>
    <t>monsoon</t>
  </si>
  <si>
    <t>monitor</t>
  </si>
  <si>
    <t>modifying</t>
  </si>
  <si>
    <t>mitochondrion</t>
  </si>
  <si>
    <t>mindfulness</t>
  </si>
  <si>
    <t>mild</t>
  </si>
  <si>
    <t>michael</t>
  </si>
  <si>
    <t>methane</t>
  </si>
  <si>
    <t>metaphoric</t>
  </si>
  <si>
    <t>member</t>
  </si>
  <si>
    <t>mediocre</t>
  </si>
  <si>
    <t>mediate</t>
  </si>
  <si>
    <t>measuring</t>
  </si>
  <si>
    <t>maybe</t>
  </si>
  <si>
    <t>mathematically</t>
  </si>
  <si>
    <t>match</t>
  </si>
  <si>
    <t>mask</t>
  </si>
  <si>
    <t>marks</t>
  </si>
  <si>
    <t>ludwig</t>
  </si>
  <si>
    <t>lines</t>
  </si>
  <si>
    <t>lifestyle</t>
  </si>
  <si>
    <t>leg</t>
  </si>
  <si>
    <t>laws</t>
  </si>
  <si>
    <t>kallie</t>
  </si>
  <si>
    <t>juxtaposition</t>
  </si>
  <si>
    <t>j</t>
  </si>
  <si>
    <t>iron</t>
  </si>
  <si>
    <t>inventions</t>
  </si>
  <si>
    <t>intuitive</t>
  </si>
  <si>
    <t>interviews</t>
  </si>
  <si>
    <t>instant</t>
  </si>
  <si>
    <t>insight</t>
  </si>
  <si>
    <t>initiative</t>
  </si>
  <si>
    <t>influenced</t>
  </si>
  <si>
    <t>infer</t>
  </si>
  <si>
    <t>inexpensive</t>
  </si>
  <si>
    <t>inevitable</t>
  </si>
  <si>
    <t>inefficient</t>
  </si>
  <si>
    <t>indonesian</t>
  </si>
  <si>
    <t>incorporating</t>
  </si>
  <si>
    <t>incomplete</t>
  </si>
  <si>
    <t>incompatible</t>
  </si>
  <si>
    <t>incandescent</t>
  </si>
  <si>
    <t>inaccurately</t>
  </si>
  <si>
    <t>impressive</t>
  </si>
  <si>
    <t>immune</t>
  </si>
  <si>
    <t>immediately</t>
  </si>
  <si>
    <t>ideological</t>
  </si>
  <si>
    <t>identifying</t>
  </si>
  <si>
    <t>ice</t>
  </si>
  <si>
    <t>hyperparenting</t>
  </si>
  <si>
    <t>hurt</t>
  </si>
  <si>
    <t>hurricane</t>
  </si>
  <si>
    <t>hormone</t>
  </si>
  <si>
    <t>hiring</t>
  </si>
  <si>
    <t>hide</t>
  </si>
  <si>
    <t>helped</t>
  </si>
  <si>
    <t>heavily</t>
  </si>
  <si>
    <t>hear</t>
  </si>
  <si>
    <t>healthier</t>
  </si>
  <si>
    <t>handed</t>
  </si>
  <si>
    <t>gossip</t>
  </si>
  <si>
    <t>gets</t>
  </si>
  <si>
    <t>funded</t>
  </si>
  <si>
    <t>functionality</t>
  </si>
  <si>
    <t>formal</t>
  </si>
  <si>
    <t>foot</t>
  </si>
  <si>
    <t>flock</t>
  </si>
  <si>
    <t>financing</t>
  </si>
  <si>
    <t>fast</t>
  </si>
  <si>
    <t>fancy</t>
  </si>
  <si>
    <t>facts</t>
  </si>
  <si>
    <t>extrinsic</t>
  </si>
  <si>
    <t>exposing</t>
  </si>
  <si>
    <t>explains</t>
  </si>
  <si>
    <t>experimentation</t>
  </si>
  <si>
    <t>expenditures</t>
  </si>
  <si>
    <t>exists</t>
  </si>
  <si>
    <t>exhaustion</t>
  </si>
  <si>
    <t>evil</t>
  </si>
  <si>
    <t>ethnocentrism</t>
  </si>
  <si>
    <t>ethnicity</t>
  </si>
  <si>
    <t>etc</t>
  </si>
  <si>
    <t>entrepreneur</t>
  </si>
  <si>
    <t>enters</t>
  </si>
  <si>
    <t>enterprises</t>
  </si>
  <si>
    <t>ensure</t>
  </si>
  <si>
    <t>enduring</t>
  </si>
  <si>
    <t>ends</t>
  </si>
  <si>
    <t>emphasizes</t>
  </si>
  <si>
    <t>empathy</t>
  </si>
  <si>
    <t>embarrassing</t>
  </si>
  <si>
    <t>edged</t>
  </si>
  <si>
    <t>east</t>
  </si>
  <si>
    <t>duty</t>
  </si>
  <si>
    <t>duplicate</t>
  </si>
  <si>
    <t>drop</t>
  </si>
  <si>
    <t>divided</t>
  </si>
  <si>
    <t>discussed</t>
  </si>
  <si>
    <t>discount</t>
  </si>
  <si>
    <t>discard</t>
  </si>
  <si>
    <t>die</t>
  </si>
  <si>
    <t>devise</t>
  </si>
  <si>
    <t>developments</t>
  </si>
  <si>
    <t>determined</t>
  </si>
  <si>
    <t>details</t>
  </si>
  <si>
    <t>destroying</t>
  </si>
  <si>
    <t>descriptions</t>
  </si>
  <si>
    <t>derive</t>
  </si>
  <si>
    <t>deprived</t>
  </si>
  <si>
    <t>demographic</t>
  </si>
  <si>
    <t>demands</t>
  </si>
  <si>
    <t>delivering</t>
  </si>
  <si>
    <t>deliver</t>
  </si>
  <si>
    <t>definition</t>
  </si>
  <si>
    <t>december</t>
  </si>
  <si>
    <t>dangers</t>
  </si>
  <si>
    <t>cumbersome</t>
  </si>
  <si>
    <t>cubicle</t>
  </si>
  <si>
    <t>critic</t>
  </si>
  <si>
    <t>creature</t>
  </si>
  <si>
    <t>copy</t>
  </si>
  <si>
    <t>cooperative</t>
  </si>
  <si>
    <t>convince</t>
  </si>
  <si>
    <t>contain</t>
  </si>
  <si>
    <t>connect</t>
  </si>
  <si>
    <t>congressional</t>
  </si>
  <si>
    <t>confined</t>
  </si>
  <si>
    <t>confidence</t>
  </si>
  <si>
    <t>concluded</t>
  </si>
  <si>
    <t>conception</t>
  </si>
  <si>
    <t>conceived</t>
  </si>
  <si>
    <t>compatible</t>
  </si>
  <si>
    <t>compassionate</t>
  </si>
  <si>
    <t>comparison</t>
  </si>
  <si>
    <t>compactness</t>
  </si>
  <si>
    <t>communications</t>
  </si>
  <si>
    <t>commission</t>
  </si>
  <si>
    <t>colleague</t>
  </si>
  <si>
    <t>codes</t>
  </si>
  <si>
    <t>coastal</t>
  </si>
  <si>
    <t>club</t>
  </si>
  <si>
    <t>clock</t>
  </si>
  <si>
    <t>clicks</t>
  </si>
  <si>
    <t>clarity</t>
  </si>
  <si>
    <t>civic</t>
  </si>
  <si>
    <t>choosing</t>
  </si>
  <si>
    <t>china</t>
  </si>
  <si>
    <t>chief</t>
  </si>
  <si>
    <t>charged</t>
  </si>
  <si>
    <t>celebrity</t>
  </si>
  <si>
    <t>causes</t>
  </si>
  <si>
    <t>categories</t>
  </si>
  <si>
    <t>carry</t>
  </si>
  <si>
    <t>car</t>
  </si>
  <si>
    <t>capture</t>
  </si>
  <si>
    <t>calculations</t>
  </si>
  <si>
    <t>bundle</t>
  </si>
  <si>
    <t>bronze</t>
  </si>
  <si>
    <t>broader</t>
  </si>
  <si>
    <t>broad</t>
  </si>
  <si>
    <t>brightest</t>
  </si>
  <si>
    <t>breakthrough</t>
  </si>
  <si>
    <t>brains</t>
  </si>
  <si>
    <t>border</t>
  </si>
  <si>
    <t>blunder</t>
  </si>
  <si>
    <t>blaming</t>
  </si>
  <si>
    <t>battle</t>
  </si>
  <si>
    <t>basin</t>
  </si>
  <si>
    <t>base</t>
  </si>
  <si>
    <t>baby</t>
  </si>
  <si>
    <t>attacks</t>
  </si>
  <si>
    <t>assessing</t>
  </si>
  <si>
    <t>asking</t>
  </si>
  <si>
    <t>asians</t>
  </si>
  <si>
    <t>ascribe</t>
  </si>
  <si>
    <t>arable</t>
  </si>
  <si>
    <t>approaching</t>
  </si>
  <si>
    <t>approaches</t>
  </si>
  <si>
    <t>appreciation</t>
  </si>
  <si>
    <t>alter</t>
  </si>
  <si>
    <t>aggravating</t>
  </si>
  <si>
    <t>affection</t>
  </si>
  <si>
    <t>adapt</t>
  </si>
  <si>
    <t>accuse</t>
  </si>
  <si>
    <t>accumulate</t>
  </si>
  <si>
    <t>accountant</t>
  </si>
  <si>
    <t>yielding</t>
  </si>
  <si>
    <t>worsened</t>
  </si>
  <si>
    <t>wireless</t>
  </si>
  <si>
    <t>wing</t>
  </si>
  <si>
    <t>welcomed</t>
  </si>
  <si>
    <t>weapon</t>
  </si>
  <si>
    <t>waterborne</t>
  </si>
  <si>
    <t>watching</t>
  </si>
  <si>
    <t>w</t>
  </si>
  <si>
    <t>volunteer</t>
  </si>
  <si>
    <t>voltaire</t>
  </si>
  <si>
    <t>vocation</t>
  </si>
  <si>
    <t>visions</t>
  </si>
  <si>
    <t>viable</t>
  </si>
  <si>
    <t>versions</t>
  </si>
  <si>
    <t>verb</t>
  </si>
  <si>
    <t>vastly</t>
  </si>
  <si>
    <t>valuable</t>
  </si>
  <si>
    <t>utter</t>
  </si>
  <si>
    <t>usual</t>
  </si>
  <si>
    <t>unpredictability</t>
  </si>
  <si>
    <t>unperturbed</t>
  </si>
  <si>
    <t>unperceived</t>
  </si>
  <si>
    <t>unnaturally</t>
  </si>
  <si>
    <t>unimportant</t>
  </si>
  <si>
    <t>unfold</t>
  </si>
  <si>
    <t>underside</t>
  </si>
  <si>
    <t>undergone</t>
  </si>
  <si>
    <t>uncivil</t>
  </si>
  <si>
    <t>unbelievably</t>
  </si>
  <si>
    <t>ukrainian</t>
  </si>
  <si>
    <t>twelve</t>
  </si>
  <si>
    <t>tune</t>
  </si>
  <si>
    <t>tumult</t>
  </si>
  <si>
    <t>tube</t>
  </si>
  <si>
    <t>trust</t>
  </si>
  <si>
    <t>troubling</t>
  </si>
  <si>
    <t>troop</t>
  </si>
  <si>
    <t>tries</t>
  </si>
  <si>
    <t>transparency</t>
  </si>
  <si>
    <t>transmitting</t>
  </si>
  <si>
    <t>transitions</t>
  </si>
  <si>
    <t>transformative</t>
  </si>
  <si>
    <t>transformations</t>
  </si>
  <si>
    <t>tourist</t>
  </si>
  <si>
    <t>toprovide</t>
  </si>
  <si>
    <t>topic</t>
  </si>
  <si>
    <t>tone</t>
  </si>
  <si>
    <t>tightly</t>
  </si>
  <si>
    <t>throw</t>
  </si>
  <si>
    <t>theological</t>
  </si>
  <si>
    <t>themes</t>
  </si>
  <si>
    <t>theater</t>
  </si>
  <si>
    <t>territorial</t>
  </si>
  <si>
    <t>tensions</t>
  </si>
  <si>
    <t>temptation</t>
  </si>
  <si>
    <t>tempt</t>
  </si>
  <si>
    <t>taste</t>
  </si>
  <si>
    <t>tackling</t>
  </si>
  <si>
    <t>syndicates</t>
  </si>
  <si>
    <t>switching</t>
  </si>
  <si>
    <t>sustains</t>
  </si>
  <si>
    <t>surveiller</t>
  </si>
  <si>
    <t>surroundings</t>
  </si>
  <si>
    <t>supporters</t>
  </si>
  <si>
    <t>supplies</t>
  </si>
  <si>
    <t>super</t>
  </si>
  <si>
    <t>succumbing</t>
  </si>
  <si>
    <t>subsistence</t>
  </si>
  <si>
    <t>subsidy</t>
  </si>
  <si>
    <t>subjectivity</t>
  </si>
  <si>
    <t>subconscious</t>
  </si>
  <si>
    <t>stroller</t>
  </si>
  <si>
    <t>striving</t>
  </si>
  <si>
    <t>strictly</t>
  </si>
  <si>
    <t>stories</t>
  </si>
  <si>
    <t>stopped</t>
  </si>
  <si>
    <t>stickleback</t>
  </si>
  <si>
    <t>steps</t>
  </si>
  <si>
    <t>stems</t>
  </si>
  <si>
    <t>steel</t>
  </si>
  <si>
    <t>starvation</t>
  </si>
  <si>
    <t>springs</t>
  </si>
  <si>
    <t>spring</t>
  </si>
  <si>
    <t>sponsorship</t>
  </si>
  <si>
    <t>spoken</t>
  </si>
  <si>
    <t>spielberg</t>
  </si>
  <si>
    <t>specter</t>
  </si>
  <si>
    <t>specification</t>
  </si>
  <si>
    <t>sorrow</t>
  </si>
  <si>
    <t>sometime</t>
  </si>
  <si>
    <t>solely</t>
  </si>
  <si>
    <t>skin</t>
  </si>
  <si>
    <t>skilled</t>
  </si>
  <si>
    <t>skeptical</t>
  </si>
  <si>
    <t>signs</t>
  </si>
  <si>
    <t>signalling</t>
  </si>
  <si>
    <t>shortly</t>
  </si>
  <si>
    <t>shoes</t>
  </si>
  <si>
    <t>shoe</t>
  </si>
  <si>
    <t>shock</t>
  </si>
  <si>
    <t>shell</t>
  </si>
  <si>
    <t>sheer</t>
  </si>
  <si>
    <t>sharp</t>
  </si>
  <si>
    <t>shanghai</t>
  </si>
  <si>
    <t>shallow</t>
  </si>
  <si>
    <t>shade</t>
  </si>
  <si>
    <t>serpent</t>
  </si>
  <si>
    <t>seriously</t>
  </si>
  <si>
    <t>sentence</t>
  </si>
  <si>
    <t>sensibility</t>
  </si>
  <si>
    <t>senses</t>
  </si>
  <si>
    <t>selfish</t>
  </si>
  <si>
    <t>sediments</t>
  </si>
  <si>
    <t>season</t>
  </si>
  <si>
    <t>scholars</t>
  </si>
  <si>
    <t>scholarly</t>
  </si>
  <si>
    <t>scatter</t>
  </si>
  <si>
    <t>scapegoat</t>
  </si>
  <si>
    <t>satisfy</t>
  </si>
  <si>
    <t>salient</t>
  </si>
  <si>
    <t>safely</t>
  </si>
  <si>
    <t>russian</t>
  </si>
  <si>
    <t>robin</t>
  </si>
  <si>
    <t>risky</t>
  </si>
  <si>
    <t>rigid</t>
  </si>
  <si>
    <t>richer</t>
  </si>
  <si>
    <t>rhetoric</t>
  </si>
  <si>
    <t>reveals</t>
  </si>
  <si>
    <t>retains</t>
  </si>
  <si>
    <t>resulting</t>
  </si>
  <si>
    <t>resulted</t>
  </si>
  <si>
    <t>restricted</t>
  </si>
  <si>
    <t>restrain</t>
  </si>
  <si>
    <t>resolved</t>
  </si>
  <si>
    <t>repressively</t>
  </si>
  <si>
    <t>repel</t>
  </si>
  <si>
    <t>reorganizing</t>
  </si>
  <si>
    <t>rendered</t>
  </si>
  <si>
    <t>reminder</t>
  </si>
  <si>
    <t>remembers</t>
  </si>
  <si>
    <t>release</t>
  </si>
  <si>
    <t>rejected</t>
  </si>
  <si>
    <t>regains</t>
  </si>
  <si>
    <t>reformers</t>
  </si>
  <si>
    <t>reductions</t>
  </si>
  <si>
    <t>reconcile</t>
  </si>
  <si>
    <t>recognizing</t>
  </si>
  <si>
    <t>reassure</t>
  </si>
  <si>
    <t>reaction</t>
  </si>
  <si>
    <t>rationality</t>
  </si>
  <si>
    <t>rank</t>
  </si>
  <si>
    <t>ranging</t>
  </si>
  <si>
    <t>rabbit</t>
  </si>
  <si>
    <t>r</t>
  </si>
  <si>
    <t>quiz</t>
  </si>
  <si>
    <t>quarter</t>
  </si>
  <si>
    <t>pursuit</t>
  </si>
  <si>
    <t>punish</t>
  </si>
  <si>
    <t>pulling</t>
  </si>
  <si>
    <t>prussian</t>
  </si>
  <si>
    <t>proving</t>
  </si>
  <si>
    <t>prototype</t>
  </si>
  <si>
    <t>protocols</t>
  </si>
  <si>
    <t>protects</t>
  </si>
  <si>
    <t>protection</t>
  </si>
  <si>
    <t>proprietary</t>
  </si>
  <si>
    <t>proponents</t>
  </si>
  <si>
    <t>property</t>
  </si>
  <si>
    <t>proper</t>
  </si>
  <si>
    <t>promoting</t>
  </si>
  <si>
    <t>promoters</t>
  </si>
  <si>
    <t>prominent</t>
  </si>
  <si>
    <t>prolonged</t>
  </si>
  <si>
    <t>programming</t>
  </si>
  <si>
    <t>processed</t>
  </si>
  <si>
    <t>primate</t>
  </si>
  <si>
    <t>prevails</t>
  </si>
  <si>
    <t>prevailed</t>
  </si>
  <si>
    <t>press</t>
  </si>
  <si>
    <t>prescription</t>
  </si>
  <si>
    <t>prepare</t>
  </si>
  <si>
    <t>preoccupy</t>
  </si>
  <si>
    <t>preoccupied</t>
  </si>
  <si>
    <t>preceding</t>
  </si>
  <si>
    <t>poverty</t>
  </si>
  <si>
    <t>posturings</t>
  </si>
  <si>
    <t>positively</t>
  </si>
  <si>
    <t>positions</t>
  </si>
  <si>
    <t>positing</t>
  </si>
  <si>
    <t>popularized</t>
  </si>
  <si>
    <t>poorer</t>
  </si>
  <si>
    <t>politician</t>
  </si>
  <si>
    <t>poisoning</t>
  </si>
  <si>
    <t>plight</t>
  </si>
  <si>
    <t>plays</t>
  </si>
  <si>
    <t>planners</t>
  </si>
  <si>
    <t>pin</t>
  </si>
  <si>
    <t>piano</t>
  </si>
  <si>
    <t>physiological</t>
  </si>
  <si>
    <t>photographic</t>
  </si>
  <si>
    <t>philosophers</t>
  </si>
  <si>
    <t>phenomena</t>
  </si>
  <si>
    <t>perturbations</t>
  </si>
  <si>
    <t>perspectives</t>
  </si>
  <si>
    <t>personalities</t>
  </si>
  <si>
    <t>performing</t>
  </si>
  <si>
    <t>percapita</t>
  </si>
  <si>
    <t>peoples</t>
  </si>
  <si>
    <t>pennsylvania</t>
  </si>
  <si>
    <t>passions</t>
  </si>
  <si>
    <t>passing</t>
  </si>
  <si>
    <t>partisan</t>
  </si>
  <si>
    <t>particularly</t>
  </si>
  <si>
    <t>park</t>
  </si>
  <si>
    <t>paradise</t>
  </si>
  <si>
    <t>pairs</t>
  </si>
  <si>
    <t>pair</t>
  </si>
  <si>
    <t>painted</t>
  </si>
  <si>
    <t>paint</t>
  </si>
  <si>
    <t>pages</t>
  </si>
  <si>
    <t>overtones</t>
  </si>
  <si>
    <t>overestimate</t>
  </si>
  <si>
    <t>outsourcing</t>
  </si>
  <si>
    <t>outset</t>
  </si>
  <si>
    <t>output</t>
  </si>
  <si>
    <t>outmoded</t>
  </si>
  <si>
    <t>outline</t>
  </si>
  <si>
    <t>operates</t>
  </si>
  <si>
    <t>opens</t>
  </si>
  <si>
    <t>openness</t>
  </si>
  <si>
    <t>occasions</t>
  </si>
  <si>
    <t>obtained</t>
  </si>
  <si>
    <t>obstinacy</t>
  </si>
  <si>
    <t>observers</t>
  </si>
  <si>
    <t>nuances</t>
  </si>
  <si>
    <t>novel</t>
  </si>
  <si>
    <t>notice</t>
  </si>
  <si>
    <t>nonverbal</t>
  </si>
  <si>
    <t>nongovernmental</t>
  </si>
  <si>
    <t>noise</t>
  </si>
  <si>
    <t>nineteenth</t>
  </si>
  <si>
    <t>neuronal</t>
  </si>
  <si>
    <t>net</t>
  </si>
  <si>
    <t>napoleonic</t>
  </si>
  <si>
    <t>napoleon</t>
  </si>
  <si>
    <t>muslim</t>
  </si>
  <si>
    <t>mundane</t>
  </si>
  <si>
    <t>mumbai</t>
  </si>
  <si>
    <t>moves</t>
  </si>
  <si>
    <t>mountains</t>
  </si>
  <si>
    <t>motivation</t>
  </si>
  <si>
    <t>monarchy</t>
  </si>
  <si>
    <t>monarchs</t>
  </si>
  <si>
    <t>modest</t>
  </si>
  <si>
    <t>mode</t>
  </si>
  <si>
    <t>mobilize</t>
  </si>
  <si>
    <t>miss</t>
  </si>
  <si>
    <t>mismanagement</t>
  </si>
  <si>
    <t>miscalculations</t>
  </si>
  <si>
    <t>minority</t>
  </si>
  <si>
    <t>minor</t>
  </si>
  <si>
    <t>minds</t>
  </si>
  <si>
    <t>minded</t>
  </si>
  <si>
    <t>migrate</t>
  </si>
  <si>
    <t>michigan</t>
  </si>
  <si>
    <t>meters</t>
  </si>
  <si>
    <t>mentions</t>
  </si>
  <si>
    <t>menlo</t>
  </si>
  <si>
    <t>mechanism</t>
  </si>
  <si>
    <t>maximum</t>
  </si>
  <si>
    <t>mature</t>
  </si>
  <si>
    <t>mathematical</t>
  </si>
  <si>
    <t>mates</t>
  </si>
  <si>
    <t>materialize</t>
  </si>
  <si>
    <t>mastered</t>
  </si>
  <si>
    <t>marshal</t>
  </si>
  <si>
    <t>margulies</t>
  </si>
  <si>
    <t>mapping</t>
  </si>
  <si>
    <t>mane</t>
  </si>
  <si>
    <t>malthus</t>
  </si>
  <si>
    <t>malleable</t>
  </si>
  <si>
    <t>maintains</t>
  </si>
  <si>
    <t>magnetic</t>
  </si>
  <si>
    <t>mackie</t>
  </si>
  <si>
    <t>loose</t>
  </si>
  <si>
    <t>locked</t>
  </si>
  <si>
    <t>literature</t>
  </si>
  <si>
    <t>literacy</t>
  </si>
  <si>
    <t>listen</t>
  </si>
  <si>
    <t>linguist</t>
  </si>
  <si>
    <t>lineages</t>
  </si>
  <si>
    <t>limit</t>
  </si>
  <si>
    <t>lighted</t>
  </si>
  <si>
    <t>lifetime</t>
  </si>
  <si>
    <t>lessen</t>
  </si>
  <si>
    <t>latest</t>
  </si>
  <si>
    <t>kinsman</t>
  </si>
  <si>
    <t>justin</t>
  </si>
  <si>
    <t>justify</t>
  </si>
  <si>
    <t>justifiable</t>
  </si>
  <si>
    <t>judiciary</t>
  </si>
  <si>
    <t>jostled</t>
  </si>
  <si>
    <t>jersey</t>
  </si>
  <si>
    <t>japan</t>
  </si>
  <si>
    <t>issued</t>
  </si>
  <si>
    <t>isolation</t>
  </si>
  <si>
    <t>ism</t>
  </si>
  <si>
    <t>irrational</t>
  </si>
  <si>
    <t>ip</t>
  </si>
  <si>
    <t>investigators</t>
  </si>
  <si>
    <t>invaded</t>
  </si>
  <si>
    <t>intonation</t>
  </si>
  <si>
    <t>interpreted</t>
  </si>
  <si>
    <t>interested</t>
  </si>
  <si>
    <t>interacts</t>
  </si>
  <si>
    <t>intended</t>
  </si>
  <si>
    <t>injunction</t>
  </si>
  <si>
    <t>inhuman</t>
  </si>
  <si>
    <t>inhospitable</t>
  </si>
  <si>
    <t>infrastructure</t>
  </si>
  <si>
    <t>influential</t>
  </si>
  <si>
    <t>infinitely</t>
  </si>
  <si>
    <t>infant</t>
  </si>
  <si>
    <t>industrialized</t>
  </si>
  <si>
    <t>indoors</t>
  </si>
  <si>
    <t>indoctrination</t>
  </si>
  <si>
    <t>indifference</t>
  </si>
  <si>
    <t>impoverished</t>
  </si>
  <si>
    <t>impotent</t>
  </si>
  <si>
    <t>implies</t>
  </si>
  <si>
    <t>impartial</t>
  </si>
  <si>
    <t>imitate</t>
  </si>
  <si>
    <t>imaginative</t>
  </si>
  <si>
    <t>iii</t>
  </si>
  <si>
    <t>hungry</t>
  </si>
  <si>
    <t>hunger</t>
  </si>
  <si>
    <t>html</t>
  </si>
  <si>
    <t>housework</t>
  </si>
  <si>
    <t>households</t>
  </si>
  <si>
    <t>hitchcock</t>
  </si>
  <si>
    <t>heroes</t>
  </si>
  <si>
    <t>hemisphere</t>
  </si>
  <si>
    <t>hectares</t>
  </si>
  <si>
    <t>heating</t>
  </si>
  <si>
    <t>heated</t>
  </si>
  <si>
    <t>heart</t>
  </si>
  <si>
    <t>hearing</t>
  </si>
  <si>
    <t>hate</t>
  </si>
  <si>
    <t>hallway</t>
  </si>
  <si>
    <t>guided</t>
  </si>
  <si>
    <t>grumble</t>
  </si>
  <si>
    <t>grounds</t>
  </si>
  <si>
    <t>greek</t>
  </si>
  <si>
    <t>gravity</t>
  </si>
  <si>
    <t>grasp</t>
  </si>
  <si>
    <t>grammatical</t>
  </si>
  <si>
    <t>grades</t>
  </si>
  <si>
    <t>govern</t>
  </si>
  <si>
    <t>gm</t>
  </si>
  <si>
    <t>glancing</t>
  </si>
  <si>
    <t>giftedness</t>
  </si>
  <si>
    <t>gift</t>
  </si>
  <si>
    <t>geography</t>
  </si>
  <si>
    <t>genome</t>
  </si>
  <si>
    <t>genetics</t>
  </si>
  <si>
    <t>genes</t>
  </si>
  <si>
    <t>generated</t>
  </si>
  <si>
    <t>generate</t>
  </si>
  <si>
    <t>gasoline</t>
  </si>
  <si>
    <t>gained</t>
  </si>
  <si>
    <t>futurist</t>
  </si>
  <si>
    <t>functionally</t>
  </si>
  <si>
    <t>front</t>
  </si>
  <si>
    <t>fries</t>
  </si>
  <si>
    <t>friendships</t>
  </si>
  <si>
    <t>frank</t>
  </si>
  <si>
    <t>founder</t>
  </si>
  <si>
    <t>forty</t>
  </si>
  <si>
    <t>foresight</t>
  </si>
  <si>
    <t>fore</t>
  </si>
  <si>
    <t>foolishly</t>
  </si>
  <si>
    <t>folk</t>
  </si>
  <si>
    <t>fly</t>
  </si>
  <si>
    <t>flee</t>
  </si>
  <si>
    <t>flashed</t>
  </si>
  <si>
    <t>fish</t>
  </si>
  <si>
    <t>firmly</t>
  </si>
  <si>
    <t>fire</t>
  </si>
  <si>
    <t>findings</t>
  </si>
  <si>
    <t>filling</t>
  </si>
  <si>
    <t>fiesta</t>
  </si>
  <si>
    <t>fiercely</t>
  </si>
  <si>
    <t>ferment</t>
  </si>
  <si>
    <t>feeding</t>
  </si>
  <si>
    <t>feasibility</t>
  </si>
  <si>
    <t>favored</t>
  </si>
  <si>
    <t>fate</t>
  </si>
  <si>
    <t>farmers</t>
  </si>
  <si>
    <t>fangs</t>
  </si>
  <si>
    <t>fame</t>
  </si>
  <si>
    <t>fair</t>
  </si>
  <si>
    <t>failing</t>
  </si>
  <si>
    <t>facility</t>
  </si>
  <si>
    <t>facilitating</t>
  </si>
  <si>
    <t>facilitated</t>
  </si>
  <si>
    <t>facet</t>
  </si>
  <si>
    <t>extinguish</t>
  </si>
  <si>
    <t>extension</t>
  </si>
  <si>
    <t>exponentially</t>
  </si>
  <si>
    <t>explosive</t>
  </si>
  <si>
    <t>experiencing</t>
  </si>
  <si>
    <t>expense</t>
  </si>
  <si>
    <t>expectancy</t>
  </si>
  <si>
    <t>exert</t>
  </si>
  <si>
    <t>exercised</t>
  </si>
  <si>
    <t>exchange</t>
  </si>
  <si>
    <t>exceptions</t>
  </si>
  <si>
    <t>everywhere</t>
  </si>
  <si>
    <t>evasion</t>
  </si>
  <si>
    <t>ethos</t>
  </si>
  <si>
    <t>establish</t>
  </si>
  <si>
    <t>erikson</t>
  </si>
  <si>
    <t>equipped</t>
  </si>
  <si>
    <t>equality</t>
  </si>
  <si>
    <t>epidemics</t>
  </si>
  <si>
    <t>envisaged</t>
  </si>
  <si>
    <t>entered</t>
  </si>
  <si>
    <t>enjoying</t>
  </si>
  <si>
    <t>ended</t>
  </si>
  <si>
    <t>employs</t>
  </si>
  <si>
    <t>empires</t>
  </si>
  <si>
    <t>emphasized</t>
  </si>
  <si>
    <t>emotionally</t>
  </si>
  <si>
    <t>emergence</t>
  </si>
  <si>
    <t>embodiment</t>
  </si>
  <si>
    <t>elite</t>
  </si>
  <si>
    <t>egalitarianism</t>
  </si>
  <si>
    <t>ed</t>
  </si>
  <si>
    <t>ecosystem</t>
  </si>
  <si>
    <t>echoed</t>
  </si>
  <si>
    <t>dynamic</t>
  </si>
  <si>
    <t>driving</t>
  </si>
  <si>
    <t>dreams</t>
  </si>
  <si>
    <t>double</t>
  </si>
  <si>
    <t>doomsayers</t>
  </si>
  <si>
    <t>domineering</t>
  </si>
  <si>
    <t>dominate</t>
  </si>
  <si>
    <t>doctrines</t>
  </si>
  <si>
    <t>divide</t>
  </si>
  <si>
    <t>distinct</t>
  </si>
  <si>
    <t>disrupt</t>
  </si>
  <si>
    <t>displaced</t>
  </si>
  <si>
    <t>disordered</t>
  </si>
  <si>
    <t>dislocate</t>
  </si>
  <si>
    <t>disequilibrium</t>
  </si>
  <si>
    <t>discouragement</t>
  </si>
  <si>
    <t>discontinuity</t>
  </si>
  <si>
    <t>dipankar</t>
  </si>
  <si>
    <t>diminish</t>
  </si>
  <si>
    <t>dimensions</t>
  </si>
  <si>
    <t>died</t>
  </si>
  <si>
    <t>dian</t>
  </si>
  <si>
    <t>devised</t>
  </si>
  <si>
    <t>devil</t>
  </si>
  <si>
    <t>detritus</t>
  </si>
  <si>
    <t>desertification</t>
  </si>
  <si>
    <t>descending</t>
  </si>
  <si>
    <t>descendants</t>
  </si>
  <si>
    <t>democrat</t>
  </si>
  <si>
    <t>delivered</t>
  </si>
  <si>
    <t>degrade</t>
  </si>
  <si>
    <t>defies</t>
  </si>
  <si>
    <t>deeper</t>
  </si>
  <si>
    <t>deepen</t>
  </si>
  <si>
    <t>deeds</t>
  </si>
  <si>
    <t>declines</t>
  </si>
  <si>
    <t>debaters</t>
  </si>
  <si>
    <t>dealing</t>
  </si>
  <si>
    <t>ddt</t>
  </si>
  <si>
    <t>damaged</t>
  </si>
  <si>
    <t>cycling</t>
  </si>
  <si>
    <t>cyber</t>
  </si>
  <si>
    <t>cuts</t>
  </si>
  <si>
    <t>customary</t>
  </si>
  <si>
    <t>curve</t>
  </si>
  <si>
    <t>cues</t>
  </si>
  <si>
    <t>crumble</t>
  </si>
  <si>
    <t>crops</t>
  </si>
  <si>
    <t>crisis</t>
  </si>
  <si>
    <t>credibility</t>
  </si>
  <si>
    <t>crazy</t>
  </si>
  <si>
    <t>crawl</t>
  </si>
  <si>
    <t>count</t>
  </si>
  <si>
    <t>correlations</t>
  </si>
  <si>
    <t>correlated</t>
  </si>
  <si>
    <t>corporations</t>
  </si>
  <si>
    <t>cope</t>
  </si>
  <si>
    <t>convincing</t>
  </si>
  <si>
    <t>conveying</t>
  </si>
  <si>
    <t>convey</t>
  </si>
  <si>
    <t>conversely</t>
  </si>
  <si>
    <t>contracting</t>
  </si>
  <si>
    <t>consuming</t>
  </si>
  <si>
    <t>considerations</t>
  </si>
  <si>
    <t>considerable</t>
  </si>
  <si>
    <t>conserve</t>
  </si>
  <si>
    <t>consequently</t>
  </si>
  <si>
    <t>consciously</t>
  </si>
  <si>
    <t>conflicts</t>
  </si>
  <si>
    <t>confiscate</t>
  </si>
  <si>
    <t>confer</t>
  </si>
  <si>
    <t>concurrently</t>
  </si>
  <si>
    <t>conclusion</t>
  </si>
  <si>
    <t>concealment</t>
  </si>
  <si>
    <t>computing</t>
  </si>
  <si>
    <t>compulsion</t>
  </si>
  <si>
    <t>complications</t>
  </si>
  <si>
    <t>competency</t>
  </si>
  <si>
    <t>competencies</t>
  </si>
  <si>
    <t>compensate</t>
  </si>
  <si>
    <t>communist</t>
  </si>
  <si>
    <t>commensurate</t>
  </si>
  <si>
    <t>collectivist</t>
  </si>
  <si>
    <t>collaterally</t>
  </si>
  <si>
    <t>collared</t>
  </si>
  <si>
    <t>cognition</t>
  </si>
  <si>
    <t>cloud</t>
  </si>
  <si>
    <t>cleared</t>
  </si>
  <si>
    <t>classify</t>
  </si>
  <si>
    <t>claiming</t>
  </si>
  <si>
    <t>chiefdoms</t>
  </si>
  <si>
    <t>checking</t>
  </si>
  <si>
    <t>challenging</t>
  </si>
  <si>
    <t>centralizing</t>
  </si>
  <si>
    <t>censuses</t>
  </si>
  <si>
    <t>cautiously</t>
  </si>
  <si>
    <t>catholic</t>
  </si>
  <si>
    <t>catherine</t>
  </si>
  <si>
    <t>capitulation</t>
  </si>
  <si>
    <t>capitalist</t>
  </si>
  <si>
    <t>capitalism</t>
  </si>
  <si>
    <t>capable</t>
  </si>
  <si>
    <t>capability</t>
  </si>
  <si>
    <t>calories</t>
  </si>
  <si>
    <t>caesar</t>
  </si>
  <si>
    <t>c02</t>
  </si>
  <si>
    <t>bureaucratic</t>
  </si>
  <si>
    <t>bright</t>
  </si>
  <si>
    <t>brief</t>
  </si>
  <si>
    <t>breast</t>
  </si>
  <si>
    <t>bourbon</t>
  </si>
  <si>
    <t>bore</t>
  </si>
  <si>
    <t>bodies</t>
  </si>
  <si>
    <t>blue</t>
  </si>
  <si>
    <t>bless</t>
  </si>
  <si>
    <t>bit</t>
  </si>
  <si>
    <t>birdsong</t>
  </si>
  <si>
    <t>biology</t>
  </si>
  <si>
    <t>biologist</t>
  </si>
  <si>
    <t>bieber</t>
  </si>
  <si>
    <t>beside</t>
  </si>
  <si>
    <t>benjamin</t>
  </si>
  <si>
    <t>beneath</t>
  </si>
  <si>
    <t>beginnings</t>
  </si>
  <si>
    <t>beautiful</t>
  </si>
  <si>
    <t>bear</t>
  </si>
  <si>
    <t>barely</t>
  </si>
  <si>
    <t>bank</t>
  </si>
  <si>
    <t>bangladeshi</t>
  </si>
  <si>
    <t>band</t>
  </si>
  <si>
    <t>axon</t>
  </si>
  <si>
    <t>awarded</t>
  </si>
  <si>
    <t>awaken</t>
  </si>
  <si>
    <t>avenue</t>
  </si>
  <si>
    <t>availability</t>
  </si>
  <si>
    <t>automobile</t>
  </si>
  <si>
    <t>automatically</t>
  </si>
  <si>
    <t>austen</t>
  </si>
  <si>
    <t>attributes</t>
  </si>
  <si>
    <t>attended</t>
  </si>
  <si>
    <t>assure</t>
  </si>
  <si>
    <t>articulation</t>
  </si>
  <si>
    <t>arrangements</t>
  </si>
  <si>
    <t>aristocratic</t>
  </si>
  <si>
    <t>argentine</t>
  </si>
  <si>
    <t>arc</t>
  </si>
  <si>
    <t>aquifer</t>
  </si>
  <si>
    <t>approximately</t>
  </si>
  <si>
    <t>approve</t>
  </si>
  <si>
    <t>appropriation</t>
  </si>
  <si>
    <t>appropriated</t>
  </si>
  <si>
    <t>applied</t>
  </si>
  <si>
    <t>applications</t>
  </si>
  <si>
    <t>appease</t>
  </si>
  <si>
    <t>anybody</t>
  </si>
  <si>
    <t>anxiety</t>
  </si>
  <si>
    <t>anger</t>
  </si>
  <si>
    <t>andes</t>
  </si>
  <si>
    <t>ambivalent</t>
  </si>
  <si>
    <t>ambition</t>
  </si>
  <si>
    <t>altering</t>
  </si>
  <si>
    <t>allowing</t>
  </si>
  <si>
    <t>allied</t>
  </si>
  <si>
    <t>alexander</t>
  </si>
  <si>
    <t>aids</t>
  </si>
  <si>
    <t>aggression</t>
  </si>
  <si>
    <t>affected</t>
  </si>
  <si>
    <t>admired</t>
  </si>
  <si>
    <t>additionally</t>
  </si>
  <si>
    <t>acquiring</t>
  </si>
  <si>
    <t>achievement</t>
  </si>
  <si>
    <t>acceptable</t>
  </si>
  <si>
    <t>absurd</t>
  </si>
  <si>
    <t>abstract</t>
  </si>
  <si>
    <t>absorption</t>
  </si>
  <si>
    <t>abandoning</t>
  </si>
  <si>
    <t>zip</t>
  </si>
  <si>
    <t>yoke</t>
  </si>
  <si>
    <t>wrote</t>
  </si>
  <si>
    <t>written</t>
  </si>
  <si>
    <t>worst</t>
  </si>
  <si>
    <t>worrying</t>
  </si>
  <si>
    <t>workplace</t>
  </si>
  <si>
    <t>workers</t>
  </si>
  <si>
    <t>white</t>
  </si>
  <si>
    <t>welcome</t>
  </si>
  <si>
    <t>weeks</t>
  </si>
  <si>
    <t>watched</t>
  </si>
  <si>
    <t>victory</t>
  </si>
  <si>
    <t>vibrant</t>
  </si>
  <si>
    <t>veterans</t>
  </si>
  <si>
    <t>venturing</t>
  </si>
  <si>
    <t>vancouver</t>
  </si>
  <si>
    <t>valued</t>
  </si>
  <si>
    <t>unwillingly</t>
  </si>
  <si>
    <t>unusual</t>
  </si>
  <si>
    <t>unit</t>
  </si>
  <si>
    <t>undreamed</t>
  </si>
  <si>
    <t>undoubtedly</t>
  </si>
  <si>
    <t>understandable</t>
  </si>
  <si>
    <t>undermining</t>
  </si>
  <si>
    <t>underground</t>
  </si>
  <si>
    <t>underestimate</t>
  </si>
  <si>
    <t>uncontrolled</t>
  </si>
  <si>
    <t>unconscious</t>
  </si>
  <si>
    <t>unchanging</t>
  </si>
  <si>
    <t>un</t>
  </si>
  <si>
    <t>ubiquitous</t>
  </si>
  <si>
    <t>twitch</t>
  </si>
  <si>
    <t>tsunami</t>
  </si>
  <si>
    <t>trend</t>
  </si>
  <si>
    <t>treating</t>
  </si>
  <si>
    <t>travels</t>
  </si>
  <si>
    <t>traveler</t>
  </si>
  <si>
    <t>transmit</t>
  </si>
  <si>
    <t>train</t>
  </si>
  <si>
    <t>traces</t>
  </si>
  <si>
    <t>toxic</t>
  </si>
  <si>
    <t>today's</t>
  </si>
  <si>
    <t>titles</t>
  </si>
  <si>
    <t>tiny</t>
  </si>
  <si>
    <t>tidy</t>
  </si>
  <si>
    <t>thomas</t>
  </si>
  <si>
    <t>theme</t>
  </si>
  <si>
    <t>textile</t>
  </si>
  <si>
    <t>teenager</t>
  </si>
  <si>
    <t>taming</t>
  </si>
  <si>
    <t>syndrome</t>
  </si>
  <si>
    <t>switch</t>
  </si>
  <si>
    <t>surrounding</t>
  </si>
  <si>
    <t>surgical</t>
  </si>
  <si>
    <t>supporting</t>
  </si>
  <si>
    <t>summarizing</t>
  </si>
  <si>
    <t>strike</t>
  </si>
  <si>
    <t>strengthen</t>
  </si>
  <si>
    <t>stream</t>
  </si>
  <si>
    <t>straightforward</t>
  </si>
  <si>
    <t>stifle</t>
  </si>
  <si>
    <t>steven</t>
  </si>
  <si>
    <t>stereotypical</t>
  </si>
  <si>
    <t>steam</t>
  </si>
  <si>
    <t>stark</t>
  </si>
  <si>
    <t>spent</t>
  </si>
  <si>
    <t>speculated</t>
  </si>
  <si>
    <t>specialize</t>
  </si>
  <si>
    <t>spear</t>
  </si>
  <si>
    <t>sounds</t>
  </si>
  <si>
    <t>sophistication</t>
  </si>
  <si>
    <t>smooth</t>
  </si>
  <si>
    <t>smarter</t>
  </si>
  <si>
    <t>sliding</t>
  </si>
  <si>
    <t>slicing</t>
  </si>
  <si>
    <t>sinking</t>
  </si>
  <si>
    <t>singer</t>
  </si>
  <si>
    <t>sinclair</t>
  </si>
  <si>
    <t>significantly</t>
  </si>
  <si>
    <t>shifting</t>
  </si>
  <si>
    <t>shaped</t>
  </si>
  <si>
    <t>seven</t>
  </si>
  <si>
    <t>separates</t>
  </si>
  <si>
    <t>senior</t>
  </si>
  <si>
    <t>sending</t>
  </si>
  <si>
    <t>seasons</t>
  </si>
  <si>
    <t>scholarship</t>
  </si>
  <si>
    <t>scanner</t>
  </si>
  <si>
    <t>scales</t>
  </si>
  <si>
    <t>satisfactory</t>
  </si>
  <si>
    <t>sake</t>
  </si>
  <si>
    <t>routine</t>
  </si>
  <si>
    <t>robert</t>
  </si>
  <si>
    <t>rigorous</t>
  </si>
  <si>
    <t>rice</t>
  </si>
  <si>
    <t>revealing</t>
  </si>
  <si>
    <t>restructure</t>
  </si>
  <si>
    <t>respond</t>
  </si>
  <si>
    <t>respects</t>
  </si>
  <si>
    <t>resolve</t>
  </si>
  <si>
    <t>reputations</t>
  </si>
  <si>
    <t>repercussion</t>
  </si>
  <si>
    <t>renaissance</t>
  </si>
  <si>
    <t>relating</t>
  </si>
  <si>
    <t>reinvent</t>
  </si>
  <si>
    <t>recourse</t>
  </si>
  <si>
    <t>reconstructing</t>
  </si>
  <si>
    <t>reconciliation</t>
  </si>
  <si>
    <t>recklessness</t>
  </si>
  <si>
    <t>recede</t>
  </si>
  <si>
    <t>realizes</t>
  </si>
  <si>
    <t>realization</t>
  </si>
  <si>
    <t>reacting</t>
  </si>
  <si>
    <t>radiotherapy</t>
  </si>
  <si>
    <t>radical</t>
  </si>
  <si>
    <t>rachel</t>
  </si>
  <si>
    <t>quirks</t>
  </si>
  <si>
    <t>publish</t>
  </si>
  <si>
    <t>psalms</t>
  </si>
  <si>
    <t>proven</t>
  </si>
  <si>
    <t>promises</t>
  </si>
  <si>
    <t>promise</t>
  </si>
  <si>
    <t>projections</t>
  </si>
  <si>
    <t>programme</t>
  </si>
  <si>
    <t>profound</t>
  </si>
  <si>
    <t>profile</t>
  </si>
  <si>
    <t>presumably</t>
  </si>
  <si>
    <t>preserving</t>
  </si>
  <si>
    <t>presented</t>
  </si>
  <si>
    <t>predisposed</t>
  </si>
  <si>
    <t>postconflict</t>
  </si>
  <si>
    <t>posse</t>
  </si>
  <si>
    <t>pose</t>
  </si>
  <si>
    <t>pop</t>
  </si>
  <si>
    <t>police</t>
  </si>
  <si>
    <t>poison</t>
  </si>
  <si>
    <t>plot</t>
  </si>
  <si>
    <t>playground</t>
  </si>
  <si>
    <t>photos</t>
  </si>
  <si>
    <t>philosopher</t>
  </si>
  <si>
    <t>peruvian</t>
  </si>
  <si>
    <t>perusal</t>
  </si>
  <si>
    <t>personalized</t>
  </si>
  <si>
    <t>perpetual</t>
  </si>
  <si>
    <t>peopled</t>
  </si>
  <si>
    <t>peer</t>
  </si>
  <si>
    <t>passages</t>
  </si>
  <si>
    <t>papyrus</t>
  </si>
  <si>
    <t>paperback</t>
  </si>
  <si>
    <t>overtime</t>
  </si>
  <si>
    <t>overly</t>
  </si>
  <si>
    <t>outgoing</t>
  </si>
  <si>
    <t>ought</t>
  </si>
  <si>
    <t>orthodoxy</t>
  </si>
  <si>
    <t>oppression</t>
  </si>
  <si>
    <t>offered</t>
  </si>
  <si>
    <t>obstacle</t>
  </si>
  <si>
    <t>obligation</t>
  </si>
  <si>
    <t>object</t>
  </si>
  <si>
    <t>notes</t>
  </si>
  <si>
    <t>nod</t>
  </si>
  <si>
    <t>nino</t>
  </si>
  <si>
    <t>neural</t>
  </si>
  <si>
    <t>neighbors</t>
  </si>
  <si>
    <t>negatively</t>
  </si>
  <si>
    <t>naturalizes</t>
  </si>
  <si>
    <t>mouth</t>
  </si>
  <si>
    <t>motive</t>
  </si>
  <si>
    <t>morally</t>
  </si>
  <si>
    <t>moderately</t>
  </si>
  <si>
    <t>mixture</t>
  </si>
  <si>
    <t>mischel</t>
  </si>
  <si>
    <t>mirror</t>
  </si>
  <si>
    <t>minute</t>
  </si>
  <si>
    <t>minimize</t>
  </si>
  <si>
    <t>mighty</t>
  </si>
  <si>
    <t>metaphorical</t>
  </si>
  <si>
    <t>metal</t>
  </si>
  <si>
    <t>merits</t>
  </si>
  <si>
    <t>mention</t>
  </si>
  <si>
    <t>memorized</t>
  </si>
  <si>
    <t>megacities</t>
  </si>
  <si>
    <t>meantime</t>
  </si>
  <si>
    <t>mcfarland</t>
  </si>
  <si>
    <t>matters</t>
  </si>
  <si>
    <t>mate</t>
  </si>
  <si>
    <t>masterpiece</t>
  </si>
  <si>
    <t>massively</t>
  </si>
  <si>
    <t>marry</t>
  </si>
  <si>
    <t>marine</t>
  </si>
  <si>
    <t>manufacturing</t>
  </si>
  <si>
    <t>manhattan</t>
  </si>
  <si>
    <t>mammal</t>
  </si>
  <si>
    <t>lunar</t>
  </si>
  <si>
    <t>luck</t>
  </si>
  <si>
    <t>lineage</t>
  </si>
  <si>
    <t>limits</t>
  </si>
  <si>
    <t>limitation</t>
  </si>
  <si>
    <t>likewise</t>
  </si>
  <si>
    <t>lights</t>
  </si>
  <si>
    <t>lightly</t>
  </si>
  <si>
    <t>letter</t>
  </si>
  <si>
    <t>let</t>
  </si>
  <si>
    <t>lesions</t>
  </si>
  <si>
    <t>legitimate</t>
  </si>
  <si>
    <t>lecture</t>
  </si>
  <si>
    <t>lay</t>
  </si>
  <si>
    <t>lament</t>
  </si>
  <si>
    <t>lake</t>
  </si>
  <si>
    <t>lacking</t>
  </si>
  <si>
    <t>lab</t>
  </si>
  <si>
    <t>koan</t>
  </si>
  <si>
    <t>killed</t>
  </si>
  <si>
    <t>keeps</t>
  </si>
  <si>
    <t>kalliney</t>
  </si>
  <si>
    <t>judgment</t>
  </si>
  <si>
    <t>journey</t>
  </si>
  <si>
    <t>joined</t>
  </si>
  <si>
    <t>jevons</t>
  </si>
  <si>
    <t>ivolunteers</t>
  </si>
  <si>
    <t>itis</t>
  </si>
  <si>
    <t>irrelevant</t>
  </si>
  <si>
    <t>ironically</t>
  </si>
  <si>
    <t>invariably</t>
  </si>
  <si>
    <t>introverted</t>
  </si>
  <si>
    <t>introspection</t>
  </si>
  <si>
    <t>intrinsic</t>
  </si>
  <si>
    <t>intimately</t>
  </si>
  <si>
    <t>interconnect</t>
  </si>
  <si>
    <t>interactivity</t>
  </si>
  <si>
    <t>integrates</t>
  </si>
  <si>
    <t>instructions</t>
  </si>
  <si>
    <t>instruction</t>
  </si>
  <si>
    <t>instill</t>
  </si>
  <si>
    <t>installed</t>
  </si>
  <si>
    <t>inferred</t>
  </si>
  <si>
    <t>indoctrinated</t>
  </si>
  <si>
    <t>indirect</t>
  </si>
  <si>
    <t>indicators</t>
  </si>
  <si>
    <t>incremental</t>
  </si>
  <si>
    <t>incorporates</t>
  </si>
  <si>
    <t>incidental</t>
  </si>
  <si>
    <t>incapable</t>
  </si>
  <si>
    <t>impulse</t>
  </si>
  <si>
    <t>implicit</t>
  </si>
  <si>
    <t>implantable</t>
  </si>
  <si>
    <t>imperial</t>
  </si>
  <si>
    <t>imitator</t>
  </si>
  <si>
    <t>imagination</t>
  </si>
  <si>
    <t>identities</t>
  </si>
  <si>
    <t>identified</t>
  </si>
  <si>
    <t>hourly</t>
  </si>
  <si>
    <t>horses</t>
  </si>
  <si>
    <t>honolulu</t>
  </si>
  <si>
    <t>honesty</t>
  </si>
  <si>
    <t>honest</t>
  </si>
  <si>
    <t>historical</t>
  </si>
  <si>
    <t>hardcover</t>
  </si>
  <si>
    <t>habitats</t>
  </si>
  <si>
    <t>guarantee</t>
  </si>
  <si>
    <t>grope</t>
  </si>
  <si>
    <t>grit</t>
  </si>
  <si>
    <t>grave</t>
  </si>
  <si>
    <t>grappling</t>
  </si>
  <si>
    <t>goodness</t>
  </si>
  <si>
    <t>globe</t>
  </si>
  <si>
    <t>globalism</t>
  </si>
  <si>
    <t>gamut</t>
  </si>
  <si>
    <t>gains</t>
  </si>
  <si>
    <t>fungi</t>
  </si>
  <si>
    <t>frequency</t>
  </si>
  <si>
    <t>forming</t>
  </si>
  <si>
    <t>formation</t>
  </si>
  <si>
    <t>foreseeable</t>
  </si>
  <si>
    <t>followers</t>
  </si>
  <si>
    <t>flip</t>
  </si>
  <si>
    <t>fix</t>
  </si>
  <si>
    <t>firsters</t>
  </si>
  <si>
    <t>finger</t>
  </si>
  <si>
    <t>finance</t>
  </si>
  <si>
    <t>filed</t>
  </si>
  <si>
    <t>figuring</t>
  </si>
  <si>
    <t>feuerbach</t>
  </si>
  <si>
    <t>extraordinarily</t>
  </si>
  <si>
    <t>extend</t>
  </si>
  <si>
    <t>expressions</t>
  </si>
  <si>
    <t>expresses</t>
  </si>
  <si>
    <t>expertise</t>
  </si>
  <si>
    <t>expecting</t>
  </si>
  <si>
    <t>executive</t>
  </si>
  <si>
    <t>execution</t>
  </si>
  <si>
    <t>excel</t>
  </si>
  <si>
    <t>evoke</t>
  </si>
  <si>
    <t>ethologist</t>
  </si>
  <si>
    <t>era</t>
  </si>
  <si>
    <t>equation</t>
  </si>
  <si>
    <t>entropy</t>
  </si>
  <si>
    <t>enrich</t>
  </si>
  <si>
    <t>enhanced</t>
  </si>
  <si>
    <t>england</t>
  </si>
  <si>
    <t>engineer</t>
  </si>
  <si>
    <t>encouragement</t>
  </si>
  <si>
    <t>empire</t>
  </si>
  <si>
    <t>embodied</t>
  </si>
  <si>
    <t>embarrass</t>
  </si>
  <si>
    <t>elusive</t>
  </si>
  <si>
    <t>einstein</t>
  </si>
  <si>
    <t>effectively</t>
  </si>
  <si>
    <t>edit</t>
  </si>
  <si>
    <t>ecology</t>
  </si>
  <si>
    <t>eat</t>
  </si>
  <si>
    <t>earns</t>
  </si>
  <si>
    <t>earned</t>
  </si>
  <si>
    <t>earliest</t>
  </si>
  <si>
    <t>dropped</t>
  </si>
  <si>
    <t>drawings</t>
  </si>
  <si>
    <t>drawback</t>
  </si>
  <si>
    <t>donor</t>
  </si>
  <si>
    <t>documented</t>
  </si>
  <si>
    <t>dividing</t>
  </si>
  <si>
    <t>distrust</t>
  </si>
  <si>
    <t>dispositional</t>
  </si>
  <si>
    <t>disobedience</t>
  </si>
  <si>
    <t>dislike</t>
  </si>
  <si>
    <t>discovers</t>
  </si>
  <si>
    <t>discoveries</t>
  </si>
  <si>
    <t>discipline</t>
  </si>
  <si>
    <t>disadvantage</t>
  </si>
  <si>
    <t>dis</t>
  </si>
  <si>
    <t>diplomatic</t>
  </si>
  <si>
    <t>diminished</t>
  </si>
  <si>
    <t>digitally</t>
  </si>
  <si>
    <t>dictatorship</t>
  </si>
  <si>
    <t>dictating</t>
  </si>
  <si>
    <t>devoted</t>
  </si>
  <si>
    <t>detected</t>
  </si>
  <si>
    <t>detailing</t>
  </si>
  <si>
    <t>despair</t>
  </si>
  <si>
    <t>desk</t>
  </si>
  <si>
    <t>describing</t>
  </si>
  <si>
    <t>depth</t>
  </si>
  <si>
    <t>dependency</t>
  </si>
  <si>
    <t>densities</t>
  </si>
  <si>
    <t>demott</t>
  </si>
  <si>
    <t>demonstrated</t>
  </si>
  <si>
    <t>delusions</t>
  </si>
  <si>
    <t>definitely</t>
  </si>
  <si>
    <t>decades</t>
  </si>
  <si>
    <t>dead</t>
  </si>
  <si>
    <t>dating</t>
  </si>
  <si>
    <t>cuff</t>
  </si>
  <si>
    <t>crop</t>
  </si>
  <si>
    <t>criticize</t>
  </si>
  <si>
    <t>craft</t>
  </si>
  <si>
    <t>correlation</t>
  </si>
  <si>
    <t>correctly</t>
  </si>
  <si>
    <t>coral</t>
  </si>
  <si>
    <t>cooperation</t>
  </si>
  <si>
    <t>conversation</t>
  </si>
  <si>
    <t>contributing</t>
  </si>
  <si>
    <t>contributes</t>
  </si>
  <si>
    <t>contradicts</t>
  </si>
  <si>
    <t>contradicted</t>
  </si>
  <si>
    <t>continent</t>
  </si>
  <si>
    <t>contains</t>
  </si>
  <si>
    <t>consultant</t>
  </si>
  <si>
    <t>constructs</t>
  </si>
  <si>
    <t>conspicuous</t>
  </si>
  <si>
    <t>considering</t>
  </si>
  <si>
    <t>considerably</t>
  </si>
  <si>
    <t>consciousness</t>
  </si>
  <si>
    <t>connotation</t>
  </si>
  <si>
    <t>conditioning</t>
  </si>
  <si>
    <t>conditioned</t>
  </si>
  <si>
    <t>compromise</t>
  </si>
  <si>
    <t>component</t>
  </si>
  <si>
    <t>completion</t>
  </si>
  <si>
    <t>completes</t>
  </si>
  <si>
    <t>compete</t>
  </si>
  <si>
    <t>comparing</t>
  </si>
  <si>
    <t>colonial</t>
  </si>
  <si>
    <t>collaboration</t>
  </si>
  <si>
    <t>codify</t>
  </si>
  <si>
    <t>clues</t>
  </si>
  <si>
    <t>clue</t>
  </si>
  <si>
    <t>classifications</t>
  </si>
  <si>
    <t>circumscribed</t>
  </si>
  <si>
    <t>chopping</t>
  </si>
  <si>
    <t>chopped</t>
  </si>
  <si>
    <t>chilling</t>
  </si>
  <si>
    <t>challenges</t>
  </si>
  <si>
    <t>celled</t>
  </si>
  <si>
    <t>celestial</t>
  </si>
  <si>
    <t>catullus</t>
  </si>
  <si>
    <t>cases</t>
  </si>
  <si>
    <t>candy</t>
  </si>
  <si>
    <t>cancers</t>
  </si>
  <si>
    <t>calendar</t>
  </si>
  <si>
    <t>calculation</t>
  </si>
  <si>
    <t>calculating</t>
  </si>
  <si>
    <t>calamity</t>
  </si>
  <si>
    <t>burst</t>
  </si>
  <si>
    <t>broke</t>
  </si>
  <si>
    <t>broadest</t>
  </si>
  <si>
    <t>bread</t>
  </si>
  <si>
    <t>brand</t>
  </si>
  <si>
    <t>brainstem</t>
  </si>
  <si>
    <t>boundary</t>
  </si>
  <si>
    <t>bottom</t>
  </si>
  <si>
    <t>bother</t>
  </si>
  <si>
    <t>blurry</t>
  </si>
  <si>
    <t>blur</t>
  </si>
  <si>
    <t>blind</t>
  </si>
  <si>
    <t>blessing</t>
  </si>
  <si>
    <t>black</t>
  </si>
  <si>
    <t>bind</t>
  </si>
  <si>
    <t>bengali</t>
  </si>
  <si>
    <t>beneficial</t>
  </si>
  <si>
    <t>below</t>
  </si>
  <si>
    <t>basketball</t>
  </si>
  <si>
    <t>basket</t>
  </si>
  <si>
    <t>basically</t>
  </si>
  <si>
    <t>barbarian</t>
  </si>
  <si>
    <t>bacteria</t>
  </si>
  <si>
    <t>awkward</t>
  </si>
  <si>
    <t>awareness</t>
  </si>
  <si>
    <t>audio</t>
  </si>
  <si>
    <t>attracts</t>
  </si>
  <si>
    <t>attendance</t>
  </si>
  <si>
    <t>assumes</t>
  </si>
  <si>
    <t>associate</t>
  </si>
  <si>
    <t>artistic</t>
  </si>
  <si>
    <t>arises</t>
  </si>
  <si>
    <t>apartment</t>
  </si>
  <si>
    <t>anywhere</t>
  </si>
  <si>
    <t>antelope</t>
  </si>
  <si>
    <t>announced</t>
  </si>
  <si>
    <t>ancestry</t>
  </si>
  <si>
    <t>analyzed</t>
  </si>
  <si>
    <t>amateurs</t>
  </si>
  <si>
    <t>allot</t>
  </si>
  <si>
    <t>alleles</t>
  </si>
  <si>
    <t>alien</t>
  </si>
  <si>
    <t>albrechtslund's</t>
  </si>
  <si>
    <t>albrechtslund</t>
  </si>
  <si>
    <t>albert</t>
  </si>
  <si>
    <t>agrees</t>
  </si>
  <si>
    <t>agency</t>
  </si>
  <si>
    <t>aged</t>
  </si>
  <si>
    <t>affirm</t>
  </si>
  <si>
    <t>advocate</t>
  </si>
  <si>
    <t>ads</t>
  </si>
  <si>
    <t>adolescence</t>
  </si>
  <si>
    <t>adequate</t>
  </si>
  <si>
    <t>adapting</t>
  </si>
  <si>
    <t>actors</t>
  </si>
  <si>
    <t>accumulated</t>
  </si>
  <si>
    <t>accidentally</t>
  </si>
  <si>
    <t>accidental</t>
  </si>
  <si>
    <t>abilities</t>
  </si>
  <si>
    <t>zone</t>
  </si>
  <si>
    <t>zen</t>
  </si>
  <si>
    <t>yelling</t>
  </si>
  <si>
    <t>yearolds</t>
  </si>
  <si>
    <t>yearold</t>
  </si>
  <si>
    <t>yearly</t>
  </si>
  <si>
    <t>xenophanes</t>
  </si>
  <si>
    <t>writes</t>
  </si>
  <si>
    <t>wrecked</t>
  </si>
  <si>
    <t>worthy</t>
  </si>
  <si>
    <t>worldviews</t>
  </si>
  <si>
    <t>withhold</t>
  </si>
  <si>
    <t>wishes</t>
  </si>
  <si>
    <t>whites</t>
  </si>
  <si>
    <t>whig</t>
  </si>
  <si>
    <t>wherein</t>
  </si>
  <si>
    <t>wherefore</t>
  </si>
  <si>
    <t>whereabouts</t>
  </si>
  <si>
    <t>wenders</t>
  </si>
  <si>
    <t>welsh</t>
  </si>
  <si>
    <t>weiner</t>
  </si>
  <si>
    <t>wearer</t>
  </si>
  <si>
    <t>wavered</t>
  </si>
  <si>
    <t>washing</t>
  </si>
  <si>
    <t>washes</t>
  </si>
  <si>
    <t>warnings</t>
  </si>
  <si>
    <t>warn</t>
  </si>
  <si>
    <t>walls</t>
  </si>
  <si>
    <t>wage</t>
  </si>
  <si>
    <t>voluntary</t>
  </si>
  <si>
    <t>voices</t>
  </si>
  <si>
    <t>vocalizations</t>
  </si>
  <si>
    <t>virgin</t>
  </si>
  <si>
    <t>victor</t>
  </si>
  <si>
    <t>venue</t>
  </si>
  <si>
    <t>valley</t>
  </si>
  <si>
    <t>validate</t>
  </si>
  <si>
    <t>vacation</t>
  </si>
  <si>
    <t>utterly</t>
  </si>
  <si>
    <t>utensils</t>
  </si>
  <si>
    <t>user</t>
  </si>
  <si>
    <t>urgency</t>
  </si>
  <si>
    <t>upton</t>
  </si>
  <si>
    <t>upside</t>
  </si>
  <si>
    <t>uproot</t>
  </si>
  <si>
    <t>uppsala</t>
  </si>
  <si>
    <t>upholds</t>
  </si>
  <si>
    <t>unwanted</t>
  </si>
  <si>
    <t>untreatable</t>
  </si>
  <si>
    <t>unsustainable</t>
  </si>
  <si>
    <t>unstable</t>
  </si>
  <si>
    <t>unreliability</t>
  </si>
  <si>
    <t>unreasonable</t>
  </si>
  <si>
    <t>unqualified</t>
  </si>
  <si>
    <t>unlikely</t>
  </si>
  <si>
    <t>universe</t>
  </si>
  <si>
    <t>unintentionally</t>
  </si>
  <si>
    <t>unimaginable</t>
  </si>
  <si>
    <t>unhappiness</t>
  </si>
  <si>
    <t>unfortunately</t>
  </si>
  <si>
    <t>unfolded</t>
  </si>
  <si>
    <t>unfamiliar</t>
  </si>
  <si>
    <t>unexpected</t>
  </si>
  <si>
    <t>unethical</t>
  </si>
  <si>
    <t>uneconomic</t>
  </si>
  <si>
    <t>underestimating</t>
  </si>
  <si>
    <t>undeniable</t>
  </si>
  <si>
    <t>uncultivated</t>
  </si>
  <si>
    <t>uncanny</t>
  </si>
  <si>
    <t>unavailable</t>
  </si>
  <si>
    <t>tyrant</t>
  </si>
  <si>
    <t>typical</t>
  </si>
  <si>
    <t>twenty</t>
  </si>
  <si>
    <t>tuition</t>
  </si>
  <si>
    <t>truth</t>
  </si>
  <si>
    <t>troublesome</t>
  </si>
  <si>
    <t>triple</t>
  </si>
  <si>
    <t>trillions</t>
  </si>
  <si>
    <t>tread</t>
  </si>
  <si>
    <t>translation</t>
  </si>
  <si>
    <t>trace</t>
  </si>
  <si>
    <t>topsoil</t>
  </si>
  <si>
    <t>toolmakers</t>
  </si>
  <si>
    <t>tongue</t>
  </si>
  <si>
    <t>tomography</t>
  </si>
  <si>
    <t>timesaving</t>
  </si>
  <si>
    <t>tied</t>
  </si>
  <si>
    <t>ticated</t>
  </si>
  <si>
    <t>thwarted</t>
  </si>
  <si>
    <t>thrives</t>
  </si>
  <si>
    <t>thracians</t>
  </si>
  <si>
    <t>thinkers</t>
  </si>
  <si>
    <t>theirs</t>
  </si>
  <si>
    <t>theft</t>
  </si>
  <si>
    <t>thank</t>
  </si>
  <si>
    <t>texts</t>
  </si>
  <si>
    <t>textbooks</t>
  </si>
  <si>
    <t>terrorist</t>
  </si>
  <si>
    <t>tempted</t>
  </si>
  <si>
    <t>teller</t>
  </si>
  <si>
    <t>teeming</t>
  </si>
  <si>
    <t>tearing</t>
  </si>
  <si>
    <t>taskmaster</t>
  </si>
  <si>
    <t>taper</t>
  </si>
  <si>
    <t>tainted</t>
  </si>
  <si>
    <t>tahitian</t>
  </si>
  <si>
    <t>tagged</t>
  </si>
  <si>
    <t>tackle</t>
  </si>
  <si>
    <t>synthesis</t>
  </si>
  <si>
    <t>sword</t>
  </si>
  <si>
    <t>swift</t>
  </si>
  <si>
    <t>sweep</t>
  </si>
  <si>
    <t>sweden</t>
  </si>
  <si>
    <t>sway</t>
  </si>
  <si>
    <t>sustainability</t>
  </si>
  <si>
    <t>suspended</t>
  </si>
  <si>
    <t>suspected</t>
  </si>
  <si>
    <t>surrounded</t>
  </si>
  <si>
    <t>surrender</t>
  </si>
  <si>
    <t>surprised</t>
  </si>
  <si>
    <t>surely</t>
  </si>
  <si>
    <t>supports</t>
  </si>
  <si>
    <t>sun</t>
  </si>
  <si>
    <t>summoned</t>
  </si>
  <si>
    <t>suggestive</t>
  </si>
  <si>
    <t>subordinate</t>
  </si>
  <si>
    <t>submit</t>
  </si>
  <si>
    <t>style</t>
  </si>
  <si>
    <t>strive</t>
  </si>
  <si>
    <t>strips</t>
  </si>
  <si>
    <t>strip</t>
  </si>
  <si>
    <t>strangers</t>
  </si>
  <si>
    <t>straight</t>
  </si>
  <si>
    <t>stimulus</t>
  </si>
  <si>
    <t>steadily</t>
  </si>
  <si>
    <t>stays</t>
  </si>
  <si>
    <t>star</t>
  </si>
  <si>
    <t>stanley</t>
  </si>
  <si>
    <t>stalk</t>
  </si>
  <si>
    <t>stabilize</t>
  </si>
  <si>
    <t>squabble</t>
  </si>
  <si>
    <t>spy</t>
  </si>
  <si>
    <t>spooky</t>
  </si>
  <si>
    <t>sponsor</t>
  </si>
  <si>
    <t>spoke</t>
  </si>
  <si>
    <t>speculations</t>
  </si>
  <si>
    <t>spectral</t>
  </si>
  <si>
    <t>specify</t>
  </si>
  <si>
    <t>soviet</t>
  </si>
  <si>
    <t>sophis</t>
  </si>
  <si>
    <t>someone's</t>
  </si>
  <si>
    <t>solitude</t>
  </si>
  <si>
    <t>sociology</t>
  </si>
  <si>
    <t>societal</t>
  </si>
  <si>
    <t>snout</t>
  </si>
  <si>
    <t>smiling</t>
  </si>
  <si>
    <t>smile</t>
  </si>
  <si>
    <t>smartphone</t>
  </si>
  <si>
    <t>smaller</t>
  </si>
  <si>
    <t>sluggish</t>
  </si>
  <si>
    <t>slide</t>
  </si>
  <si>
    <t>slash</t>
  </si>
  <si>
    <t>skip</t>
  </si>
  <si>
    <t>sink</t>
  </si>
  <si>
    <t>silence</t>
  </si>
  <si>
    <t>signature</t>
  </si>
  <si>
    <t>sibling</t>
  </si>
  <si>
    <t>shortchanged</t>
  </si>
  <si>
    <t>shop</t>
  </si>
  <si>
    <t>shooting</t>
  </si>
  <si>
    <t>shoddy</t>
  </si>
  <si>
    <t>shifted</t>
  </si>
  <si>
    <t>shapiro</t>
  </si>
  <si>
    <t>shallower</t>
  </si>
  <si>
    <t>shaky</t>
  </si>
  <si>
    <t>sf</t>
  </si>
  <si>
    <t>sentiments</t>
  </si>
  <si>
    <t>sentiment</t>
  </si>
  <si>
    <t>sensitize</t>
  </si>
  <si>
    <t>sensing</t>
  </si>
  <si>
    <t>semitransparent</t>
  </si>
  <si>
    <t>seminars</t>
  </si>
  <si>
    <t>seminar</t>
  </si>
  <si>
    <t>semi</t>
  </si>
  <si>
    <t>selling</t>
  </si>
  <si>
    <t>seldom</t>
  </si>
  <si>
    <t>seemingly</t>
  </si>
  <si>
    <t>seduced</t>
  </si>
  <si>
    <t>seasonal</t>
  </si>
  <si>
    <t>scraping</t>
  </si>
  <si>
    <t>scholar</t>
  </si>
  <si>
    <t>scam</t>
  </si>
  <si>
    <t>satisfied</t>
  </si>
  <si>
    <t>sandy</t>
  </si>
  <si>
    <t>salacious</t>
  </si>
  <si>
    <t>saharan</t>
  </si>
  <si>
    <t>sacrifice</t>
  </si>
  <si>
    <t>rushed</t>
  </si>
  <si>
    <t>roving</t>
  </si>
  <si>
    <t>rotting</t>
  </si>
  <si>
    <t>room's</t>
  </si>
  <si>
    <t>roms</t>
  </si>
  <si>
    <t>rome</t>
  </si>
  <si>
    <t>romantic</t>
  </si>
  <si>
    <t>robotics</t>
  </si>
  <si>
    <t>rewarding</t>
  </si>
  <si>
    <t>revolutions</t>
  </si>
  <si>
    <t>reversed</t>
  </si>
  <si>
    <t>retrench</t>
  </si>
  <si>
    <t>retesting</t>
  </si>
  <si>
    <t>resurgence</t>
  </si>
  <si>
    <t>restructures</t>
  </si>
  <si>
    <t>restrictive</t>
  </si>
  <si>
    <t>restraint</t>
  </si>
  <si>
    <t>resting</t>
  </si>
  <si>
    <t>rested</t>
  </si>
  <si>
    <t>responsibility</t>
  </si>
  <si>
    <t>respectively</t>
  </si>
  <si>
    <t>respectful</t>
  </si>
  <si>
    <t>resonances</t>
  </si>
  <si>
    <t>resistance</t>
  </si>
  <si>
    <t>requiring</t>
  </si>
  <si>
    <t>requesting</t>
  </si>
  <si>
    <t>reprint</t>
  </si>
  <si>
    <t>repressive</t>
  </si>
  <si>
    <t>repressed</t>
  </si>
  <si>
    <t>representational</t>
  </si>
  <si>
    <t>reorientation</t>
  </si>
  <si>
    <t>remove</t>
  </si>
  <si>
    <t>remember</t>
  </si>
  <si>
    <t>rembrandt</t>
  </si>
  <si>
    <t>remarkable</t>
  </si>
  <si>
    <t>remade</t>
  </si>
  <si>
    <t>religiously</t>
  </si>
  <si>
    <t>relieves</t>
  </si>
  <si>
    <t>released</t>
  </si>
  <si>
    <t>reinvested</t>
  </si>
  <si>
    <t>regime</t>
  </si>
  <si>
    <t>regenerative</t>
  </si>
  <si>
    <t>regeneration</t>
  </si>
  <si>
    <t>regards</t>
  </si>
  <si>
    <t>refused</t>
  </si>
  <si>
    <t>reflections</t>
  </si>
  <si>
    <t>refine</t>
  </si>
  <si>
    <t>rediscover</t>
  </si>
  <si>
    <t>recorded</t>
  </si>
  <si>
    <t>rebuttal</t>
  </si>
  <si>
    <t>rebellious</t>
  </si>
  <si>
    <t>rearrangement</t>
  </si>
  <si>
    <t>rearrange</t>
  </si>
  <si>
    <t>realistic</t>
  </si>
  <si>
    <t>ratings</t>
  </si>
  <si>
    <t>rat</t>
  </si>
  <si>
    <t>randomly</t>
  </si>
  <si>
    <t>radiation</t>
  </si>
  <si>
    <t>quick</t>
  </si>
  <si>
    <t>questioner</t>
  </si>
  <si>
    <t>pumps</t>
  </si>
  <si>
    <t>pumping</t>
  </si>
  <si>
    <t>publisher</t>
  </si>
  <si>
    <t>publication</t>
  </si>
  <si>
    <t>proof</t>
  </si>
  <si>
    <t>promotion</t>
  </si>
  <si>
    <t>promotes</t>
  </si>
  <si>
    <t>prohibit</t>
  </si>
  <si>
    <t>progressed</t>
  </si>
  <si>
    <t>producer</t>
  </si>
  <si>
    <t>prodigy</t>
  </si>
  <si>
    <t>proclamations</t>
  </si>
  <si>
    <t>processors</t>
  </si>
  <si>
    <t>proceed</t>
  </si>
  <si>
    <t>problematic</t>
  </si>
  <si>
    <t>probe</t>
  </si>
  <si>
    <t>pro</t>
  </si>
  <si>
    <t>prizes</t>
  </si>
  <si>
    <t>primitive</t>
  </si>
  <si>
    <t>priest</t>
  </si>
  <si>
    <t>prey</t>
  </si>
  <si>
    <t>pretzels</t>
  </si>
  <si>
    <t>pretend</t>
  </si>
  <si>
    <t>presently</t>
  </si>
  <si>
    <t>prep</t>
  </si>
  <si>
    <t>premises</t>
  </si>
  <si>
    <t>premise</t>
  </si>
  <si>
    <t>prematurely</t>
  </si>
  <si>
    <t>premating</t>
  </si>
  <si>
    <t>prefers</t>
  </si>
  <si>
    <t>preferring</t>
  </si>
  <si>
    <t>preferred</t>
  </si>
  <si>
    <t>preference</t>
  </si>
  <si>
    <t>predispositions</t>
  </si>
  <si>
    <t>predictor</t>
  </si>
  <si>
    <t>predictable</t>
  </si>
  <si>
    <t>preclude</t>
  </si>
  <si>
    <t>precipitously</t>
  </si>
  <si>
    <t>precede</t>
  </si>
  <si>
    <t>prajapati</t>
  </si>
  <si>
    <t>powerhouse</t>
  </si>
  <si>
    <t>postures</t>
  </si>
  <si>
    <t>posted</t>
  </si>
  <si>
    <t>possibilities</t>
  </si>
  <si>
    <t>portrayed</t>
  </si>
  <si>
    <t>portion</t>
  </si>
  <si>
    <t>popularize</t>
  </si>
  <si>
    <t>politically</t>
  </si>
  <si>
    <t>polar</t>
  </si>
  <si>
    <t>pointed</t>
  </si>
  <si>
    <t>poet</t>
  </si>
  <si>
    <t>pnp</t>
  </si>
  <si>
    <t>plus</t>
  </si>
  <si>
    <t>plough</t>
  </si>
  <si>
    <t>plenty</t>
  </si>
  <si>
    <t>pleasure</t>
  </si>
  <si>
    <t>player</t>
  </si>
  <si>
    <t>plausible</t>
  </si>
  <si>
    <t>plant</t>
  </si>
  <si>
    <t>plain</t>
  </si>
  <si>
    <t>placing</t>
  </si>
  <si>
    <t>pitted</t>
  </si>
  <si>
    <t>pitfalls</t>
  </si>
  <si>
    <t>pioneer</t>
  </si>
  <si>
    <t>pierce</t>
  </si>
  <si>
    <t>phrases</t>
  </si>
  <si>
    <t>pet</t>
  </si>
  <si>
    <t>persuaded</t>
  </si>
  <si>
    <t>persuade</t>
  </si>
  <si>
    <t>permitting</t>
  </si>
  <si>
    <t>permitted</t>
  </si>
  <si>
    <t>peripheral</t>
  </si>
  <si>
    <t>periods</t>
  </si>
  <si>
    <t>periodic</t>
  </si>
  <si>
    <t>peppered</t>
  </si>
  <si>
    <t>pensioned</t>
  </si>
  <si>
    <t>paying</t>
  </si>
  <si>
    <t>parking</t>
  </si>
  <si>
    <t>parenting</t>
  </si>
  <si>
    <t>parentage</t>
  </si>
  <si>
    <t>parched</t>
  </si>
  <si>
    <t>parch</t>
  </si>
  <si>
    <t>parasite</t>
  </si>
  <si>
    <t>paradigm</t>
  </si>
  <si>
    <t>paired</t>
  </si>
  <si>
    <t>pain</t>
  </si>
  <si>
    <t>pagan</t>
  </si>
  <si>
    <t>packages</t>
  </si>
  <si>
    <t>owner</t>
  </si>
  <si>
    <t>owe</t>
  </si>
  <si>
    <t>overestimating</t>
  </si>
  <si>
    <t>overall</t>
  </si>
  <si>
    <t>overact</t>
  </si>
  <si>
    <t>ovens</t>
  </si>
  <si>
    <t>outweighs</t>
  </si>
  <si>
    <t>outer</t>
  </si>
  <si>
    <t>outdated</t>
  </si>
  <si>
    <t>outclass</t>
  </si>
  <si>
    <t>oppress</t>
  </si>
  <si>
    <t>opposes</t>
  </si>
  <si>
    <t>offering</t>
  </si>
  <si>
    <t>oddity</t>
  </si>
  <si>
    <t>odd</t>
  </si>
  <si>
    <t>oceans</t>
  </si>
  <si>
    <t>occupy</t>
  </si>
  <si>
    <t>observing</t>
  </si>
  <si>
    <t>obscurity</t>
  </si>
  <si>
    <t>nurture</t>
  </si>
  <si>
    <t>nursing</t>
  </si>
  <si>
    <t>noting</t>
  </si>
  <si>
    <t>notify</t>
  </si>
  <si>
    <t>notable</t>
  </si>
  <si>
    <t>nonrenewable</t>
  </si>
  <si>
    <t>nonfinancial</t>
  </si>
  <si>
    <t>noisy</t>
  </si>
  <si>
    <t>nobel</t>
  </si>
  <si>
    <t>noam</t>
  </si>
  <si>
    <t>nexuses</t>
  </si>
  <si>
    <t>nest</t>
  </si>
  <si>
    <t>neobehaviorists</t>
  </si>
  <si>
    <t>neanderthalensis</t>
  </si>
  <si>
    <t>navigational</t>
  </si>
  <si>
    <t>navigate</t>
  </si>
  <si>
    <t>nationalists</t>
  </si>
  <si>
    <t>nanos</t>
  </si>
  <si>
    <t>myth</t>
  </si>
  <si>
    <t>mystique</t>
  </si>
  <si>
    <t>mysterious</t>
  </si>
  <si>
    <t>museums</t>
  </si>
  <si>
    <t>multiracial</t>
  </si>
  <si>
    <t>multiply</t>
  </si>
  <si>
    <t>mostly</t>
  </si>
  <si>
    <t>morale</t>
  </si>
  <si>
    <t>mood</t>
  </si>
  <si>
    <t>montesquieu</t>
  </si>
  <si>
    <t>monitoring</t>
  </si>
  <si>
    <t>momentous</t>
  </si>
  <si>
    <t>molecule</t>
  </si>
  <si>
    <t>molding</t>
  </si>
  <si>
    <t>modulations</t>
  </si>
  <si>
    <t>modification</t>
  </si>
  <si>
    <t>modernized</t>
  </si>
  <si>
    <t>moderation</t>
  </si>
  <si>
    <t>mission</t>
  </si>
  <si>
    <t>missile</t>
  </si>
  <si>
    <t>mishaps</t>
  </si>
  <si>
    <t>misdemeanor</t>
  </si>
  <si>
    <t>misconception</t>
  </si>
  <si>
    <t>mimetic</t>
  </si>
  <si>
    <t>mill</t>
  </si>
  <si>
    <t>milgram</t>
  </si>
  <si>
    <t>microwave</t>
  </si>
  <si>
    <t>microscopic</t>
  </si>
  <si>
    <t>microelectronics</t>
  </si>
  <si>
    <t>meta</t>
  </si>
  <si>
    <t>mechanized</t>
  </si>
  <si>
    <t>md</t>
  </si>
  <si>
    <t>maternal</t>
  </si>
  <si>
    <t>matched</t>
  </si>
  <si>
    <t>massachusetts</t>
  </si>
  <si>
    <t>masks</t>
  </si>
  <si>
    <t>mary</t>
  </si>
  <si>
    <t>marx</t>
  </si>
  <si>
    <t>manufacture</t>
  </si>
  <si>
    <t>mannered</t>
  </si>
  <si>
    <t>mammals</t>
  </si>
  <si>
    <t>magazines</t>
  </si>
  <si>
    <t>lynn</t>
  </si>
  <si>
    <t>loyal</t>
  </si>
  <si>
    <t>loving</t>
  </si>
  <si>
    <t>lovelocks</t>
  </si>
  <si>
    <t>losses</t>
  </si>
  <si>
    <t>loser</t>
  </si>
  <si>
    <t>longevity</t>
  </si>
  <si>
    <t>loner</t>
  </si>
  <si>
    <t>log</t>
  </si>
  <si>
    <t>loans</t>
  </si>
  <si>
    <t>lioness</t>
  </si>
  <si>
    <t>limbs</t>
  </si>
  <si>
    <t>likelihood</t>
  </si>
  <si>
    <t>letting</t>
  </si>
  <si>
    <t>lee</t>
  </si>
  <si>
    <t>learner</t>
  </si>
  <si>
    <t>lawyer</t>
  </si>
  <si>
    <t>laryngitis</t>
  </si>
  <si>
    <t>largest</t>
  </si>
  <si>
    <t>lands</t>
  </si>
  <si>
    <t>landing</t>
  </si>
  <si>
    <t>lamp</t>
  </si>
  <si>
    <t>laid</t>
  </si>
  <si>
    <t>laboratories</t>
  </si>
  <si>
    <t>label</t>
  </si>
  <si>
    <t>knowing</t>
  </si>
  <si>
    <t>knife</t>
  </si>
  <si>
    <t>king's</t>
  </si>
  <si>
    <t>killing</t>
  </si>
  <si>
    <t>kick</t>
  </si>
  <si>
    <t>khartoum</t>
  </si>
  <si>
    <t>kennedy</t>
  </si>
  <si>
    <t>june</t>
  </si>
  <si>
    <t>jealousy</t>
  </si>
  <si>
    <t>jawbone</t>
  </si>
  <si>
    <t>jacks</t>
  </si>
  <si>
    <t>jabalpur</t>
  </si>
  <si>
    <t>irritating</t>
  </si>
  <si>
    <t>irrespective</t>
  </si>
  <si>
    <t>irony</t>
  </si>
  <si>
    <t>involving</t>
  </si>
  <si>
    <t>invoke</t>
  </si>
  <si>
    <t>invited</t>
  </si>
  <si>
    <t>invitation</t>
  </si>
  <si>
    <t>invent</t>
  </si>
  <si>
    <t>invasion</t>
  </si>
  <si>
    <t>invaluable</t>
  </si>
  <si>
    <t>intricately</t>
  </si>
  <si>
    <t>intimidate</t>
  </si>
  <si>
    <t>interviewers</t>
  </si>
  <si>
    <t>interviewer</t>
  </si>
  <si>
    <t>interview</t>
  </si>
  <si>
    <t>interpretive</t>
  </si>
  <si>
    <t>interpreting</t>
  </si>
  <si>
    <t>internationally</t>
  </si>
  <si>
    <t>intentional</t>
  </si>
  <si>
    <t>intention</t>
  </si>
  <si>
    <t>intensity</t>
  </si>
  <si>
    <t>integration</t>
  </si>
  <si>
    <t>intangible</t>
  </si>
  <si>
    <t>insulin</t>
  </si>
  <si>
    <t>insulated</t>
  </si>
  <si>
    <t>insist</t>
  </si>
  <si>
    <t>insignificant</t>
  </si>
  <si>
    <t>insects</t>
  </si>
  <si>
    <t>inquire</t>
  </si>
  <si>
    <t>innocence</t>
  </si>
  <si>
    <t>injustice</t>
  </si>
  <si>
    <t>injection</t>
  </si>
  <si>
    <t>inherently</t>
  </si>
  <si>
    <t>ingenious</t>
  </si>
  <si>
    <t>infringement</t>
  </si>
  <si>
    <t>inflected</t>
  </si>
  <si>
    <t>infidelity</t>
  </si>
  <si>
    <t>inferior</t>
  </si>
  <si>
    <t>infamous</t>
  </si>
  <si>
    <t>inexpensively</t>
  </si>
  <si>
    <t>inequality</t>
  </si>
  <si>
    <t>ineligible</t>
  </si>
  <si>
    <t>indulging</t>
  </si>
  <si>
    <t>indicative</t>
  </si>
  <si>
    <t>indication</t>
  </si>
  <si>
    <t>indexed</t>
  </si>
  <si>
    <t>indefinitely</t>
  </si>
  <si>
    <t>inclination</t>
  </si>
  <si>
    <t>improving</t>
  </si>
  <si>
    <t>improvement</t>
  </si>
  <si>
    <t>impressed</t>
  </si>
  <si>
    <t>imperfectly</t>
  </si>
  <si>
    <t>immunity</t>
  </si>
  <si>
    <t>immigrating</t>
  </si>
  <si>
    <t>imitations</t>
  </si>
  <si>
    <t>imitated</t>
  </si>
  <si>
    <t>imagining</t>
  </si>
  <si>
    <t>illustrated</t>
  </si>
  <si>
    <t>ignorant</t>
  </si>
  <si>
    <t>identification</t>
  </si>
  <si>
    <t>identical</t>
  </si>
  <si>
    <t>ibm</t>
  </si>
  <si>
    <t>hypocrisy</t>
  </si>
  <si>
    <t>hydrology</t>
  </si>
  <si>
    <t>hydrologist</t>
  </si>
  <si>
    <t>hydrological</t>
  </si>
  <si>
    <t>huston</t>
  </si>
  <si>
    <t>hunting</t>
  </si>
  <si>
    <t>hunter</t>
  </si>
  <si>
    <t>humanitarian</t>
  </si>
  <si>
    <t>host</t>
  </si>
  <si>
    <t>hospitals</t>
  </si>
  <si>
    <t>horse</t>
  </si>
  <si>
    <t>horn</t>
  </si>
  <si>
    <t>horizon</t>
  </si>
  <si>
    <t>hopefulness</t>
  </si>
  <si>
    <t>hoes</t>
  </si>
  <si>
    <t>historically</t>
  </si>
  <si>
    <t>historian</t>
  </si>
  <si>
    <t>hidden</t>
  </si>
  <si>
    <t>hero</t>
  </si>
  <si>
    <t>hectic</t>
  </si>
  <si>
    <t>hebrew</t>
  </si>
  <si>
    <t>heap</t>
  </si>
  <si>
    <t>hazen</t>
  </si>
  <si>
    <t>havoc</t>
  </si>
  <si>
    <t>harvest</t>
  </si>
  <si>
    <t>harsh</t>
  </si>
  <si>
    <t>harness</t>
  </si>
  <si>
    <t>harmoniously</t>
  </si>
  <si>
    <t>hanh</t>
  </si>
  <si>
    <t>hammett</t>
  </si>
  <si>
    <t>halve</t>
  </si>
  <si>
    <t>haired</t>
  </si>
  <si>
    <t>hacker</t>
  </si>
  <si>
    <t>hack</t>
  </si>
  <si>
    <t>gym</t>
  </si>
  <si>
    <t>gutenberg</t>
  </si>
  <si>
    <t>gun</t>
  </si>
  <si>
    <t>gross</t>
  </si>
  <si>
    <t>grim</t>
  </si>
  <si>
    <t>greece</t>
  </si>
  <si>
    <t>grassroots</t>
  </si>
  <si>
    <t>grandson</t>
  </si>
  <si>
    <t>gradual</t>
  </si>
  <si>
    <t>goose</t>
  </si>
  <si>
    <t>goods</t>
  </si>
  <si>
    <t>golden</t>
  </si>
  <si>
    <t>glitch</t>
  </si>
  <si>
    <t>glance</t>
  </si>
  <si>
    <t>gifted</t>
  </si>
  <si>
    <t>gestures</t>
  </si>
  <si>
    <t>geology</t>
  </si>
  <si>
    <t>geographical</t>
  </si>
  <si>
    <t>genus</t>
  </si>
  <si>
    <t>genomics</t>
  </si>
  <si>
    <t>genocide</t>
  </si>
  <si>
    <t>geniuses</t>
  </si>
  <si>
    <t>generic</t>
  </si>
  <si>
    <t>gazelle</t>
  </si>
  <si>
    <t>gather</t>
  </si>
  <si>
    <t>gary</t>
  </si>
  <si>
    <t>gaga's</t>
  </si>
  <si>
    <t>gaelic</t>
  </si>
  <si>
    <t>futures</t>
  </si>
  <si>
    <t>fusion</t>
  </si>
  <si>
    <t>funding</t>
  </si>
  <si>
    <t>fundamentally</t>
  </si>
  <si>
    <t>fullest</t>
  </si>
  <si>
    <t>fulfillment</t>
  </si>
  <si>
    <t>frightful</t>
  </si>
  <si>
    <t>friendship</t>
  </si>
  <si>
    <t>freeing</t>
  </si>
  <si>
    <t>frans</t>
  </si>
  <si>
    <t>frames</t>
  </si>
  <si>
    <t>foundations</t>
  </si>
  <si>
    <t>foundation</t>
  </si>
  <si>
    <t>formulate</t>
  </si>
  <si>
    <t>forging</t>
  </si>
  <si>
    <t>forever</t>
  </si>
  <si>
    <t>forest</t>
  </si>
  <si>
    <t>foreshadowing</t>
  </si>
  <si>
    <t>foregrounding</t>
  </si>
  <si>
    <t>foraging</t>
  </si>
  <si>
    <t>flung</t>
  </si>
  <si>
    <t>fluid</t>
  </si>
  <si>
    <t>flourish</t>
  </si>
  <si>
    <t>flocks</t>
  </si>
  <si>
    <t>flint</t>
  </si>
  <si>
    <t>flights</t>
  </si>
  <si>
    <t>flash</t>
  </si>
  <si>
    <t>fishermen</t>
  </si>
  <si>
    <t>file</t>
  </si>
  <si>
    <t>fiction</t>
  </si>
  <si>
    <t>fertility</t>
  </si>
  <si>
    <t>feminine</t>
  </si>
  <si>
    <t>fee</t>
  </si>
  <si>
    <t>feasible</t>
  </si>
  <si>
    <t>fatigue</t>
  </si>
  <si>
    <t>falls</t>
  </si>
  <si>
    <t>factored</t>
  </si>
  <si>
    <t>facing</t>
  </si>
  <si>
    <t>facebook's</t>
  </si>
  <si>
    <t>eyed</t>
  </si>
  <si>
    <t>extreme</t>
  </si>
  <si>
    <t>extract</t>
  </si>
  <si>
    <t>extinction</t>
  </si>
  <si>
    <t>expressive</t>
  </si>
  <si>
    <t>expose</t>
  </si>
  <si>
    <t>exploratory</t>
  </si>
  <si>
    <t>explicit</t>
  </si>
  <si>
    <t>experiences</t>
  </si>
  <si>
    <t>existed</t>
  </si>
  <si>
    <t>exercising</t>
  </si>
  <si>
    <t>exciting</t>
  </si>
  <si>
    <t>exchanges</t>
  </si>
  <si>
    <t>exchanged</t>
  </si>
  <si>
    <t>evident</t>
  </si>
  <si>
    <t>eve</t>
  </si>
  <si>
    <t>evaluates</t>
  </si>
  <si>
    <t>evaluated</t>
  </si>
  <si>
    <t>europeans</t>
  </si>
  <si>
    <t>ethiopians</t>
  </si>
  <si>
    <t>ethics</t>
  </si>
  <si>
    <t>eternal</t>
  </si>
  <si>
    <t>essays</t>
  </si>
  <si>
    <t>erectus</t>
  </si>
  <si>
    <t>erected</t>
  </si>
  <si>
    <t>erasure</t>
  </si>
  <si>
    <t>erasmus'</t>
  </si>
  <si>
    <t>erase</t>
  </si>
  <si>
    <t>equivalent</t>
  </si>
  <si>
    <t>equates</t>
  </si>
  <si>
    <t>epidemiologist</t>
  </si>
  <si>
    <t>entitle</t>
  </si>
  <si>
    <t>entailment</t>
  </si>
  <si>
    <t>ensuring</t>
  </si>
  <si>
    <t>ensured</t>
  </si>
  <si>
    <t>ensuing</t>
  </si>
  <si>
    <t>enhances</t>
  </si>
  <si>
    <t>energetic</t>
  </si>
  <si>
    <t>endless</t>
  </si>
  <si>
    <t>encyclopedia</t>
  </si>
  <si>
    <t>enculturation</t>
  </si>
  <si>
    <t>encounters</t>
  </si>
  <si>
    <t>encompassing</t>
  </si>
  <si>
    <t>encoded</t>
  </si>
  <si>
    <t>enacting</t>
  </si>
  <si>
    <t>enabling</t>
  </si>
  <si>
    <t>emulate</t>
  </si>
  <si>
    <t>emissions</t>
  </si>
  <si>
    <t>emigrating</t>
  </si>
  <si>
    <t>emerging</t>
  </si>
  <si>
    <t>embody</t>
  </si>
  <si>
    <t>embodies</t>
  </si>
  <si>
    <t>emancipate</t>
  </si>
  <si>
    <t>eliciting</t>
  </si>
  <si>
    <t>eighteenth</t>
  </si>
  <si>
    <t>efficiently</t>
  </si>
  <si>
    <t>effaces</t>
  </si>
  <si>
    <t>ec</t>
  </si>
  <si>
    <t>earth's</t>
  </si>
  <si>
    <t>dynamism</t>
  </si>
  <si>
    <t>dwellers</t>
  </si>
  <si>
    <t>dump</t>
  </si>
  <si>
    <t>dual</t>
  </si>
  <si>
    <t>driver</t>
  </si>
  <si>
    <t>dream</t>
  </si>
  <si>
    <t>drains</t>
  </si>
  <si>
    <t>downtown</t>
  </si>
  <si>
    <t>downriver</t>
  </si>
  <si>
    <t>doppelganger</t>
  </si>
  <si>
    <t>doors</t>
  </si>
  <si>
    <t>donation</t>
  </si>
  <si>
    <t>domain</t>
  </si>
  <si>
    <t>dollars</t>
  </si>
  <si>
    <t>doctor</t>
  </si>
  <si>
    <t>distort</t>
  </si>
  <si>
    <t>disputed</t>
  </si>
  <si>
    <t>disorder</t>
  </si>
  <si>
    <t>disenfranchised</t>
  </si>
  <si>
    <t>discusses</t>
  </si>
  <si>
    <t>disconnected</t>
  </si>
  <si>
    <t>discarding</t>
  </si>
  <si>
    <t>disagreements</t>
  </si>
  <si>
    <t>director</t>
  </si>
  <si>
    <t>dimensional</t>
  </si>
  <si>
    <t>dimension</t>
  </si>
  <si>
    <t>digit</t>
  </si>
  <si>
    <t>digest</t>
  </si>
  <si>
    <t>difficulties</t>
  </si>
  <si>
    <t>differentiate</t>
  </si>
  <si>
    <t>diagonal</t>
  </si>
  <si>
    <t>dhaka</t>
  </si>
  <si>
    <t>dexterity</t>
  </si>
  <si>
    <t>devotion</t>
  </si>
  <si>
    <t>devils</t>
  </si>
  <si>
    <t>deviation</t>
  </si>
  <si>
    <t>devastating</t>
  </si>
  <si>
    <t>detection</t>
  </si>
  <si>
    <t>destroyed</t>
  </si>
  <si>
    <t>descendant</t>
  </si>
  <si>
    <t>descend</t>
  </si>
  <si>
    <t>deriving</t>
  </si>
  <si>
    <t>deprives</t>
  </si>
  <si>
    <t>depression</t>
  </si>
  <si>
    <t>depress</t>
  </si>
  <si>
    <t>depart</t>
  </si>
  <si>
    <t>deny</t>
  </si>
  <si>
    <t>denmark</t>
  </si>
  <si>
    <t>demott's</t>
  </si>
  <si>
    <t>defying</t>
  </si>
  <si>
    <t>defining</t>
  </si>
  <si>
    <t>defend</t>
  </si>
  <si>
    <t>defects</t>
  </si>
  <si>
    <t>deemed</t>
  </si>
  <si>
    <t>decomposing</t>
  </si>
  <si>
    <t>decisive</t>
  </si>
  <si>
    <t>decentralized</t>
  </si>
  <si>
    <t>decadal</t>
  </si>
  <si>
    <t>darwin</t>
  </si>
  <si>
    <t>dark</t>
  </si>
  <si>
    <t>dagger</t>
  </si>
  <si>
    <t>cutting</t>
  </si>
  <si>
    <t>customs</t>
  </si>
  <si>
    <t>curse</t>
  </si>
  <si>
    <t>curiosity</t>
  </si>
  <si>
    <t>cured</t>
  </si>
  <si>
    <t>culturally</t>
  </si>
  <si>
    <t>cultivate</t>
  </si>
  <si>
    <t>crude</t>
  </si>
  <si>
    <t>crucially</t>
  </si>
  <si>
    <t>crowd</t>
  </si>
  <si>
    <t>crooked</t>
  </si>
  <si>
    <t>crispy</t>
  </si>
  <si>
    <t>crippling</t>
  </si>
  <si>
    <t>credits</t>
  </si>
  <si>
    <t>creatures</t>
  </si>
  <si>
    <t>couple</t>
  </si>
  <si>
    <t>counts</t>
  </si>
  <si>
    <t>countless</t>
  </si>
  <si>
    <t>counted</t>
  </si>
  <si>
    <t>coterie</t>
  </si>
  <si>
    <t>costly</t>
  </si>
  <si>
    <t>cosmos</t>
  </si>
  <si>
    <t>correspondence</t>
  </si>
  <si>
    <t>correlates</t>
  </si>
  <si>
    <t>coordination</t>
  </si>
  <si>
    <t>convert</t>
  </si>
  <si>
    <t>controversial</t>
  </si>
  <si>
    <t>contrasted</t>
  </si>
  <si>
    <t>contradiction</t>
  </si>
  <si>
    <t>contradicte</t>
  </si>
  <si>
    <t>contradict</t>
  </si>
  <si>
    <t>continuous</t>
  </si>
  <si>
    <t>continuity</t>
  </si>
  <si>
    <t>continues</t>
  </si>
  <si>
    <t>contentious</t>
  </si>
  <si>
    <t>contention</t>
  </si>
  <si>
    <t>contemplating</t>
  </si>
  <si>
    <t>consumers</t>
  </si>
  <si>
    <t>consumerism</t>
  </si>
  <si>
    <t>considers</t>
  </si>
  <si>
    <t>congress</t>
  </si>
  <si>
    <t>confusion</t>
  </si>
  <si>
    <t>confucius</t>
  </si>
  <si>
    <t>confrontation</t>
  </si>
  <si>
    <t>confidently</t>
  </si>
  <si>
    <t>concerning</t>
  </si>
  <si>
    <t>conceive</t>
  </si>
  <si>
    <t>complication</t>
  </si>
  <si>
    <t>compiled</t>
  </si>
  <si>
    <t>competing</t>
  </si>
  <si>
    <t>compares</t>
  </si>
  <si>
    <t>comparable</t>
  </si>
  <si>
    <t>communicated</t>
  </si>
  <si>
    <t>commonplace</t>
  </si>
  <si>
    <t>commodities</t>
  </si>
  <si>
    <t>comments</t>
  </si>
  <si>
    <t>comment</t>
  </si>
  <si>
    <t>combustion</t>
  </si>
  <si>
    <t>columbia</t>
  </si>
  <si>
    <t>colonialism</t>
  </si>
  <si>
    <t>collectively</t>
  </si>
  <si>
    <t>collecting</t>
  </si>
  <si>
    <t>collapsing</t>
  </si>
  <si>
    <t>coldness</t>
  </si>
  <si>
    <t>col</t>
  </si>
  <si>
    <t>coinage</t>
  </si>
  <si>
    <t>cohesive</t>
  </si>
  <si>
    <t>coexistence</t>
  </si>
  <si>
    <t>coast</t>
  </si>
  <si>
    <t>clumsiness</t>
  </si>
  <si>
    <t>clothing</t>
  </si>
  <si>
    <t>cling</t>
  </si>
  <si>
    <t>clever</t>
  </si>
  <si>
    <t>clearer</t>
  </si>
  <si>
    <t>clay</t>
  </si>
  <si>
    <t>classified</t>
  </si>
  <si>
    <t>clarify</t>
  </si>
  <si>
    <t>clamored</t>
  </si>
  <si>
    <t>civilize</t>
  </si>
  <si>
    <t>circulate</t>
  </si>
  <si>
    <t>christmas</t>
  </si>
  <si>
    <t>christ</t>
  </si>
  <si>
    <t>chosen</t>
  </si>
  <si>
    <t>choppy</t>
  </si>
  <si>
    <t>chinese</t>
  </si>
  <si>
    <t>childhood</t>
  </si>
  <si>
    <t>chicken</t>
  </si>
  <si>
    <t>chick</t>
  </si>
  <si>
    <t>chicago</t>
  </si>
  <si>
    <t>cheetah</t>
  </si>
  <si>
    <t>charitable</t>
  </si>
  <si>
    <t>chaotic</t>
  </si>
  <si>
    <t>channeled</t>
  </si>
  <si>
    <t>certainly</t>
  </si>
  <si>
    <t>caught</t>
  </si>
  <si>
    <t>categorize</t>
  </si>
  <si>
    <t>careers</t>
  </si>
  <si>
    <t>captured</t>
  </si>
  <si>
    <t>cancellation</t>
  </si>
  <si>
    <t>can't</t>
  </si>
  <si>
    <t>camcorders</t>
  </si>
  <si>
    <t>calmness</t>
  </si>
  <si>
    <t>calling</t>
  </si>
  <si>
    <t>calcutta</t>
  </si>
  <si>
    <t>buys</t>
  </si>
  <si>
    <t>businessmen</t>
  </si>
  <si>
    <t>buses</t>
  </si>
  <si>
    <t>buried</t>
  </si>
  <si>
    <t>bulletin</t>
  </si>
  <si>
    <t>budgets</t>
  </si>
  <si>
    <t>brynjolfsson</t>
  </si>
  <si>
    <t>brotherhood</t>
  </si>
  <si>
    <t>brood</t>
  </si>
  <si>
    <t>bricolage</t>
  </si>
  <si>
    <t>breakneck</t>
  </si>
  <si>
    <t>brainstorm</t>
  </si>
  <si>
    <t>bow</t>
  </si>
  <si>
    <t>borrowed</t>
  </si>
  <si>
    <t>bode</t>
  </si>
  <si>
    <t>blow</t>
  </si>
  <si>
    <t>blood</t>
  </si>
  <si>
    <t>blister</t>
  </si>
  <si>
    <t>bleak</t>
  </si>
  <si>
    <t>blacks</t>
  </si>
  <si>
    <t>bits</t>
  </si>
  <si>
    <t>birthday</t>
  </si>
  <si>
    <t>bining</t>
  </si>
  <si>
    <t>binding</t>
  </si>
  <si>
    <t>billboards</t>
  </si>
  <si>
    <t>bigger</t>
  </si>
  <si>
    <t>behaving</t>
  </si>
  <si>
    <t>becker</t>
  </si>
  <si>
    <t>beauty</t>
  </si>
  <si>
    <t>beatles</t>
  </si>
  <si>
    <t>baskets</t>
  </si>
  <si>
    <t>bangladeshis</t>
  </si>
  <si>
    <t>bands</t>
  </si>
  <si>
    <t>backed</t>
  </si>
  <si>
    <t>awl</t>
  </si>
  <si>
    <t>avoidable</t>
  </si>
  <si>
    <t>aviation</t>
  </si>
  <si>
    <t>autonomy</t>
  </si>
  <si>
    <t>automatic</t>
  </si>
  <si>
    <t>authorize</t>
  </si>
  <si>
    <t>authorities</t>
  </si>
  <si>
    <t>authoritarian</t>
  </si>
  <si>
    <t>authenticity</t>
  </si>
  <si>
    <t>attuned</t>
  </si>
  <si>
    <t>attribution</t>
  </si>
  <si>
    <t>attributing</t>
  </si>
  <si>
    <t>attractive</t>
  </si>
  <si>
    <t>attraction</t>
  </si>
  <si>
    <t>atlantic</t>
  </si>
  <si>
    <t>astute</t>
  </si>
  <si>
    <t>astronauts</t>
  </si>
  <si>
    <t>astray</t>
  </si>
  <si>
    <t>assessed</t>
  </si>
  <si>
    <t>aspirational</t>
  </si>
  <si>
    <t>arthur</t>
  </si>
  <si>
    <t>arrive</t>
  </si>
  <si>
    <t>array</t>
  </si>
  <si>
    <t>arranging</t>
  </si>
  <si>
    <t>arouse</t>
  </si>
  <si>
    <t>arizona</t>
  </si>
  <si>
    <t>aristotle</t>
  </si>
  <si>
    <t>aristocrat</t>
  </si>
  <si>
    <t>arguably</t>
  </si>
  <si>
    <t>arge</t>
  </si>
  <si>
    <t>architectural</t>
  </si>
  <si>
    <t>archaeological</t>
  </si>
  <si>
    <t>arbitrarily</t>
  </si>
  <si>
    <t>approval</t>
  </si>
  <si>
    <t>appropriately</t>
  </si>
  <si>
    <t>applies</t>
  </si>
  <si>
    <t>apparatus</t>
  </si>
  <si>
    <t>antithesis</t>
  </si>
  <si>
    <t>antisocial</t>
  </si>
  <si>
    <t>anticipation</t>
  </si>
  <si>
    <t>anthony</t>
  </si>
  <si>
    <t>answering</t>
  </si>
  <si>
    <t>anosmia</t>
  </si>
  <si>
    <t>animated</t>
  </si>
  <si>
    <t>analyz</t>
  </si>
  <si>
    <t>ample</t>
  </si>
  <si>
    <t>amoeba</t>
  </si>
  <si>
    <t>america</t>
  </si>
  <si>
    <t>amenities</t>
  </si>
  <si>
    <t>ambitious</t>
  </si>
  <si>
    <t>ambiguity</t>
  </si>
  <si>
    <t>altogether</t>
  </si>
  <si>
    <t>alcoholism</t>
  </si>
  <si>
    <t>alarm</t>
  </si>
  <si>
    <t>aides</t>
  </si>
  <si>
    <t>agreement</t>
  </si>
  <si>
    <t>aggressiveness</t>
  </si>
  <si>
    <t>agent</t>
  </si>
  <si>
    <t>affirmed</t>
  </si>
  <si>
    <t>affair</t>
  </si>
  <si>
    <t>advertising</t>
  </si>
  <si>
    <t>advertiser</t>
  </si>
  <si>
    <t>administrator</t>
  </si>
  <si>
    <t>administration</t>
  </si>
  <si>
    <t>administrating</t>
  </si>
  <si>
    <t>adjusted</t>
  </si>
  <si>
    <t>adds</t>
  </si>
  <si>
    <t>additional</t>
  </si>
  <si>
    <t>adaptable</t>
  </si>
  <si>
    <t>adamson</t>
  </si>
  <si>
    <t>accounts</t>
  </si>
  <si>
    <t>accompany</t>
  </si>
  <si>
    <t>accompanied</t>
  </si>
  <si>
    <t>abusive</t>
  </si>
  <si>
    <t>absence</t>
  </si>
  <si>
    <t>abnormal</t>
  </si>
  <si>
    <t>zuckerberg</t>
  </si>
  <si>
    <t>yuns</t>
  </si>
  <si>
    <t>youtube</t>
  </si>
  <si>
    <t>youngster</t>
  </si>
  <si>
    <t>yokes</t>
  </si>
  <si>
    <t>yesteryear</t>
  </si>
  <si>
    <t>yellow</t>
  </si>
  <si>
    <t>yeast</t>
  </si>
  <si>
    <t>yea</t>
  </si>
  <si>
    <t>yale</t>
  </si>
  <si>
    <t>x</t>
  </si>
  <si>
    <t>wrests</t>
  </si>
  <si>
    <t>wound</t>
  </si>
  <si>
    <t>wouldn't</t>
  </si>
  <si>
    <t>workings</t>
  </si>
  <si>
    <t>workable</t>
  </si>
  <si>
    <t>wood</t>
  </si>
  <si>
    <t>woke</t>
  </si>
  <si>
    <t>wobbly</t>
  </si>
  <si>
    <t>wizard</t>
  </si>
  <si>
    <t>wit</t>
  </si>
  <si>
    <t>winner</t>
  </si>
  <si>
    <t>wikipedia</t>
  </si>
  <si>
    <t>wider</t>
  </si>
  <si>
    <t>wicker</t>
  </si>
  <si>
    <t>whereby</t>
  </si>
  <si>
    <t>wheelchair</t>
  </si>
  <si>
    <t>wheel</t>
  </si>
  <si>
    <t>wetlands</t>
  </si>
  <si>
    <t>weston</t>
  </si>
  <si>
    <t>weren't</t>
  </si>
  <si>
    <t>weekly</t>
  </si>
  <si>
    <t>weeded</t>
  </si>
  <si>
    <t>wedge</t>
  </si>
  <si>
    <t>wearing</t>
  </si>
  <si>
    <t>wearily</t>
  </si>
  <si>
    <t>wealthy</t>
  </si>
  <si>
    <t>wealthiest</t>
  </si>
  <si>
    <t>weakly</t>
  </si>
  <si>
    <t>we'd</t>
  </si>
  <si>
    <t>wasting</t>
  </si>
  <si>
    <t>wasteful</t>
  </si>
  <si>
    <t>wasted</t>
  </si>
  <si>
    <t>washed</t>
  </si>
  <si>
    <t>warned</t>
  </si>
  <si>
    <t>warmth</t>
  </si>
  <si>
    <t>wanting</t>
  </si>
  <si>
    <t>wandered</t>
  </si>
  <si>
    <t>wait</t>
  </si>
  <si>
    <t>vultures</t>
  </si>
  <si>
    <t>vulnerable</t>
  </si>
  <si>
    <t>vulnerability</t>
  </si>
  <si>
    <t>voluntarily</t>
  </si>
  <si>
    <t>vocabulary</t>
  </si>
  <si>
    <t>vitascope</t>
  </si>
  <si>
    <t>visitors</t>
  </si>
  <si>
    <t>visited</t>
  </si>
  <si>
    <t>virus</t>
  </si>
  <si>
    <t>violin</t>
  </si>
  <si>
    <t>violence</t>
  </si>
  <si>
    <t>vigorous</t>
  </si>
  <si>
    <t>viewers</t>
  </si>
  <si>
    <t>viewer</t>
  </si>
  <si>
    <t>vietnamese</t>
  </si>
  <si>
    <t>vietnam</t>
  </si>
  <si>
    <t>victorious</t>
  </si>
  <si>
    <t>versatile</t>
  </si>
  <si>
    <t>verify</t>
  </si>
  <si>
    <t>verge</t>
  </si>
  <si>
    <t>verbal</t>
  </si>
  <si>
    <t>vegetation</t>
  </si>
  <si>
    <t>varieties</t>
  </si>
  <si>
    <t>vanish</t>
  </si>
  <si>
    <t>useless</t>
  </si>
  <si>
    <t>upward</t>
  </si>
  <si>
    <t>uppermost</t>
  </si>
  <si>
    <t>unwelcome</t>
  </si>
  <si>
    <t>unsuspected</t>
  </si>
  <si>
    <t>unrest</t>
  </si>
  <si>
    <t>unresponsive</t>
  </si>
  <si>
    <t>unresolved</t>
  </si>
  <si>
    <t>unreliable</t>
  </si>
  <si>
    <t>unrelated</t>
  </si>
  <si>
    <t>unrealized</t>
  </si>
  <si>
    <t>unrealistic</t>
  </si>
  <si>
    <t>unpaid</t>
  </si>
  <si>
    <t>universities</t>
  </si>
  <si>
    <t>universally</t>
  </si>
  <si>
    <t>uninformed</t>
  </si>
  <si>
    <t>unifying</t>
  </si>
  <si>
    <t>uniforms</t>
  </si>
  <si>
    <t>unicellular</t>
  </si>
  <si>
    <t>unicef</t>
  </si>
  <si>
    <t>unfair</t>
  </si>
  <si>
    <t>uneven</t>
  </si>
  <si>
    <t>unequal</t>
  </si>
  <si>
    <t>undesirable</t>
  </si>
  <si>
    <t>underlie</t>
  </si>
  <si>
    <t>underappreciated</t>
  </si>
  <si>
    <t>unconvincing</t>
  </si>
  <si>
    <t>unconditional</t>
  </si>
  <si>
    <t>uncomfortable</t>
  </si>
  <si>
    <t>unclear</t>
  </si>
  <si>
    <t>uncharted</t>
  </si>
  <si>
    <t>unbound</t>
  </si>
  <si>
    <t>unbinding</t>
  </si>
  <si>
    <t>unasked</t>
  </si>
  <si>
    <t>twitter</t>
  </si>
  <si>
    <t>turner</t>
  </si>
  <si>
    <t>tropics</t>
  </si>
  <si>
    <t>triumph</t>
  </si>
  <si>
    <t>trickery</t>
  </si>
  <si>
    <t>trials</t>
  </si>
  <si>
    <t>tremendous</t>
  </si>
  <si>
    <t>treats</t>
  </si>
  <si>
    <t>treatments</t>
  </si>
  <si>
    <t>treatment</t>
  </si>
  <si>
    <t>treadmill</t>
  </si>
  <si>
    <t>trauma</t>
  </si>
  <si>
    <t>trash</t>
  </si>
  <si>
    <t>transmitter</t>
  </si>
  <si>
    <t>transmission</t>
  </si>
  <si>
    <t>translates</t>
  </si>
  <si>
    <t>transit</t>
  </si>
  <si>
    <t>transgressions</t>
  </si>
  <si>
    <t>transforms</t>
  </si>
  <si>
    <t>transcendence</t>
  </si>
  <si>
    <t>transcend</t>
  </si>
  <si>
    <t>trail</t>
  </si>
  <si>
    <t>tradi</t>
  </si>
  <si>
    <t>tracts</t>
  </si>
  <si>
    <t>toys</t>
  </si>
  <si>
    <t>tourists</t>
  </si>
  <si>
    <t>toothed</t>
  </si>
  <si>
    <t>tonal</t>
  </si>
  <si>
    <t>tolerant</t>
  </si>
  <si>
    <t>token</t>
  </si>
  <si>
    <t>toilet</t>
  </si>
  <si>
    <t>togetherness</t>
  </si>
  <si>
    <t>tl1e</t>
  </si>
  <si>
    <t>tions</t>
  </si>
  <si>
    <t>tional</t>
  </si>
  <si>
    <t>threats</t>
  </si>
  <si>
    <t>threatening</t>
  </si>
  <si>
    <t>thoreau</t>
  </si>
  <si>
    <t>thirsty</t>
  </si>
  <si>
    <t>thirds</t>
  </si>
  <si>
    <t>thinning</t>
  </si>
  <si>
    <t>therein</t>
  </si>
  <si>
    <t>therac</t>
  </si>
  <si>
    <t>theoretical</t>
  </si>
  <si>
    <t>territory</t>
  </si>
  <si>
    <t>tenth</t>
  </si>
  <si>
    <t>tension</t>
  </si>
  <si>
    <t>tempting</t>
  </si>
  <si>
    <t>temporality</t>
  </si>
  <si>
    <t>telescope</t>
  </si>
  <si>
    <t>telegraphs</t>
  </si>
  <si>
    <t>teens</t>
  </si>
  <si>
    <t>teenager's</t>
  </si>
  <si>
    <t>technologically</t>
  </si>
  <si>
    <t>tech</t>
  </si>
  <si>
    <t>teamworkers</t>
  </si>
  <si>
    <t>teams</t>
  </si>
  <si>
    <t>targeting</t>
  </si>
  <si>
    <t>tangible</t>
  </si>
  <si>
    <t>talks</t>
  </si>
  <si>
    <t>talked</t>
  </si>
  <si>
    <t>tain</t>
  </si>
  <si>
    <t>taboos</t>
  </si>
  <si>
    <t>swords</t>
  </si>
  <si>
    <t>sweet</t>
  </si>
  <si>
    <t>sweeping</t>
  </si>
  <si>
    <t>suspicion</t>
  </si>
  <si>
    <t>suspend</t>
  </si>
  <si>
    <t>suspects</t>
  </si>
  <si>
    <t>suspecting</t>
  </si>
  <si>
    <t>suspect</t>
  </si>
  <si>
    <t>survivor</t>
  </si>
  <si>
    <t>survived</t>
  </si>
  <si>
    <t>surveying</t>
  </si>
  <si>
    <t>surveilling</t>
  </si>
  <si>
    <t>surveilled</t>
  </si>
  <si>
    <t>superstar</t>
  </si>
  <si>
    <t>supernatural</t>
  </si>
  <si>
    <t>sunday</t>
  </si>
  <si>
    <t>summers</t>
  </si>
  <si>
    <t>subversive</t>
  </si>
  <si>
    <t>subtract</t>
  </si>
  <si>
    <t>subterranean</t>
  </si>
  <si>
    <t>substandard</t>
  </si>
  <si>
    <t>subsidizes</t>
  </si>
  <si>
    <t>subsidies</t>
  </si>
  <si>
    <t>subliminal</t>
  </si>
  <si>
    <t>styles</t>
  </si>
  <si>
    <t>stunned</t>
  </si>
  <si>
    <t>stroke</t>
  </si>
  <si>
    <t>strivings</t>
  </si>
  <si>
    <t>strikingly</t>
  </si>
  <si>
    <t>strikes</t>
  </si>
  <si>
    <t>stressed</t>
  </si>
  <si>
    <t>strategic</t>
  </si>
  <si>
    <t>stores</t>
  </si>
  <si>
    <t>stones</t>
  </si>
  <si>
    <t>stipulation</t>
  </si>
  <si>
    <t>stink</t>
  </si>
  <si>
    <t>stewardship</t>
  </si>
  <si>
    <t>stave</t>
  </si>
  <si>
    <t>starts</t>
  </si>
  <si>
    <t>stands</t>
  </si>
  <si>
    <t>stagnation</t>
  </si>
  <si>
    <t>stag</t>
  </si>
  <si>
    <t>spurring</t>
  </si>
  <si>
    <t>spoon</t>
  </si>
  <si>
    <t>spontaneously</t>
  </si>
  <si>
    <t>split</t>
  </si>
  <si>
    <t>sphere</t>
  </si>
  <si>
    <t>spending</t>
  </si>
  <si>
    <t>speculative</t>
  </si>
  <si>
    <t>speaks</t>
  </si>
  <si>
    <t>spatial</t>
  </si>
  <si>
    <t>sparrows</t>
  </si>
  <si>
    <t>spanning</t>
  </si>
  <si>
    <t>spaceships</t>
  </si>
  <si>
    <t>sooner</t>
  </si>
  <si>
    <t>son</t>
  </si>
  <si>
    <t>somewhat</t>
  </si>
  <si>
    <t>solving</t>
  </si>
  <si>
    <t>solu</t>
  </si>
  <si>
    <t>solitary</t>
  </si>
  <si>
    <t>soldiers</t>
  </si>
  <si>
    <t>soft</t>
  </si>
  <si>
    <t>sofa</t>
  </si>
  <si>
    <t>sociated</t>
  </si>
  <si>
    <t>socializing</t>
  </si>
  <si>
    <t>sloppiness</t>
  </si>
  <si>
    <t>slip</t>
  </si>
  <si>
    <t>slew</t>
  </si>
  <si>
    <t>skirting</t>
  </si>
  <si>
    <t>skewed</t>
  </si>
  <si>
    <t>sketch</t>
  </si>
  <si>
    <t>sizzling</t>
  </si>
  <si>
    <t>sixty</t>
  </si>
  <si>
    <t>sixth</t>
  </si>
  <si>
    <t>situated</t>
  </si>
  <si>
    <t>singapore</t>
  </si>
  <si>
    <t>sing</t>
  </si>
  <si>
    <t>simplest</t>
  </si>
  <si>
    <t>sickness</t>
  </si>
  <si>
    <t>sick</t>
  </si>
  <si>
    <t>shut</t>
  </si>
  <si>
    <t>shrimp</t>
  </si>
  <si>
    <t>showing</t>
  </si>
  <si>
    <t>shovels</t>
  </si>
  <si>
    <t>shoved</t>
  </si>
  <si>
    <t>shocking</t>
  </si>
  <si>
    <t>ships</t>
  </si>
  <si>
    <t>shelagh</t>
  </si>
  <si>
    <t>sharper</t>
  </si>
  <si>
    <t>sharpening</t>
  </si>
  <si>
    <t>shaniqua</t>
  </si>
  <si>
    <t>shadowy</t>
  </si>
  <si>
    <t>sewers</t>
  </si>
  <si>
    <t>seventh</t>
  </si>
  <si>
    <t>sergei</t>
  </si>
  <si>
    <t>serendipitous</t>
  </si>
  <si>
    <t>separation</t>
  </si>
  <si>
    <t>semiautomatic</t>
  </si>
  <si>
    <t>selects</t>
  </si>
  <si>
    <t>segregation</t>
  </si>
  <si>
    <t>seeded</t>
  </si>
  <si>
    <t>seat</t>
  </si>
  <si>
    <t>searches</t>
  </si>
  <si>
    <t>scribes</t>
  </si>
  <si>
    <t>scratch</t>
  </si>
  <si>
    <t>scraper</t>
  </si>
  <si>
    <t>scopes</t>
  </si>
  <si>
    <t>scope</t>
  </si>
  <si>
    <t>scoff</t>
  </si>
  <si>
    <t>schlesinger</t>
  </si>
  <si>
    <t>sceptical</t>
  </si>
  <si>
    <t>scenes</t>
  </si>
  <si>
    <t>scenarios</t>
  </si>
  <si>
    <t>scatters</t>
  </si>
  <si>
    <t>scattered</t>
  </si>
  <si>
    <t>savannas</t>
  </si>
  <si>
    <t>satellite</t>
  </si>
  <si>
    <t>sat</t>
  </si>
  <si>
    <t>sandel's</t>
  </si>
  <si>
    <t>sand</t>
  </si>
  <si>
    <t>sanai</t>
  </si>
  <si>
    <t>sample</t>
  </si>
  <si>
    <t>sameness</t>
  </si>
  <si>
    <t>salinity</t>
  </si>
  <si>
    <t>saints'</t>
  </si>
  <si>
    <t>safer</t>
  </si>
  <si>
    <t>sacrifices</t>
  </si>
  <si>
    <t>saad</t>
  </si>
  <si>
    <t>ruthlessly</t>
  </si>
  <si>
    <t>running</t>
  </si>
  <si>
    <t>rubble</t>
  </si>
  <si>
    <t>royalty</t>
  </si>
  <si>
    <t>routinely</t>
  </si>
  <si>
    <t>rotterdam</t>
  </si>
  <si>
    <t>rothstein</t>
  </si>
  <si>
    <t>rosier</t>
  </si>
  <si>
    <t>root</t>
  </si>
  <si>
    <t>romance</t>
  </si>
  <si>
    <t>rolds</t>
  </si>
  <si>
    <t>rock</t>
  </si>
  <si>
    <t>robots</t>
  </si>
  <si>
    <t>robotized</t>
  </si>
  <si>
    <t>roar</t>
  </si>
  <si>
    <t>roamed</t>
  </si>
  <si>
    <t>road</t>
  </si>
  <si>
    <t>rivals</t>
  </si>
  <si>
    <t>rituals</t>
  </si>
  <si>
    <t>riches</t>
  </si>
  <si>
    <t>rhythm</t>
  </si>
  <si>
    <t>reward</t>
  </si>
  <si>
    <t>revival</t>
  </si>
  <si>
    <t>revenue</t>
  </si>
  <si>
    <t>revelation</t>
  </si>
  <si>
    <t>returns</t>
  </si>
  <si>
    <t>retrieved</t>
  </si>
  <si>
    <t>retrieve</t>
  </si>
  <si>
    <t>rethink</t>
  </si>
  <si>
    <t>resultant</t>
  </si>
  <si>
    <t>restrictions</t>
  </si>
  <si>
    <t>restrict</t>
  </si>
  <si>
    <t>restaurant</t>
  </si>
  <si>
    <t>responding</t>
  </si>
  <si>
    <t>responded</t>
  </si>
  <si>
    <t>respective</t>
  </si>
  <si>
    <t>residential</t>
  </si>
  <si>
    <t>resident</t>
  </si>
  <si>
    <t>reservoirs</t>
  </si>
  <si>
    <t>reserves</t>
  </si>
  <si>
    <t>reserved</t>
  </si>
  <si>
    <t>reseeding</t>
  </si>
  <si>
    <t>researcher</t>
  </si>
  <si>
    <t>reprogrammed</t>
  </si>
  <si>
    <t>repress</t>
  </si>
  <si>
    <t>representatives</t>
  </si>
  <si>
    <t>repaired</t>
  </si>
  <si>
    <t>renowned</t>
  </si>
  <si>
    <t>render</t>
  </si>
  <si>
    <t>removal</t>
  </si>
  <si>
    <t>remotely</t>
  </si>
  <si>
    <t>remedying</t>
  </si>
  <si>
    <t>remark</t>
  </si>
  <si>
    <t>reluctantly</t>
  </si>
  <si>
    <t>relocate</t>
  </si>
  <si>
    <t>relieve</t>
  </si>
  <si>
    <t>relies</t>
  </si>
  <si>
    <t>relic</t>
  </si>
  <si>
    <t>reliance</t>
  </si>
  <si>
    <t>releasing</t>
  </si>
  <si>
    <t>relativity</t>
  </si>
  <si>
    <t>relations</t>
  </si>
  <si>
    <t>relates</t>
  </si>
  <si>
    <t>rejection</t>
  </si>
  <si>
    <t>reinstallation</t>
  </si>
  <si>
    <t>reinforced</t>
  </si>
  <si>
    <t>regiment</t>
  </si>
  <si>
    <t>refuses</t>
  </si>
  <si>
    <t>refuse</t>
  </si>
  <si>
    <t>refusal</t>
  </si>
  <si>
    <t>refuges</t>
  </si>
  <si>
    <t>refugee</t>
  </si>
  <si>
    <t>refrigeration</t>
  </si>
  <si>
    <t>redefinition</t>
  </si>
  <si>
    <t>recreational</t>
  </si>
  <si>
    <t>recreation</t>
  </si>
  <si>
    <t>recover</t>
  </si>
  <si>
    <t>recorder</t>
  </si>
  <si>
    <t>recline</t>
  </si>
  <si>
    <t>recharged</t>
  </si>
  <si>
    <t>receiving</t>
  </si>
  <si>
    <t>receiver</t>
  </si>
  <si>
    <t>receded</t>
  </si>
  <si>
    <t>recall</t>
  </si>
  <si>
    <t>reboot</t>
  </si>
  <si>
    <t>ray</t>
  </si>
  <si>
    <t>raven</t>
  </si>
  <si>
    <t>rats</t>
  </si>
  <si>
    <t>ranks</t>
  </si>
  <si>
    <t>ran</t>
  </si>
  <si>
    <t>raises</t>
  </si>
  <si>
    <t>rainfall</t>
  </si>
  <si>
    <t>rain</t>
  </si>
  <si>
    <t>rahman</t>
  </si>
  <si>
    <t>quote</t>
  </si>
  <si>
    <t>questioners</t>
  </si>
  <si>
    <t>questionable</t>
  </si>
  <si>
    <t>quest</t>
  </si>
  <si>
    <t>queens</t>
  </si>
  <si>
    <t>quarrelsome</t>
  </si>
  <si>
    <t>qualify</t>
  </si>
  <si>
    <t>quadrupled</t>
  </si>
  <si>
    <t>puzzle</t>
  </si>
  <si>
    <t>pursued</t>
  </si>
  <si>
    <t>pursue</t>
  </si>
  <si>
    <t>pull</t>
  </si>
  <si>
    <t>psychiatrist</t>
  </si>
  <si>
    <t>psyche</t>
  </si>
  <si>
    <t>provincial</t>
  </si>
  <si>
    <t>province</t>
  </si>
  <si>
    <t>protoplasm</t>
  </si>
  <si>
    <t>protests</t>
  </si>
  <si>
    <t>protestors</t>
  </si>
  <si>
    <t>protesters</t>
  </si>
  <si>
    <t>protestantism</t>
  </si>
  <si>
    <t>protest</t>
  </si>
  <si>
    <t>prosperous</t>
  </si>
  <si>
    <t>prosocial</t>
  </si>
  <si>
    <t>propaganda</t>
  </si>
  <si>
    <t>pronoun</t>
  </si>
  <si>
    <t>prominently</t>
  </si>
  <si>
    <t>projects</t>
  </si>
  <si>
    <t>projector</t>
  </si>
  <si>
    <t>prohibition</t>
  </si>
  <si>
    <t>prohibited</t>
  </si>
  <si>
    <t>progressive</t>
  </si>
  <si>
    <t>programmer</t>
  </si>
  <si>
    <t>profusion</t>
  </si>
  <si>
    <t>profitable</t>
  </si>
  <si>
    <t>producers</t>
  </si>
  <si>
    <t>processing</t>
  </si>
  <si>
    <t>probing</t>
  </si>
  <si>
    <t>probationary</t>
  </si>
  <si>
    <t>privatize</t>
  </si>
  <si>
    <t>prior</t>
  </si>
  <si>
    <t>princess</t>
  </si>
  <si>
    <t>primarily</t>
  </si>
  <si>
    <t>pride</t>
  </si>
  <si>
    <t>prevalently</t>
  </si>
  <si>
    <t>prevalent</t>
  </si>
  <si>
    <t>prevail</t>
  </si>
  <si>
    <t>pressured</t>
  </si>
  <si>
    <t>pressing</t>
  </si>
  <si>
    <t>president</t>
  </si>
  <si>
    <t>preserved</t>
  </si>
  <si>
    <t>presentation</t>
  </si>
  <si>
    <t>preschool</t>
  </si>
  <si>
    <t>preparing</t>
  </si>
  <si>
    <t>prepared</t>
  </si>
  <si>
    <t>preliminary</t>
  </si>
  <si>
    <t>preempted</t>
  </si>
  <si>
    <t>predominated</t>
  </si>
  <si>
    <t>predators</t>
  </si>
  <si>
    <t>preconditioned</t>
  </si>
  <si>
    <t>preconceptions</t>
  </si>
  <si>
    <t>precisely</t>
  </si>
  <si>
    <t>precise</t>
  </si>
  <si>
    <t>practicing</t>
  </si>
  <si>
    <t>potent</t>
  </si>
  <si>
    <t>posture</t>
  </si>
  <si>
    <t>posed</t>
  </si>
  <si>
    <t>portugal</t>
  </si>
  <si>
    <t>populated</t>
  </si>
  <si>
    <t>poorest</t>
  </si>
  <si>
    <t>pools</t>
  </si>
  <si>
    <t>polynesia</t>
  </si>
  <si>
    <t>polite</t>
  </si>
  <si>
    <t>polarizing</t>
  </si>
  <si>
    <t>poetic</t>
  </si>
  <si>
    <t>plotted</t>
  </si>
  <si>
    <t>pledges</t>
  </si>
  <si>
    <t>pledge</t>
  </si>
  <si>
    <t>pleasing</t>
  </si>
  <si>
    <t>played</t>
  </si>
  <si>
    <t>plateaued</t>
  </si>
  <si>
    <t>plate</t>
  </si>
  <si>
    <t>plastic</t>
  </si>
  <si>
    <t>planetary</t>
  </si>
  <si>
    <t>plane</t>
  </si>
  <si>
    <t>pitch</t>
  </si>
  <si>
    <t>pioneers</t>
  </si>
  <si>
    <t>pioneering</t>
  </si>
  <si>
    <t>picking</t>
  </si>
  <si>
    <t>physically</t>
  </si>
  <si>
    <t>phonograph</t>
  </si>
  <si>
    <t>philippines</t>
  </si>
  <si>
    <t>phere</t>
  </si>
  <si>
    <t>phased</t>
  </si>
  <si>
    <t>petty</t>
  </si>
  <si>
    <t>petri</t>
  </si>
  <si>
    <t>pervasive</t>
  </si>
  <si>
    <t>persuasion</t>
  </si>
  <si>
    <t>personalizing</t>
  </si>
  <si>
    <t>persist</t>
  </si>
  <si>
    <t>permanent</t>
  </si>
  <si>
    <t>periphery</t>
  </si>
  <si>
    <t>periodicity</t>
  </si>
  <si>
    <t>performer</t>
  </si>
  <si>
    <t>performed</t>
  </si>
  <si>
    <t>performances</t>
  </si>
  <si>
    <t>perfectly</t>
  </si>
  <si>
    <t>perfecting</t>
  </si>
  <si>
    <t>perfected</t>
  </si>
  <si>
    <t>perennial</t>
  </si>
  <si>
    <t>perceptions</t>
  </si>
  <si>
    <t>perceptibly</t>
  </si>
  <si>
    <t>penicillin</t>
  </si>
  <si>
    <t>penetrating</t>
  </si>
  <si>
    <t>paul</t>
  </si>
  <si>
    <t>passivity</t>
  </si>
  <si>
    <t>passion</t>
  </si>
  <si>
    <t>participated</t>
  </si>
  <si>
    <t>parks</t>
  </si>
  <si>
    <t>paranoid</t>
  </si>
  <si>
    <t>painful</t>
  </si>
  <si>
    <t>padma</t>
  </si>
  <si>
    <t>pacesetters</t>
  </si>
  <si>
    <t>p</t>
  </si>
  <si>
    <t>overwhelmed</t>
  </si>
  <si>
    <t>overstretching</t>
  </si>
  <si>
    <t>override</t>
  </si>
  <si>
    <t>overrehearsing</t>
  </si>
  <si>
    <t>overlooked</t>
  </si>
  <si>
    <t>overlaid</t>
  </si>
  <si>
    <t>overdoses</t>
  </si>
  <si>
    <t>overcrowded</t>
  </si>
  <si>
    <t>overachiever</t>
  </si>
  <si>
    <t>outlet</t>
  </si>
  <si>
    <t>outgo</t>
  </si>
  <si>
    <t>outdoor</t>
  </si>
  <si>
    <t>otherness</t>
  </si>
  <si>
    <t>orwell</t>
  </si>
  <si>
    <t>orphan</t>
  </si>
  <si>
    <t>ornithology</t>
  </si>
  <si>
    <t>originates</t>
  </si>
  <si>
    <t>orientation</t>
  </si>
  <si>
    <t>orient</t>
  </si>
  <si>
    <t>opting</t>
  </si>
  <si>
    <t>optimistic</t>
  </si>
  <si>
    <t>optimist's</t>
  </si>
  <si>
    <t>optimist</t>
  </si>
  <si>
    <t>oppositions</t>
  </si>
  <si>
    <t>opposition</t>
  </si>
  <si>
    <t>operator</t>
  </si>
  <si>
    <t>operative</t>
  </si>
  <si>
    <t>operant</t>
  </si>
  <si>
    <t>opened</t>
  </si>
  <si>
    <t>opaque</t>
  </si>
  <si>
    <t>omission</t>
  </si>
  <si>
    <t>oft</t>
  </si>
  <si>
    <t>offices</t>
  </si>
  <si>
    <t>offending</t>
  </si>
  <si>
    <t>occupies</t>
  </si>
  <si>
    <t>obsessive</t>
  </si>
  <si>
    <t>obscure</t>
  </si>
  <si>
    <t>obliterate</t>
  </si>
  <si>
    <t>obliged</t>
  </si>
  <si>
    <t>objectivity</t>
  </si>
  <si>
    <t>nowadays</t>
  </si>
  <si>
    <t>noted</t>
  </si>
  <si>
    <t>nonviolent</t>
  </si>
  <si>
    <t>nontheless</t>
  </si>
  <si>
    <t>nonscientists</t>
  </si>
  <si>
    <t>nonprofit</t>
  </si>
  <si>
    <t>nine</t>
  </si>
  <si>
    <t>newly</t>
  </si>
  <si>
    <t>neutrally</t>
  </si>
  <si>
    <t>neurotransmitters</t>
  </si>
  <si>
    <t>networked</t>
  </si>
  <si>
    <t>netherlands</t>
  </si>
  <si>
    <t>neighbours</t>
  </si>
  <si>
    <t>negation</t>
  </si>
  <si>
    <t>needy</t>
  </si>
  <si>
    <t>nazi</t>
  </si>
  <si>
    <t>navigating</t>
  </si>
  <si>
    <t>nationalism</t>
  </si>
  <si>
    <t>nameless</t>
  </si>
  <si>
    <t>naked</t>
  </si>
  <si>
    <t>nails</t>
  </si>
  <si>
    <t>myself</t>
  </si>
  <si>
    <t>myriad</t>
  </si>
  <si>
    <t>mutter</t>
  </si>
  <si>
    <t>muslims</t>
  </si>
  <si>
    <t>multiscreen</t>
  </si>
  <si>
    <t>multireligious</t>
  </si>
  <si>
    <t>multiplied</t>
  </si>
  <si>
    <t>muhammad</t>
  </si>
  <si>
    <t>mucous</t>
  </si>
  <si>
    <t>mothers</t>
  </si>
  <si>
    <t>mortality</t>
  </si>
  <si>
    <t>morning</t>
  </si>
  <si>
    <t>monkeys</t>
  </si>
  <si>
    <t>momentarily</t>
  </si>
  <si>
    <t>moment's</t>
  </si>
  <si>
    <t>mold</t>
  </si>
  <si>
    <t>modifies</t>
  </si>
  <si>
    <t>modesty</t>
  </si>
  <si>
    <t>mobilizes</t>
  </si>
  <si>
    <t>mixed</t>
  </si>
  <si>
    <t>mit</t>
  </si>
  <si>
    <t>miswired</t>
  </si>
  <si>
    <t>misjudge</t>
  </si>
  <si>
    <t>misinterpreting</t>
  </si>
  <si>
    <t>mishap</t>
  </si>
  <si>
    <t>misguided</t>
  </si>
  <si>
    <t>mirored</t>
  </si>
  <si>
    <t>minus</t>
  </si>
  <si>
    <t>minimal</t>
  </si>
  <si>
    <t>minh</t>
  </si>
  <si>
    <t>minefield</t>
  </si>
  <si>
    <t>mine</t>
  </si>
  <si>
    <t>millisecond</t>
  </si>
  <si>
    <t>mikhail</t>
  </si>
  <si>
    <t>migrants</t>
  </si>
  <si>
    <t>mightier</t>
  </si>
  <si>
    <t>midway</t>
  </si>
  <si>
    <t>midst</t>
  </si>
  <si>
    <t>microsoft</t>
  </si>
  <si>
    <t>microphone</t>
  </si>
  <si>
    <t>microcredit</t>
  </si>
  <si>
    <t>microbiologist</t>
  </si>
  <si>
    <t>metaphorically</t>
  </si>
  <si>
    <t>ments</t>
  </si>
  <si>
    <t>mentor</t>
  </si>
  <si>
    <t>mentally</t>
  </si>
  <si>
    <t>mentality</t>
  </si>
  <si>
    <t>menace</t>
  </si>
  <si>
    <t>mega</t>
  </si>
  <si>
    <t>meddlesome</t>
  </si>
  <si>
    <t>mechanistic</t>
  </si>
  <si>
    <t>meals</t>
  </si>
  <si>
    <t>math</t>
  </si>
  <si>
    <t>matchmaking</t>
  </si>
  <si>
    <t>mastery</t>
  </si>
  <si>
    <t>mastering</t>
  </si>
  <si>
    <t>masses</t>
  </si>
  <si>
    <t>massacre</t>
  </si>
  <si>
    <t>mashed</t>
  </si>
  <si>
    <t>marvelous</t>
  </si>
  <si>
    <t>martin</t>
  </si>
  <si>
    <t>marking</t>
  </si>
  <si>
    <t>markets</t>
  </si>
  <si>
    <t>marketing</t>
  </si>
  <si>
    <t>marker</t>
  </si>
  <si>
    <t>margin</t>
  </si>
  <si>
    <t>mardi</t>
  </si>
  <si>
    <t>manufactured</t>
  </si>
  <si>
    <t>manipulating</t>
  </si>
  <si>
    <t>manila</t>
  </si>
  <si>
    <t>maneuvers</t>
  </si>
  <si>
    <t>maneuver</t>
  </si>
  <si>
    <t>mall</t>
  </si>
  <si>
    <t>malicious</t>
  </si>
  <si>
    <t>malaysia</t>
  </si>
  <si>
    <t>malay</t>
  </si>
  <si>
    <t>mail</t>
  </si>
  <si>
    <t>madden</t>
  </si>
  <si>
    <t>machines</t>
  </si>
  <si>
    <t>luxury</t>
  </si>
  <si>
    <t>luther</t>
  </si>
  <si>
    <t>luckman</t>
  </si>
  <si>
    <t>luckily</t>
  </si>
  <si>
    <t>losing</t>
  </si>
  <si>
    <t>loosely</t>
  </si>
  <si>
    <t>listed</t>
  </si>
  <si>
    <t>list</t>
  </si>
  <si>
    <t>linking</t>
  </si>
  <si>
    <t>limitless</t>
  </si>
  <si>
    <t>likens</t>
  </si>
  <si>
    <t>lift</t>
  </si>
  <si>
    <t>lifeblood</t>
  </si>
  <si>
    <t>licensed</t>
  </si>
  <si>
    <t>liberated</t>
  </si>
  <si>
    <t>letters</t>
  </si>
  <si>
    <t>let's</t>
  </si>
  <si>
    <t>lesser</t>
  </si>
  <si>
    <t>lengthy</t>
  </si>
  <si>
    <t>lengthened</t>
  </si>
  <si>
    <t>legitimated</t>
  </si>
  <si>
    <t>lections</t>
  </si>
  <si>
    <t>leaves</t>
  </si>
  <si>
    <t>learns</t>
  </si>
  <si>
    <t>lax</t>
  </si>
  <si>
    <t>laureate</t>
  </si>
  <si>
    <t>lation</t>
  </si>
  <si>
    <t>lasting</t>
  </si>
  <si>
    <t>largescale</t>
  </si>
  <si>
    <t>landed</t>
  </si>
  <si>
    <t>laissez</t>
  </si>
  <si>
    <t>laborious</t>
  </si>
  <si>
    <t>kubrick</t>
  </si>
  <si>
    <t>koreas</t>
  </si>
  <si>
    <t>korea</t>
  </si>
  <si>
    <t>kilometer</t>
  </si>
  <si>
    <t>kid</t>
  </si>
  <si>
    <t>justification</t>
  </si>
  <si>
    <t>jumping</t>
  </si>
  <si>
    <t>jump</t>
  </si>
  <si>
    <t>jujitsu</t>
  </si>
  <si>
    <t>judith</t>
  </si>
  <si>
    <t>jr</t>
  </si>
  <si>
    <t>joyful</t>
  </si>
  <si>
    <t>joint</t>
  </si>
  <si>
    <t>jamal</t>
  </si>
  <si>
    <t>jakarta</t>
  </si>
  <si>
    <t>issuing</t>
  </si>
  <si>
    <t>islam</t>
  </si>
  <si>
    <t>irritation</t>
  </si>
  <si>
    <t>irish</t>
  </si>
  <si>
    <t>invigorating</t>
  </si>
  <si>
    <t>investors</t>
  </si>
  <si>
    <t>investigator</t>
  </si>
  <si>
    <t>investigation</t>
  </si>
  <si>
    <t>invest</t>
  </si>
  <si>
    <t>inventors</t>
  </si>
  <si>
    <t>introvert</t>
  </si>
  <si>
    <t>intimate</t>
  </si>
  <si>
    <t>intestinal</t>
  </si>
  <si>
    <t>intervenes</t>
  </si>
  <si>
    <t>interval</t>
  </si>
  <si>
    <t>intersecting</t>
  </si>
  <si>
    <t>interruptions</t>
  </si>
  <si>
    <t>interruption</t>
  </si>
  <si>
    <t>interpretations</t>
  </si>
  <si>
    <t>interplay</t>
  </si>
  <si>
    <t>internally</t>
  </si>
  <si>
    <t>internalize</t>
  </si>
  <si>
    <t>interfere</t>
  </si>
  <si>
    <t>interestingly</t>
  </si>
  <si>
    <t>interconnected</t>
  </si>
  <si>
    <t>intense</t>
  </si>
  <si>
    <t>inteligible</t>
  </si>
  <si>
    <t>intelectual</t>
  </si>
  <si>
    <t>insurance</t>
  </si>
  <si>
    <t>insup</t>
  </si>
  <si>
    <t>insults</t>
  </si>
  <si>
    <t>institutions</t>
  </si>
  <si>
    <t>institutes</t>
  </si>
  <si>
    <t>instinct</t>
  </si>
  <si>
    <t>instilled</t>
  </si>
  <si>
    <t>installation</t>
  </si>
  <si>
    <t>inspiring</t>
  </si>
  <si>
    <t>insoluble</t>
  </si>
  <si>
    <t>insists</t>
  </si>
  <si>
    <t>insensitive</t>
  </si>
  <si>
    <t>innovators</t>
  </si>
  <si>
    <t>innovator</t>
  </si>
  <si>
    <t>innocent</t>
  </si>
  <si>
    <t>injuries</t>
  </si>
  <si>
    <t>inherit</t>
  </si>
  <si>
    <t>inhabited</t>
  </si>
  <si>
    <t>inhabitants</t>
  </si>
  <si>
    <t>ingenuous</t>
  </si>
  <si>
    <t>informal</t>
  </si>
  <si>
    <t>influences</t>
  </si>
  <si>
    <t>inferiority</t>
  </si>
  <si>
    <t>infect</t>
  </si>
  <si>
    <t>industrializing</t>
  </si>
  <si>
    <t>indonesia</t>
  </si>
  <si>
    <t>indo</t>
  </si>
  <si>
    <t>individualistic</t>
  </si>
  <si>
    <t>individual's</t>
  </si>
  <si>
    <t>indispensable</t>
  </si>
  <si>
    <t>indiscreetly</t>
  </si>
  <si>
    <t>indebted</t>
  </si>
  <si>
    <t>inculcates</t>
  </si>
  <si>
    <t>incredibly</t>
  </si>
  <si>
    <t>incorporate</t>
  </si>
  <si>
    <t>incompetency</t>
  </si>
  <si>
    <t>incompetence</t>
  </si>
  <si>
    <t>incomes</t>
  </si>
  <si>
    <t>incisive</t>
  </si>
  <si>
    <t>incessant</t>
  </si>
  <si>
    <t>inception</t>
  </si>
  <si>
    <t>incentives</t>
  </si>
  <si>
    <t>incentive</t>
  </si>
  <si>
    <t>incapacitate</t>
  </si>
  <si>
    <t>inasmuch</t>
  </si>
  <si>
    <t>inanimate</t>
  </si>
  <si>
    <t>inadequate</t>
  </si>
  <si>
    <t>improvising</t>
  </si>
  <si>
    <t>improvisation</t>
  </si>
  <si>
    <t>improves</t>
  </si>
  <si>
    <t>imposing</t>
  </si>
  <si>
    <t>impersonal</t>
  </si>
  <si>
    <t>imperialism</t>
  </si>
  <si>
    <t>immensely</t>
  </si>
  <si>
    <t>immediacy</t>
  </si>
  <si>
    <t>immeasurable</t>
  </si>
  <si>
    <t>imaginary</t>
  </si>
  <si>
    <t>im</t>
  </si>
  <si>
    <t>illuminating</t>
  </si>
  <si>
    <t>illness</t>
  </si>
  <si>
    <t>illegal</t>
  </si>
  <si>
    <t>identifiable</t>
  </si>
  <si>
    <t>i'm</t>
  </si>
  <si>
    <t>hypothesize</t>
  </si>
  <si>
    <t>hyperparents</t>
  </si>
  <si>
    <t>hyperparent</t>
  </si>
  <si>
    <t>humility</t>
  </si>
  <si>
    <t>humid</t>
  </si>
  <si>
    <t>humble</t>
  </si>
  <si>
    <t>humankind</t>
  </si>
  <si>
    <t>humanism</t>
  </si>
  <si>
    <t>hugely</t>
  </si>
  <si>
    <t>huge</t>
  </si>
  <si>
    <t>horizontal</t>
  </si>
  <si>
    <t>hopes</t>
  </si>
  <si>
    <t>hoped</t>
  </si>
  <si>
    <t>honor</t>
  </si>
  <si>
    <t>homogeneous</t>
  </si>
  <si>
    <t>holidays</t>
  </si>
  <si>
    <t>holdover</t>
  </si>
  <si>
    <t>ho</t>
  </si>
  <si>
    <t>hitherto</t>
  </si>
  <si>
    <t>histories</t>
  </si>
  <si>
    <t>hints</t>
  </si>
  <si>
    <t>himalaya</t>
  </si>
  <si>
    <t>hezbollah</t>
  </si>
  <si>
    <t>heterogeneity</t>
  </si>
  <si>
    <t>hershey</t>
  </si>
  <si>
    <t>herself</t>
  </si>
  <si>
    <t>helicopters</t>
  </si>
  <si>
    <t>helicopter</t>
  </si>
  <si>
    <t>heightened</t>
  </si>
  <si>
    <t>heightend</t>
  </si>
  <si>
    <t>heavy</t>
  </si>
  <si>
    <t>heartlessly</t>
  </si>
  <si>
    <t>heartland</t>
  </si>
  <si>
    <t>healthcare</t>
  </si>
  <si>
    <t>heading</t>
  </si>
  <si>
    <t>hazardous</t>
  </si>
  <si>
    <t>hazard</t>
  </si>
  <si>
    <t>hasty</t>
  </si>
  <si>
    <t>haste</t>
  </si>
  <si>
    <t>harrison</t>
  </si>
  <si>
    <t>harris</t>
  </si>
  <si>
    <t>hardy</t>
  </si>
  <si>
    <t>happily</t>
  </si>
  <si>
    <t>hanging</t>
  </si>
  <si>
    <t>halloween</t>
  </si>
  <si>
    <t>hair</t>
  </si>
  <si>
    <t>habits</t>
  </si>
  <si>
    <t>habit</t>
  </si>
  <si>
    <t>guttural</t>
  </si>
  <si>
    <t>guilty</t>
  </si>
  <si>
    <t>grubbing</t>
  </si>
  <si>
    <t>grown</t>
  </si>
  <si>
    <t>growling</t>
  </si>
  <si>
    <t>groped</t>
  </si>
  <si>
    <t>griffith</t>
  </si>
  <si>
    <t>gregarious</t>
  </si>
  <si>
    <t>grant</t>
  </si>
  <si>
    <t>grams</t>
  </si>
  <si>
    <t>grain</t>
  </si>
  <si>
    <t>graeme</t>
  </si>
  <si>
    <t>grade</t>
  </si>
  <si>
    <t>governing</t>
  </si>
  <si>
    <t>googles</t>
  </si>
  <si>
    <t>gold</t>
  </si>
  <si>
    <t>goad</t>
  </si>
  <si>
    <t>glue</t>
  </si>
  <si>
    <t>glimpsed</t>
  </si>
  <si>
    <t>glad</t>
  </si>
  <si>
    <t>girlfriend</t>
  </si>
  <si>
    <t>girl</t>
  </si>
  <si>
    <t>gifts</t>
  </si>
  <si>
    <t>giant</t>
  </si>
  <si>
    <t>ghandi</t>
  </si>
  <si>
    <t>german</t>
  </si>
  <si>
    <t>george</t>
  </si>
  <si>
    <t>geographically</t>
  </si>
  <si>
    <t>genuine</t>
  </si>
  <si>
    <t>gentle</t>
  </si>
  <si>
    <t>generating</t>
  </si>
  <si>
    <t>genealogical</t>
  </si>
  <si>
    <t>gauge</t>
  </si>
  <si>
    <t>gatherers</t>
  </si>
  <si>
    <t>gardener</t>
  </si>
  <si>
    <t>garage</t>
  </si>
  <si>
    <t>ganges</t>
  </si>
  <si>
    <t>gang</t>
  </si>
  <si>
    <t>fuzzy</t>
  </si>
  <si>
    <t>funds</t>
  </si>
  <si>
    <t>fund</t>
  </si>
  <si>
    <t>fun</t>
  </si>
  <si>
    <t>fumbling</t>
  </si>
  <si>
    <t>fuller</t>
  </si>
  <si>
    <t>fulfill</t>
  </si>
  <si>
    <t>fulfil</t>
  </si>
  <si>
    <t>fueled</t>
  </si>
  <si>
    <t>frustrated</t>
  </si>
  <si>
    <t>fruitful</t>
  </si>
  <si>
    <t>froze</t>
  </si>
  <si>
    <t>frowns</t>
  </si>
  <si>
    <t>frightened</t>
  </si>
  <si>
    <t>fret</t>
  </si>
  <si>
    <t>frees</t>
  </si>
  <si>
    <t>fractious</t>
  </si>
  <si>
    <t>fought</t>
  </si>
  <si>
    <t>formidable</t>
  </si>
  <si>
    <t>formats</t>
  </si>
  <si>
    <t>formally</t>
  </si>
  <si>
    <t>forgive</t>
  </si>
  <si>
    <t>forbes</t>
  </si>
  <si>
    <t>fold</t>
  </si>
  <si>
    <t>focused</t>
  </si>
  <si>
    <t>flushed</t>
  </si>
  <si>
    <t>floor</t>
  </si>
  <si>
    <t>floods</t>
  </si>
  <si>
    <t>floodgates</t>
  </si>
  <si>
    <t>flexibly</t>
  </si>
  <si>
    <t>flesh</t>
  </si>
  <si>
    <t>flabby</t>
  </si>
  <si>
    <t>fished</t>
  </si>
  <si>
    <t>firm</t>
  </si>
  <si>
    <t>fired</t>
  </si>
  <si>
    <t>fingers</t>
  </si>
  <si>
    <t>finds</t>
  </si>
  <si>
    <t>financier</t>
  </si>
  <si>
    <t>financially</t>
  </si>
  <si>
    <t>figured</t>
  </si>
  <si>
    <t>figurative</t>
  </si>
  <si>
    <t>fiber</t>
  </si>
  <si>
    <t>fever</t>
  </si>
  <si>
    <t>fetters</t>
  </si>
  <si>
    <t>fertile</t>
  </si>
  <si>
    <t>feedbacks</t>
  </si>
  <si>
    <t>february</t>
  </si>
  <si>
    <t>feast</t>
  </si>
  <si>
    <t>fears</t>
  </si>
  <si>
    <t>favors</t>
  </si>
  <si>
    <t>fastest</t>
  </si>
  <si>
    <t>farms</t>
  </si>
  <si>
    <t>farfetched</t>
  </si>
  <si>
    <t>fantasy</t>
  </si>
  <si>
    <t>fallacy</t>
  </si>
  <si>
    <t>falcons</t>
  </si>
  <si>
    <t>faithful</t>
  </si>
  <si>
    <t>faire</t>
  </si>
  <si>
    <t>fades</t>
  </si>
  <si>
    <t>facilities</t>
  </si>
  <si>
    <t>facilitate</t>
  </si>
  <si>
    <t>facade</t>
  </si>
  <si>
    <t>fabricated</t>
  </si>
  <si>
    <t>extroverts</t>
  </si>
  <si>
    <t>extroverted</t>
  </si>
  <si>
    <t>extrovert</t>
  </si>
  <si>
    <t>extrinsically</t>
  </si>
  <si>
    <t>externalized</t>
  </si>
  <si>
    <t>exposure</t>
  </si>
  <si>
    <t>explores</t>
  </si>
  <si>
    <t>experimenters</t>
  </si>
  <si>
    <t>expel</t>
  </si>
  <si>
    <t>expanses</t>
  </si>
  <si>
    <t>expands</t>
  </si>
  <si>
    <t>expanded</t>
  </si>
  <si>
    <t>exotic</t>
  </si>
  <si>
    <t>exhibits</t>
  </si>
  <si>
    <t>exhibitionism</t>
  </si>
  <si>
    <t>excited</t>
  </si>
  <si>
    <t>exceptional</t>
  </si>
  <si>
    <t>excellent</t>
  </si>
  <si>
    <t>exceedingly</t>
  </si>
  <si>
    <t>exasperation</t>
  </si>
  <si>
    <t>exasperate</t>
  </si>
  <si>
    <t>exams</t>
  </si>
  <si>
    <t>exacerbated</t>
  </si>
  <si>
    <t>evolutionists</t>
  </si>
  <si>
    <t>evening</t>
  </si>
  <si>
    <t>eugenic</t>
  </si>
  <si>
    <t>establishment</t>
  </si>
  <si>
    <t>erode</t>
  </si>
  <si>
    <t>erik</t>
  </si>
  <si>
    <t>eraser</t>
  </si>
  <si>
    <t>eradicate</t>
  </si>
  <si>
    <t>equator</t>
  </si>
  <si>
    <t>entities</t>
  </si>
  <si>
    <t>entails</t>
  </si>
  <si>
    <t>enriching</t>
  </si>
  <si>
    <t>enlarge</t>
  </si>
  <si>
    <t>enhancing</t>
  </si>
  <si>
    <t>enhancement</t>
  </si>
  <si>
    <t>engineers</t>
  </si>
  <si>
    <t>energies</t>
  </si>
  <si>
    <t>ending</t>
  </si>
  <si>
    <t>endeavor</t>
  </si>
  <si>
    <t>endanger</t>
  </si>
  <si>
    <t>encouraging</t>
  </si>
  <si>
    <t>encompass</t>
  </si>
  <si>
    <t>empower</t>
  </si>
  <si>
    <t>emphasizing</t>
  </si>
  <si>
    <t>ellen</t>
  </si>
  <si>
    <t>elites</t>
  </si>
  <si>
    <t>eliminated</t>
  </si>
  <si>
    <t>elicit</t>
  </si>
  <si>
    <t>elegant</t>
  </si>
  <si>
    <t>electrocute</t>
  </si>
  <si>
    <t>eisenstein</t>
  </si>
  <si>
    <t>eggshell</t>
  </si>
  <si>
    <t>edward</t>
  </si>
  <si>
    <t>educated</t>
  </si>
  <si>
    <t>editions</t>
  </si>
  <si>
    <t>edition</t>
  </si>
  <si>
    <t>easter</t>
  </si>
  <si>
    <t>ears</t>
  </si>
  <si>
    <t>earning</t>
  </si>
  <si>
    <t>eager</t>
  </si>
  <si>
    <t>dwarf</t>
  </si>
  <si>
    <t>dust</t>
  </si>
  <si>
    <t>duplicated</t>
  </si>
  <si>
    <t>droughts</t>
  </si>
  <si>
    <t>dropping</t>
  </si>
  <si>
    <t>draws</t>
  </si>
  <si>
    <t>drawing</t>
  </si>
  <si>
    <t>drastically</t>
  </si>
  <si>
    <t>drastic</t>
  </si>
  <si>
    <t>drama</t>
  </si>
  <si>
    <t>drain</t>
  </si>
  <si>
    <t>dragged</t>
  </si>
  <si>
    <t>downstream</t>
  </si>
  <si>
    <t>downsides</t>
  </si>
  <si>
    <t>doubtful</t>
  </si>
  <si>
    <t>doses</t>
  </si>
  <si>
    <t>doomed</t>
  </si>
  <si>
    <t>domination</t>
  </si>
  <si>
    <t>dominating</t>
  </si>
  <si>
    <t>dollar</t>
  </si>
  <si>
    <t>documentation</t>
  </si>
  <si>
    <t>docu</t>
  </si>
  <si>
    <t>diverge</t>
  </si>
  <si>
    <t>disturbance</t>
  </si>
  <si>
    <t>distributing</t>
  </si>
  <si>
    <t>distributed</t>
  </si>
  <si>
    <t>distinguish</t>
  </si>
  <si>
    <t>distinctly</t>
  </si>
  <si>
    <t>dissociate</t>
  </si>
  <si>
    <t>dissent</t>
  </si>
  <si>
    <t>disregarded</t>
  </si>
  <si>
    <t>disproportionate</t>
  </si>
  <si>
    <t>disposable</t>
  </si>
  <si>
    <t>displacing</t>
  </si>
  <si>
    <t>dispersion</t>
  </si>
  <si>
    <t>disperse</t>
  </si>
  <si>
    <t>disorienting</t>
  </si>
  <si>
    <t>dismiss</t>
  </si>
  <si>
    <t>dismember</t>
  </si>
  <si>
    <t>dishonest</t>
  </si>
  <si>
    <t>dish</t>
  </si>
  <si>
    <t>disguising</t>
  </si>
  <si>
    <t>diseases</t>
  </si>
  <si>
    <t>discriminated</t>
  </si>
  <si>
    <t>discontinued</t>
  </si>
  <si>
    <t>disconnect</t>
  </si>
  <si>
    <t>discarded</t>
  </si>
  <si>
    <t>disappeared</t>
  </si>
  <si>
    <t>disangcopan</t>
  </si>
  <si>
    <t>disagreement</t>
  </si>
  <si>
    <t>diminishing</t>
  </si>
  <si>
    <t>digress</t>
  </si>
  <si>
    <t>dignity</t>
  </si>
  <si>
    <t>dig</t>
  </si>
  <si>
    <t>diffuse</t>
  </si>
  <si>
    <t>differentiation</t>
  </si>
  <si>
    <t>differentiated</t>
  </si>
  <si>
    <t>dictators</t>
  </si>
  <si>
    <t>dictate</t>
  </si>
  <si>
    <t>diarrheal</t>
  </si>
  <si>
    <t>dial</t>
  </si>
  <si>
    <t>devising</t>
  </si>
  <si>
    <t>deviations</t>
  </si>
  <si>
    <t>devastated</t>
  </si>
  <si>
    <t>determination</t>
  </si>
  <si>
    <t>determinant</t>
  </si>
  <si>
    <t>deteriorate</t>
  </si>
  <si>
    <t>detail</t>
  </si>
  <si>
    <t>destroys</t>
  </si>
  <si>
    <t>desperate</t>
  </si>
  <si>
    <t>desires</t>
  </si>
  <si>
    <t>desirable</t>
  </si>
  <si>
    <t>desirability</t>
  </si>
  <si>
    <t>designates</t>
  </si>
  <si>
    <t>deserted</t>
  </si>
  <si>
    <t>desensitized</t>
  </si>
  <si>
    <t>depriving</t>
  </si>
  <si>
    <t>depictions</t>
  </si>
  <si>
    <t>depicting</t>
  </si>
  <si>
    <t>density</t>
  </si>
  <si>
    <t>denigrate</t>
  </si>
  <si>
    <t>demonstrative</t>
  </si>
  <si>
    <t>demonstrating</t>
  </si>
  <si>
    <t>demolition</t>
  </si>
  <si>
    <t>demanding</t>
  </si>
  <si>
    <t>deltas</t>
  </si>
  <si>
    <t>delicate</t>
  </si>
  <si>
    <t>delete</t>
  </si>
  <si>
    <t>delayed</t>
  </si>
  <si>
    <t>deindustrialized</t>
  </si>
  <si>
    <t>dehumanizing</t>
  </si>
  <si>
    <t>degraded</t>
  </si>
  <si>
    <t>defy</t>
  </si>
  <si>
    <t>deficiency</t>
  </si>
  <si>
    <t>defibrillator</t>
  </si>
  <si>
    <t>defer</t>
  </si>
  <si>
    <t>defenseless</t>
  </si>
  <si>
    <t>defense</t>
  </si>
  <si>
    <t>defecate</t>
  </si>
  <si>
    <t>decreased</t>
  </si>
  <si>
    <t>declares</t>
  </si>
  <si>
    <t>decent</t>
  </si>
  <si>
    <t>deceiving</t>
  </si>
  <si>
    <t>debt</t>
  </si>
  <si>
    <t>deaths</t>
  </si>
  <si>
    <t>dates</t>
  </si>
  <si>
    <t>databases</t>
  </si>
  <si>
    <t>database</t>
  </si>
  <si>
    <t>darker</t>
  </si>
  <si>
    <t>darkening</t>
  </si>
  <si>
    <t>customer's</t>
  </si>
  <si>
    <t>curious</t>
  </si>
  <si>
    <t>cumulative</t>
  </si>
  <si>
    <t>cult</t>
  </si>
  <si>
    <t>crudest</t>
  </si>
  <si>
    <t>cropped</t>
  </si>
  <si>
    <t>croaked</t>
  </si>
  <si>
    <t>criticisms</t>
  </si>
  <si>
    <t>critcherused</t>
  </si>
  <si>
    <t>criminal</t>
  </si>
  <si>
    <t>crimes</t>
  </si>
  <si>
    <t>creators</t>
  </si>
  <si>
    <t>crane</t>
  </si>
  <si>
    <t>covered</t>
  </si>
  <si>
    <t>courts</t>
  </si>
  <si>
    <t>coun</t>
  </si>
  <si>
    <t>costume</t>
  </si>
  <si>
    <t>costing</t>
  </si>
  <si>
    <t>corridor</t>
  </si>
  <si>
    <t>corre</t>
  </si>
  <si>
    <t>corps</t>
  </si>
  <si>
    <t>cornerstone</t>
  </si>
  <si>
    <t>corn</t>
  </si>
  <si>
    <t>copying</t>
  </si>
  <si>
    <t>copes</t>
  </si>
  <si>
    <t>coordinating</t>
  </si>
  <si>
    <t>convinced</t>
  </si>
  <si>
    <t>controls</t>
  </si>
  <si>
    <t>contributions</t>
  </si>
  <si>
    <t>contribution</t>
  </si>
  <si>
    <t>continual</t>
  </si>
  <si>
    <t>contestants</t>
  </si>
  <si>
    <t>contemplative</t>
  </si>
  <si>
    <t>contained</t>
  </si>
  <si>
    <t>consult</t>
  </si>
  <si>
    <t>conservatism</t>
  </si>
  <si>
    <t>connection</t>
  </si>
  <si>
    <t>congratulatory</t>
  </si>
  <si>
    <t>congestion</t>
  </si>
  <si>
    <t>confused</t>
  </si>
  <si>
    <t>confronts</t>
  </si>
  <si>
    <t>confront</t>
  </si>
  <si>
    <t>confirming</t>
  </si>
  <si>
    <t>confirmed</t>
  </si>
  <si>
    <t>confines</t>
  </si>
  <si>
    <t>confine</t>
  </si>
  <si>
    <t>conducive</t>
  </si>
  <si>
    <t>condense</t>
  </si>
  <si>
    <t>condensation</t>
  </si>
  <si>
    <t>condemn</t>
  </si>
  <si>
    <t>conclude</t>
  </si>
  <si>
    <t>concentrations</t>
  </si>
  <si>
    <t>concentration</t>
  </si>
  <si>
    <t>conceals</t>
  </si>
  <si>
    <t>concealed</t>
  </si>
  <si>
    <t>compulsory</t>
  </si>
  <si>
    <t>comprising</t>
  </si>
  <si>
    <t>compositions</t>
  </si>
  <si>
    <t>composed</t>
  </si>
  <si>
    <t>compose</t>
  </si>
  <si>
    <t>complicate</t>
  </si>
  <si>
    <t>complaint</t>
  </si>
  <si>
    <t>competitions</t>
  </si>
  <si>
    <t>compar</t>
  </si>
  <si>
    <t>communicating</t>
  </si>
  <si>
    <t>commissioner</t>
  </si>
  <si>
    <t>commer</t>
  </si>
  <si>
    <t>comfortable</t>
  </si>
  <si>
    <t>comeback</t>
  </si>
  <si>
    <t>com</t>
  </si>
  <si>
    <t>collision</t>
  </si>
  <si>
    <t>collaboratively</t>
  </si>
  <si>
    <t>coincide</t>
  </si>
  <si>
    <t>coexisted</t>
  </si>
  <si>
    <t>coat</t>
  </si>
  <si>
    <t>co</t>
  </si>
  <si>
    <t>clusters</t>
  </si>
  <si>
    <t>clumsy</t>
  </si>
  <si>
    <t>clubs</t>
  </si>
  <si>
    <t>clowns</t>
  </si>
  <si>
    <t>closeted</t>
  </si>
  <si>
    <t>clinical</t>
  </si>
  <si>
    <t>clinic</t>
  </si>
  <si>
    <t>clean</t>
  </si>
  <si>
    <t>claws</t>
  </si>
  <si>
    <t>clashes</t>
  </si>
  <si>
    <t>clapper</t>
  </si>
  <si>
    <t>clan</t>
  </si>
  <si>
    <t>civilly</t>
  </si>
  <si>
    <t>citizens</t>
  </si>
  <si>
    <t>citizen</t>
  </si>
  <si>
    <t>circumstantial</t>
  </si>
  <si>
    <t>circuit</t>
  </si>
  <si>
    <t>cinematographer</t>
  </si>
  <si>
    <t>cinema</t>
  </si>
  <si>
    <t>cial</t>
  </si>
  <si>
    <t>chronological</t>
  </si>
  <si>
    <t>childrearing</t>
  </si>
  <si>
    <t>chi</t>
  </si>
  <si>
    <t>chest</t>
  </si>
  <si>
    <t>chemist</t>
  </si>
  <si>
    <t>cheap</t>
  </si>
  <si>
    <t>chart</t>
  </si>
  <si>
    <t>charge</t>
  </si>
  <si>
    <t>characters</t>
  </si>
  <si>
    <t>chalkboard</t>
  </si>
  <si>
    <t>centralize</t>
  </si>
  <si>
    <t>census</t>
  </si>
  <si>
    <t>cellularity</t>
  </si>
  <si>
    <t>celebrations</t>
  </si>
  <si>
    <t>catalogue</t>
  </si>
  <si>
    <t>cars</t>
  </si>
  <si>
    <t>carries</t>
  </si>
  <si>
    <t>carnivore</t>
  </si>
  <si>
    <t>cares</t>
  </si>
  <si>
    <t>careless</t>
  </si>
  <si>
    <t>cardioverter</t>
  </si>
  <si>
    <t>card</t>
  </si>
  <si>
    <t>captures</t>
  </si>
  <si>
    <t>capital</t>
  </si>
  <si>
    <t>capabilities</t>
  </si>
  <si>
    <t>cancel</t>
  </si>
  <si>
    <t>campaign</t>
  </si>
  <si>
    <t>camera</t>
  </si>
  <si>
    <t>cambridge</t>
  </si>
  <si>
    <t>calls</t>
  </si>
  <si>
    <t>caller</t>
  </si>
  <si>
    <t>calendrically</t>
  </si>
  <si>
    <t>calculated</t>
  </si>
  <si>
    <t>byproduct</t>
  </si>
  <si>
    <t>businesspersons</t>
  </si>
  <si>
    <t>businessman</t>
  </si>
  <si>
    <t>burial</t>
  </si>
  <si>
    <t>bulb</t>
  </si>
  <si>
    <t>builders</t>
  </si>
  <si>
    <t>bugs</t>
  </si>
  <si>
    <t>buffer</t>
  </si>
  <si>
    <t>buddhist</t>
  </si>
  <si>
    <t>brutally</t>
  </si>
  <si>
    <t>brush</t>
  </si>
  <si>
    <t>bruising</t>
  </si>
  <si>
    <t>browser</t>
  </si>
  <si>
    <t>brooks</t>
  </si>
  <si>
    <t>brings</t>
  </si>
  <si>
    <t>bringing</t>
  </si>
  <si>
    <t>brick</t>
  </si>
  <si>
    <t>breathe</t>
  </si>
  <si>
    <t>breath</t>
  </si>
  <si>
    <t>breaks</t>
  </si>
  <si>
    <t>breaking</t>
  </si>
  <si>
    <t>breakdowns</t>
  </si>
  <si>
    <t>bowed</t>
  </si>
  <si>
    <t>bounce</t>
  </si>
  <si>
    <t>borders</t>
  </si>
  <si>
    <t>boosted</t>
  </si>
  <si>
    <t>boomtowns</t>
  </si>
  <si>
    <t>boomer</t>
  </si>
  <si>
    <t>bonds</t>
  </si>
  <si>
    <t>bombs</t>
  </si>
  <si>
    <t>bolsters</t>
  </si>
  <si>
    <t>body's</t>
  </si>
  <si>
    <t>boards</t>
  </si>
  <si>
    <t>blocking</t>
  </si>
  <si>
    <t>blemishing</t>
  </si>
  <si>
    <t>blank</t>
  </si>
  <si>
    <t>blames</t>
  </si>
  <si>
    <t>bio</t>
  </si>
  <si>
    <t>binds</t>
  </si>
  <si>
    <t>bide</t>
  </si>
  <si>
    <t>bidaai</t>
  </si>
  <si>
    <t>bid</t>
  </si>
  <si>
    <t>bhatt</t>
  </si>
  <si>
    <t>benign</t>
  </si>
  <si>
    <t>belly</t>
  </si>
  <si>
    <t>believable</t>
  </si>
  <si>
    <t>behaves</t>
  </si>
  <si>
    <t>beforehand</t>
  </si>
  <si>
    <t>beasts</t>
  </si>
  <si>
    <t>bearer</t>
  </si>
  <si>
    <t>battery</t>
  </si>
  <si>
    <t>batteries</t>
  </si>
  <si>
    <t>basement</t>
  </si>
  <si>
    <t>barriers</t>
  </si>
  <si>
    <t>barbarism</t>
  </si>
  <si>
    <t>banned</t>
  </si>
  <si>
    <t>banks</t>
  </si>
  <si>
    <t>bangalore</t>
  </si>
  <si>
    <t>bang</t>
  </si>
  <si>
    <t>banda</t>
  </si>
  <si>
    <t>balkiness</t>
  </si>
  <si>
    <t>balances</t>
  </si>
  <si>
    <t>bakhtin</t>
  </si>
  <si>
    <t>baggage</t>
  </si>
  <si>
    <t>babysitter</t>
  </si>
  <si>
    <t>axons</t>
  </si>
  <si>
    <t>awesome</t>
  </si>
  <si>
    <t>avoided</t>
  </si>
  <si>
    <t>avoidance</t>
  </si>
  <si>
    <t>autumn</t>
  </si>
  <si>
    <t>authorized</t>
  </si>
  <si>
    <t>authored</t>
  </si>
  <si>
    <t>attract</t>
  </si>
  <si>
    <t>attorney</t>
  </si>
  <si>
    <t>attends</t>
  </si>
  <si>
    <t>attainment</t>
  </si>
  <si>
    <t>attainable</t>
  </si>
  <si>
    <t>attacked</t>
  </si>
  <si>
    <t>atmospheres</t>
  </si>
  <si>
    <t>atmos</t>
  </si>
  <si>
    <t>atiq</t>
  </si>
  <si>
    <t>ate</t>
  </si>
  <si>
    <t>astrophysics</t>
  </si>
  <si>
    <t>astronomy</t>
  </si>
  <si>
    <t>astride</t>
  </si>
  <si>
    <t>astonishing</t>
  </si>
  <si>
    <t>assured</t>
  </si>
  <si>
    <t>assistant</t>
  </si>
  <si>
    <t>assertive</t>
  </si>
  <si>
    <t>assault</t>
  </si>
  <si>
    <t>aspiration</t>
  </si>
  <si>
    <t>artwork</t>
  </si>
  <si>
    <t>artificially</t>
  </si>
  <si>
    <t>artificial</t>
  </si>
  <si>
    <t>articles</t>
  </si>
  <si>
    <t>arrogance</t>
  </si>
  <si>
    <t>arriving</t>
  </si>
  <si>
    <t>army</t>
  </si>
  <si>
    <t>arid</t>
  </si>
  <si>
    <t>arguments</t>
  </si>
  <si>
    <t>arguing</t>
  </si>
  <si>
    <t>architect</t>
  </si>
  <si>
    <t>approximations</t>
  </si>
  <si>
    <t>appropria</t>
  </si>
  <si>
    <t>appointed</t>
  </si>
  <si>
    <t>application</t>
  </si>
  <si>
    <t>appliances</t>
  </si>
  <si>
    <t>appearing</t>
  </si>
  <si>
    <t>anytime</t>
  </si>
  <si>
    <t>anxious</t>
  </si>
  <si>
    <t>anticipated</t>
  </si>
  <si>
    <t>anticipate</t>
  </si>
  <si>
    <t>anti</t>
  </si>
  <si>
    <t>answers</t>
  </si>
  <si>
    <t>anomalies</t>
  </si>
  <si>
    <t>annually</t>
  </si>
  <si>
    <t>annoying</t>
  </si>
  <si>
    <t>anniversary</t>
  </si>
  <si>
    <t>annenberg</t>
  </si>
  <si>
    <t>angry</t>
  </si>
  <si>
    <t>anders</t>
  </si>
  <si>
    <t>amplify</t>
  </si>
  <si>
    <t>amplified</t>
  </si>
  <si>
    <t>amounts</t>
  </si>
  <si>
    <t>amounted</t>
  </si>
  <si>
    <t>america's</t>
  </si>
  <si>
    <t>amaze</t>
  </si>
  <si>
    <t>amalgamation</t>
  </si>
  <si>
    <t>altar</t>
  </si>
  <si>
    <t>aloneness</t>
  </si>
  <si>
    <t>allelic</t>
  </si>
  <si>
    <t>alienate</t>
  </si>
  <si>
    <t>alerted</t>
  </si>
  <si>
    <t>aldous</t>
  </si>
  <si>
    <t>alchemical</t>
  </si>
  <si>
    <t>albeit</t>
  </si>
  <si>
    <t>airplane</t>
  </si>
  <si>
    <t>aircraft</t>
  </si>
  <si>
    <t>aims</t>
  </si>
  <si>
    <t>ahmad</t>
  </si>
  <si>
    <t>agile</t>
  </si>
  <si>
    <t>afforded</t>
  </si>
  <si>
    <t>afflicted</t>
  </si>
  <si>
    <t>affirmation</t>
  </si>
  <si>
    <t>affiliated</t>
  </si>
  <si>
    <t>affecting</t>
  </si>
  <si>
    <t>aerodynamic</t>
  </si>
  <si>
    <t>advice</t>
  </si>
  <si>
    <t>advertises</t>
  </si>
  <si>
    <t>advertisement</t>
  </si>
  <si>
    <t>adversely</t>
  </si>
  <si>
    <t>adverse</t>
  </si>
  <si>
    <t>adolescents</t>
  </si>
  <si>
    <t>adhere</t>
  </si>
  <si>
    <t>adequately</t>
  </si>
  <si>
    <t>adaptations</t>
  </si>
  <si>
    <t>adaptability</t>
  </si>
  <si>
    <t>actively</t>
  </si>
  <si>
    <t>activating</t>
  </si>
  <si>
    <t>acquires</t>
  </si>
  <si>
    <t>acknowledging</t>
  </si>
  <si>
    <t>acknowledge</t>
  </si>
  <si>
    <t>achieving</t>
  </si>
  <si>
    <t>aceh</t>
  </si>
  <si>
    <t>accusing</t>
  </si>
  <si>
    <t>accused</t>
  </si>
  <si>
    <t>accumulating</t>
  </si>
  <si>
    <t>accomplishment</t>
  </si>
  <si>
    <t>acceleration</t>
  </si>
  <si>
    <t>absent</t>
  </si>
  <si>
    <t>abdullah</t>
  </si>
  <si>
    <t>abdel</t>
  </si>
  <si>
    <t>aarhus</t>
  </si>
  <si>
    <t>you've</t>
  </si>
  <si>
    <t>yesterday</t>
  </si>
  <si>
    <t>writhing</t>
  </si>
  <si>
    <t>worsen</t>
  </si>
  <si>
    <t>worry</t>
  </si>
  <si>
    <t>worrisome</t>
  </si>
  <si>
    <t>workforce</t>
  </si>
  <si>
    <t>wool</t>
  </si>
  <si>
    <t>wisconsin</t>
  </si>
  <si>
    <t>winning</t>
  </si>
  <si>
    <t>william</t>
  </si>
  <si>
    <t>whigs</t>
  </si>
  <si>
    <t>westerners</t>
  </si>
  <si>
    <t>watson</t>
  </si>
  <si>
    <t>washington</t>
  </si>
  <si>
    <t>wartime</t>
  </si>
  <si>
    <t>wars</t>
  </si>
  <si>
    <t>warning</t>
  </si>
  <si>
    <t>volition</t>
  </si>
  <si>
    <t>vivid</t>
  </si>
  <si>
    <t>virtuous</t>
  </si>
  <si>
    <t>viability</t>
  </si>
  <si>
    <t>venus</t>
  </si>
  <si>
    <t>validity</t>
  </si>
  <si>
    <t>utopia</t>
  </si>
  <si>
    <t>usage</t>
  </si>
  <si>
    <t>urged</t>
  </si>
  <si>
    <t>uphold</t>
  </si>
  <si>
    <t>update</t>
  </si>
  <si>
    <t>unwittingly</t>
  </si>
  <si>
    <t>unstated</t>
  </si>
  <si>
    <t>unspoken</t>
  </si>
  <si>
    <t>unprofessional</t>
  </si>
  <si>
    <t>unitary</t>
  </si>
  <si>
    <t>uniquely</t>
  </si>
  <si>
    <t>undeveloped</t>
  </si>
  <si>
    <t>underpriviledged</t>
  </si>
  <si>
    <t>underexpectancy</t>
  </si>
  <si>
    <t>uncover</t>
  </si>
  <si>
    <t>uncontrollable</t>
  </si>
  <si>
    <t>unconstrained</t>
  </si>
  <si>
    <t>uncon</t>
  </si>
  <si>
    <t>uncertain</t>
  </si>
  <si>
    <t>unassertive</t>
  </si>
  <si>
    <t>unanimous</t>
  </si>
  <si>
    <t>unaccustomed</t>
  </si>
  <si>
    <t>unacceptable</t>
  </si>
  <si>
    <t>tyranny</t>
  </si>
  <si>
    <t>twist</t>
  </si>
  <si>
    <t>turnover</t>
  </si>
  <si>
    <t>tures</t>
  </si>
  <si>
    <t>tropic</t>
  </si>
  <si>
    <t>troops</t>
  </si>
  <si>
    <t>treat</t>
  </si>
  <si>
    <t>treasured</t>
  </si>
  <si>
    <t>translate</t>
  </si>
  <si>
    <t>trans</t>
  </si>
  <si>
    <t>tracks</t>
  </si>
  <si>
    <t>touches</t>
  </si>
  <si>
    <t>tory</t>
  </si>
  <si>
    <t>toothpaste</t>
  </si>
  <si>
    <t>tones</t>
  </si>
  <si>
    <t>tom</t>
  </si>
  <si>
    <t>tokyo</t>
  </si>
  <si>
    <t>titled</t>
  </si>
  <si>
    <t>tin</t>
  </si>
  <si>
    <t>tightens</t>
  </si>
  <si>
    <t>thwart</t>
  </si>
  <si>
    <t>throws</t>
  </si>
  <si>
    <t>threatens</t>
  </si>
  <si>
    <t>thoroughly</t>
  </si>
  <si>
    <t>thirty</t>
  </si>
  <si>
    <t>thickens</t>
  </si>
  <si>
    <t>thick</t>
  </si>
  <si>
    <t>therapies</t>
  </si>
  <si>
    <t>theoretically</t>
  </si>
  <si>
    <t>tex</t>
  </si>
  <si>
    <t>terrestrial</t>
  </si>
  <si>
    <t>tells</t>
  </si>
  <si>
    <t>tele</t>
  </si>
  <si>
    <t>techno</t>
  </si>
  <si>
    <t>techniques</t>
  </si>
  <si>
    <t>taped</t>
  </si>
  <si>
    <t>tant</t>
  </si>
  <si>
    <t>taboo</t>
  </si>
  <si>
    <t>synonymous</t>
  </si>
  <si>
    <t>syndicate</t>
  </si>
  <si>
    <t>sweetly</t>
  </si>
  <si>
    <t>surgery</t>
  </si>
  <si>
    <t>supporter</t>
  </si>
  <si>
    <t>supplying</t>
  </si>
  <si>
    <t>superficial</t>
  </si>
  <si>
    <t>sukkot</t>
  </si>
  <si>
    <t>suitably</t>
  </si>
  <si>
    <t>suicide</t>
  </si>
  <si>
    <t>sugges</t>
  </si>
  <si>
    <t>substantively</t>
  </si>
  <si>
    <t>subsequent</t>
  </si>
  <si>
    <t>subdue</t>
  </si>
  <si>
    <t>structured</t>
  </si>
  <si>
    <t>structurally</t>
  </si>
  <si>
    <t>stripe</t>
  </si>
  <si>
    <t>stretched</t>
  </si>
  <si>
    <t>streak</t>
  </si>
  <si>
    <t>strands</t>
  </si>
  <si>
    <t>strand</t>
  </si>
  <si>
    <t>stock</t>
  </si>
  <si>
    <t>stitute</t>
  </si>
  <si>
    <t>stick</t>
  </si>
  <si>
    <t>stem</t>
  </si>
  <si>
    <t>starved</t>
  </si>
  <si>
    <t>startling</t>
  </si>
  <si>
    <t>standing</t>
  </si>
  <si>
    <t>stake</t>
  </si>
  <si>
    <t>staddon</t>
  </si>
  <si>
    <t>stacking</t>
  </si>
  <si>
    <t>stability</t>
  </si>
  <si>
    <t>st</t>
  </si>
  <si>
    <t>spot</t>
  </si>
  <si>
    <t>sport</t>
  </si>
  <si>
    <t>spontaneous</t>
  </si>
  <si>
    <t>speculation</t>
  </si>
  <si>
    <t>specialists</t>
  </si>
  <si>
    <t>sown</t>
  </si>
  <si>
    <t>soussan</t>
  </si>
  <si>
    <t>soul</t>
  </si>
  <si>
    <t>sorts</t>
  </si>
  <si>
    <t>sonic</t>
  </si>
  <si>
    <t>solute</t>
  </si>
  <si>
    <t>solove</t>
  </si>
  <si>
    <t>smart</t>
  </si>
  <si>
    <t>slum</t>
  </si>
  <si>
    <t>slowed</t>
  </si>
  <si>
    <t>sleep</t>
  </si>
  <si>
    <t>slacken</t>
  </si>
  <si>
    <t>sit</t>
  </si>
  <si>
    <t>singing</t>
  </si>
  <si>
    <t>simplification</t>
  </si>
  <si>
    <t>silk</t>
  </si>
  <si>
    <t>significance</t>
  </si>
  <si>
    <t>shot</t>
  </si>
  <si>
    <t>shortness</t>
  </si>
  <si>
    <t>shops</t>
  </si>
  <si>
    <t>shiny</t>
  </si>
  <si>
    <t>sharply</t>
  </si>
  <si>
    <t>sharpen</t>
  </si>
  <si>
    <t>shares</t>
  </si>
  <si>
    <t>shaper</t>
  </si>
  <si>
    <t>shafiqul</t>
  </si>
  <si>
    <t>shadow</t>
  </si>
  <si>
    <t>sexual</t>
  </si>
  <si>
    <t>sewer</t>
  </si>
  <si>
    <t>serving</t>
  </si>
  <si>
    <t>served</t>
  </si>
  <si>
    <t>separated</t>
  </si>
  <si>
    <t>sensed</t>
  </si>
  <si>
    <t>seeks</t>
  </si>
  <si>
    <t>seeking</t>
  </si>
  <si>
    <t>seeds</t>
  </si>
  <si>
    <t>seed</t>
  </si>
  <si>
    <t>secure</t>
  </si>
  <si>
    <t>section</t>
  </si>
  <si>
    <t>secreting</t>
  </si>
  <si>
    <t>seattle</t>
  </si>
  <si>
    <t>scribe</t>
  </si>
  <si>
    <t>screening</t>
  </si>
  <si>
    <t>scotland</t>
  </si>
  <si>
    <t>scorn</t>
  </si>
  <si>
    <t>scious</t>
  </si>
  <si>
    <t>schoolroom</t>
  </si>
  <si>
    <t>saves</t>
  </si>
  <si>
    <t>sale</t>
  </si>
  <si>
    <t>salad</t>
  </si>
  <si>
    <t>sahai</t>
  </si>
  <si>
    <t>rows</t>
  </si>
  <si>
    <t>rote</t>
  </si>
  <si>
    <t>rose</t>
  </si>
  <si>
    <t>robotic</t>
  </si>
  <si>
    <t>rium</t>
  </si>
  <si>
    <t>risks</t>
  </si>
  <si>
    <t>rigidly</t>
  </si>
  <si>
    <t>rigged</t>
  </si>
  <si>
    <t>revitalize</t>
  </si>
  <si>
    <t>reviews</t>
  </si>
  <si>
    <t>reunion</t>
  </si>
  <si>
    <t>retrospect</t>
  </si>
  <si>
    <t>resonant</t>
  </si>
  <si>
    <t>resonance</t>
  </si>
  <si>
    <t>resolving</t>
  </si>
  <si>
    <t>republican</t>
  </si>
  <si>
    <t>reprogramming</t>
  </si>
  <si>
    <t>reproducing</t>
  </si>
  <si>
    <t>representations</t>
  </si>
  <si>
    <t>replenished</t>
  </si>
  <si>
    <t>repeating</t>
  </si>
  <si>
    <t>repair</t>
  </si>
  <si>
    <t>reorganize</t>
  </si>
  <si>
    <t>renew</t>
  </si>
  <si>
    <t>relying</t>
  </si>
  <si>
    <t>religions</t>
  </si>
  <si>
    <t>reinforcing</t>
  </si>
  <si>
    <t>reframe</t>
  </si>
  <si>
    <t>reflecting</t>
  </si>
  <si>
    <t>referent</t>
  </si>
  <si>
    <t>reexamine</t>
  </si>
  <si>
    <t>reevaluating</t>
  </si>
  <si>
    <t>redirec</t>
  </si>
  <si>
    <t>records</t>
  </si>
  <si>
    <t>reconstruction</t>
  </si>
  <si>
    <t>recommendations</t>
  </si>
  <si>
    <t>recognizable</t>
  </si>
  <si>
    <t>reciprocity</t>
  </si>
  <si>
    <t>recapture</t>
  </si>
  <si>
    <t>recalls</t>
  </si>
  <si>
    <t>recalled</t>
  </si>
  <si>
    <t>rebuilding</t>
  </si>
  <si>
    <t>reasons</t>
  </si>
  <si>
    <t>realizing</t>
  </si>
  <si>
    <t>rant</t>
  </si>
  <si>
    <t>racking</t>
  </si>
  <si>
    <t>racing</t>
  </si>
  <si>
    <t>questioning</t>
  </si>
  <si>
    <t>quarters</t>
  </si>
  <si>
    <t>pushing</t>
  </si>
  <si>
    <t>pure</t>
  </si>
  <si>
    <t>psychotherapy</t>
  </si>
  <si>
    <t>psychol</t>
  </si>
  <si>
    <t>provoking</t>
  </si>
  <si>
    <t>protocol</t>
  </si>
  <si>
    <t>protecting</t>
  </si>
  <si>
    <t>propose</t>
  </si>
  <si>
    <t>propor</t>
  </si>
  <si>
    <t>propensity</t>
  </si>
  <si>
    <t>propagate</t>
  </si>
  <si>
    <t>profits</t>
  </si>
  <si>
    <t>profession</t>
  </si>
  <si>
    <t>privileges</t>
  </si>
  <si>
    <t>prisoners</t>
  </si>
  <si>
    <t>priority</t>
  </si>
  <si>
    <t>princeton</t>
  </si>
  <si>
    <t>primates</t>
  </si>
  <si>
    <t>priceless</t>
  </si>
  <si>
    <t>prewashed</t>
  </si>
  <si>
    <t>preventing</t>
  </si>
  <si>
    <t>pretending</t>
  </si>
  <si>
    <t>presupposes</t>
  </si>
  <si>
    <t>presuppose</t>
  </si>
  <si>
    <t>presumptuous</t>
  </si>
  <si>
    <t>prestige</t>
  </si>
  <si>
    <t>preposterous</t>
  </si>
  <si>
    <t>premate</t>
  </si>
  <si>
    <t>preferences</t>
  </si>
  <si>
    <t>predominately</t>
  </si>
  <si>
    <t>predisposition</t>
  </si>
  <si>
    <t>predictions</t>
  </si>
  <si>
    <t>preconception</t>
  </si>
  <si>
    <t>preconceived</t>
  </si>
  <si>
    <t>practiced</t>
  </si>
  <si>
    <t>practically</t>
  </si>
  <si>
    <t>positron</t>
  </si>
  <si>
    <t>posit</t>
  </si>
  <si>
    <t>poses</t>
  </si>
  <si>
    <t>portray</t>
  </si>
  <si>
    <t>poop</t>
  </si>
  <si>
    <t>plug</t>
  </si>
  <si>
    <t>platitude</t>
  </si>
  <si>
    <t>platform</t>
  </si>
  <si>
    <t>plasticity</t>
  </si>
  <si>
    <t>planks</t>
  </si>
  <si>
    <t>plank</t>
  </si>
  <si>
    <t>plagued</t>
  </si>
  <si>
    <t>physicist</t>
  </si>
  <si>
    <t>phoniness</t>
  </si>
  <si>
    <t>peter3</t>
  </si>
  <si>
    <t>perturbation</t>
  </si>
  <si>
    <t>pertaining</t>
  </si>
  <si>
    <t>personalize</t>
  </si>
  <si>
    <t>persona</t>
  </si>
  <si>
    <t>permanently</t>
  </si>
  <si>
    <t>pedagogical</t>
  </si>
  <si>
    <t>pearls</t>
  </si>
  <si>
    <t>passenger</t>
  </si>
  <si>
    <t>partiers</t>
  </si>
  <si>
    <t>participation</t>
  </si>
  <si>
    <t>paragraphs</t>
  </si>
  <si>
    <t>pacemaker</t>
  </si>
  <si>
    <t>overtone</t>
  </si>
  <si>
    <t>overlook</t>
  </si>
  <si>
    <t>outmode</t>
  </si>
  <si>
    <t>outlook</t>
  </si>
  <si>
    <t>outcome</t>
  </si>
  <si>
    <t>otherworldly</t>
  </si>
  <si>
    <t>ornament</t>
  </si>
  <si>
    <t>originate</t>
  </si>
  <si>
    <t>originality</t>
  </si>
  <si>
    <t>ordered</t>
  </si>
  <si>
    <t>options</t>
  </si>
  <si>
    <t>onward</t>
  </si>
  <si>
    <t>ogy</t>
  </si>
  <si>
    <t>odyssey</t>
  </si>
  <si>
    <t>objectively</t>
  </si>
  <si>
    <t>o2</t>
  </si>
  <si>
    <t>nucleus</t>
  </si>
  <si>
    <t>novelist</t>
  </si>
  <si>
    <t>notwithstanding</t>
  </si>
  <si>
    <t>northwestern</t>
  </si>
  <si>
    <t>nonrelations</t>
  </si>
  <si>
    <t>nonlinguistic</t>
  </si>
  <si>
    <t>nodding</t>
  </si>
  <si>
    <t>nobody</t>
  </si>
  <si>
    <t>nights</t>
  </si>
  <si>
    <t>nexus</t>
  </si>
  <si>
    <t>newer</t>
  </si>
  <si>
    <t>neurotransmitter</t>
  </si>
  <si>
    <t>neighborhoods</t>
  </si>
  <si>
    <t>negotiation</t>
  </si>
  <si>
    <t>neglected</t>
  </si>
  <si>
    <t>neck</t>
  </si>
  <si>
    <t>namahage</t>
  </si>
  <si>
    <t>mushroom</t>
  </si>
  <si>
    <t>muscle</t>
  </si>
  <si>
    <t>multiplica</t>
  </si>
  <si>
    <t>multicultural</t>
  </si>
  <si>
    <t>multicellular</t>
  </si>
  <si>
    <t>mri</t>
  </si>
  <si>
    <t>motives</t>
  </si>
  <si>
    <t>motivational</t>
  </si>
  <si>
    <t>moods</t>
  </si>
  <si>
    <t>modernize</t>
  </si>
  <si>
    <t>moderated</t>
  </si>
  <si>
    <t>mobile</t>
  </si>
  <si>
    <t>misty</t>
  </si>
  <si>
    <t>missing</t>
  </si>
  <si>
    <t>misperception</t>
  </si>
  <si>
    <t>misled</t>
  </si>
  <si>
    <t>mislead</t>
  </si>
  <si>
    <t>misinterpret</t>
  </si>
  <si>
    <t>mischievously</t>
  </si>
  <si>
    <t>minimizes</t>
  </si>
  <si>
    <t>minimized</t>
  </si>
  <si>
    <t>millennium</t>
  </si>
  <si>
    <t>migration</t>
  </si>
  <si>
    <t>memorialization</t>
  </si>
  <si>
    <t>meghan</t>
  </si>
  <si>
    <t>meeting</t>
  </si>
  <si>
    <t>medication</t>
  </si>
  <si>
    <t>measurable</t>
  </si>
  <si>
    <t>mcafee</t>
  </si>
  <si>
    <t>matches</t>
  </si>
  <si>
    <t>masters</t>
  </si>
  <si>
    <t>manifestation</t>
  </si>
  <si>
    <t>managerial</t>
  </si>
  <si>
    <t>maintained</t>
  </si>
  <si>
    <t>mainstay</t>
  </si>
  <si>
    <t>mailing</t>
  </si>
  <si>
    <t>magnificent</t>
  </si>
  <si>
    <t>madison</t>
  </si>
  <si>
    <t>machinery</t>
  </si>
  <si>
    <t>lover</t>
  </si>
  <si>
    <t>loved</t>
  </si>
  <si>
    <t>lock</t>
  </si>
  <si>
    <t>locate</t>
  </si>
  <si>
    <t>literal</t>
  </si>
  <si>
    <t>linkage</t>
  </si>
  <si>
    <t>likes</t>
  </si>
  <si>
    <t>lifework</t>
  </si>
  <si>
    <t>license</t>
  </si>
  <si>
    <t>library</t>
  </si>
  <si>
    <t>length</t>
  </si>
  <si>
    <t>leftover</t>
  </si>
  <si>
    <t>leaked</t>
  </si>
  <si>
    <t>laundry</t>
  </si>
  <si>
    <t>launched</t>
  </si>
  <si>
    <t>laterally</t>
  </si>
  <si>
    <t>lamenting</t>
  </si>
  <si>
    <t>lamented</t>
  </si>
  <si>
    <t>lamentation</t>
  </si>
  <si>
    <t>kits</t>
  </si>
  <si>
    <t>kitchens</t>
  </si>
  <si>
    <t>kicking</t>
  </si>
  <si>
    <t>keyword</t>
  </si>
  <si>
    <t>keys</t>
  </si>
  <si>
    <t>kettle</t>
  </si>
  <si>
    <t>kering</t>
  </si>
  <si>
    <t>july</t>
  </si>
  <si>
    <t>judgement</t>
  </si>
  <si>
    <t>journals</t>
  </si>
  <si>
    <t>jostle</t>
  </si>
  <si>
    <t>joke</t>
  </si>
  <si>
    <t>jewish</t>
  </si>
  <si>
    <t>iv</t>
  </si>
  <si>
    <t>itch</t>
  </si>
  <si>
    <t>isolate</t>
  </si>
  <si>
    <t>islams</t>
  </si>
  <si>
    <t>irritations</t>
  </si>
  <si>
    <t>irrigated</t>
  </si>
  <si>
    <t>irrationalities</t>
  </si>
  <si>
    <t>invisibly</t>
  </si>
  <si>
    <t>invisible</t>
  </si>
  <si>
    <t>invigorate</t>
  </si>
  <si>
    <t>investing</t>
  </si>
  <si>
    <t>investigative</t>
  </si>
  <si>
    <t>investigated</t>
  </si>
  <si>
    <t>intrusion</t>
  </si>
  <si>
    <t>intolerant</t>
  </si>
  <si>
    <t>intolerable</t>
  </si>
  <si>
    <t>interconnecting</t>
  </si>
  <si>
    <t>intentionally</t>
  </si>
  <si>
    <t>intensified</t>
  </si>
  <si>
    <t>intend</t>
  </si>
  <si>
    <t>insult</t>
  </si>
  <si>
    <t>instruct</t>
  </si>
  <si>
    <t>instantly</t>
  </si>
  <si>
    <t>inspiration</t>
  </si>
  <si>
    <t>insecticides</t>
  </si>
  <si>
    <t>insect</t>
  </si>
  <si>
    <t>inordinate</t>
  </si>
  <si>
    <t>innumerable</t>
  </si>
  <si>
    <t>initiate</t>
  </si>
  <si>
    <t>inimical</t>
  </si>
  <si>
    <t>infectious</t>
  </si>
  <si>
    <t>infeasible</t>
  </si>
  <si>
    <t>induction</t>
  </si>
  <si>
    <t>indivisibly</t>
  </si>
  <si>
    <t>individuation</t>
  </si>
  <si>
    <t>index</t>
  </si>
  <si>
    <t>incredible</t>
  </si>
  <si>
    <t>incontrast</t>
  </si>
  <si>
    <t>inconsistent</t>
  </si>
  <si>
    <t>inconceivable</t>
  </si>
  <si>
    <t>incalculable</t>
  </si>
  <si>
    <t>inadvertently</t>
  </si>
  <si>
    <t>improvise</t>
  </si>
  <si>
    <t>impoverish</t>
  </si>
  <si>
    <t>impossibly</t>
  </si>
  <si>
    <t>implanting</t>
  </si>
  <si>
    <t>implanted</t>
  </si>
  <si>
    <t>implant</t>
  </si>
  <si>
    <t>imperfection</t>
  </si>
  <si>
    <t>immigrate</t>
  </si>
  <si>
    <t>imitating</t>
  </si>
  <si>
    <t>illusion</t>
  </si>
  <si>
    <t>illuminated</t>
  </si>
  <si>
    <t>illnesses</t>
  </si>
  <si>
    <t>igno</t>
  </si>
  <si>
    <t>ideologies</t>
  </si>
  <si>
    <t>ideologica</t>
  </si>
  <si>
    <t>humidity</t>
  </si>
  <si>
    <t>humanistic</t>
  </si>
  <si>
    <t>hub</t>
  </si>
  <si>
    <t>hospitalized</t>
  </si>
  <si>
    <t>honorable</t>
  </si>
  <si>
    <t>holi</t>
  </si>
  <si>
    <t>hip</t>
  </si>
  <si>
    <t>hindu</t>
  </si>
  <si>
    <t>hinder</t>
  </si>
  <si>
    <t>hill</t>
  </si>
  <si>
    <t>highway</t>
  </si>
  <si>
    <t>highlight</t>
  </si>
  <si>
    <t>hesitancy</t>
  </si>
  <si>
    <t>hello</t>
  </si>
  <si>
    <t>hell</t>
  </si>
  <si>
    <t>heard</t>
  </si>
  <si>
    <t>headline</t>
  </si>
  <si>
    <t>he's</t>
  </si>
  <si>
    <t>hatch</t>
  </si>
  <si>
    <t>hat</t>
  </si>
  <si>
    <t>harmonies</t>
  </si>
  <si>
    <t>harmonic</t>
  </si>
  <si>
    <t>harm</t>
  </si>
  <si>
    <t>hardens</t>
  </si>
  <si>
    <t>hallmark</t>
  </si>
  <si>
    <t>haiti</t>
  </si>
  <si>
    <t>guts</t>
  </si>
  <si>
    <t>guidelines</t>
  </si>
  <si>
    <t>grossest</t>
  </si>
  <si>
    <t>groceries</t>
  </si>
  <si>
    <t>grin</t>
  </si>
  <si>
    <t>griffiths</t>
  </si>
  <si>
    <t>grievous</t>
  </si>
  <si>
    <t>gras</t>
  </si>
  <si>
    <t>graphs</t>
  </si>
  <si>
    <t>grand</t>
  </si>
  <si>
    <t>grains</t>
  </si>
  <si>
    <t>goddess</t>
  </si>
  <si>
    <t>glowing</t>
  </si>
  <si>
    <t>glorious</t>
  </si>
  <si>
    <t>globally</t>
  </si>
  <si>
    <t>globalized</t>
  </si>
  <si>
    <t>gladly</t>
  </si>
  <si>
    <t>gestalt</t>
  </si>
  <si>
    <t>geophysics</t>
  </si>
  <si>
    <t>geographer</t>
  </si>
  <si>
    <t>generously</t>
  </si>
  <si>
    <t>gaucho</t>
  </si>
  <si>
    <t>furier</t>
  </si>
  <si>
    <t>fuel</t>
  </si>
  <si>
    <t>frustrate</t>
  </si>
  <si>
    <t>freud</t>
  </si>
  <si>
    <t>freshwater</t>
  </si>
  <si>
    <t>freshman</t>
  </si>
  <si>
    <t>forums</t>
  </si>
  <si>
    <t>formulated</t>
  </si>
  <si>
    <t>formula</t>
  </si>
  <si>
    <t>foreshadow</t>
  </si>
  <si>
    <t>foreground</t>
  </si>
  <si>
    <t>forecasting</t>
  </si>
  <si>
    <t>fordable</t>
  </si>
  <si>
    <t>fools</t>
  </si>
  <si>
    <t>foolishness</t>
  </si>
  <si>
    <t>flower</t>
  </si>
  <si>
    <t>floating</t>
  </si>
  <si>
    <t>flabbiness</t>
  </si>
  <si>
    <t>fits</t>
  </si>
  <si>
    <t>fishing</t>
  </si>
  <si>
    <t>firmer</t>
  </si>
  <si>
    <t>firework</t>
  </si>
  <si>
    <t>finish</t>
  </si>
  <si>
    <t>filtering</t>
  </si>
  <si>
    <t>figures</t>
  </si>
  <si>
    <t>fifty</t>
  </si>
  <si>
    <t>fierce</t>
  </si>
  <si>
    <t>fetter</t>
  </si>
  <si>
    <t>fell</t>
  </si>
  <si>
    <t>feedback</t>
  </si>
  <si>
    <t>feared</t>
  </si>
  <si>
    <t>fattened</t>
  </si>
  <si>
    <t>fascinating</t>
  </si>
  <si>
    <t>falsified</t>
  </si>
  <si>
    <t>fallen</t>
  </si>
  <si>
    <t>faith</t>
  </si>
  <si>
    <t>facebooks</t>
  </si>
  <si>
    <t>extensive</t>
  </si>
  <si>
    <t>extending</t>
  </si>
  <si>
    <t>expressed</t>
  </si>
  <si>
    <t>explosion</t>
  </si>
  <si>
    <t>exploited</t>
  </si>
  <si>
    <t>exhibit</t>
  </si>
  <si>
    <t>examined</t>
  </si>
  <si>
    <t>exaggerate</t>
  </si>
  <si>
    <t>ex</t>
  </si>
  <si>
    <t>evolves</t>
  </si>
  <si>
    <t>evidenced</t>
  </si>
  <si>
    <t>eventhoughtheworld</t>
  </si>
  <si>
    <t>evaluation</t>
  </si>
  <si>
    <t>eu</t>
  </si>
  <si>
    <t>etiquette</t>
  </si>
  <si>
    <t>espouses</t>
  </si>
  <si>
    <t>espouse</t>
  </si>
  <si>
    <t>equilib</t>
  </si>
  <si>
    <t>epidemic</t>
  </si>
  <si>
    <t>envisage</t>
  </si>
  <si>
    <t>environmentalists</t>
  </si>
  <si>
    <t>environmentalist's</t>
  </si>
  <si>
    <t>entrust</t>
  </si>
  <si>
    <t>entrench</t>
  </si>
  <si>
    <t>enthusiastic</t>
  </si>
  <si>
    <t>ensue</t>
  </si>
  <si>
    <t>enjoyment</t>
  </si>
  <si>
    <t>engagement</t>
  </si>
  <si>
    <t>endow</t>
  </si>
  <si>
    <t>encompassed</t>
  </si>
  <si>
    <t>encode</t>
  </si>
  <si>
    <t>encloses</t>
  </si>
  <si>
    <t>ence</t>
  </si>
  <si>
    <t>encase</t>
  </si>
  <si>
    <t>en</t>
  </si>
  <si>
    <t>empty</t>
  </si>
  <si>
    <t>employment</t>
  </si>
  <si>
    <t>employers</t>
  </si>
  <si>
    <t>employees</t>
  </si>
  <si>
    <t>employee</t>
  </si>
  <si>
    <t>emperor</t>
  </si>
  <si>
    <t>emitted</t>
  </si>
  <si>
    <t>emigrate</t>
  </si>
  <si>
    <t>emerged</t>
  </si>
  <si>
    <t>embracing</t>
  </si>
  <si>
    <t>embrace</t>
  </si>
  <si>
    <t>embed</t>
  </si>
  <si>
    <t>elicite</t>
  </si>
  <si>
    <t>eldercare</t>
  </si>
  <si>
    <t>eisensteins</t>
  </si>
  <si>
    <t>egalitarian</t>
  </si>
  <si>
    <t>educators</t>
  </si>
  <si>
    <t>eats</t>
  </si>
  <si>
    <t>dying</t>
  </si>
  <si>
    <t>drum</t>
  </si>
  <si>
    <t>doorstep</t>
  </si>
  <si>
    <t>domesticated</t>
  </si>
  <si>
    <t>dog</t>
  </si>
  <si>
    <t>doesn't</t>
  </si>
  <si>
    <t>dodson</t>
  </si>
  <si>
    <t>divorce</t>
  </si>
  <si>
    <t>distortion</t>
  </si>
  <si>
    <t>dissipate</t>
  </si>
  <si>
    <t>disposal</t>
  </si>
  <si>
    <t>disk</t>
  </si>
  <si>
    <t>discovering</t>
  </si>
  <si>
    <t>disadvantaged</t>
  </si>
  <si>
    <t>dinner</t>
  </si>
  <si>
    <t>digests</t>
  </si>
  <si>
    <t>differing</t>
  </si>
  <si>
    <t>diabetes</t>
  </si>
  <si>
    <t>devastate</t>
  </si>
  <si>
    <t>detune</t>
  </si>
  <si>
    <t>detour</t>
  </si>
  <si>
    <t>designs</t>
  </si>
  <si>
    <t>designing</t>
  </si>
  <si>
    <t>depths</t>
  </si>
  <si>
    <t>deprive</t>
  </si>
  <si>
    <t>depletion</t>
  </si>
  <si>
    <t>denying</t>
  </si>
  <si>
    <t>denounced</t>
  </si>
  <si>
    <t>denounce</t>
  </si>
  <si>
    <t>delineate</t>
  </si>
  <si>
    <t>deliberately</t>
  </si>
  <si>
    <t>deduce</t>
  </si>
  <si>
    <t>debater</t>
  </si>
  <si>
    <t>darkness</t>
  </si>
  <si>
    <t>daring</t>
  </si>
  <si>
    <t>daniel</t>
  </si>
  <si>
    <t>daddy</t>
  </si>
  <si>
    <t>cybersecurity</t>
  </si>
  <si>
    <t>ct</t>
  </si>
  <si>
    <t>cry</t>
  </si>
  <si>
    <t>cruel</t>
  </si>
  <si>
    <t>criticizes</t>
  </si>
  <si>
    <t>criteria</t>
  </si>
  <si>
    <t>criminals</t>
  </si>
  <si>
    <t>crest</t>
  </si>
  <si>
    <t>crash</t>
  </si>
  <si>
    <t>cowboy</t>
  </si>
  <si>
    <t>courtesy</t>
  </si>
  <si>
    <t>courses</t>
  </si>
  <si>
    <t>counter</t>
  </si>
  <si>
    <t>correspond</t>
  </si>
  <si>
    <t>corporation</t>
  </si>
  <si>
    <t>convenience</t>
  </si>
  <si>
    <t>contrasts</t>
  </si>
  <si>
    <t>continuing</t>
  </si>
  <si>
    <t>contend</t>
  </si>
  <si>
    <t>contemplated</t>
  </si>
  <si>
    <t>contemplate</t>
  </si>
  <si>
    <t>contacts</t>
  </si>
  <si>
    <t>consume</t>
  </si>
  <si>
    <t>consultancy</t>
  </si>
  <si>
    <t>construction</t>
  </si>
  <si>
    <t>constraints</t>
  </si>
  <si>
    <t>conservationists</t>
  </si>
  <si>
    <t>conquered</t>
  </si>
  <si>
    <t>connecting</t>
  </si>
  <si>
    <t>connectedness</t>
  </si>
  <si>
    <t>conjunction</t>
  </si>
  <si>
    <t>computed</t>
  </si>
  <si>
    <t>composi</t>
  </si>
  <si>
    <t>completing</t>
  </si>
  <si>
    <t>compels</t>
  </si>
  <si>
    <t>committing</t>
  </si>
  <si>
    <t>combining</t>
  </si>
  <si>
    <t>collections</t>
  </si>
  <si>
    <t>collected</t>
  </si>
  <si>
    <t>collectable</t>
  </si>
  <si>
    <t>coin</t>
  </si>
  <si>
    <t>coarse</t>
  </si>
  <si>
    <t>clients</t>
  </si>
  <si>
    <t>clayton</t>
  </si>
  <si>
    <t>classmates</t>
  </si>
  <si>
    <t>classmate</t>
  </si>
  <si>
    <t>cities'</t>
  </si>
  <si>
    <t>churches</t>
  </si>
  <si>
    <t>chose</t>
  </si>
  <si>
    <t>chooses</t>
  </si>
  <si>
    <t>chonsky</t>
  </si>
  <si>
    <t>chomsky's</t>
  </si>
  <si>
    <t>chin</t>
  </si>
  <si>
    <t>charity</t>
  </si>
  <si>
    <t>characterizes</t>
  </si>
  <si>
    <t>ceo</t>
  </si>
  <si>
    <t>centralized</t>
  </si>
  <si>
    <t>ceive</t>
  </si>
  <si>
    <t>cats</t>
  </si>
  <si>
    <t>catherinein</t>
  </si>
  <si>
    <t>cast</t>
  </si>
  <si>
    <t>cash</t>
  </si>
  <si>
    <t>carnival</t>
  </si>
  <si>
    <t>carelessly</t>
  </si>
  <si>
    <t>calendrical</t>
  </si>
  <si>
    <t>calculates</t>
  </si>
  <si>
    <t>cal</t>
  </si>
  <si>
    <t>butter</t>
  </si>
  <si>
    <t>busy</t>
  </si>
  <si>
    <t>budget</t>
  </si>
  <si>
    <t>breathy</t>
  </si>
  <si>
    <t>brahmaputra</t>
  </si>
  <si>
    <t>bought</t>
  </si>
  <si>
    <t>bottle</t>
  </si>
  <si>
    <t>bones</t>
  </si>
  <si>
    <t>bold</t>
  </si>
  <si>
    <t>blows</t>
  </si>
  <si>
    <t>biotechnological</t>
  </si>
  <si>
    <t>biased</t>
  </si>
  <si>
    <t>bench</t>
  </si>
  <si>
    <t>bemoaning</t>
  </si>
  <si>
    <t>believing</t>
  </si>
  <si>
    <t>beheld</t>
  </si>
  <si>
    <t>behaved</t>
  </si>
  <si>
    <t>beer</t>
  </si>
  <si>
    <t>battling</t>
  </si>
  <si>
    <t>barren</t>
  </si>
  <si>
    <t>bankers</t>
  </si>
  <si>
    <t>bags</t>
  </si>
  <si>
    <t>bag</t>
  </si>
  <si>
    <t>baffling</t>
  </si>
  <si>
    <t>badly</t>
  </si>
  <si>
    <t>avail</t>
  </si>
  <si>
    <t>authentic</t>
  </si>
  <si>
    <t>assembly</t>
  </si>
  <si>
    <t>asks</t>
  </si>
  <si>
    <t>ascription</t>
  </si>
  <si>
    <t>ascertain</t>
  </si>
  <si>
    <t>arts</t>
  </si>
  <si>
    <t>artist</t>
  </si>
  <si>
    <t>arranged</t>
  </si>
  <si>
    <t>arising</t>
  </si>
  <si>
    <t>approving</t>
  </si>
  <si>
    <t>ant</t>
  </si>
  <si>
    <t>announcement</t>
  </si>
  <si>
    <t>anatomically</t>
  </si>
  <si>
    <t>analytical</t>
  </si>
  <si>
    <t>amplification</t>
  </si>
  <si>
    <t>alternatives</t>
  </si>
  <si>
    <t>ally</t>
  </si>
  <si>
    <t>allele</t>
  </si>
  <si>
    <t>alcoholic</t>
  </si>
  <si>
    <t>al</t>
  </si>
  <si>
    <t>ainted</t>
  </si>
  <si>
    <t>aimed</t>
  </si>
  <si>
    <t>agitate</t>
  </si>
  <si>
    <t>aging</t>
  </si>
  <si>
    <t>afoot</t>
  </si>
  <si>
    <t>advocated</t>
  </si>
  <si>
    <t>advisor</t>
  </si>
  <si>
    <t>advise</t>
  </si>
  <si>
    <t>advertisers</t>
  </si>
  <si>
    <t>advancement</t>
  </si>
  <si>
    <t>adults'</t>
  </si>
  <si>
    <t>admitted</t>
  </si>
  <si>
    <t>admire</t>
  </si>
  <si>
    <t>adherence</t>
  </si>
  <si>
    <t>addressee</t>
  </si>
  <si>
    <t>adaptive</t>
  </si>
  <si>
    <t>adaptation</t>
  </si>
  <si>
    <t>actualization</t>
  </si>
  <si>
    <t>activism</t>
  </si>
  <si>
    <t>accordance</t>
  </si>
  <si>
    <t>accord</t>
  </si>
  <si>
    <t>accessory</t>
  </si>
  <si>
    <t>accelerating</t>
  </si>
  <si>
    <t>absolutely</t>
  </si>
  <si>
    <t>abides</t>
  </si>
  <si>
    <t>abased</t>
  </si>
  <si>
    <t>ab</t>
  </si>
  <si>
    <t>yield</t>
  </si>
  <si>
    <t>writhe</t>
  </si>
  <si>
    <t>writer</t>
  </si>
  <si>
    <t>wrest</t>
  </si>
  <si>
    <t>worker</t>
  </si>
  <si>
    <t>wonderful</t>
  </si>
  <si>
    <t>women's</t>
  </si>
  <si>
    <t>winnowed</t>
  </si>
  <si>
    <t>winnow</t>
  </si>
  <si>
    <t>winners</t>
  </si>
  <si>
    <t>wil</t>
  </si>
  <si>
    <t>what's</t>
  </si>
  <si>
    <t>wellbeing</t>
  </si>
  <si>
    <t>weigh</t>
  </si>
  <si>
    <t>weed</t>
  </si>
  <si>
    <t>website</t>
  </si>
  <si>
    <t>weaknesses</t>
  </si>
  <si>
    <t>waver</t>
  </si>
  <si>
    <t>watches</t>
  </si>
  <si>
    <t>wasn't</t>
  </si>
  <si>
    <t>waal</t>
  </si>
  <si>
    <t>volunteerism</t>
  </si>
  <si>
    <t>voition</t>
  </si>
  <si>
    <t>visitor</t>
  </si>
  <si>
    <t>visiting</t>
  </si>
  <si>
    <t>virtual</t>
  </si>
  <si>
    <t>villages</t>
  </si>
  <si>
    <t>venient</t>
  </si>
  <si>
    <t>valid</t>
  </si>
  <si>
    <t>utensil</t>
  </si>
  <si>
    <t>user's</t>
  </si>
  <si>
    <t>upheaval</t>
  </si>
  <si>
    <t>upgrading</t>
  </si>
  <si>
    <t>unskilled</t>
  </si>
  <si>
    <t>unsafe</t>
  </si>
  <si>
    <t>unknown</t>
  </si>
  <si>
    <t>unjustifiable</t>
  </si>
  <si>
    <t>unite</t>
  </si>
  <si>
    <t>union</t>
  </si>
  <si>
    <t>unify</t>
  </si>
  <si>
    <t>unfavorable</t>
  </si>
  <si>
    <t>unexplored</t>
  </si>
  <si>
    <t>understands</t>
  </si>
  <si>
    <t>unaware</t>
  </si>
  <si>
    <t>unavoidable</t>
  </si>
  <si>
    <t>unabated</t>
  </si>
  <si>
    <t>typing</t>
  </si>
  <si>
    <t>turmoils</t>
  </si>
  <si>
    <t>triggered</t>
  </si>
  <si>
    <t>treaties</t>
  </si>
  <si>
    <t>treated</t>
  </si>
  <si>
    <t>treasure</t>
  </si>
  <si>
    <t>trap</t>
  </si>
  <si>
    <t>transmits</t>
  </si>
  <si>
    <t>transgression</t>
  </si>
  <si>
    <t>transaction</t>
  </si>
  <si>
    <t>trades</t>
  </si>
  <si>
    <t>tract</t>
  </si>
  <si>
    <t>traced</t>
  </si>
  <si>
    <t>totality</t>
  </si>
  <si>
    <t>topological</t>
  </si>
  <si>
    <t>todays</t>
  </si>
  <si>
    <t>tired</t>
  </si>
  <si>
    <t>tire</t>
  </si>
  <si>
    <t>tinker</t>
  </si>
  <si>
    <t>timing</t>
  </si>
  <si>
    <t>thracian</t>
  </si>
  <si>
    <t>that's</t>
  </si>
  <si>
    <t>temptations</t>
  </si>
  <si>
    <t>teamwork</t>
  </si>
  <si>
    <t>tame</t>
  </si>
  <si>
    <t>tall</t>
  </si>
  <si>
    <t>talents</t>
  </si>
  <si>
    <t>taint</t>
  </si>
  <si>
    <t>tack</t>
  </si>
  <si>
    <t>sympathy</t>
  </si>
  <si>
    <t>sympathetic</t>
  </si>
  <si>
    <t>swing</t>
  </si>
  <si>
    <t>svc</t>
  </si>
  <si>
    <t>supportive</t>
  </si>
  <si>
    <t>summon</t>
  </si>
  <si>
    <t>suit</t>
  </si>
  <si>
    <t>sufficiently</t>
  </si>
  <si>
    <t>suffers</t>
  </si>
  <si>
    <t>suf</t>
  </si>
  <si>
    <t>succumb</t>
  </si>
  <si>
    <t>substance</t>
  </si>
  <si>
    <t>subsidized</t>
  </si>
  <si>
    <t>subordinates</t>
  </si>
  <si>
    <t>submitting</t>
  </si>
  <si>
    <t>subliminally</t>
  </si>
  <si>
    <t>stun</t>
  </si>
  <si>
    <t>student's</t>
  </si>
  <si>
    <t>stresses</t>
  </si>
  <si>
    <t>strengths</t>
  </si>
  <si>
    <t>streams</t>
  </si>
  <si>
    <t>storm</t>
  </si>
  <si>
    <t>storing</t>
  </si>
  <si>
    <t>stereotype</t>
  </si>
  <si>
    <t>stayed</t>
  </si>
  <si>
    <t>statistically</t>
  </si>
  <si>
    <t>starve</t>
  </si>
  <si>
    <t>standardized</t>
  </si>
  <si>
    <t>stagnated</t>
  </si>
  <si>
    <t>spur</t>
  </si>
  <si>
    <t>spotting</t>
  </si>
  <si>
    <t>spirit</t>
  </si>
  <si>
    <t>speaker</t>
  </si>
  <si>
    <t>span</t>
  </si>
  <si>
    <t>spacious</t>
  </si>
  <si>
    <t>spaceship</t>
  </si>
  <si>
    <t>sow</t>
  </si>
  <si>
    <t>sophisticate</t>
  </si>
  <si>
    <t>someday</t>
  </si>
  <si>
    <t>socialize</t>
  </si>
  <si>
    <t>smoothly</t>
  </si>
  <si>
    <t>smartphones</t>
  </si>
  <si>
    <t>slowdown</t>
  </si>
  <si>
    <t>slay</t>
  </si>
  <si>
    <t>skirt</t>
  </si>
  <si>
    <t>sizzle</t>
  </si>
  <si>
    <t>shrinking</t>
  </si>
  <si>
    <t>shovel</t>
  </si>
  <si>
    <t>shove</t>
  </si>
  <si>
    <t>shortchange</t>
  </si>
  <si>
    <t>shopfront</t>
  </si>
  <si>
    <t>ship</t>
  </si>
  <si>
    <t>shifts</t>
  </si>
  <si>
    <t>shapes</t>
  </si>
  <si>
    <t>shackled</t>
  </si>
  <si>
    <t>seventies</t>
  </si>
  <si>
    <t>settlement</t>
  </si>
  <si>
    <t>sensation</t>
  </si>
  <si>
    <t>selfsacrifice</t>
  </si>
  <si>
    <t>selective</t>
  </si>
  <si>
    <t>seduce</t>
  </si>
  <si>
    <t>secrete</t>
  </si>
  <si>
    <t>secret</t>
  </si>
  <si>
    <t>schedule</t>
  </si>
  <si>
    <t>saving</t>
  </si>
  <si>
    <t>sanitary</t>
  </si>
  <si>
    <t>salt</t>
  </si>
  <si>
    <t>salaries</t>
  </si>
  <si>
    <t>runner</t>
  </si>
  <si>
    <t>ruining</t>
  </si>
  <si>
    <t>ruin</t>
  </si>
  <si>
    <t>rother</t>
  </si>
  <si>
    <t>rosy</t>
  </si>
  <si>
    <t>romans</t>
  </si>
  <si>
    <t>roentgen</t>
  </si>
  <si>
    <t>roboticization</t>
  </si>
  <si>
    <t>river</t>
  </si>
  <si>
    <t>rite</t>
  </si>
  <si>
    <t>rises</t>
  </si>
  <si>
    <t>rim</t>
  </si>
  <si>
    <t>rightly</t>
  </si>
  <si>
    <t>rig</t>
  </si>
  <si>
    <t>rhythmic</t>
  </si>
  <si>
    <t>revive</t>
  </si>
  <si>
    <t>retire</t>
  </si>
  <si>
    <t>restriction</t>
  </si>
  <si>
    <t>restarting</t>
  </si>
  <si>
    <t>residence</t>
  </si>
  <si>
    <t>reservoir</t>
  </si>
  <si>
    <t>reserve</t>
  </si>
  <si>
    <t>request</t>
  </si>
  <si>
    <t>reputation</t>
  </si>
  <si>
    <t>reproduce</t>
  </si>
  <si>
    <t>replenish</t>
  </si>
  <si>
    <t>remind</t>
  </si>
  <si>
    <t>remedy</t>
  </si>
  <si>
    <t>remarks</t>
  </si>
  <si>
    <t>relaxing</t>
  </si>
  <si>
    <t>rejects</t>
  </si>
  <si>
    <t>reign</t>
  </si>
  <si>
    <t>refute</t>
  </si>
  <si>
    <t>refund</t>
  </si>
  <si>
    <t>refuge</t>
  </si>
  <si>
    <t>refrain</t>
  </si>
  <si>
    <t>reformulate</t>
  </si>
  <si>
    <t>reform</t>
  </si>
  <si>
    <t>refinement</t>
  </si>
  <si>
    <t>redirection</t>
  </si>
  <si>
    <t>reconstruct</t>
  </si>
  <si>
    <t>reconciling</t>
  </si>
  <si>
    <t>recommend</t>
  </si>
  <si>
    <t>recollection</t>
  </si>
  <si>
    <t>rearrang</t>
  </si>
  <si>
    <t>realistically</t>
  </si>
  <si>
    <t>ratio</t>
  </si>
  <si>
    <t>rampant</t>
  </si>
  <si>
    <t>rainy</t>
  </si>
  <si>
    <t>railway</t>
  </si>
  <si>
    <t>racism</t>
  </si>
  <si>
    <t>quotes</t>
  </si>
  <si>
    <t>quoted</t>
  </si>
  <si>
    <t>quotation</t>
  </si>
  <si>
    <t>qualitatively</t>
  </si>
  <si>
    <t>quadruple</t>
  </si>
  <si>
    <t>purify</t>
  </si>
  <si>
    <t>purely</t>
  </si>
  <si>
    <t>punishing</t>
  </si>
  <si>
    <t>pumped</t>
  </si>
  <si>
    <t>provoke</t>
  </si>
  <si>
    <t>protected</t>
  </si>
  <si>
    <t>prospect</t>
  </si>
  <si>
    <t>proposes</t>
  </si>
  <si>
    <t>proponent</t>
  </si>
  <si>
    <t>properly</t>
  </si>
  <si>
    <t>proliferation</t>
  </si>
  <si>
    <t>projected</t>
  </si>
  <si>
    <t>profitmaking</t>
  </si>
  <si>
    <t>productively</t>
  </si>
  <si>
    <t>proclamation</t>
  </si>
  <si>
    <t>proceeded</t>
  </si>
  <si>
    <t>pret</t>
  </si>
  <si>
    <t>preselected</t>
  </si>
  <si>
    <t>preparation</t>
  </si>
  <si>
    <t>prejudiced</t>
  </si>
  <si>
    <t>preferable</t>
  </si>
  <si>
    <t>preempt</t>
  </si>
  <si>
    <t>predominate</t>
  </si>
  <si>
    <t>predominantly</t>
  </si>
  <si>
    <t>prediction</t>
  </si>
  <si>
    <t>precondition</t>
  </si>
  <si>
    <t>precious</t>
  </si>
  <si>
    <t>precedes</t>
  </si>
  <si>
    <t>pray</t>
  </si>
  <si>
    <t>potentials</t>
  </si>
  <si>
    <t>portrayals</t>
  </si>
  <si>
    <t>politi</t>
  </si>
  <si>
    <t>polish</t>
  </si>
  <si>
    <t>polarize</t>
  </si>
  <si>
    <t>plotting</t>
  </si>
  <si>
    <t>plicated</t>
  </si>
  <si>
    <t>plateau</t>
  </si>
  <si>
    <t>planting</t>
  </si>
  <si>
    <t>planned</t>
  </si>
  <si>
    <t>planet's</t>
  </si>
  <si>
    <t>pitfall</t>
  </si>
  <si>
    <t>pioneered</t>
  </si>
  <si>
    <t>pinpoint</t>
  </si>
  <si>
    <t>picnic</t>
  </si>
  <si>
    <t>photojournalism</t>
  </si>
  <si>
    <t>photographer</t>
  </si>
  <si>
    <t>phase</t>
  </si>
  <si>
    <t>pets</t>
  </si>
  <si>
    <t>peruse</t>
  </si>
  <si>
    <t>pertain</t>
  </si>
  <si>
    <t>peri</t>
  </si>
  <si>
    <t>perching</t>
  </si>
  <si>
    <t>perch</t>
  </si>
  <si>
    <t>pepper</t>
  </si>
  <si>
    <t>pension</t>
  </si>
  <si>
    <t>penetrate</t>
  </si>
  <si>
    <t>peak</t>
  </si>
  <si>
    <t>peaceful</t>
  </si>
  <si>
    <t>partners</t>
  </si>
  <si>
    <t>participants'</t>
  </si>
  <si>
    <t>participant</t>
  </si>
  <si>
    <t>partial</t>
  </si>
  <si>
    <t>parents'</t>
  </si>
  <si>
    <t>paraphrased</t>
  </si>
  <si>
    <t>paralleled</t>
  </si>
  <si>
    <t>pan</t>
  </si>
  <si>
    <t>pacesetter</t>
  </si>
  <si>
    <t>pacemakers</t>
  </si>
  <si>
    <t>owners</t>
  </si>
  <si>
    <t>overlay</t>
  </si>
  <si>
    <t>overexpectancy</t>
  </si>
  <si>
    <t>overdose</t>
  </si>
  <si>
    <t>overcrowding</t>
  </si>
  <si>
    <t>overcrowd</t>
  </si>
  <si>
    <t>overbearing</t>
  </si>
  <si>
    <t>others'</t>
  </si>
  <si>
    <t>orwell's</t>
  </si>
  <si>
    <t>originating</t>
  </si>
  <si>
    <t>opt</t>
  </si>
  <si>
    <t>opponents</t>
  </si>
  <si>
    <t>opinions</t>
  </si>
  <si>
    <t>operate</t>
  </si>
  <si>
    <t>opera</t>
  </si>
  <si>
    <t>olympic</t>
  </si>
  <si>
    <t>olds'</t>
  </si>
  <si>
    <t>offend</t>
  </si>
  <si>
    <t>occurrences</t>
  </si>
  <si>
    <t>oc</t>
  </si>
  <si>
    <t>observable</t>
  </si>
  <si>
    <t>o1</t>
  </si>
  <si>
    <t>ny</t>
  </si>
  <si>
    <t>numerical</t>
  </si>
  <si>
    <t>noo</t>
  </si>
  <si>
    <t>nonscientist</t>
  </si>
  <si>
    <t>ninth</t>
  </si>
  <si>
    <t>nike</t>
  </si>
  <si>
    <t>nice</t>
  </si>
  <si>
    <t>neighboring</t>
  </si>
  <si>
    <t>neighbor</t>
  </si>
  <si>
    <t>necessity</t>
  </si>
  <si>
    <t>necessities</t>
  </si>
  <si>
    <t>nears</t>
  </si>
  <si>
    <t>neanderthal</t>
  </si>
  <si>
    <t>n1entioned</t>
  </si>
  <si>
    <t>mythology</t>
  </si>
  <si>
    <t>mystical</t>
  </si>
  <si>
    <t>multiplication</t>
  </si>
  <si>
    <t>monky</t>
  </si>
  <si>
    <t>modulation</t>
  </si>
  <si>
    <t>mob</t>
  </si>
  <si>
    <t>misusing</t>
  </si>
  <si>
    <t>misuse</t>
  </si>
  <si>
    <t>misunderstand</t>
  </si>
  <si>
    <t>misleading</t>
  </si>
  <si>
    <t>miscalculating</t>
  </si>
  <si>
    <t>mirrorless</t>
  </si>
  <si>
    <t>minimizing</t>
  </si>
  <si>
    <t>micro</t>
  </si>
  <si>
    <t>methods</t>
  </si>
  <si>
    <t>meter</t>
  </si>
  <si>
    <t>ment</t>
  </si>
  <si>
    <t>mechanization</t>
  </si>
  <si>
    <t>meat</t>
  </si>
  <si>
    <t>mattered</t>
  </si>
  <si>
    <t>mathematics</t>
  </si>
  <si>
    <t>mat</t>
  </si>
  <si>
    <t>maslow</t>
  </si>
  <si>
    <t>marketplace</t>
  </si>
  <si>
    <t>mankind</t>
  </si>
  <si>
    <t>manipulated</t>
  </si>
  <si>
    <t>manipulate</t>
  </si>
  <si>
    <t>manifesto</t>
  </si>
  <si>
    <t>mainstream</t>
  </si>
  <si>
    <t>mainly</t>
  </si>
  <si>
    <t>mackie's</t>
  </si>
  <si>
    <t>luxurious</t>
  </si>
  <si>
    <t>lumieres</t>
  </si>
  <si>
    <t>lowering</t>
  </si>
  <si>
    <t>lowdensity</t>
  </si>
  <si>
    <t>loves</t>
  </si>
  <si>
    <t>lockman</t>
  </si>
  <si>
    <t>literaly</t>
  </si>
  <si>
    <t>listing</t>
  </si>
  <si>
    <t>liken</t>
  </si>
  <si>
    <t>liability</t>
  </si>
  <si>
    <t>lessened</t>
  </si>
  <si>
    <t>lesion</t>
  </si>
  <si>
    <t>lengthen</t>
  </si>
  <si>
    <t>lender</t>
  </si>
  <si>
    <t>lend</t>
  </si>
  <si>
    <t>legitimately</t>
  </si>
  <si>
    <t>legant</t>
  </si>
  <si>
    <t>leak</t>
  </si>
  <si>
    <t>launch</t>
  </si>
  <si>
    <t>lasted</t>
  </si>
  <si>
    <t>lamentations</t>
  </si>
  <si>
    <t>kyoto</t>
  </si>
  <si>
    <t>krishna</t>
  </si>
  <si>
    <t>knowledgeable</t>
  </si>
  <si>
    <t>kill</t>
  </si>
  <si>
    <t>justifying</t>
  </si>
  <si>
    <t>journalism</t>
  </si>
  <si>
    <t>journal</t>
  </si>
  <si>
    <t>joking</t>
  </si>
  <si>
    <t>joining</t>
  </si>
  <si>
    <t>jobseekers</t>
  </si>
  <si>
    <t>jewel</t>
  </si>
  <si>
    <t>jeopardized</t>
  </si>
  <si>
    <t>jelly</t>
  </si>
  <si>
    <t>jack</t>
  </si>
  <si>
    <t>ive</t>
  </si>
  <si>
    <t>irritate</t>
  </si>
  <si>
    <t>irritable</t>
  </si>
  <si>
    <t>ion</t>
  </si>
  <si>
    <t>investor</t>
  </si>
  <si>
    <t>investment</t>
  </si>
  <si>
    <t>investigating</t>
  </si>
  <si>
    <t>intuition</t>
  </si>
  <si>
    <t>intrusive</t>
  </si>
  <si>
    <t>introverts</t>
  </si>
  <si>
    <t>introduce</t>
  </si>
  <si>
    <t>intrinsically</t>
  </si>
  <si>
    <t>intimidating</t>
  </si>
  <si>
    <t>intervene</t>
  </si>
  <si>
    <t>intersect</t>
  </si>
  <si>
    <t>internationalization</t>
  </si>
  <si>
    <t>interannual</t>
  </si>
  <si>
    <t>interactively</t>
  </si>
  <si>
    <t>inter</t>
  </si>
  <si>
    <t>intelligible</t>
  </si>
  <si>
    <t>intellect</t>
  </si>
  <si>
    <t>integrating</t>
  </si>
  <si>
    <t>insecure</t>
  </si>
  <si>
    <t>innocuous</t>
  </si>
  <si>
    <t>initiatives</t>
  </si>
  <si>
    <t>informality</t>
  </si>
  <si>
    <t>industrialize</t>
  </si>
  <si>
    <t>indoor</t>
  </si>
  <si>
    <t>individually</t>
  </si>
  <si>
    <t>indicator</t>
  </si>
  <si>
    <t>indeterminate</t>
  </si>
  <si>
    <t>inculcate</t>
  </si>
  <si>
    <t>incorrect</t>
  </si>
  <si>
    <t>incorporated</t>
  </si>
  <si>
    <t>inconsistency</t>
  </si>
  <si>
    <t>incompetent</t>
  </si>
  <si>
    <t>incite</t>
  </si>
  <si>
    <t>inborn</t>
  </si>
  <si>
    <t>inaction</t>
  </si>
  <si>
    <t>impulses</t>
  </si>
  <si>
    <t>impressively</t>
  </si>
  <si>
    <t>impractical</t>
  </si>
  <si>
    <t>import</t>
  </si>
  <si>
    <t>implying</t>
  </si>
  <si>
    <t>image's</t>
  </si>
  <si>
    <t>iluminating</t>
  </si>
  <si>
    <t>illuminate</t>
  </si>
  <si>
    <t>ill</t>
  </si>
  <si>
    <t>ile</t>
  </si>
  <si>
    <t>ignored</t>
  </si>
  <si>
    <t>icon</t>
  </si>
  <si>
    <t>ible</t>
  </si>
  <si>
    <t>ia</t>
  </si>
  <si>
    <t>hypocritical</t>
  </si>
  <si>
    <t>hyperinflation</t>
  </si>
  <si>
    <t>hyper</t>
  </si>
  <si>
    <t>hunch</t>
  </si>
  <si>
    <t>humanitarianism</t>
  </si>
  <si>
    <t>humanistically</t>
  </si>
  <si>
    <t>humane</t>
  </si>
  <si>
    <t>ht1ma11</t>
  </si>
  <si>
    <t>hospitalize</t>
  </si>
  <si>
    <t>horror</t>
  </si>
  <si>
    <t>horrible</t>
  </si>
  <si>
    <t>holders</t>
  </si>
  <si>
    <t>hinders</t>
  </si>
  <si>
    <t>hindered</t>
  </si>
  <si>
    <t>hiding</t>
  </si>
  <si>
    <t>hides</t>
  </si>
  <si>
    <t>helmet</t>
  </si>
  <si>
    <t>heighten</t>
  </si>
  <si>
    <t>hearts</t>
  </si>
  <si>
    <t>haven't</t>
  </si>
  <si>
    <t>hatred</t>
  </si>
  <si>
    <t>harmonious</t>
  </si>
  <si>
    <t>harmed</t>
  </si>
  <si>
    <t>happiest</t>
  </si>
  <si>
    <t>handsome</t>
  </si>
  <si>
    <t>hampers</t>
  </si>
  <si>
    <t>hakraborti</t>
  </si>
  <si>
    <t>gyllenstens'</t>
  </si>
  <si>
    <t>gylesten</t>
  </si>
  <si>
    <t>gut</t>
  </si>
  <si>
    <t>grows</t>
  </si>
  <si>
    <t>grocery</t>
  </si>
  <si>
    <t>grapple</t>
  </si>
  <si>
    <t>graphically</t>
  </si>
  <si>
    <t>graduate</t>
  </si>
  <si>
    <t>grading</t>
  </si>
  <si>
    <t>grabbing</t>
  </si>
  <si>
    <t>glimpse</t>
  </si>
  <si>
    <t>glaciers</t>
  </si>
  <si>
    <t>giants</t>
  </si>
  <si>
    <t>geographicaly</t>
  </si>
  <si>
    <t>genuinely</t>
  </si>
  <si>
    <t>gatherer</t>
  </si>
  <si>
    <t>gardening</t>
  </si>
  <si>
    <t>gage</t>
  </si>
  <si>
    <t>gaga</t>
  </si>
  <si>
    <t>fumble</t>
  </si>
  <si>
    <t>fuid</t>
  </si>
  <si>
    <t>frown</t>
  </si>
  <si>
    <t>frequent</t>
  </si>
  <si>
    <t>fostered</t>
  </si>
  <si>
    <t>fort</t>
  </si>
  <si>
    <t>forge</t>
  </si>
  <si>
    <t>fool</t>
  </si>
  <si>
    <t>fond</t>
  </si>
  <si>
    <t>folowed</t>
  </si>
  <si>
    <t>fo1</t>
  </si>
  <si>
    <t>flux</t>
  </si>
  <si>
    <t>flush</t>
  </si>
  <si>
    <t>fluctuations</t>
  </si>
  <si>
    <t>fluctuation</t>
  </si>
  <si>
    <t>fling</t>
  </si>
  <si>
    <t>flexibility</t>
  </si>
  <si>
    <t>fleming</t>
  </si>
  <si>
    <t>fisherman</t>
  </si>
  <si>
    <t>films</t>
  </si>
  <si>
    <t>fiends</t>
  </si>
  <si>
    <t>fictional</t>
  </si>
  <si>
    <t>festive</t>
  </si>
  <si>
    <t>ferocity</t>
  </si>
  <si>
    <t>fer</t>
  </si>
  <si>
    <t>feeing</t>
  </si>
  <si>
    <t>fect</t>
  </si>
  <si>
    <t>favorite</t>
  </si>
  <si>
    <t>faulty</t>
  </si>
  <si>
    <t>fashioned</t>
  </si>
  <si>
    <t>fare</t>
  </si>
  <si>
    <t>falsify</t>
  </si>
  <si>
    <t>failures</t>
  </si>
  <si>
    <t>facilitator</t>
  </si>
  <si>
    <t>externalize</t>
  </si>
  <si>
    <t>export</t>
  </si>
  <si>
    <t>explored</t>
  </si>
  <si>
    <t>explained</t>
  </si>
  <si>
    <t>experimenter</t>
  </si>
  <si>
    <t>expenditure</t>
  </si>
  <si>
    <t>expelled</t>
  </si>
  <si>
    <t>expand</t>
  </si>
  <si>
    <t>exhibition</t>
  </si>
  <si>
    <t>exemplified</t>
  </si>
  <si>
    <t>excessively</t>
  </si>
  <si>
    <t>examination</t>
  </si>
  <si>
    <t>exacerbate</t>
  </si>
  <si>
    <t>evolutionist</t>
  </si>
  <si>
    <t>evokes</t>
  </si>
  <si>
    <t>eventual</t>
  </si>
  <si>
    <t>evaluating</t>
  </si>
  <si>
    <t>eunfair</t>
  </si>
  <si>
    <t>etymologically</t>
  </si>
  <si>
    <t>ethically</t>
  </si>
  <si>
    <t>estimation</t>
  </si>
  <si>
    <t>es</t>
  </si>
  <si>
    <t>equivalents</t>
  </si>
  <si>
    <t>equidistant</t>
  </si>
  <si>
    <t>equate</t>
  </si>
  <si>
    <t>epoch's</t>
  </si>
  <si>
    <t>epoch</t>
  </si>
  <si>
    <t>entail</t>
  </si>
  <si>
    <t>enjoyed</t>
  </si>
  <si>
    <t>engaging</t>
  </si>
  <si>
    <t>empathize</t>
  </si>
  <si>
    <t>emotio11s</t>
  </si>
  <si>
    <t>emergency</t>
  </si>
  <si>
    <t>eloquence</t>
  </si>
  <si>
    <t>eligible</t>
  </si>
  <si>
    <t>election</t>
  </si>
  <si>
    <t>elder</t>
  </si>
  <si>
    <t>eighth</t>
  </si>
  <si>
    <t>egoism</t>
  </si>
  <si>
    <t>effectiveness</t>
  </si>
  <si>
    <t>efface</t>
  </si>
  <si>
    <t>ef</t>
  </si>
  <si>
    <t>edifices</t>
  </si>
  <si>
    <t>ecommerce</t>
  </si>
  <si>
    <t>eating</t>
  </si>
  <si>
    <t>earths</t>
  </si>
  <si>
    <t>earnings</t>
  </si>
  <si>
    <t>early1990s</t>
  </si>
  <si>
    <t>e111otional</t>
  </si>
  <si>
    <t>dynamics</t>
  </si>
  <si>
    <t>dwest</t>
  </si>
  <si>
    <t>duce</t>
  </si>
  <si>
    <t>drugs</t>
  </si>
  <si>
    <t>drink</t>
  </si>
  <si>
    <t>drawbacks</t>
  </si>
  <si>
    <t>downside</t>
  </si>
  <si>
    <t>dosed</t>
  </si>
  <si>
    <t>dose</t>
  </si>
  <si>
    <t>donors</t>
  </si>
  <si>
    <t>donate</t>
  </si>
  <si>
    <t>domineer</t>
  </si>
  <si>
    <t>domesticate</t>
  </si>
  <si>
    <t>documentary</t>
  </si>
  <si>
    <t>distribute4to3</t>
  </si>
  <si>
    <t>distract</t>
  </si>
  <si>
    <t>distinguishing</t>
  </si>
  <si>
    <t>disregard</t>
  </si>
  <si>
    <t>disputes</t>
  </si>
  <si>
    <t>disorient</t>
  </si>
  <si>
    <t>disguise</t>
  </si>
  <si>
    <t>disenfranchise</t>
  </si>
  <si>
    <t>discuss</t>
  </si>
  <si>
    <t>discrimination</t>
  </si>
  <si>
    <t>disasters</t>
  </si>
  <si>
    <t>disaster</t>
  </si>
  <si>
    <t>disapprove</t>
  </si>
  <si>
    <t>disappoint</t>
  </si>
  <si>
    <t>diplomacy</t>
  </si>
  <si>
    <t>dinosaurs</t>
  </si>
  <si>
    <t>digitalization</t>
  </si>
  <si>
    <t>differentiating</t>
  </si>
  <si>
    <t>dies</t>
  </si>
  <si>
    <t>dictator</t>
  </si>
  <si>
    <t>diarrhea</t>
  </si>
  <si>
    <t>developmentally</t>
  </si>
  <si>
    <t>determinate</t>
  </si>
  <si>
    <t>designate</t>
  </si>
  <si>
    <t>desensitize</t>
  </si>
  <si>
    <t>desegregation</t>
  </si>
  <si>
    <t>deprivation</t>
  </si>
  <si>
    <t>deposited</t>
  </si>
  <si>
    <t>depiction</t>
  </si>
  <si>
    <t>dependence</t>
  </si>
  <si>
    <t>department</t>
  </si>
  <si>
    <t>demographics</t>
  </si>
  <si>
    <t>democratization</t>
  </si>
  <si>
    <t>demanded</t>
  </si>
  <si>
    <t>delay</t>
  </si>
  <si>
    <t>degradation</t>
  </si>
  <si>
    <t>definitions</t>
  </si>
  <si>
    <t>defect</t>
  </si>
  <si>
    <t>decentralize</t>
  </si>
  <si>
    <t>deceived</t>
  </si>
  <si>
    <t>deceive</t>
  </si>
  <si>
    <t>dare</t>
  </si>
  <si>
    <t>cv</t>
  </si>
  <si>
    <t>cruelty</t>
  </si>
  <si>
    <t>crook</t>
  </si>
  <si>
    <t>croak</t>
  </si>
  <si>
    <t>critcher's</t>
  </si>
  <si>
    <t>critcher</t>
  </si>
  <si>
    <t>crime</t>
  </si>
  <si>
    <t>crease</t>
  </si>
  <si>
    <t>craftspeople</t>
  </si>
  <si>
    <t>cowboys</t>
  </si>
  <si>
    <t>costumes</t>
  </si>
  <si>
    <t>corresponds</t>
  </si>
  <si>
    <t>correction</t>
  </si>
  <si>
    <t>corpses</t>
  </si>
  <si>
    <t>coping</t>
  </si>
  <si>
    <t>copies</t>
  </si>
  <si>
    <t>cooperate</t>
  </si>
  <si>
    <t>cooling</t>
  </si>
  <si>
    <t>cooking</t>
  </si>
  <si>
    <t>conviction</t>
  </si>
  <si>
    <t>contents</t>
  </si>
  <si>
    <t>contaminate</t>
  </si>
  <si>
    <t>consulting</t>
  </si>
  <si>
    <t>constructing</t>
  </si>
  <si>
    <t>constellation</t>
  </si>
  <si>
    <t>conspiring</t>
  </si>
  <si>
    <t>conspire</t>
  </si>
  <si>
    <t>consistency</t>
  </si>
  <si>
    <t>conservationist</t>
  </si>
  <si>
    <t>conquers</t>
  </si>
  <si>
    <t>conquer</t>
  </si>
  <si>
    <t>congenial</t>
  </si>
  <si>
    <t>configuring</t>
  </si>
  <si>
    <t>conductive</t>
  </si>
  <si>
    <t>conducting</t>
  </si>
  <si>
    <t>conditional</t>
  </si>
  <si>
    <t>concrete</t>
  </si>
  <si>
    <t>conceptual</t>
  </si>
  <si>
    <t>concentrating</t>
  </si>
  <si>
    <t>con</t>
  </si>
  <si>
    <t>computational</t>
  </si>
  <si>
    <t>comprise</t>
  </si>
  <si>
    <t>comprehensive</t>
  </si>
  <si>
    <t>complemented</t>
  </si>
  <si>
    <t>complement</t>
  </si>
  <si>
    <t>complain</t>
  </si>
  <si>
    <t>commonsense</t>
  </si>
  <si>
    <t>commodity</t>
  </si>
  <si>
    <t>commercializing</t>
  </si>
  <si>
    <t>commercialize</t>
  </si>
  <si>
    <t>command</t>
  </si>
  <si>
    <t>column1</t>
  </si>
  <si>
    <t>colorless</t>
  </si>
  <si>
    <t>colorful</t>
  </si>
  <si>
    <t>colonized</t>
  </si>
  <si>
    <t>collapsed</t>
  </si>
  <si>
    <t>colaboration</t>
  </si>
  <si>
    <t>clude</t>
  </si>
  <si>
    <t>clown</t>
  </si>
  <si>
    <t>closet</t>
  </si>
  <si>
    <t>cloning</t>
  </si>
  <si>
    <t>clone</t>
  </si>
  <si>
    <t>clock's</t>
  </si>
  <si>
    <t>climax</t>
  </si>
  <si>
    <t>client</t>
  </si>
  <si>
    <t>clicking</t>
  </si>
  <si>
    <t>classification</t>
  </si>
  <si>
    <t>clash</t>
  </si>
  <si>
    <t>civilized</t>
  </si>
  <si>
    <t>cite</t>
  </si>
  <si>
    <t>circumscribe</t>
  </si>
  <si>
    <t>cinematographe</t>
  </si>
  <si>
    <t>chop</t>
  </si>
  <si>
    <t>chologist</t>
  </si>
  <si>
    <t>choices</t>
  </si>
  <si>
    <t>chimpanzees'</t>
  </si>
  <si>
    <t>children's</t>
  </si>
  <si>
    <t>check</t>
  </si>
  <si>
    <t>chakrabortihasalsofound</t>
  </si>
  <si>
    <t>chakraborti</t>
  </si>
  <si>
    <t>centeredness</t>
  </si>
  <si>
    <t>cautions</t>
  </si>
  <si>
    <t>casting</t>
  </si>
  <si>
    <t>carson's</t>
  </si>
  <si>
    <t>cared</t>
  </si>
  <si>
    <t>captive</t>
  </si>
  <si>
    <t>cape</t>
  </si>
  <si>
    <t>cannon</t>
  </si>
  <si>
    <t>cancelling</t>
  </si>
  <si>
    <t>cancelled</t>
  </si>
  <si>
    <t>canada</t>
  </si>
  <si>
    <t>camcorder</t>
  </si>
  <si>
    <t>calm</t>
  </si>
  <si>
    <t>burden</t>
  </si>
  <si>
    <t>buggy</t>
  </si>
  <si>
    <t>buff</t>
  </si>
  <si>
    <t>browsing</t>
  </si>
  <si>
    <t>brook</t>
  </si>
  <si>
    <t>bridging</t>
  </si>
  <si>
    <t>breach</t>
  </si>
  <si>
    <t>boundaries</t>
  </si>
  <si>
    <t>boost</t>
  </si>
  <si>
    <t>boomtown</t>
  </si>
  <si>
    <t>bonding</t>
  </si>
  <si>
    <t>bolster</t>
  </si>
  <si>
    <t>board</t>
  </si>
  <si>
    <t>birthright</t>
  </si>
  <si>
    <t>birthplace</t>
  </si>
  <si>
    <t>biologically</t>
  </si>
  <si>
    <t>biggest</t>
  </si>
  <si>
    <t>bias</t>
  </si>
  <si>
    <t>benefited</t>
  </si>
  <si>
    <t>benchmark</t>
  </si>
  <si>
    <t>bemoan</t>
  </si>
  <si>
    <t>belonging</t>
  </si>
  <si>
    <t>believes</t>
  </si>
  <si>
    <t>bangladeshs</t>
  </si>
  <si>
    <t>ban</t>
  </si>
  <si>
    <t>balancing</t>
  </si>
  <si>
    <t>award</t>
  </si>
  <si>
    <t>automation</t>
  </si>
  <si>
    <t>author's</t>
  </si>
  <si>
    <t>astrology</t>
  </si>
  <si>
    <t>assuming</t>
  </si>
  <si>
    <t>ascribing</t>
  </si>
  <si>
    <t>artists</t>
  </si>
  <si>
    <t>arrange</t>
  </si>
  <si>
    <t>armor</t>
  </si>
  <si>
    <t>april</t>
  </si>
  <si>
    <t>approved</t>
  </si>
  <si>
    <t>appreciated</t>
  </si>
  <si>
    <t>applicable</t>
  </si>
  <si>
    <t>appeals</t>
  </si>
  <si>
    <t>apologize</t>
  </si>
  <si>
    <t>anthropomorphize</t>
  </si>
  <si>
    <t>anooshian</t>
  </si>
  <si>
    <t>anomaly</t>
  </si>
  <si>
    <t>announce</t>
  </si>
  <si>
    <t>amenity</t>
  </si>
  <si>
    <t>amateur</t>
  </si>
  <si>
    <t>alleviated</t>
  </si>
  <si>
    <t>aligator</t>
  </si>
  <si>
    <t>alert</t>
  </si>
  <si>
    <t>alchemy</t>
  </si>
  <si>
    <t>airplanes</t>
  </si>
  <si>
    <t>agribusiness</t>
  </si>
  <si>
    <t>agreed</t>
  </si>
  <si>
    <t>afraid</t>
  </si>
  <si>
    <t>affordable</t>
  </si>
  <si>
    <t>afflict</t>
  </si>
  <si>
    <t>affiliate</t>
  </si>
  <si>
    <t>aeds</t>
  </si>
  <si>
    <t>aed</t>
  </si>
  <si>
    <t>advent</t>
  </si>
  <si>
    <t>advancements</t>
  </si>
  <si>
    <t>admission</t>
  </si>
  <si>
    <t>adjusting</t>
  </si>
  <si>
    <t>adjustable</t>
  </si>
  <si>
    <t>adept</t>
  </si>
  <si>
    <t>ad</t>
  </si>
  <si>
    <t>actualizatation</t>
  </si>
  <si>
    <t>activate</t>
  </si>
  <si>
    <t>abundant</t>
  </si>
  <si>
    <t>abstracts</t>
  </si>
  <si>
    <t>abraham</t>
  </si>
  <si>
    <t>abide</t>
  </si>
  <si>
    <t>abandoned</t>
  </si>
  <si>
    <t>その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</si>
</sst>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18"/>
  <sheetViews>
    <sheetView tabSelected="1" workbookViewId="0">
      <selection activeCell="D3" sqref="D3"/>
    </sheetView>
  </sheetViews>
  <sheetFormatPr defaultColWidth="12.6640625" defaultRowHeight="15" customHeight="1" x14ac:dyDescent="0.3"/>
  <cols>
    <col min="1" max="6" width="7.6640625" style="4" customWidth="1"/>
  </cols>
  <sheetData>
    <row r="1" spans="1:3" ht="18" customHeight="1" x14ac:dyDescent="0.3">
      <c r="A1" s="1">
        <v>11611</v>
      </c>
      <c r="B1" s="1" t="s">
        <v>0</v>
      </c>
      <c r="C1" s="2" t="s">
        <v>8143</v>
      </c>
    </row>
    <row r="2" spans="1:3" ht="18" customHeight="1" x14ac:dyDescent="0.3">
      <c r="A2" s="1">
        <v>7196</v>
      </c>
      <c r="B2" s="1" t="s">
        <v>1</v>
      </c>
      <c r="C2" s="1" t="str">
        <f ca="1">IFERROR(__xludf.DUMMYFUNCTION("GOOGLETRANSLATE(B2,""en"",""ja"")"),"の")</f>
        <v>の</v>
      </c>
    </row>
    <row r="3" spans="1:3" ht="18" customHeight="1" x14ac:dyDescent="0.3">
      <c r="A3" s="1">
        <v>5363</v>
      </c>
      <c r="B3" s="1" t="s">
        <v>2</v>
      </c>
      <c r="C3" s="1" t="str">
        <f ca="1">IFERROR(__xludf.DUMMYFUNCTION("GOOGLETRANSLATE(B3,""en"",""ja"")"),"に")</f>
        <v>に</v>
      </c>
    </row>
    <row r="4" spans="1:3" ht="18" customHeight="1" x14ac:dyDescent="0.3">
      <c r="A4" s="1">
        <v>4407</v>
      </c>
      <c r="B4" s="1" t="s">
        <v>3</v>
      </c>
      <c r="C4" s="1" t="str">
        <f ca="1">IFERROR(__xludf.DUMMYFUNCTION("GOOGLETRANSLATE(B4,""en"",""ja"")"),"そして")</f>
        <v>そして</v>
      </c>
    </row>
    <row r="5" spans="1:3" ht="18" customHeight="1" x14ac:dyDescent="0.3">
      <c r="A5" s="1">
        <v>4117</v>
      </c>
      <c r="B5" s="1" t="s">
        <v>4</v>
      </c>
      <c r="C5" s="1" t="str">
        <f ca="1">IFERROR(__xludf.DUMMYFUNCTION("GOOGLETRANSLATE(B5,""en"",""ja"")"),"A")</f>
        <v>A</v>
      </c>
    </row>
    <row r="6" spans="1:3" ht="18" customHeight="1" x14ac:dyDescent="0.3">
      <c r="A6" s="1">
        <v>4099</v>
      </c>
      <c r="B6" s="1" t="s">
        <v>5</v>
      </c>
      <c r="C6" s="1" t="str">
        <f ca="1">IFERROR(__xludf.DUMMYFUNCTION("GOOGLETRANSLATE(B6,""en"",""ja"")"),"に")</f>
        <v>に</v>
      </c>
    </row>
    <row r="7" spans="1:3" ht="18" customHeight="1" x14ac:dyDescent="0.3">
      <c r="A7" s="1">
        <v>2536</v>
      </c>
      <c r="B7" s="1" t="s">
        <v>6</v>
      </c>
      <c r="C7" s="1" t="str">
        <f ca="1">IFERROR(__xludf.DUMMYFUNCTION("GOOGLETRANSLATE(B7,""en"",""ja"")"),"それ")</f>
        <v>それ</v>
      </c>
    </row>
    <row r="8" spans="1:3" ht="18" customHeight="1" x14ac:dyDescent="0.3">
      <c r="A8" s="1">
        <v>2389</v>
      </c>
      <c r="B8" s="1" t="s">
        <v>7</v>
      </c>
      <c r="C8" s="1" t="str">
        <f ca="1">IFERROR(__xludf.DUMMYFUNCTION("GOOGLETRANSLATE(B8,""en"",""ja"")"),"あります")</f>
        <v>あります</v>
      </c>
    </row>
    <row r="9" spans="1:3" ht="18" customHeight="1" x14ac:dyDescent="0.3">
      <c r="A9" s="1">
        <v>1385</v>
      </c>
      <c r="B9" s="1" t="s">
        <v>8</v>
      </c>
      <c r="C9" s="1" t="str">
        <f ca="1">IFERROR(__xludf.DUMMYFUNCTION("GOOGLETRANSLATE(B9,""en"",""ja"")"),"それ")</f>
        <v>それ</v>
      </c>
    </row>
    <row r="10" spans="1:3" ht="18" customHeight="1" x14ac:dyDescent="0.3">
      <c r="A10" s="1">
        <v>1381</v>
      </c>
      <c r="B10" s="1" t="s">
        <v>9</v>
      </c>
      <c r="C10" s="1" t="str">
        <f ca="1">IFERROR(__xludf.DUMMYFUNCTION("GOOGLETRANSLATE(B10,""en"",""ja"")"),"にとって")</f>
        <v>にとって</v>
      </c>
    </row>
    <row r="11" spans="1:3" ht="18" customHeight="1" x14ac:dyDescent="0.3">
      <c r="A11" s="1">
        <v>1366</v>
      </c>
      <c r="B11" s="1" t="s">
        <v>10</v>
      </c>
      <c r="C11" s="1" t="str">
        <f ca="1">IFERROR(__xludf.DUMMYFUNCTION("GOOGLETRANSLATE(B11,""en"",""ja"")"),"なので")</f>
        <v>なので</v>
      </c>
    </row>
    <row r="12" spans="1:3" ht="18" customHeight="1" x14ac:dyDescent="0.3">
      <c r="A12" s="1">
        <v>1284</v>
      </c>
      <c r="B12" s="1" t="s">
        <v>11</v>
      </c>
      <c r="C12" s="1" t="str">
        <f ca="1">IFERROR(__xludf.DUMMYFUNCTION("GOOGLETRANSLATE(B12,""en"",""ja"")"),"されます")</f>
        <v>されます</v>
      </c>
    </row>
    <row r="13" spans="1:3" ht="18" customHeight="1" x14ac:dyDescent="0.3">
      <c r="A13" s="1">
        <v>1171</v>
      </c>
      <c r="B13" s="1" t="s">
        <v>12</v>
      </c>
      <c r="C13" s="1" t="str">
        <f ca="1">IFERROR(__xludf.DUMMYFUNCTION("GOOGLETRANSLATE(B13,""en"",""ja"")"),"とともに")</f>
        <v>とともに</v>
      </c>
    </row>
    <row r="14" spans="1:3" ht="18" customHeight="1" x14ac:dyDescent="0.3">
      <c r="A14" s="1">
        <v>1144</v>
      </c>
      <c r="B14" s="1" t="s">
        <v>13</v>
      </c>
      <c r="C14" s="1" t="str">
        <f ca="1">IFERROR(__xludf.DUMMYFUNCTION("GOOGLETRANSLATE(B14,""en"",""ja"")"),"あります")</f>
        <v>あります</v>
      </c>
    </row>
    <row r="15" spans="1:3" ht="18" customHeight="1" x14ac:dyDescent="0.3">
      <c r="A15" s="1">
        <v>923</v>
      </c>
      <c r="B15" s="1" t="s">
        <v>14</v>
      </c>
      <c r="C15" s="1" t="str">
        <f ca="1">IFERROR(__xludf.DUMMYFUNCTION("GOOGLETRANSLATE(B15,""en"",""ja"")"),"この")</f>
        <v>この</v>
      </c>
    </row>
    <row r="16" spans="1:3" ht="18" customHeight="1" x14ac:dyDescent="0.3">
      <c r="A16" s="1">
        <v>920</v>
      </c>
      <c r="B16" s="1" t="s">
        <v>15</v>
      </c>
      <c r="C16" s="1" t="str">
        <f ca="1">IFERROR(__xludf.DUMMYFUNCTION("GOOGLETRANSLATE(B16,""en"",""ja"")"),"オン")</f>
        <v>オン</v>
      </c>
    </row>
    <row r="17" spans="1:3" ht="18" customHeight="1" x14ac:dyDescent="0.3">
      <c r="A17" s="1">
        <v>919</v>
      </c>
      <c r="B17" s="1" t="s">
        <v>16</v>
      </c>
      <c r="C17" s="1" t="str">
        <f ca="1">IFERROR(__xludf.DUMMYFUNCTION("GOOGLETRANSLATE(B17,""en"",""ja"")"),"沿って")</f>
        <v>沿って</v>
      </c>
    </row>
    <row r="18" spans="1:3" ht="18" customHeight="1" x14ac:dyDescent="0.3">
      <c r="A18" s="1">
        <v>893</v>
      </c>
      <c r="B18" s="1" t="s">
        <v>17</v>
      </c>
      <c r="C18" s="1" t="str">
        <f ca="1">IFERROR(__xludf.DUMMYFUNCTION("GOOGLETRANSLATE(B18,""en"",""ja"")"),"ではありません")</f>
        <v>ではありません</v>
      </c>
    </row>
    <row r="19" spans="1:3" ht="18" customHeight="1" x14ac:dyDescent="0.3">
      <c r="A19" s="1">
        <v>880</v>
      </c>
      <c r="B19" s="1" t="s">
        <v>18</v>
      </c>
      <c r="C19" s="1" t="str">
        <f ca="1">IFERROR(__xludf.DUMMYFUNCTION("GOOGLETRANSLATE(B19,""en"",""ja"")"),"持ってる")</f>
        <v>持ってる</v>
      </c>
    </row>
    <row r="20" spans="1:3" ht="18" customHeight="1" x14ac:dyDescent="0.3">
      <c r="A20" s="1">
        <v>878</v>
      </c>
      <c r="B20" s="1" t="s">
        <v>19</v>
      </c>
      <c r="C20" s="1" t="str">
        <f ca="1">IFERROR(__xludf.DUMMYFUNCTION("GOOGLETRANSLATE(B20,""en"",""ja"")"),"若しくは")</f>
        <v>若しくは</v>
      </c>
    </row>
    <row r="21" spans="1:3" ht="18" customHeight="1" x14ac:dyDescent="0.3">
      <c r="A21" s="1">
        <v>807</v>
      </c>
      <c r="B21" s="1" t="s">
        <v>20</v>
      </c>
      <c r="C21" s="1" t="str">
        <f ca="1">IFERROR(__xludf.DUMMYFUNCTION("GOOGLETRANSLATE(B21,""en"",""ja"")"),"AN")</f>
        <v>AN</v>
      </c>
    </row>
    <row r="22" spans="1:3" ht="18" customHeight="1" x14ac:dyDescent="0.3">
      <c r="A22" s="1">
        <v>806</v>
      </c>
      <c r="B22" s="1" t="s">
        <v>21</v>
      </c>
      <c r="C22" s="1" t="str">
        <f ca="1">IFERROR(__xludf.DUMMYFUNCTION("GOOGLETRANSLATE(B22,""en"",""ja"")"),"から")</f>
        <v>から</v>
      </c>
    </row>
    <row r="23" spans="1:3" ht="18" customHeight="1" x14ac:dyDescent="0.3">
      <c r="A23" s="1">
        <v>804</v>
      </c>
      <c r="B23" s="1" t="s">
        <v>22</v>
      </c>
      <c r="C23" s="1" t="str">
        <f ca="1">IFERROR(__xludf.DUMMYFUNCTION("GOOGLETRANSLATE(B23,""en"",""ja"")"),"我々")</f>
        <v>我々</v>
      </c>
    </row>
    <row r="24" spans="1:3" ht="18" customHeight="1" x14ac:dyDescent="0.3">
      <c r="A24" s="1">
        <v>764</v>
      </c>
      <c r="B24" s="1" t="s">
        <v>23</v>
      </c>
      <c r="C24" s="1" t="str">
        <f ca="1">IFERROR(__xludf.DUMMYFUNCTION("GOOGLETRANSLATE(B24,""en"",""ja"")"),"これ")</f>
        <v>これ</v>
      </c>
    </row>
    <row r="25" spans="1:3" ht="18" customHeight="1" x14ac:dyDescent="0.3">
      <c r="A25" s="1">
        <v>748</v>
      </c>
      <c r="B25" s="1" t="s">
        <v>24</v>
      </c>
      <c r="C25" s="1" t="str">
        <f ca="1">IFERROR(__xludf.DUMMYFUNCTION("GOOGLETRANSLATE(B25,""en"",""ja"")"),"だが")</f>
        <v>だが</v>
      </c>
    </row>
    <row r="26" spans="1:3" ht="18" customHeight="1" x14ac:dyDescent="0.3">
      <c r="A26" s="1">
        <v>745</v>
      </c>
      <c r="B26" s="1" t="s">
        <v>25</v>
      </c>
      <c r="C26" s="1" t="str">
        <f ca="1">IFERROR(__xludf.DUMMYFUNCTION("GOOGLETRANSLATE(B26,""en"",""ja"")"),"彼ら")</f>
        <v>彼ら</v>
      </c>
    </row>
    <row r="27" spans="1:3" ht="18" customHeight="1" x14ac:dyDescent="0.3">
      <c r="A27" s="1">
        <v>702</v>
      </c>
      <c r="B27" s="1" t="s">
        <v>26</v>
      </c>
      <c r="C27" s="1" t="str">
        <f ca="1">IFERROR(__xludf.DUMMYFUNCTION("GOOGLETRANSLATE(B27,""en"",""ja"")"),"もっと")</f>
        <v>もっと</v>
      </c>
    </row>
    <row r="28" spans="1:3" ht="18" customHeight="1" x14ac:dyDescent="0.3">
      <c r="A28" s="1">
        <v>680</v>
      </c>
      <c r="B28" s="1" t="s">
        <v>27</v>
      </c>
      <c r="C28" s="1" t="str">
        <f ca="1">IFERROR(__xludf.DUMMYFUNCTION("GOOGLETRANSLATE(B28,""en"",""ja"")"),"ました")</f>
        <v>ました</v>
      </c>
    </row>
    <row r="29" spans="1:3" ht="18" customHeight="1" x14ac:dyDescent="0.3">
      <c r="A29" s="1">
        <v>627</v>
      </c>
      <c r="B29" s="1" t="s">
        <v>28</v>
      </c>
      <c r="C29" s="1" t="str">
        <f ca="1">IFERROR(__xludf.DUMMYFUNCTION("GOOGLETRANSLATE(B29,""en"",""ja"")"),"に")</f>
        <v>に</v>
      </c>
    </row>
    <row r="30" spans="1:3" ht="18" customHeight="1" x14ac:dyDescent="0.3">
      <c r="A30" s="1">
        <v>614</v>
      </c>
      <c r="B30" s="1" t="s">
        <v>29</v>
      </c>
      <c r="C30" s="1" t="str">
        <f ca="1">IFERROR(__xludf.DUMMYFUNCTION("GOOGLETRANSLATE(B30,""en"",""ja"")"),"彼らの")</f>
        <v>彼らの</v>
      </c>
    </row>
    <row r="31" spans="1:3" ht="18" customHeight="1" x14ac:dyDescent="0.3">
      <c r="A31" s="1">
        <v>574</v>
      </c>
      <c r="B31" s="1" t="s">
        <v>30</v>
      </c>
      <c r="C31" s="1" t="str">
        <f ca="1">IFERROR(__xludf.DUMMYFUNCTION("GOOGLETRANSLATE(B31,""en"",""ja"")"),"持っています")</f>
        <v>持っています</v>
      </c>
    </row>
    <row r="32" spans="1:3" ht="18" customHeight="1" x14ac:dyDescent="0.3">
      <c r="A32" s="1">
        <v>544</v>
      </c>
      <c r="B32" s="1" t="s">
        <v>31</v>
      </c>
      <c r="C32" s="1" t="str">
        <f ca="1">IFERROR(__xludf.DUMMYFUNCTION("GOOGLETRANSLATE(B32,""en"",""ja"")"),"1")</f>
        <v>1</v>
      </c>
    </row>
    <row r="33" spans="1:3" ht="18" customHeight="1" x14ac:dyDescent="0.3">
      <c r="A33" s="1">
        <v>540</v>
      </c>
      <c r="B33" s="1" t="s">
        <v>32</v>
      </c>
      <c r="C33" s="1" t="str">
        <f ca="1">IFERROR(__xludf.DUMMYFUNCTION("GOOGLETRANSLATE(B33,""en"",""ja"")"),"できる")</f>
        <v>できる</v>
      </c>
    </row>
    <row r="34" spans="1:3" ht="18" customHeight="1" x14ac:dyDescent="0.3">
      <c r="A34" s="1">
        <v>499</v>
      </c>
      <c r="B34" s="1" t="s">
        <v>33</v>
      </c>
      <c r="C34" s="1" t="str">
        <f ca="1">IFERROR(__xludf.DUMMYFUNCTION("GOOGLETRANSLATE(B34,""en"",""ja"")"),"より")</f>
        <v>より</v>
      </c>
    </row>
    <row r="35" spans="1:3" ht="18" customHeight="1" x14ac:dyDescent="0.3">
      <c r="A35" s="1">
        <v>481</v>
      </c>
      <c r="B35" s="1" t="s">
        <v>34</v>
      </c>
      <c r="C35" s="1" t="str">
        <f ca="1">IFERROR(__xludf.DUMMYFUNCTION("GOOGLETRANSLATE(B35,""en"",""ja"")"),"人")</f>
        <v>人</v>
      </c>
    </row>
    <row r="36" spans="1:3" ht="18" customHeight="1" x14ac:dyDescent="0.3">
      <c r="A36" s="1">
        <v>445</v>
      </c>
      <c r="B36" s="1" t="s">
        <v>35</v>
      </c>
      <c r="C36" s="1" t="str">
        <f ca="1">IFERROR(__xludf.DUMMYFUNCTION("GOOGLETRANSLATE(B36,""en"",""ja"")"),"WHO")</f>
        <v>WHO</v>
      </c>
    </row>
    <row r="37" spans="1:3" ht="18" customHeight="1" x14ac:dyDescent="0.3">
      <c r="A37" s="1">
        <v>429</v>
      </c>
      <c r="B37" s="1" t="s">
        <v>36</v>
      </c>
      <c r="C37" s="1" t="str">
        <f ca="1">IFERROR(__xludf.DUMMYFUNCTION("GOOGLETRANSLATE(B37,""en"",""ja"")"),"意志")</f>
        <v>意志</v>
      </c>
    </row>
    <row r="38" spans="1:3" ht="18" customHeight="1" x14ac:dyDescent="0.3">
      <c r="A38" s="1">
        <v>429</v>
      </c>
      <c r="B38" s="1" t="s">
        <v>37</v>
      </c>
      <c r="C38" s="1" t="str">
        <f ca="1">IFERROR(__xludf.DUMMYFUNCTION("GOOGLETRANSLATE(B38,""en"",""ja"")"),"五月")</f>
        <v>五月</v>
      </c>
    </row>
    <row r="39" spans="1:3" ht="18" customHeight="1" x14ac:dyDescent="0.3">
      <c r="A39" s="1">
        <v>420</v>
      </c>
      <c r="B39" s="1" t="s">
        <v>38</v>
      </c>
      <c r="C39" s="1" t="str">
        <f ca="1">IFERROR(__xludf.DUMMYFUNCTION("GOOGLETRANSLATE(B39,""en"",""ja"")"),"他の")</f>
        <v>他の</v>
      </c>
    </row>
    <row r="40" spans="1:3" ht="18" customHeight="1" x14ac:dyDescent="0.3">
      <c r="A40" s="1">
        <v>419</v>
      </c>
      <c r="B40" s="1" t="s">
        <v>39</v>
      </c>
      <c r="C40" s="1" t="str">
        <f ca="1">IFERROR(__xludf.DUMMYFUNCTION("GOOGLETRANSLATE(B40,""en"",""ja"")"),"私達の")</f>
        <v>私達の</v>
      </c>
    </row>
    <row r="41" spans="1:3" ht="18" customHeight="1" x14ac:dyDescent="0.3">
      <c r="A41" s="1">
        <v>411</v>
      </c>
      <c r="B41" s="1" t="s">
        <v>40</v>
      </c>
      <c r="C41" s="1" t="str">
        <f ca="1">IFERROR(__xludf.DUMMYFUNCTION("GOOGLETRANSLATE(B41,""en"",""ja"")"),"何")</f>
        <v>何</v>
      </c>
    </row>
    <row r="42" spans="1:3" ht="18" customHeight="1" x14ac:dyDescent="0.3">
      <c r="A42" s="1">
        <v>405</v>
      </c>
      <c r="B42" s="1" t="s">
        <v>41</v>
      </c>
      <c r="C42" s="1" t="str">
        <f ca="1">IFERROR(__xludf.DUMMYFUNCTION("GOOGLETRANSLATE(B42,""en"",""ja"")"),"彼の")</f>
        <v>彼の</v>
      </c>
    </row>
    <row r="43" spans="1:3" ht="18" customHeight="1" x14ac:dyDescent="0.3">
      <c r="A43" s="1">
        <v>392</v>
      </c>
      <c r="B43" s="1" t="s">
        <v>42</v>
      </c>
      <c r="C43" s="1" t="str">
        <f ca="1">IFERROR(__xludf.DUMMYFUNCTION("GOOGLETRANSLATE(B43,""en"",""ja"")"),"すべて")</f>
        <v>すべて</v>
      </c>
    </row>
    <row r="44" spans="1:3" ht="18" customHeight="1" x14ac:dyDescent="0.3">
      <c r="A44" s="1">
        <v>374</v>
      </c>
      <c r="B44" s="1" t="s">
        <v>43</v>
      </c>
      <c r="C44" s="1" t="str">
        <f ca="1">IFERROR(__xludf.DUMMYFUNCTION("GOOGLETRANSLATE(B44,""en"",""ja"")"),"新着")</f>
        <v>新着</v>
      </c>
    </row>
    <row r="45" spans="1:3" ht="18" customHeight="1" x14ac:dyDescent="0.3">
      <c r="A45" s="1">
        <v>363</v>
      </c>
      <c r="B45" s="1" t="s">
        <v>44</v>
      </c>
      <c r="C45" s="1" t="str">
        <f ca="1">IFERROR(__xludf.DUMMYFUNCTION("GOOGLETRANSLATE(B45,""en"",""ja"")"),"ました")</f>
        <v>ました</v>
      </c>
    </row>
    <row r="46" spans="1:3" ht="18" customHeight="1" x14ac:dyDescent="0.3">
      <c r="A46" s="1">
        <v>360</v>
      </c>
      <c r="B46" s="1" t="s">
        <v>45</v>
      </c>
      <c r="C46" s="1" t="str">
        <f ca="1">IFERROR(__xludf.DUMMYFUNCTION("GOOGLETRANSLATE(B46,""en"",""ja"")"),"持っていました")</f>
        <v>持っていました</v>
      </c>
    </row>
    <row r="47" spans="1:3" ht="18" customHeight="1" x14ac:dyDescent="0.3">
      <c r="A47" s="1">
        <v>359</v>
      </c>
      <c r="B47" s="1" t="s">
        <v>46</v>
      </c>
      <c r="C47" s="1" t="str">
        <f ca="1">IFERROR(__xludf.DUMMYFUNCTION("GOOGLETRANSLATE(B47,""en"",""ja"")"),"き")</f>
        <v>き</v>
      </c>
    </row>
    <row r="48" spans="1:3" ht="18" customHeight="1" x14ac:dyDescent="0.3">
      <c r="A48" s="1">
        <v>355</v>
      </c>
      <c r="B48" s="1" t="s">
        <v>47</v>
      </c>
      <c r="C48" s="1" t="str">
        <f ca="1">IFERROR(__xludf.DUMMYFUNCTION("GOOGLETRANSLATE(B48,""en"",""ja"")"),"彼")</f>
        <v>彼</v>
      </c>
    </row>
    <row r="49" spans="1:3" ht="18" customHeight="1" x14ac:dyDescent="0.3">
      <c r="A49" s="1">
        <v>354</v>
      </c>
      <c r="B49" s="1" t="s">
        <v>48</v>
      </c>
      <c r="C49" s="1" t="str">
        <f ca="1">IFERROR(__xludf.DUMMYFUNCTION("GOOGLETRANSLATE(B49,""en"",""ja"")"),"いつ")</f>
        <v>いつ</v>
      </c>
    </row>
    <row r="50" spans="1:3" ht="18" customHeight="1" x14ac:dyDescent="0.3">
      <c r="A50" s="1">
        <v>352</v>
      </c>
      <c r="B50" s="1" t="s">
        <v>49</v>
      </c>
      <c r="C50" s="1" t="str">
        <f ca="1">IFERROR(__xludf.DUMMYFUNCTION("GOOGLETRANSLATE(B50,""en"",""ja"")"),"君は")</f>
        <v>君は</v>
      </c>
    </row>
    <row r="51" spans="1:3" ht="18" customHeight="1" x14ac:dyDescent="0.3">
      <c r="A51" s="1">
        <v>347</v>
      </c>
      <c r="B51" s="1" t="s">
        <v>50</v>
      </c>
      <c r="C51" s="1" t="str">
        <f ca="1">IFERROR(__xludf.DUMMYFUNCTION("GOOGLETRANSLATE(B51,""en"",""ja"")"),"人間")</f>
        <v>人間</v>
      </c>
    </row>
    <row r="52" spans="1:3" ht="18" customHeight="1" x14ac:dyDescent="0.3">
      <c r="A52" s="1">
        <v>340</v>
      </c>
      <c r="B52" s="1" t="s">
        <v>51</v>
      </c>
      <c r="C52" s="1" t="str">
        <f ca="1">IFERROR(__xludf.DUMMYFUNCTION("GOOGLETRANSLATE(B52,""en"",""ja"")"),"いくつか")</f>
        <v>いくつか</v>
      </c>
    </row>
    <row r="53" spans="1:3" ht="18" customHeight="1" x14ac:dyDescent="0.3">
      <c r="A53" s="1">
        <v>331</v>
      </c>
      <c r="B53" s="1" t="s">
        <v>52</v>
      </c>
      <c r="C53" s="1" t="str">
        <f ca="1">IFERROR(__xludf.DUMMYFUNCTION("GOOGLETRANSLATE(B53,""en"",""ja"")"),"たくさんの")</f>
        <v>たくさんの</v>
      </c>
    </row>
    <row r="54" spans="1:3" ht="18" customHeight="1" x14ac:dyDescent="0.3">
      <c r="A54" s="1">
        <v>322</v>
      </c>
      <c r="B54" s="1" t="s">
        <v>53</v>
      </c>
      <c r="C54" s="1" t="str">
        <f ca="1">IFERROR(__xludf.DUMMYFUNCTION("GOOGLETRANSLATE(B54,""en"",""ja"")"),"それの")</f>
        <v>それの</v>
      </c>
    </row>
    <row r="55" spans="1:3" ht="18" customHeight="1" x14ac:dyDescent="0.3">
      <c r="A55" s="1">
        <v>322</v>
      </c>
      <c r="B55" s="1" t="s">
        <v>54</v>
      </c>
      <c r="C55" s="1" t="str">
        <f ca="1">IFERROR(__xludf.DUMMYFUNCTION("GOOGLETRANSLATE(B55,""en"",""ja"")"),"約")</f>
        <v>約</v>
      </c>
    </row>
    <row r="56" spans="1:3" ht="18" customHeight="1" x14ac:dyDescent="0.3">
      <c r="A56" s="1">
        <v>318</v>
      </c>
      <c r="B56" s="1" t="s">
        <v>55</v>
      </c>
      <c r="C56" s="1" t="str">
        <f ca="1">IFERROR(__xludf.DUMMYFUNCTION("GOOGLETRANSLATE(B56,""en"",""ja"")"),"でしょう")</f>
        <v>でしょう</v>
      </c>
    </row>
    <row r="57" spans="1:3" ht="18" customHeight="1" x14ac:dyDescent="0.3">
      <c r="A57" s="1">
        <v>315</v>
      </c>
      <c r="B57" s="1" t="s">
        <v>56</v>
      </c>
      <c r="C57" s="1" t="str">
        <f ca="1">IFERROR(__xludf.DUMMYFUNCTION("GOOGLETRANSLATE(B57,""en"",""ja"")"),"もし")</f>
        <v>もし</v>
      </c>
    </row>
    <row r="58" spans="1:3" ht="18" customHeight="1" x14ac:dyDescent="0.3">
      <c r="A58" s="1">
        <v>314</v>
      </c>
      <c r="B58" s="1" t="s">
        <v>57</v>
      </c>
      <c r="C58" s="1" t="str">
        <f ca="1">IFERROR(__xludf.DUMMYFUNCTION("GOOGLETRANSLATE(B58,""en"",""ja"")"),"そう")</f>
        <v>そう</v>
      </c>
    </row>
    <row r="59" spans="1:3" ht="18" customHeight="1" x14ac:dyDescent="0.3">
      <c r="A59" s="1">
        <v>308</v>
      </c>
      <c r="B59" s="1" t="s">
        <v>58</v>
      </c>
      <c r="C59" s="1" t="str">
        <f ca="1">IFERROR(__xludf.DUMMYFUNCTION("GOOGLETRANSLATE(B59,""en"",""ja"")"),"ソーシャル")</f>
        <v>ソーシャル</v>
      </c>
    </row>
    <row r="60" spans="1:3" ht="18" customHeight="1" x14ac:dyDescent="0.3">
      <c r="A60" s="1">
        <v>306</v>
      </c>
      <c r="B60" s="1" t="s">
        <v>59</v>
      </c>
      <c r="C60" s="1" t="str">
        <f ca="1">IFERROR(__xludf.DUMMYFUNCTION("GOOGLETRANSLATE(B60,""en"",""ja"")"),"に")</f>
        <v>に</v>
      </c>
    </row>
    <row r="61" spans="1:3" ht="18" customHeight="1" x14ac:dyDescent="0.3">
      <c r="A61" s="1">
        <v>301</v>
      </c>
      <c r="B61" s="1" t="s">
        <v>60</v>
      </c>
      <c r="C61" s="1" t="str">
        <f ca="1">IFERROR(__xludf.DUMMYFUNCTION("GOOGLETRANSLATE(B61,""en"",""ja"")"),"行う")</f>
        <v>行う</v>
      </c>
    </row>
    <row r="62" spans="1:3" ht="18" customHeight="1" x14ac:dyDescent="0.3">
      <c r="A62" s="1">
        <v>295</v>
      </c>
      <c r="B62" s="1" t="s">
        <v>61</v>
      </c>
      <c r="C62" s="1" t="str">
        <f ca="1">IFERROR(__xludf.DUMMYFUNCTION("GOOGLETRANSLATE(B62,""en"",""ja"")"),"これら")</f>
        <v>これら</v>
      </c>
    </row>
    <row r="63" spans="1:3" ht="18" customHeight="1" x14ac:dyDescent="0.3">
      <c r="A63" s="1">
        <v>290</v>
      </c>
      <c r="B63" s="1" t="s">
        <v>62</v>
      </c>
      <c r="C63" s="1" t="str">
        <f ca="1">IFERROR(__xludf.DUMMYFUNCTION("GOOGLETRANSLATE(B63,""en"",""ja"")"),"番号")</f>
        <v>番号</v>
      </c>
    </row>
    <row r="64" spans="1:3" ht="18" customHeight="1" x14ac:dyDescent="0.3">
      <c r="A64" s="1">
        <v>287</v>
      </c>
      <c r="B64" s="1" t="s">
        <v>63</v>
      </c>
      <c r="C64" s="1" t="str">
        <f ca="1">IFERROR(__xludf.DUMMYFUNCTION("GOOGLETRANSLATE(B64,""en"",""ja"")"),"そのような")</f>
        <v>そのような</v>
      </c>
    </row>
    <row r="65" spans="1:3" ht="18" customHeight="1" x14ac:dyDescent="0.3">
      <c r="A65" s="1">
        <v>279</v>
      </c>
      <c r="B65" s="1" t="s">
        <v>64</v>
      </c>
      <c r="C65" s="1" t="str">
        <f ca="1">IFERROR(__xludf.DUMMYFUNCTION("GOOGLETRANSLATE(B65,""en"",""ja"")"),"の間に")</f>
        <v>の間に</v>
      </c>
    </row>
    <row r="66" spans="1:3" ht="18" customHeight="1" x14ac:dyDescent="0.3">
      <c r="A66" s="1">
        <v>278</v>
      </c>
      <c r="B66" s="1" t="s">
        <v>65</v>
      </c>
      <c r="C66" s="1" t="str">
        <f ca="1">IFERROR(__xludf.DUMMYFUNCTION("GOOGLETRANSLATE(B66,""en"",""ja"")"),"そこ")</f>
        <v>そこ</v>
      </c>
    </row>
    <row r="67" spans="1:3" ht="18" customHeight="1" x14ac:dyDescent="0.3">
      <c r="A67" s="1">
        <v>255</v>
      </c>
      <c r="B67" s="1" t="s">
        <v>66</v>
      </c>
      <c r="C67" s="1" t="str">
        <f ca="1">IFERROR(__xludf.DUMMYFUNCTION("GOOGLETRANSLATE(B67,""en"",""ja"")"),"さらに")</f>
        <v>さらに</v>
      </c>
    </row>
    <row r="68" spans="1:3" ht="18" customHeight="1" x14ac:dyDescent="0.3">
      <c r="A68" s="1">
        <v>253</v>
      </c>
      <c r="B68" s="1" t="s">
        <v>67</v>
      </c>
      <c r="C68" s="1" t="str">
        <f ca="1">IFERROR(__xludf.DUMMYFUNCTION("GOOGLETRANSLATE(B68,""en"",""ja"")"),"なぜなら")</f>
        <v>なぜなら</v>
      </c>
    </row>
    <row r="69" spans="1:3" ht="18" customHeight="1" x14ac:dyDescent="0.3">
      <c r="A69" s="1">
        <v>252</v>
      </c>
      <c r="B69" s="1" t="s">
        <v>11</v>
      </c>
      <c r="C69" s="1" t="str">
        <f ca="1">IFERROR(__xludf.DUMMYFUNCTION("GOOGLETRANSLATE(B69,""en"",""ja"")"),"されます")</f>
        <v>されます</v>
      </c>
    </row>
    <row r="70" spans="1:3" ht="18" customHeight="1" x14ac:dyDescent="0.3">
      <c r="A70" s="1">
        <v>251</v>
      </c>
      <c r="B70" s="1" t="s">
        <v>68</v>
      </c>
      <c r="C70" s="1" t="str">
        <f ca="1">IFERROR(__xludf.DUMMYFUNCTION("GOOGLETRANSLATE(B70,""en"",""ja"")"),"それら")</f>
        <v>それら</v>
      </c>
    </row>
    <row r="71" spans="1:3" ht="18" customHeight="1" x14ac:dyDescent="0.3">
      <c r="A71" s="1">
        <v>247</v>
      </c>
      <c r="B71" s="1" t="s">
        <v>69</v>
      </c>
      <c r="C71" s="1" t="str">
        <f ca="1">IFERROR(__xludf.DUMMYFUNCTION("GOOGLETRANSLATE(B71,""en"",""ja"")"),"どうやって")</f>
        <v>どうやって</v>
      </c>
    </row>
    <row r="72" spans="1:3" ht="18" customHeight="1" x14ac:dyDescent="0.3">
      <c r="A72" s="1">
        <v>246</v>
      </c>
      <c r="B72" s="1" t="s">
        <v>70</v>
      </c>
      <c r="C72" s="1" t="str">
        <f ca="1">IFERROR(__xludf.DUMMYFUNCTION("GOOGLETRANSLATE(B72,""en"",""ja"")"),"最も")</f>
        <v>最も</v>
      </c>
    </row>
    <row r="73" spans="1:3" ht="18" customHeight="1" x14ac:dyDescent="0.3">
      <c r="A73" s="1">
        <v>243</v>
      </c>
      <c r="B73" s="1" t="s">
        <v>2</v>
      </c>
      <c r="C73" s="1" t="str">
        <f ca="1">IFERROR(__xludf.DUMMYFUNCTION("GOOGLETRANSLATE(B73,""en"",""ja"")"),"に")</f>
        <v>に</v>
      </c>
    </row>
    <row r="74" spans="1:3" ht="18" customHeight="1" x14ac:dyDescent="0.3">
      <c r="A74" s="1">
        <v>235</v>
      </c>
      <c r="B74" s="1" t="s">
        <v>71</v>
      </c>
      <c r="C74" s="1" t="str">
        <f ca="1">IFERROR(__xludf.DUMMYFUNCTION("GOOGLETRANSLATE(B74,""en"",""ja"")"),"のみ")</f>
        <v>のみ</v>
      </c>
    </row>
    <row r="75" spans="1:3" ht="18" customHeight="1" x14ac:dyDescent="0.3">
      <c r="A75" s="1">
        <v>234</v>
      </c>
      <c r="B75" s="1" t="s">
        <v>72</v>
      </c>
      <c r="C75" s="1" t="str">
        <f ca="1">IFERROR(__xludf.DUMMYFUNCTION("GOOGLETRANSLATE(B75,""en"",""ja"")"),"時間")</f>
        <v>時間</v>
      </c>
    </row>
    <row r="76" spans="1:3" ht="18" customHeight="1" x14ac:dyDescent="0.3">
      <c r="A76" s="1">
        <v>230</v>
      </c>
      <c r="B76" s="1" t="s">
        <v>73</v>
      </c>
      <c r="C76" s="1" t="str">
        <f ca="1">IFERROR(__xludf.DUMMYFUNCTION("GOOGLETRANSLATE(B76,""en"",""ja"")"),"二")</f>
        <v>二</v>
      </c>
    </row>
    <row r="77" spans="1:3" ht="18" customHeight="1" x14ac:dyDescent="0.3">
      <c r="A77" s="1">
        <v>227</v>
      </c>
      <c r="B77" s="1" t="s">
        <v>74</v>
      </c>
      <c r="C77" s="1" t="str">
        <f ca="1">IFERROR(__xludf.DUMMYFUNCTION("GOOGLETRANSLATE(B77,""en"",""ja"")"),"言語")</f>
        <v>言語</v>
      </c>
    </row>
    <row r="78" spans="1:3" ht="18" customHeight="1" x14ac:dyDescent="0.3">
      <c r="A78" s="1">
        <v>219</v>
      </c>
      <c r="B78" s="1" t="s">
        <v>75</v>
      </c>
      <c r="C78" s="1" t="str">
        <f ca="1">IFERROR(__xludf.DUMMYFUNCTION("GOOGLETRANSLATE(B78,""en"",""ja"")"),"さえ")</f>
        <v>さえ</v>
      </c>
    </row>
    <row r="79" spans="1:3" ht="18" customHeight="1" x14ac:dyDescent="0.3">
      <c r="A79" s="1">
        <v>218</v>
      </c>
      <c r="B79" s="1" t="s">
        <v>76</v>
      </c>
      <c r="C79" s="1" t="str">
        <f ca="1">IFERROR(__xludf.DUMMYFUNCTION("GOOGLETRANSLATE(B79,""en"",""ja"")"),"それら")</f>
        <v>それら</v>
      </c>
    </row>
    <row r="80" spans="1:3" ht="18" customHeight="1" x14ac:dyDescent="0.3">
      <c r="A80" s="1">
        <v>215</v>
      </c>
      <c r="B80" s="1" t="s">
        <v>77</v>
      </c>
      <c r="C80" s="1" t="str">
        <f ca="1">IFERROR(__xludf.DUMMYFUNCTION("GOOGLETRANSLATE(B80,""en"",""ja"")"),"はるかに")</f>
        <v>はるかに</v>
      </c>
    </row>
    <row r="81" spans="1:3" ht="18" customHeight="1" x14ac:dyDescent="0.3">
      <c r="A81" s="1">
        <v>211</v>
      </c>
      <c r="B81" s="1" t="s">
        <v>78</v>
      </c>
      <c r="C81" s="1" t="str">
        <f ca="1">IFERROR(__xludf.DUMMYFUNCTION("GOOGLETRANSLATE(B81,""en"",""ja"")"),"使用する")</f>
        <v>使用する</v>
      </c>
    </row>
    <row r="82" spans="1:3" ht="18" customHeight="1" x14ac:dyDescent="0.3">
      <c r="A82" s="1">
        <v>210</v>
      </c>
      <c r="B82" s="1" t="s">
        <v>79</v>
      </c>
      <c r="C82" s="1" t="str">
        <f ca="1">IFERROR(__xludf.DUMMYFUNCTION("GOOGLETRANSLATE(B82,""en"",""ja"")"),"子供達")</f>
        <v>子供達</v>
      </c>
    </row>
    <row r="83" spans="1:3" ht="18" customHeight="1" x14ac:dyDescent="0.3">
      <c r="A83" s="1">
        <v>205</v>
      </c>
      <c r="B83" s="1" t="s">
        <v>80</v>
      </c>
      <c r="C83" s="1" t="str">
        <f ca="1">IFERROR(__xludf.DUMMYFUNCTION("GOOGLETRANSLATE(B83,""en"",""ja"")"),"たぶん......だろう")</f>
        <v>たぶん......だろう</v>
      </c>
    </row>
    <row r="84" spans="1:3" ht="18" customHeight="1" x14ac:dyDescent="0.3">
      <c r="A84" s="1">
        <v>201</v>
      </c>
      <c r="B84" s="1" t="s">
        <v>81</v>
      </c>
      <c r="C84" s="1" t="str">
        <f ca="1">IFERROR(__xludf.DUMMYFUNCTION("GOOGLETRANSLATE(B84,""en"",""ja"")"),"オーバー")</f>
        <v>オーバー</v>
      </c>
    </row>
    <row r="85" spans="1:3" ht="18" customHeight="1" x14ac:dyDescent="0.3">
      <c r="A85" s="1">
        <v>198</v>
      </c>
      <c r="B85" s="1" t="s">
        <v>82</v>
      </c>
      <c r="C85" s="1" t="str">
        <f ca="1">IFERROR(__xludf.DUMMYFUNCTION("GOOGLETRANSLATE(B85,""en"",""ja"")"),"我ら")</f>
        <v>我ら</v>
      </c>
    </row>
    <row r="86" spans="1:3" ht="18" customHeight="1" x14ac:dyDescent="0.3">
      <c r="A86" s="1">
        <v>197</v>
      </c>
      <c r="B86" s="1" t="s">
        <v>83</v>
      </c>
      <c r="C86" s="1" t="str">
        <f ca="1">IFERROR(__xludf.DUMMYFUNCTION("GOOGLETRANSLATE(B86,""en"",""ja"")"),"SHOULD")</f>
        <v>SHOULD</v>
      </c>
    </row>
    <row r="87" spans="1:3" ht="18" customHeight="1" x14ac:dyDescent="0.3">
      <c r="A87" s="1">
        <v>192</v>
      </c>
      <c r="B87" s="1" t="s">
        <v>84</v>
      </c>
      <c r="C87" s="1" t="str">
        <f ca="1">IFERROR(__xludf.DUMMYFUNCTION("GOOGLETRANSLATE(B87,""en"",""ja"")"),"仕方")</f>
        <v>仕方</v>
      </c>
    </row>
    <row r="88" spans="1:3" ht="18" customHeight="1" x14ac:dyDescent="0.3">
      <c r="A88" s="1">
        <v>191</v>
      </c>
      <c r="B88" s="1" t="s">
        <v>85</v>
      </c>
      <c r="C88" s="1" t="str">
        <f ca="1">IFERROR(__xludf.DUMMYFUNCTION("GOOGLETRANSLATE(B88,""en"",""ja"")"),"子")</f>
        <v>子</v>
      </c>
    </row>
    <row r="89" spans="1:3" ht="18" customHeight="1" x14ac:dyDescent="0.3">
      <c r="A89" s="1">
        <v>190</v>
      </c>
      <c r="B89" s="1" t="s">
        <v>86</v>
      </c>
      <c r="C89" s="1" t="str">
        <f ca="1">IFERROR(__xludf.DUMMYFUNCTION("GOOGLETRANSLATE(B89,""en"",""ja"")"),"政治的")</f>
        <v>政治的</v>
      </c>
    </row>
    <row r="90" spans="1:3" ht="18" customHeight="1" x14ac:dyDescent="0.3">
      <c r="A90" s="1">
        <v>187</v>
      </c>
      <c r="B90" s="1" t="s">
        <v>8</v>
      </c>
      <c r="C90" s="1" t="str">
        <f ca="1">IFERROR(__xludf.DUMMYFUNCTION("GOOGLETRANSLATE(B90,""en"",""ja"")"),"それ")</f>
        <v>それ</v>
      </c>
    </row>
    <row r="91" spans="1:3" ht="18" customHeight="1" x14ac:dyDescent="0.3">
      <c r="A91" s="1">
        <v>187</v>
      </c>
      <c r="B91" s="1" t="s">
        <v>87</v>
      </c>
      <c r="C91" s="1" t="str">
        <f ca="1">IFERROR(__xludf.DUMMYFUNCTION("GOOGLETRANSLATE(B91,""en"",""ja"")"),"しかしながら")</f>
        <v>しかしながら</v>
      </c>
    </row>
    <row r="92" spans="1:3" ht="18" customHeight="1" x14ac:dyDescent="0.3">
      <c r="A92" s="1">
        <v>186</v>
      </c>
      <c r="B92" s="1" t="s">
        <v>88</v>
      </c>
      <c r="C92" s="1" t="str">
        <f ca="1">IFERROR(__xludf.DUMMYFUNCTION("GOOGLETRANSLATE(B92,""en"",""ja"")"),"同じ")</f>
        <v>同じ</v>
      </c>
    </row>
    <row r="93" spans="1:3" ht="18" customHeight="1" x14ac:dyDescent="0.3">
      <c r="A93" s="1">
        <v>184</v>
      </c>
      <c r="B93" s="1" t="s">
        <v>89</v>
      </c>
      <c r="C93" s="1" t="str">
        <f ca="1">IFERROR(__xludf.DUMMYFUNCTION("GOOGLETRANSLATE(B93,""en"",""ja"")"),"私")</f>
        <v>私</v>
      </c>
    </row>
    <row r="94" spans="1:3" ht="18" customHeight="1" x14ac:dyDescent="0.3">
      <c r="A94" s="1">
        <v>182</v>
      </c>
      <c r="B94" s="1" t="s">
        <v>90</v>
      </c>
      <c r="C94" s="1" t="str">
        <f ca="1">IFERROR(__xludf.DUMMYFUNCTION("GOOGLETRANSLATE(B94,""en"",""ja"")"),"メイク")</f>
        <v>メイク</v>
      </c>
    </row>
    <row r="95" spans="1:3" ht="18" customHeight="1" x14ac:dyDescent="0.3">
      <c r="A95" s="1">
        <v>182</v>
      </c>
      <c r="B95" s="1" t="s">
        <v>91</v>
      </c>
      <c r="C95" s="1" t="str">
        <f ca="1">IFERROR(__xludf.DUMMYFUNCTION("GOOGLETRANSLATE(B95,""en"",""ja"")"),"お気に入り")</f>
        <v>お気に入り</v>
      </c>
    </row>
    <row r="96" spans="1:3" ht="18" customHeight="1" x14ac:dyDescent="0.3">
      <c r="A96" s="1">
        <v>180</v>
      </c>
      <c r="B96" s="1" t="s">
        <v>92</v>
      </c>
      <c r="C96" s="1" t="str">
        <f ca="1">IFERROR(__xludf.DUMMYFUNCTION("GOOGLETRANSLATE(B96,""en"",""ja"")"),"情報")</f>
        <v>情報</v>
      </c>
    </row>
    <row r="97" spans="1:3" ht="18" customHeight="1" x14ac:dyDescent="0.3">
      <c r="A97" s="1">
        <v>178</v>
      </c>
      <c r="B97" s="1" t="s">
        <v>93</v>
      </c>
      <c r="C97" s="1" t="str">
        <f ca="1">IFERROR(__xludf.DUMMYFUNCTION("GOOGLETRANSLATE(B97,""en"",""ja"")"),"どれか")</f>
        <v>どれか</v>
      </c>
    </row>
    <row r="98" spans="1:3" ht="18" customHeight="1" x14ac:dyDescent="0.3">
      <c r="A98" s="1">
        <v>177</v>
      </c>
      <c r="B98" s="1" t="s">
        <v>94</v>
      </c>
      <c r="C98" s="1" t="str">
        <f ca="1">IFERROR(__xludf.DUMMYFUNCTION("GOOGLETRANSLATE(B98,""en"",""ja"")"),"生活")</f>
        <v>生活</v>
      </c>
    </row>
    <row r="99" spans="1:3" ht="18" customHeight="1" x14ac:dyDescent="0.3">
      <c r="A99" s="1">
        <v>175</v>
      </c>
      <c r="B99" s="1" t="s">
        <v>95</v>
      </c>
      <c r="C99" s="1" t="str">
        <f ca="1">IFERROR(__xludf.DUMMYFUNCTION("GOOGLETRANSLATE(B99,""en"",""ja"")"),"使って")</f>
        <v>使って</v>
      </c>
    </row>
    <row r="100" spans="1:3" ht="18" customHeight="1" x14ac:dyDescent="0.3">
      <c r="A100" s="1">
        <v>174</v>
      </c>
      <c r="B100" s="1" t="s">
        <v>96</v>
      </c>
      <c r="C100" s="1" t="str">
        <f ca="1">IFERROR(__xludf.DUMMYFUNCTION("GOOGLETRANSLATE(B100,""en"",""ja"")"),"異なります")</f>
        <v>異なります</v>
      </c>
    </row>
    <row r="101" spans="1:3" ht="18" customHeight="1" x14ac:dyDescent="0.3">
      <c r="A101" s="1">
        <v>172</v>
      </c>
      <c r="B101" s="1" t="s">
        <v>4</v>
      </c>
      <c r="C101" s="1" t="str">
        <f ca="1">IFERROR(__xludf.DUMMYFUNCTION("GOOGLETRANSLATE(B101,""en"",""ja"")"),"A")</f>
        <v>A</v>
      </c>
    </row>
    <row r="102" spans="1:3" ht="18" customHeight="1" x14ac:dyDescent="0.3">
      <c r="A102" s="1">
        <v>171</v>
      </c>
      <c r="B102" s="1" t="s">
        <v>97</v>
      </c>
      <c r="C102" s="1" t="str">
        <f ca="1">IFERROR(__xludf.DUMMYFUNCTION("GOOGLETRANSLATE(B102,""en"",""ja"")"),"以下")</f>
        <v>以下</v>
      </c>
    </row>
    <row r="103" spans="1:3" ht="18" customHeight="1" x14ac:dyDescent="0.3">
      <c r="A103" s="1">
        <v>169</v>
      </c>
      <c r="B103" s="1" t="s">
        <v>98</v>
      </c>
      <c r="C103" s="1" t="str">
        <f ca="1">IFERROR(__xludf.DUMMYFUNCTION("GOOGLETRANSLATE(B103,""en"",""ja"")"),"人間")</f>
        <v>人間</v>
      </c>
    </row>
    <row r="104" spans="1:3" ht="18" customHeight="1" x14ac:dyDescent="0.3">
      <c r="A104" s="1">
        <v>168</v>
      </c>
      <c r="B104" s="1" t="s">
        <v>99</v>
      </c>
      <c r="C104" s="1" t="str">
        <f ca="1">IFERROR(__xludf.DUMMYFUNCTION("GOOGLETRANSLATE(B104,""en"",""ja"")"),"必見")</f>
        <v>必見</v>
      </c>
    </row>
    <row r="105" spans="1:3" ht="18" customHeight="1" x14ac:dyDescent="0.3">
      <c r="A105" s="1">
        <v>166</v>
      </c>
      <c r="B105" s="1" t="s">
        <v>101</v>
      </c>
      <c r="C105" s="1" t="str">
        <f ca="1">IFERROR(__xludf.DUMMYFUNCTION("GOOGLETRANSLATE(B106,""en"",""ja"")"),"であること")</f>
        <v>であること</v>
      </c>
    </row>
    <row r="106" spans="1:3" ht="18" customHeight="1" x14ac:dyDescent="0.3">
      <c r="A106" s="1">
        <v>164</v>
      </c>
      <c r="B106" s="1" t="s">
        <v>102</v>
      </c>
      <c r="C106" s="1" t="str">
        <f ca="1">IFERROR(__xludf.DUMMYFUNCTION("GOOGLETRANSLATE(B107,""en"",""ja"")"),"アップ")</f>
        <v>アップ</v>
      </c>
    </row>
    <row r="107" spans="1:3" ht="18" customHeight="1" x14ac:dyDescent="0.3">
      <c r="A107" s="1">
        <v>164</v>
      </c>
      <c r="B107" s="1" t="s">
        <v>103</v>
      </c>
      <c r="C107" s="1" t="str">
        <f ca="1">IFERROR(__xludf.DUMMYFUNCTION("GOOGLETRANSLATE(B108,""en"",""ja"")"),"最初")</f>
        <v>最初</v>
      </c>
    </row>
    <row r="108" spans="1:3" ht="18" customHeight="1" x14ac:dyDescent="0.3">
      <c r="A108" s="1">
        <v>163</v>
      </c>
      <c r="B108" s="1" t="s">
        <v>104</v>
      </c>
      <c r="C108" s="1" t="str">
        <f ca="1">IFERROR(__xludf.DUMMYFUNCTION("GOOGLETRANSLATE(B109,""en"",""ja"")"),"非常に")</f>
        <v>非常に</v>
      </c>
    </row>
    <row r="109" spans="1:3" ht="18" customHeight="1" x14ac:dyDescent="0.3">
      <c r="A109" s="1">
        <v>163</v>
      </c>
      <c r="B109" s="1" t="s">
        <v>1</v>
      </c>
      <c r="C109" s="1" t="str">
        <f ca="1">IFERROR(__xludf.DUMMYFUNCTION("GOOGLETRANSLATE(B110,""en"",""ja"")"),"の")</f>
        <v>の</v>
      </c>
    </row>
    <row r="110" spans="1:3" ht="18" customHeight="1" x14ac:dyDescent="0.3">
      <c r="A110" s="1">
        <v>157</v>
      </c>
      <c r="B110" s="1" t="s">
        <v>105</v>
      </c>
      <c r="C110" s="1" t="str">
        <f ca="1">IFERROR(__xludf.DUMMYFUNCTION("GOOGLETRANSLATE(B111,""en"",""ja"")"),"しばしば")</f>
        <v>しばしば</v>
      </c>
    </row>
    <row r="111" spans="1:3" ht="18" customHeight="1" x14ac:dyDescent="0.3">
      <c r="A111" s="1">
        <v>155</v>
      </c>
      <c r="B111" s="1" t="s">
        <v>106</v>
      </c>
      <c r="C111" s="1" t="str">
        <f ca="1">IFERROR(__xludf.DUMMYFUNCTION("GOOGLETRANSLATE(B112,""en"",""ja"")"),"自分の")</f>
        <v>自分の</v>
      </c>
    </row>
    <row r="112" spans="1:3" ht="18" customHeight="1" x14ac:dyDescent="0.3">
      <c r="A112" s="1">
        <v>155</v>
      </c>
      <c r="B112" s="1" t="s">
        <v>107</v>
      </c>
      <c r="C112" s="1" t="str">
        <f ca="1">IFERROR(__xludf.DUMMYFUNCTION("GOOGLETRANSLATE(B113,""en"",""ja"")"),"グローバル")</f>
        <v>グローバル</v>
      </c>
    </row>
    <row r="113" spans="1:3" ht="18" customHeight="1" x14ac:dyDescent="0.3">
      <c r="A113" s="1">
        <v>150</v>
      </c>
      <c r="B113" s="1" t="s">
        <v>6</v>
      </c>
      <c r="C113" s="1" t="str">
        <f ca="1">IFERROR(__xludf.DUMMYFUNCTION("GOOGLETRANSLATE(B114,""en"",""ja"")"),"それ")</f>
        <v>それ</v>
      </c>
    </row>
    <row r="114" spans="1:3" ht="18" customHeight="1" x14ac:dyDescent="0.3">
      <c r="A114" s="1">
        <v>149</v>
      </c>
      <c r="B114" s="1" t="s">
        <v>108</v>
      </c>
      <c r="C114" s="1" t="str">
        <f ca="1">IFERROR(__xludf.DUMMYFUNCTION("GOOGLETRANSLATE(B115,""en"",""ja"")"),"年")</f>
        <v>年</v>
      </c>
    </row>
    <row r="115" spans="1:3" ht="18" customHeight="1" x14ac:dyDescent="0.3">
      <c r="A115" s="1">
        <v>147</v>
      </c>
      <c r="B115" s="1" t="s">
        <v>109</v>
      </c>
      <c r="C115" s="1" t="str">
        <f ca="1">IFERROR(__xludf.DUMMYFUNCTION("GOOGLETRANSLATE(B116,""en"",""ja"")"),"環境")</f>
        <v>環境</v>
      </c>
    </row>
    <row r="116" spans="1:3" ht="18" customHeight="1" x14ac:dyDescent="0.3">
      <c r="A116" s="1">
        <v>144</v>
      </c>
      <c r="B116" s="1" t="s">
        <v>110</v>
      </c>
      <c r="C116" s="1" t="str">
        <f ca="1">IFERROR(__xludf.DUMMYFUNCTION("GOOGLETRANSLATE(B117,""en"",""ja"")"),"近代的")</f>
        <v>近代的</v>
      </c>
    </row>
    <row r="117" spans="1:3" ht="18" customHeight="1" x14ac:dyDescent="0.3">
      <c r="A117" s="1">
        <v>144</v>
      </c>
      <c r="B117" s="1" t="s">
        <v>111</v>
      </c>
      <c r="C117" s="1" t="str">
        <f ca="1">IFERROR(__xludf.DUMMYFUNCTION("GOOGLETRANSLATE(B118,""en"",""ja"")"),"ました")</f>
        <v>ました</v>
      </c>
    </row>
    <row r="118" spans="1:3" ht="18" customHeight="1" x14ac:dyDescent="0.3">
      <c r="A118" s="1">
        <v>143</v>
      </c>
      <c r="B118" s="1" t="s">
        <v>94</v>
      </c>
      <c r="C118" s="1" t="str">
        <f ca="1">IFERROR(__xludf.DUMMYFUNCTION("GOOGLETRANSLATE(B119,""en"",""ja"")"),"生活")</f>
        <v>生活</v>
      </c>
    </row>
    <row r="119" spans="1:3" ht="18" customHeight="1" x14ac:dyDescent="0.3">
      <c r="A119" s="1">
        <v>143</v>
      </c>
      <c r="B119" s="1" t="s">
        <v>112</v>
      </c>
      <c r="C119" s="1" t="str">
        <f ca="1">IFERROR(__xludf.DUMMYFUNCTION("GOOGLETRANSLATE(B120,""en"",""ja"")"),"し")</f>
        <v>し</v>
      </c>
    </row>
    <row r="120" spans="1:3" ht="18" customHeight="1" x14ac:dyDescent="0.3">
      <c r="A120" s="1">
        <v>142</v>
      </c>
      <c r="B120" s="1" t="s">
        <v>113</v>
      </c>
      <c r="C120" s="1" t="str">
        <f ca="1">IFERROR(__xludf.DUMMYFUNCTION("GOOGLETRANSLATE(B121,""en"",""ja"")"),"自己")</f>
        <v>自己</v>
      </c>
    </row>
    <row r="121" spans="1:3" ht="18" customHeight="1" x14ac:dyDescent="0.3">
      <c r="A121" s="1">
        <v>142</v>
      </c>
      <c r="B121" s="1" t="s">
        <v>114</v>
      </c>
      <c r="C121" s="1" t="str">
        <f ca="1">IFERROR(__xludf.DUMMYFUNCTION("GOOGLETRANSLATE(B122,""en"",""ja"")"),"どちらも")</f>
        <v>どちらも</v>
      </c>
    </row>
    <row r="122" spans="1:3" ht="18" customHeight="1" x14ac:dyDescent="0.3">
      <c r="A122" s="1">
        <v>141</v>
      </c>
      <c r="B122" s="1" t="s">
        <v>115</v>
      </c>
      <c r="C122" s="1" t="str">
        <f ca="1">IFERROR(__xludf.DUMMYFUNCTION("GOOGLETRANSLATE(B123,""en"",""ja"")"),"君の")</f>
        <v>君の</v>
      </c>
    </row>
    <row r="123" spans="1:3" ht="18" customHeight="1" x14ac:dyDescent="0.3">
      <c r="A123" s="1">
        <v>140</v>
      </c>
      <c r="B123" s="1" t="s">
        <v>116</v>
      </c>
      <c r="C123" s="1" t="str">
        <f ca="1">IFERROR(__xludf.DUMMYFUNCTION("GOOGLETRANSLATE(B124,""en"",""ja"")"),"間で")</f>
        <v>間で</v>
      </c>
    </row>
    <row r="124" spans="1:3" ht="18" customHeight="1" x14ac:dyDescent="0.3">
      <c r="A124" s="1">
        <v>140</v>
      </c>
      <c r="B124" s="1" t="s">
        <v>117</v>
      </c>
      <c r="C124" s="1" t="str">
        <f ca="1">IFERROR(__xludf.DUMMYFUNCTION("GOOGLETRANSLATE(B125,""en"",""ja"")"),"従っ")</f>
        <v>従っ</v>
      </c>
    </row>
    <row r="125" spans="1:3" ht="18" customHeight="1" x14ac:dyDescent="0.3">
      <c r="A125" s="1">
        <v>139</v>
      </c>
      <c r="B125" s="1" t="s">
        <v>118</v>
      </c>
      <c r="C125" s="1" t="str">
        <f ca="1">IFERROR(__xludf.DUMMYFUNCTION("GOOGLETRANSLATE(B126,""en"",""ja"")"),"今")</f>
        <v>今</v>
      </c>
    </row>
    <row r="126" spans="1:3" ht="18" customHeight="1" x14ac:dyDescent="0.3">
      <c r="A126" s="1">
        <v>137</v>
      </c>
      <c r="B126" s="1" t="s">
        <v>119</v>
      </c>
      <c r="C126" s="1" t="str">
        <f ca="1">IFERROR(__xludf.DUMMYFUNCTION("GOOGLETRANSLATE(B127,""en"",""ja"")"),"でる")</f>
        <v>でる</v>
      </c>
    </row>
    <row r="127" spans="1:3" ht="18" customHeight="1" x14ac:dyDescent="0.3">
      <c r="A127" s="1">
        <v>137</v>
      </c>
      <c r="B127" s="1" t="s">
        <v>120</v>
      </c>
      <c r="C127" s="1" t="str">
        <f ca="1">IFERROR(__xludf.DUMMYFUNCTION("GOOGLETRANSLATE(B128,""en"",""ja"")"),"なります")</f>
        <v>なります</v>
      </c>
    </row>
    <row r="128" spans="1:3" ht="18" customHeight="1" x14ac:dyDescent="0.3">
      <c r="A128" s="1">
        <v>136</v>
      </c>
      <c r="B128" s="1" t="s">
        <v>121</v>
      </c>
      <c r="C128" s="1" t="str">
        <f ca="1">IFERROR(__xludf.DUMMYFUNCTION("GOOGLETRANSLATE(B129,""en"",""ja"")"),"年")</f>
        <v>年</v>
      </c>
    </row>
    <row r="129" spans="1:3" ht="18" customHeight="1" x14ac:dyDescent="0.3">
      <c r="A129" s="1">
        <v>135</v>
      </c>
      <c r="B129" s="1" t="s">
        <v>72</v>
      </c>
      <c r="C129" s="1" t="str">
        <f ca="1">IFERROR(__xludf.DUMMYFUNCTION("GOOGLETRANSLATE(B130,""en"",""ja"")"),"時間")</f>
        <v>時間</v>
      </c>
    </row>
    <row r="130" spans="1:3" ht="18" customHeight="1" x14ac:dyDescent="0.3">
      <c r="A130" s="1">
        <v>133</v>
      </c>
      <c r="B130" s="1" t="s">
        <v>122</v>
      </c>
      <c r="C130" s="1" t="str">
        <f ca="1">IFERROR(__xludf.DUMMYFUNCTION("GOOGLETRANSLATE(B131,""en"",""ja"")"),"各")</f>
        <v>各</v>
      </c>
    </row>
    <row r="131" spans="1:3" ht="18" customHeight="1" x14ac:dyDescent="0.3">
      <c r="A131" s="1">
        <v>131</v>
      </c>
      <c r="B131" s="1" t="s">
        <v>123</v>
      </c>
      <c r="C131" s="1" t="str">
        <f ca="1">IFERROR(__xludf.DUMMYFUNCTION("GOOGLETRANSLATE(B132,""en"",""ja"")"),"かもしれません")</f>
        <v>かもしれません</v>
      </c>
    </row>
    <row r="132" spans="1:3" ht="18" customHeight="1" x14ac:dyDescent="0.3">
      <c r="A132" s="1">
        <v>130</v>
      </c>
      <c r="B132" s="1" t="s">
        <v>124</v>
      </c>
      <c r="C132" s="1" t="str">
        <f ca="1">IFERROR(__xludf.DUMMYFUNCTION("GOOGLETRANSLATE(B133,""en"",""ja"")"),"ベース")</f>
        <v>ベース</v>
      </c>
    </row>
    <row r="133" spans="1:3" ht="18" customHeight="1" x14ac:dyDescent="0.3">
      <c r="A133" s="1">
        <v>125</v>
      </c>
      <c r="B133" s="1" t="s">
        <v>12</v>
      </c>
      <c r="C133" s="1" t="str">
        <f ca="1">IFERROR(__xludf.DUMMYFUNCTION("GOOGLETRANSLATE(B134,""en"",""ja"")"),"とともに")</f>
        <v>とともに</v>
      </c>
    </row>
    <row r="134" spans="1:3" ht="18" customHeight="1" x14ac:dyDescent="0.3">
      <c r="A134" s="1">
        <v>125</v>
      </c>
      <c r="B134" s="1" t="s">
        <v>125</v>
      </c>
      <c r="C134" s="1" t="str">
        <f ca="1">IFERROR(__xludf.DUMMYFUNCTION("GOOGLETRANSLATE(B135,""en"",""ja"")"),"上手")</f>
        <v>上手</v>
      </c>
    </row>
    <row r="135" spans="1:3" ht="18" customHeight="1" x14ac:dyDescent="0.3">
      <c r="A135" s="1">
        <v>124</v>
      </c>
      <c r="B135" s="1" t="s">
        <v>126</v>
      </c>
      <c r="C135" s="1" t="str">
        <f ca="1">IFERROR(__xludf.DUMMYFUNCTION("GOOGLETRANSLATE(B136,""en"",""ja"")"),"形")</f>
        <v>形</v>
      </c>
    </row>
    <row r="136" spans="1:3" ht="18" customHeight="1" x14ac:dyDescent="0.3">
      <c r="A136" s="1">
        <v>123</v>
      </c>
      <c r="B136" s="1" t="s">
        <v>127</v>
      </c>
      <c r="C136" s="1" t="str">
        <f ca="1">IFERROR(__xludf.DUMMYFUNCTION("GOOGLETRANSLATE(B137,""en"",""ja"")"),"取る")</f>
        <v>取る</v>
      </c>
    </row>
    <row r="137" spans="1:3" ht="18" customHeight="1" x14ac:dyDescent="0.3">
      <c r="A137" s="1">
        <v>122</v>
      </c>
      <c r="B137" s="1" t="s">
        <v>74</v>
      </c>
      <c r="C137" s="1" t="str">
        <f ca="1">IFERROR(__xludf.DUMMYFUNCTION("GOOGLETRANSLATE(B138,""en"",""ja"")"),"言語")</f>
        <v>言語</v>
      </c>
    </row>
    <row r="138" spans="1:3" ht="18" customHeight="1" x14ac:dyDescent="0.3">
      <c r="A138" s="1">
        <v>121</v>
      </c>
      <c r="B138" s="1" t="s">
        <v>128</v>
      </c>
      <c r="C138" s="1" t="str">
        <f ca="1">IFERROR(__xludf.DUMMYFUNCTION("GOOGLETRANSLATE(B139,""en"",""ja"")"),"世界")</f>
        <v>世界</v>
      </c>
    </row>
    <row r="139" spans="1:3" ht="18" customHeight="1" x14ac:dyDescent="0.3">
      <c r="A139" s="1">
        <v>121</v>
      </c>
      <c r="B139" s="1" t="s">
        <v>129</v>
      </c>
      <c r="C139" s="1" t="str">
        <f ca="1">IFERROR(__xludf.DUMMYFUNCTION("GOOGLETRANSLATE(B140,""en"",""ja"")"),"した")</f>
        <v>した</v>
      </c>
    </row>
    <row r="140" spans="1:3" ht="18" customHeight="1" x14ac:dyDescent="0.3">
      <c r="A140" s="1">
        <v>120</v>
      </c>
      <c r="B140" s="1" t="s">
        <v>130</v>
      </c>
      <c r="C140" s="1" t="str">
        <f ca="1">IFERROR(__xludf.DUMMYFUNCTION("GOOGLETRANSLATE(B141,""en"",""ja"")"),"個人")</f>
        <v>個人</v>
      </c>
    </row>
    <row r="141" spans="1:3" ht="18" customHeight="1" x14ac:dyDescent="0.3">
      <c r="A141" s="1">
        <v>117</v>
      </c>
      <c r="B141" s="1" t="s">
        <v>131</v>
      </c>
      <c r="C141" s="1" t="str">
        <f ca="1">IFERROR(__xludf.DUMMYFUNCTION("GOOGLETRANSLATE(B142,""en"",""ja"")"),"以内に")</f>
        <v>以内に</v>
      </c>
    </row>
    <row r="142" spans="1:3" ht="18" customHeight="1" x14ac:dyDescent="0.3">
      <c r="A142" s="1">
        <v>117</v>
      </c>
      <c r="B142" s="1" t="s">
        <v>132</v>
      </c>
      <c r="C142" s="1" t="str">
        <f ca="1">IFERROR(__xludf.DUMMYFUNCTION("GOOGLETRANSLATE(B143,""en"",""ja"")"),"ただ")</f>
        <v>ただ</v>
      </c>
    </row>
    <row r="143" spans="1:3" ht="18" customHeight="1" x14ac:dyDescent="0.3">
      <c r="A143" s="1">
        <v>115</v>
      </c>
      <c r="B143" s="1" t="s">
        <v>84</v>
      </c>
      <c r="C143" s="1" t="str">
        <f ca="1">IFERROR(__xludf.DUMMYFUNCTION("GOOGLETRANSLATE(B144,""en"",""ja"")"),"仕方")</f>
        <v>仕方</v>
      </c>
    </row>
    <row r="144" spans="1:3" ht="18" customHeight="1" x14ac:dyDescent="0.3">
      <c r="A144" s="1">
        <v>114</v>
      </c>
      <c r="B144" s="1" t="s">
        <v>133</v>
      </c>
      <c r="C144" s="1" t="str">
        <f ca="1">IFERROR(__xludf.DUMMYFUNCTION("GOOGLETRANSLATE(B145,""en"",""ja"")"),"注文")</f>
        <v>注文</v>
      </c>
    </row>
    <row r="145" spans="1:3" ht="18" customHeight="1" x14ac:dyDescent="0.3">
      <c r="A145" s="1">
        <v>113</v>
      </c>
      <c r="B145" s="1" t="s">
        <v>134</v>
      </c>
      <c r="C145" s="1" t="str">
        <f ca="1">IFERROR(__xludf.DUMMYFUNCTION("GOOGLETRANSLATE(B146,""en"",""ja"")"),"もっと少なく")</f>
        <v>もっと少なく</v>
      </c>
    </row>
    <row r="146" spans="1:3" ht="18" customHeight="1" x14ac:dyDescent="0.3">
      <c r="A146" s="1">
        <v>113</v>
      </c>
      <c r="B146" s="1" t="s">
        <v>135</v>
      </c>
      <c r="C146" s="1" t="str">
        <f ca="1">IFERROR(__xludf.DUMMYFUNCTION("GOOGLETRANSLATE(B147,""en"",""ja"")"),"コミュニケーション")</f>
        <v>コミュニケーション</v>
      </c>
    </row>
    <row r="147" spans="1:3" ht="18" customHeight="1" x14ac:dyDescent="0.3">
      <c r="A147" s="1">
        <v>112</v>
      </c>
      <c r="B147" s="1" t="s">
        <v>136</v>
      </c>
      <c r="C147" s="1" t="str">
        <f ca="1">IFERROR(__xludf.DUMMYFUNCTION("GOOGLETRANSLATE(B148,""en"",""ja"")"),"良い")</f>
        <v>良い</v>
      </c>
    </row>
    <row r="148" spans="1:3" ht="18" customHeight="1" x14ac:dyDescent="0.3">
      <c r="A148" s="1">
        <v>110</v>
      </c>
      <c r="B148" s="1" t="s">
        <v>125</v>
      </c>
      <c r="C148" s="1" t="str">
        <f ca="1">IFERROR(__xludf.DUMMYFUNCTION("GOOGLETRANSLATE(B149,""en"",""ja"")"),"上手")</f>
        <v>上手</v>
      </c>
    </row>
    <row r="149" spans="1:3" ht="18" customHeight="1" x14ac:dyDescent="0.3">
      <c r="A149" s="1">
        <v>110</v>
      </c>
      <c r="B149" s="1" t="s">
        <v>137</v>
      </c>
      <c r="C149" s="1" t="str">
        <f ca="1">IFERROR(__xludf.DUMMYFUNCTION("GOOGLETRANSLATE(B150,""en"",""ja"")"),"社会")</f>
        <v>社会</v>
      </c>
    </row>
    <row r="150" spans="1:3" ht="18" customHeight="1" x14ac:dyDescent="0.3">
      <c r="A150" s="1">
        <v>108</v>
      </c>
      <c r="B150" s="1" t="s">
        <v>138</v>
      </c>
      <c r="C150" s="1" t="str">
        <f ca="1">IFERROR(__xludf.DUMMYFUNCTION("GOOGLETRANSLATE(B151,""en"",""ja"")"),"彼女の")</f>
        <v>彼女の</v>
      </c>
    </row>
    <row r="151" spans="1:3" ht="18" customHeight="1" x14ac:dyDescent="0.3">
      <c r="A151" s="1">
        <v>108</v>
      </c>
      <c r="B151" s="1" t="s">
        <v>139</v>
      </c>
      <c r="C151" s="1" t="str">
        <f ca="1">IFERROR(__xludf.DUMMYFUNCTION("GOOGLETRANSLATE(B152,""en"",""ja"")"),"例")</f>
        <v>例</v>
      </c>
    </row>
    <row r="152" spans="1:3" ht="18" customHeight="1" x14ac:dyDescent="0.3">
      <c r="A152" s="1">
        <v>108</v>
      </c>
      <c r="B152" s="1" t="s">
        <v>140</v>
      </c>
      <c r="C152" s="1" t="str">
        <f ca="1">IFERROR(__xludf.DUMMYFUNCTION("GOOGLETRANSLATE(B153,""en"",""ja"")"),"別の")</f>
        <v>別の</v>
      </c>
    </row>
    <row r="153" spans="1:3" ht="18" customHeight="1" x14ac:dyDescent="0.3">
      <c r="A153" s="1">
        <v>106</v>
      </c>
      <c r="B153" s="1" t="s">
        <v>141</v>
      </c>
      <c r="C153" s="1" t="str">
        <f ca="1">IFERROR(__xludf.DUMMYFUNCTION("GOOGLETRANSLATE(B154,""en"",""ja"")"),"中古")</f>
        <v>中古</v>
      </c>
    </row>
    <row r="154" spans="1:3" ht="18" customHeight="1" x14ac:dyDescent="0.3">
      <c r="A154" s="1">
        <v>106</v>
      </c>
      <c r="B154" s="1" t="s">
        <v>142</v>
      </c>
      <c r="C154" s="1" t="str">
        <f ca="1">IFERROR(__xludf.DUMMYFUNCTION("GOOGLETRANSLATE(B155,""en"",""ja"")"),"自由主義")</f>
        <v>自由主義</v>
      </c>
    </row>
    <row r="155" spans="1:3" ht="18" customHeight="1" x14ac:dyDescent="0.3">
      <c r="A155" s="1">
        <v>106</v>
      </c>
      <c r="B155" s="1" t="s">
        <v>143</v>
      </c>
      <c r="C155" s="1" t="str">
        <f ca="1">IFERROR(__xludf.DUMMYFUNCTION("GOOGLETRANSLATE(B156,""en"",""ja"")"),"文化")</f>
        <v>文化</v>
      </c>
    </row>
    <row r="156" spans="1:3" ht="18" customHeight="1" x14ac:dyDescent="0.3">
      <c r="A156" s="1">
        <v>105</v>
      </c>
      <c r="B156" s="1" t="s">
        <v>144</v>
      </c>
      <c r="C156" s="1" t="str">
        <f ca="1">IFERROR(__xludf.DUMMYFUNCTION("GOOGLETRANSLATE(B157,""en"",""ja"")"),"トン")</f>
        <v>トン</v>
      </c>
    </row>
    <row r="157" spans="1:3" ht="18" customHeight="1" x14ac:dyDescent="0.3">
      <c r="A157" s="1">
        <v>104</v>
      </c>
      <c r="B157" s="1" t="s">
        <v>128</v>
      </c>
      <c r="C157" s="1" t="str">
        <f ca="1">IFERROR(__xludf.DUMMYFUNCTION("GOOGLETRANSLATE(B158,""en"",""ja"")"),"世界")</f>
        <v>世界</v>
      </c>
    </row>
    <row r="158" spans="1:3" ht="18" customHeight="1" x14ac:dyDescent="0.3">
      <c r="A158" s="1">
        <v>104</v>
      </c>
      <c r="B158" s="1" t="s">
        <v>145</v>
      </c>
      <c r="C158" s="1" t="str">
        <f ca="1">IFERROR(__xludf.DUMMYFUNCTION("GOOGLETRANSLATE(B159,""en"",""ja"")"),"部")</f>
        <v>部</v>
      </c>
    </row>
    <row r="159" spans="1:3" ht="18" customHeight="1" x14ac:dyDescent="0.3">
      <c r="A159" s="1">
        <v>103</v>
      </c>
      <c r="B159" s="1" t="s">
        <v>76</v>
      </c>
      <c r="C159" s="1" t="str">
        <f ca="1">IFERROR(__xludf.DUMMYFUNCTION("GOOGLETRANSLATE(B160,""en"",""ja"")"),"それら")</f>
        <v>それら</v>
      </c>
    </row>
    <row r="160" spans="1:3" ht="18" customHeight="1" x14ac:dyDescent="0.3">
      <c r="A160" s="1">
        <v>103</v>
      </c>
      <c r="B160" s="1" t="s">
        <v>146</v>
      </c>
      <c r="C160" s="1" t="str">
        <f ca="1">IFERROR(__xludf.DUMMYFUNCTION("GOOGLETRANSLATE(B161,""en"",""ja"")"),"種")</f>
        <v>種</v>
      </c>
    </row>
    <row r="161" spans="1:3" ht="18" customHeight="1" x14ac:dyDescent="0.3">
      <c r="A161" s="1">
        <v>103</v>
      </c>
      <c r="B161" s="1" t="s">
        <v>147</v>
      </c>
      <c r="C161" s="1" t="str">
        <f ca="1">IFERROR(__xludf.DUMMYFUNCTION("GOOGLETRANSLATE(B162,""en"",""ja"")"),"見る")</f>
        <v>見る</v>
      </c>
    </row>
    <row r="162" spans="1:3" ht="18" customHeight="1" x14ac:dyDescent="0.3">
      <c r="A162" s="1">
        <v>103</v>
      </c>
      <c r="B162" s="1" t="s">
        <v>148</v>
      </c>
      <c r="C162" s="1" t="str">
        <f ca="1">IFERROR(__xludf.DUMMYFUNCTION("GOOGLETRANSLATE(B163,""en"",""ja"")"),"人口")</f>
        <v>人口</v>
      </c>
    </row>
    <row r="163" spans="1:3" ht="18" customHeight="1" x14ac:dyDescent="0.3">
      <c r="A163" s="1">
        <v>102</v>
      </c>
      <c r="B163" s="1" t="s">
        <v>149</v>
      </c>
      <c r="C163" s="1" t="str">
        <f ca="1">IFERROR(__xludf.DUMMYFUNCTION("GOOGLETRANSLATE(B164,""en"",""ja"")"),"後に")</f>
        <v>後に</v>
      </c>
    </row>
    <row r="164" spans="1:3" ht="18" customHeight="1" x14ac:dyDescent="0.3">
      <c r="A164" s="1">
        <v>101</v>
      </c>
      <c r="B164" s="1" t="s">
        <v>150</v>
      </c>
      <c r="C164" s="1" t="str">
        <f ca="1">IFERROR(__xludf.DUMMYFUNCTION("GOOGLETRANSLATE(B165,""en"",""ja"")"),"やはり")</f>
        <v>やはり</v>
      </c>
    </row>
    <row r="165" spans="1:3" ht="18" customHeight="1" x14ac:dyDescent="0.3">
      <c r="A165" s="1">
        <v>101</v>
      </c>
      <c r="B165" s="1" t="s">
        <v>151</v>
      </c>
      <c r="C165" s="1" t="str">
        <f ca="1">IFERROR(__xludf.DUMMYFUNCTION("GOOGLETRANSLATE(B166,""en"",""ja"")"),"かなり")</f>
        <v>かなり</v>
      </c>
    </row>
    <row r="166" spans="1:3" ht="18" customHeight="1" x14ac:dyDescent="0.3">
      <c r="A166" s="1">
        <v>101</v>
      </c>
      <c r="B166" s="1" t="s">
        <v>152</v>
      </c>
      <c r="C166" s="1" t="str">
        <f ca="1">IFERROR(__xludf.DUMMYFUNCTION("GOOGLETRANSLATE(B167,""en"",""ja"")"),"動物")</f>
        <v>動物</v>
      </c>
    </row>
    <row r="167" spans="1:3" ht="18" customHeight="1" x14ac:dyDescent="0.3">
      <c r="A167" s="1">
        <v>100</v>
      </c>
      <c r="B167" s="1" t="s">
        <v>153</v>
      </c>
      <c r="C167" s="1" t="str">
        <f ca="1">IFERROR(__xludf.DUMMYFUNCTION("GOOGLETRANSLATE(B168,""en"",""ja"")"),"リーダーシップ")</f>
        <v>リーダーシップ</v>
      </c>
    </row>
    <row r="168" spans="1:3" ht="18" customHeight="1" x14ac:dyDescent="0.3">
      <c r="A168" s="1">
        <v>99</v>
      </c>
      <c r="B168" s="1" t="s">
        <v>154</v>
      </c>
      <c r="C168" s="1" t="str">
        <f ca="1">IFERROR(__xludf.DUMMYFUNCTION("GOOGLETRANSLATE(B169,""en"",""ja"")"),"動物")</f>
        <v>動物</v>
      </c>
    </row>
    <row r="169" spans="1:3" ht="18" customHeight="1" x14ac:dyDescent="0.3">
      <c r="A169" s="1">
        <v>98</v>
      </c>
      <c r="B169" s="1" t="s">
        <v>155</v>
      </c>
      <c r="C169" s="1" t="str">
        <f ca="1">IFERROR(__xludf.DUMMYFUNCTION("GOOGLETRANSLATE(B170,""en"",""ja"")"),"理論")</f>
        <v>理論</v>
      </c>
    </row>
    <row r="170" spans="1:3" ht="18" customHeight="1" x14ac:dyDescent="0.3">
      <c r="A170" s="1">
        <v>98</v>
      </c>
      <c r="B170" s="1" t="s">
        <v>156</v>
      </c>
      <c r="C170" s="1" t="str">
        <f ca="1">IFERROR(__xludf.DUMMYFUNCTION("GOOGLETRANSLATE(B171,""en"",""ja"")"),"可能")</f>
        <v>可能</v>
      </c>
    </row>
    <row r="171" spans="1:3" ht="18" customHeight="1" x14ac:dyDescent="0.3">
      <c r="A171" s="1">
        <v>98</v>
      </c>
      <c r="B171" s="1" t="s">
        <v>157</v>
      </c>
      <c r="C171" s="1" t="str">
        <f ca="1">IFERROR(__xludf.DUMMYFUNCTION("GOOGLETRANSLATE(B172,""en"",""ja"")"),"常に")</f>
        <v>常に</v>
      </c>
    </row>
    <row r="172" spans="1:3" ht="18" customHeight="1" x14ac:dyDescent="0.3">
      <c r="A172" s="1">
        <v>97</v>
      </c>
      <c r="B172" s="1" t="s">
        <v>158</v>
      </c>
      <c r="C172" s="1" t="str">
        <f ca="1">IFERROR(__xludf.DUMMYFUNCTION("GOOGLETRANSLATE(B173,""en"",""ja"")"),"ユニバーサル")</f>
        <v>ユニバーサル</v>
      </c>
    </row>
    <row r="173" spans="1:3" ht="18" customHeight="1" x14ac:dyDescent="0.3">
      <c r="A173" s="1">
        <v>97</v>
      </c>
      <c r="B173" s="1" t="s">
        <v>159</v>
      </c>
      <c r="C173" s="1" t="str">
        <f ca="1">IFERROR(__xludf.DUMMYFUNCTION("GOOGLETRANSLATE(B174,""en"",""ja"")"),"問題")</f>
        <v>問題</v>
      </c>
    </row>
    <row r="174" spans="1:3" ht="18" customHeight="1" x14ac:dyDescent="0.3">
      <c r="A174" s="1">
        <v>97</v>
      </c>
      <c r="B174" s="1" t="s">
        <v>160</v>
      </c>
      <c r="C174" s="1" t="str">
        <f ca="1">IFERROR(__xludf.DUMMYFUNCTION("GOOGLETRANSLATE(B175,""en"",""ja"")"),"リーダー")</f>
        <v>リーダー</v>
      </c>
    </row>
    <row r="175" spans="1:3" ht="18" customHeight="1" x14ac:dyDescent="0.3">
      <c r="A175" s="1">
        <v>97</v>
      </c>
      <c r="B175" s="1" t="s">
        <v>161</v>
      </c>
      <c r="C175" s="1" t="str">
        <f ca="1">IFERROR(__xludf.DUMMYFUNCTION("GOOGLETRANSLATE(B176,""en"",""ja"")"),"経済の")</f>
        <v>経済の</v>
      </c>
    </row>
    <row r="176" spans="1:3" ht="18" customHeight="1" x14ac:dyDescent="0.3">
      <c r="A176" s="1">
        <v>97</v>
      </c>
      <c r="B176" s="1" t="s">
        <v>162</v>
      </c>
      <c r="C176" s="1" t="str">
        <f ca="1">IFERROR(__xludf.DUMMYFUNCTION("GOOGLETRANSLATE(B177,""en"",""ja"")"),"に対して")</f>
        <v>に対して</v>
      </c>
    </row>
    <row r="177" spans="1:3" ht="18" customHeight="1" x14ac:dyDescent="0.3">
      <c r="A177" s="1">
        <v>96</v>
      </c>
      <c r="B177" s="1" t="s">
        <v>163</v>
      </c>
      <c r="C177" s="1" t="str">
        <f ca="1">IFERROR(__xludf.DUMMYFUNCTION("GOOGLETRANSLATE(B178,""en"",""ja"")"),"研究")</f>
        <v>研究</v>
      </c>
    </row>
    <row r="178" spans="1:3" ht="18" customHeight="1" x14ac:dyDescent="0.3">
      <c r="A178" s="1">
        <v>96</v>
      </c>
      <c r="B178" s="1" t="s">
        <v>164</v>
      </c>
      <c r="C178" s="1" t="str">
        <f ca="1">IFERROR(__xludf.DUMMYFUNCTION("GOOGLETRANSLATE(B179,""en"",""ja"")"),"パワー")</f>
        <v>パワー</v>
      </c>
    </row>
    <row r="179" spans="1:3" ht="18" customHeight="1" x14ac:dyDescent="0.3">
      <c r="A179" s="1">
        <v>96</v>
      </c>
      <c r="B179" s="1" t="s">
        <v>165</v>
      </c>
      <c r="C179" s="1" t="str">
        <f ca="1">IFERROR(__xludf.DUMMYFUNCTION("GOOGLETRANSLATE(B180,""en"",""ja"")"),"助けて")</f>
        <v>助けて</v>
      </c>
    </row>
    <row r="180" spans="1:3" ht="18" customHeight="1" x14ac:dyDescent="0.3">
      <c r="A180" s="1">
        <v>96</v>
      </c>
      <c r="B180" s="1" t="s">
        <v>166</v>
      </c>
      <c r="C180" s="1" t="str">
        <f ca="1">IFERROR(__xludf.DUMMYFUNCTION("GOOGLETRANSLATE(B181,""en"",""ja"")"),"すごい")</f>
        <v>すごい</v>
      </c>
    </row>
    <row r="181" spans="1:3" ht="18" customHeight="1" x14ac:dyDescent="0.3">
      <c r="A181" s="1">
        <v>95</v>
      </c>
      <c r="B181" s="1" t="s">
        <v>167</v>
      </c>
      <c r="C181" s="1" t="str">
        <f ca="1">IFERROR(__xludf.DUMMYFUNCTION("GOOGLETRANSLATE(B182,""en"",""ja"")"),"世紀")</f>
        <v>世紀</v>
      </c>
    </row>
    <row r="182" spans="1:3" ht="18" customHeight="1" x14ac:dyDescent="0.3">
      <c r="A182" s="1">
        <v>95</v>
      </c>
      <c r="B182" s="1" t="s">
        <v>168</v>
      </c>
      <c r="C182" s="1" t="str">
        <f ca="1">IFERROR(__xludf.DUMMYFUNCTION("GOOGLETRANSLATE(B183,""en"",""ja"")"),"ベスト")</f>
        <v>ベスト</v>
      </c>
    </row>
    <row r="183" spans="1:3" ht="18" customHeight="1" x14ac:dyDescent="0.3">
      <c r="A183" s="1">
        <v>94</v>
      </c>
      <c r="B183" s="1" t="s">
        <v>109</v>
      </c>
      <c r="C183" s="1" t="str">
        <f ca="1">IFERROR(__xludf.DUMMYFUNCTION("GOOGLETRANSLATE(B184,""en"",""ja"")"),"環境")</f>
        <v>環境</v>
      </c>
    </row>
    <row r="184" spans="1:3" ht="18" customHeight="1" x14ac:dyDescent="0.3">
      <c r="A184" s="1">
        <v>93</v>
      </c>
      <c r="B184" s="1" t="s">
        <v>169</v>
      </c>
      <c r="C184" s="1" t="str">
        <f ca="1">IFERROR(__xludf.DUMMYFUNCTION("GOOGLETRANSLATE(B185,""en"",""ja"")"),"問題")</f>
        <v>問題</v>
      </c>
    </row>
    <row r="185" spans="1:3" ht="18" customHeight="1" x14ac:dyDescent="0.3">
      <c r="A185" s="1">
        <v>93</v>
      </c>
      <c r="B185" s="1" t="s">
        <v>170</v>
      </c>
      <c r="C185" s="1" t="str">
        <f ca="1">IFERROR(__xludf.DUMMYFUNCTION("GOOGLETRANSLATE(B186,""en"",""ja"")"),"考え")</f>
        <v>考え</v>
      </c>
    </row>
    <row r="186" spans="1:3" ht="18" customHeight="1" x14ac:dyDescent="0.3">
      <c r="A186" s="1">
        <v>93</v>
      </c>
      <c r="B186" s="1" t="s">
        <v>171</v>
      </c>
      <c r="C186" s="1" t="str">
        <f ca="1">IFERROR(__xludf.DUMMYFUNCTION("GOOGLETRANSLATE(B187,""en"",""ja"")"),"遺伝子の")</f>
        <v>遺伝子の</v>
      </c>
    </row>
    <row r="187" spans="1:3" ht="18" customHeight="1" x14ac:dyDescent="0.3">
      <c r="A187" s="1">
        <v>93</v>
      </c>
      <c r="B187" s="1" t="s">
        <v>172</v>
      </c>
      <c r="C187" s="1" t="str">
        <f ca="1">IFERROR(__xludf.DUMMYFUNCTION("GOOGLETRANSLATE(B188,""en"",""ja"")"),"遥か")</f>
        <v>遥か</v>
      </c>
    </row>
    <row r="188" spans="1:3" ht="18" customHeight="1" x14ac:dyDescent="0.3">
      <c r="A188" s="1">
        <v>93</v>
      </c>
      <c r="B188" s="1" t="s">
        <v>173</v>
      </c>
      <c r="C188" s="1" t="str">
        <f ca="1">IFERROR(__xludf.DUMMYFUNCTION("GOOGLETRANSLATE(B189,""en"",""ja"")"),"エル")</f>
        <v>エル</v>
      </c>
    </row>
    <row r="189" spans="1:3" ht="18" customHeight="1" x14ac:dyDescent="0.3">
      <c r="A189" s="1">
        <v>93</v>
      </c>
      <c r="B189" s="1" t="s">
        <v>174</v>
      </c>
      <c r="C189" s="1" t="str">
        <f ca="1">IFERROR(__xludf.DUMMYFUNCTION("GOOGLETRANSLATE(B190,""en"",""ja"")"),"論文")</f>
        <v>論文</v>
      </c>
    </row>
    <row r="190" spans="1:3" ht="18" customHeight="1" x14ac:dyDescent="0.3">
      <c r="A190" s="1">
        <v>92</v>
      </c>
      <c r="B190" s="1" t="s">
        <v>175</v>
      </c>
      <c r="C190" s="1" t="str">
        <f ca="1">IFERROR(__xludf.DUMMYFUNCTION("GOOGLETRANSLATE(B191,""en"",""ja"")"),"ソース")</f>
        <v>ソース</v>
      </c>
    </row>
    <row r="191" spans="1:3" ht="18" customHeight="1" x14ac:dyDescent="0.3">
      <c r="A191" s="1">
        <v>92</v>
      </c>
      <c r="B191" s="1" t="s">
        <v>176</v>
      </c>
      <c r="C191" s="1" t="str">
        <f ca="1">IFERROR(__xludf.DUMMYFUNCTION("GOOGLETRANSLATE(B192,""en"",""ja"")"),"彼女")</f>
        <v>彼女</v>
      </c>
    </row>
    <row r="192" spans="1:3" ht="18" customHeight="1" x14ac:dyDescent="0.3">
      <c r="A192" s="1">
        <v>91</v>
      </c>
      <c r="B192" s="1" t="s">
        <v>177</v>
      </c>
      <c r="C192" s="1" t="str">
        <f ca="1">IFERROR(__xludf.DUMMYFUNCTION("GOOGLETRANSLATE(B193,""en"",""ja"")"),"なぜ")</f>
        <v>なぜ</v>
      </c>
    </row>
    <row r="193" spans="1:3" ht="18" customHeight="1" x14ac:dyDescent="0.3">
      <c r="A193" s="1">
        <v>91</v>
      </c>
      <c r="B193" s="1" t="s">
        <v>178</v>
      </c>
      <c r="C193" s="1" t="str">
        <f ca="1">IFERROR(__xludf.DUMMYFUNCTION("GOOGLETRANSLATE(B194,""en"",""ja"")"),"段落")</f>
        <v>段落</v>
      </c>
    </row>
    <row r="194" spans="1:3" ht="18" customHeight="1" x14ac:dyDescent="0.3">
      <c r="A194" s="1">
        <v>91</v>
      </c>
      <c r="B194" s="1" t="s">
        <v>179</v>
      </c>
      <c r="C194" s="1" t="str">
        <f ca="1">IFERROR(__xludf.DUMMYFUNCTION("GOOGLETRANSLATE(B195,""en"",""ja"")"),"生活")</f>
        <v>生活</v>
      </c>
    </row>
    <row r="195" spans="1:3" ht="18" customHeight="1" x14ac:dyDescent="0.3">
      <c r="A195" s="1">
        <v>91</v>
      </c>
      <c r="B195" s="1" t="s">
        <v>180</v>
      </c>
      <c r="C195" s="1" t="str">
        <f ca="1">IFERROR(__xludf.DUMMYFUNCTION("GOOGLETRANSLATE(B196,""en"",""ja"")"),"学びます")</f>
        <v>学びます</v>
      </c>
    </row>
    <row r="196" spans="1:3" ht="18" customHeight="1" x14ac:dyDescent="0.3">
      <c r="A196" s="1">
        <v>91</v>
      </c>
      <c r="B196" s="1" t="s">
        <v>85</v>
      </c>
      <c r="C196" s="1" t="str">
        <f ca="1">IFERROR(__xludf.DUMMYFUNCTION("GOOGLETRANSLATE(B197,""en"",""ja"")"),"子")</f>
        <v>子</v>
      </c>
    </row>
    <row r="197" spans="1:3" ht="18" customHeight="1" x14ac:dyDescent="0.3">
      <c r="A197" s="1">
        <v>90</v>
      </c>
      <c r="B197" s="1" t="s">
        <v>181</v>
      </c>
      <c r="C197" s="1" t="str">
        <f ca="1">IFERROR(__xludf.DUMMYFUNCTION("GOOGLETRANSLATE(B198,""en"",""ja"")"),"何か")</f>
        <v>何か</v>
      </c>
    </row>
    <row r="198" spans="1:3" ht="18" customHeight="1" x14ac:dyDescent="0.3">
      <c r="A198" s="1">
        <v>90</v>
      </c>
      <c r="B198" s="1" t="s">
        <v>182</v>
      </c>
      <c r="C198" s="1" t="str">
        <f ca="1">IFERROR(__xludf.DUMMYFUNCTION("GOOGLETRANSLATE(B199,""en"",""ja"")"),"製")</f>
        <v>製</v>
      </c>
    </row>
    <row r="199" spans="1:3" ht="18" customHeight="1" x14ac:dyDescent="0.3">
      <c r="A199" s="1">
        <v>90</v>
      </c>
      <c r="B199" s="1" t="s">
        <v>183</v>
      </c>
      <c r="C199" s="1" t="str">
        <f ca="1">IFERROR(__xludf.DUMMYFUNCTION("GOOGLETRANSLATE(B200,""en"",""ja"")"),"環境の")</f>
        <v>環境の</v>
      </c>
    </row>
    <row r="200" spans="1:3" ht="18" customHeight="1" x14ac:dyDescent="0.3">
      <c r="A200" s="1">
        <v>89</v>
      </c>
      <c r="B200" s="1" t="s">
        <v>184</v>
      </c>
      <c r="C200" s="1" t="str">
        <f ca="1">IFERROR(__xludf.DUMMYFUNCTION("GOOGLETRANSLATE(B201,""en"",""ja"")"),"方へ")</f>
        <v>方へ</v>
      </c>
    </row>
    <row r="201" spans="1:3" ht="18" customHeight="1" x14ac:dyDescent="0.3">
      <c r="A201" s="1">
        <v>89</v>
      </c>
      <c r="B201" s="1" t="s">
        <v>185</v>
      </c>
      <c r="C201" s="1" t="str">
        <f ca="1">IFERROR(__xludf.DUMMYFUNCTION("GOOGLETRANSLATE(B202,""en"",""ja"")"),"来ます")</f>
        <v>来ます</v>
      </c>
    </row>
    <row r="202" spans="1:3" ht="18" customHeight="1" x14ac:dyDescent="0.3">
      <c r="A202" s="1">
        <v>89</v>
      </c>
      <c r="B202" s="1" t="s">
        <v>186</v>
      </c>
      <c r="C202" s="1" t="str">
        <f ca="1">IFERROR(__xludf.DUMMYFUNCTION("GOOGLETRANSLATE(B203,""en"",""ja"")"),"できません")</f>
        <v>できません</v>
      </c>
    </row>
    <row r="203" spans="1:3" ht="18" customHeight="1" x14ac:dyDescent="0.3">
      <c r="A203" s="1">
        <v>88</v>
      </c>
      <c r="B203" s="1" t="s">
        <v>187</v>
      </c>
      <c r="C203" s="1" t="str">
        <f ca="1">IFERROR(__xludf.DUMMYFUNCTION("GOOGLETRANSLATE(B204,""en"",""ja"")"),"考えます")</f>
        <v>考えます</v>
      </c>
    </row>
    <row r="204" spans="1:3" ht="18" customHeight="1" x14ac:dyDescent="0.3">
      <c r="A204" s="1">
        <v>88</v>
      </c>
      <c r="B204" s="1" t="s">
        <v>188</v>
      </c>
      <c r="C204" s="1" t="str">
        <f ca="1">IFERROR(__xludf.DUMMYFUNCTION("GOOGLETRANSLATE(B205,""en"",""ja"")"),"システム")</f>
        <v>システム</v>
      </c>
    </row>
    <row r="205" spans="1:3" ht="18" customHeight="1" x14ac:dyDescent="0.3">
      <c r="A205" s="1">
        <v>88</v>
      </c>
      <c r="B205" s="1" t="s">
        <v>15</v>
      </c>
      <c r="C205" s="1" t="str">
        <f ca="1">IFERROR(__xludf.DUMMYFUNCTION("GOOGLETRANSLATE(B206,""en"",""ja"")"),"オン")</f>
        <v>オン</v>
      </c>
    </row>
    <row r="206" spans="1:3" ht="18" customHeight="1" x14ac:dyDescent="0.3">
      <c r="A206" s="1">
        <v>88</v>
      </c>
      <c r="B206" s="1" t="s">
        <v>189</v>
      </c>
      <c r="C206" s="1" t="str">
        <f ca="1">IFERROR(__xludf.DUMMYFUNCTION("GOOGLETRANSLATE(B207,""en"",""ja"")"),"発展した")</f>
        <v>発展した</v>
      </c>
    </row>
    <row r="207" spans="1:3" ht="18" customHeight="1" x14ac:dyDescent="0.3">
      <c r="A207" s="1">
        <v>87</v>
      </c>
      <c r="B207" s="1" t="s">
        <v>190</v>
      </c>
      <c r="C207" s="1" t="str">
        <f ca="1">IFERROR(__xludf.DUMMYFUNCTION("GOOGLETRANSLATE(B208,""en"",""ja"")"),"それから")</f>
        <v>それから</v>
      </c>
    </row>
    <row r="208" spans="1:3" ht="18" customHeight="1" x14ac:dyDescent="0.3">
      <c r="A208" s="1">
        <v>87</v>
      </c>
      <c r="B208" s="1" t="s">
        <v>191</v>
      </c>
      <c r="C208" s="1" t="str">
        <f ca="1">IFERROR(__xludf.DUMMYFUNCTION("GOOGLETRANSLATE(B209,""en"",""ja"")"),"個人的な")</f>
        <v>個人的な</v>
      </c>
    </row>
    <row r="209" spans="1:3" ht="18" customHeight="1" x14ac:dyDescent="0.3">
      <c r="A209" s="1">
        <v>87</v>
      </c>
      <c r="B209" s="1" t="s">
        <v>192</v>
      </c>
      <c r="C209" s="1" t="str">
        <f ca="1">IFERROR(__xludf.DUMMYFUNCTION("GOOGLETRANSLATE(B210,""en"",""ja"")"),"祭り")</f>
        <v>祭り</v>
      </c>
    </row>
    <row r="210" spans="1:3" ht="18" customHeight="1" x14ac:dyDescent="0.3">
      <c r="A210" s="1">
        <v>87</v>
      </c>
      <c r="B210" s="1" t="s">
        <v>135</v>
      </c>
      <c r="C210" s="1" t="str">
        <f ca="1">IFERROR(__xludf.DUMMYFUNCTION("GOOGLETRANSLATE(B211,""en"",""ja"")"),"コミュニケーション")</f>
        <v>コミュニケーション</v>
      </c>
    </row>
    <row r="211" spans="1:3" ht="18" customHeight="1" x14ac:dyDescent="0.3">
      <c r="A211" s="1">
        <v>86</v>
      </c>
      <c r="B211" s="1" t="s">
        <v>193</v>
      </c>
      <c r="C211" s="1" t="str">
        <f ca="1">IFERROR(__xludf.DUMMYFUNCTION("GOOGLETRANSLATE(B212,""en"",""ja"")"),"どこ")</f>
        <v>どこ</v>
      </c>
    </row>
    <row r="212" spans="1:3" ht="18" customHeight="1" x14ac:dyDescent="0.3">
      <c r="A212" s="1">
        <v>86</v>
      </c>
      <c r="B212" s="1" t="s">
        <v>194</v>
      </c>
      <c r="C212" s="1" t="str">
        <f ca="1">IFERROR(__xludf.DUMMYFUNCTION("GOOGLETRANSLATE(B213,""en"",""ja"")"),"リアル")</f>
        <v>リアル</v>
      </c>
    </row>
    <row r="213" spans="1:3" ht="18" customHeight="1" x14ac:dyDescent="0.3">
      <c r="A213" s="1">
        <v>86</v>
      </c>
      <c r="B213" s="1" t="s">
        <v>195</v>
      </c>
      <c r="C213" s="1" t="str">
        <f ca="1">IFERROR(__xludf.DUMMYFUNCTION("GOOGLETRANSLATE(B214,""en"",""ja"")"),"よりよいです")</f>
        <v>よりよいです</v>
      </c>
    </row>
    <row r="214" spans="1:3" ht="18" customHeight="1" x14ac:dyDescent="0.3">
      <c r="A214" s="1">
        <v>85</v>
      </c>
      <c r="B214" s="1" t="s">
        <v>196</v>
      </c>
      <c r="C214" s="1" t="str">
        <f ca="1">IFERROR(__xludf.DUMMYFUNCTION("GOOGLETRANSLATE(B215,""en"",""ja"")"),"処理する")</f>
        <v>処理する</v>
      </c>
    </row>
    <row r="215" spans="1:3" ht="18" customHeight="1" x14ac:dyDescent="0.3">
      <c r="A215" s="1">
        <v>85</v>
      </c>
      <c r="B215" s="1" t="s">
        <v>197</v>
      </c>
      <c r="C215" s="1" t="str">
        <f ca="1">IFERROR(__xludf.DUMMYFUNCTION("GOOGLETRANSLATE(B216,""en"",""ja"")"),"必要")</f>
        <v>必要</v>
      </c>
    </row>
    <row r="216" spans="1:3" ht="18" customHeight="1" x14ac:dyDescent="0.3">
      <c r="A216" s="1">
        <v>85</v>
      </c>
      <c r="B216" s="1" t="s">
        <v>198</v>
      </c>
      <c r="C216" s="1" t="str">
        <f ca="1">IFERROR(__xludf.DUMMYFUNCTION("GOOGLETRANSLATE(B217,""en"",""ja"")"),"恐らく")</f>
        <v>恐らく</v>
      </c>
    </row>
    <row r="217" spans="1:3" ht="18" customHeight="1" x14ac:dyDescent="0.3">
      <c r="A217" s="1">
        <v>85</v>
      </c>
      <c r="B217" s="1" t="s">
        <v>60</v>
      </c>
      <c r="C217" s="1" t="str">
        <f ca="1">IFERROR(__xludf.DUMMYFUNCTION("GOOGLETRANSLATE(B218,""en"",""ja"")"),"行う")</f>
        <v>行う</v>
      </c>
    </row>
    <row r="218" spans="1:3" ht="18" customHeight="1" x14ac:dyDescent="0.3">
      <c r="A218" s="1">
        <v>85</v>
      </c>
      <c r="B218" s="1" t="s">
        <v>199</v>
      </c>
      <c r="C218" s="1" t="str">
        <f ca="1">IFERROR(__xludf.DUMMYFUNCTION("GOOGLETRANSLATE(B219,""en"",""ja"")"),"であるが")</f>
        <v>であるが</v>
      </c>
    </row>
    <row r="219" spans="1:3" ht="18" customHeight="1" x14ac:dyDescent="0.3">
      <c r="A219" s="1">
        <v>84</v>
      </c>
      <c r="B219" s="1" t="s">
        <v>200</v>
      </c>
      <c r="C219" s="1" t="str">
        <f ca="1">IFERROR(__xludf.DUMMYFUNCTION("GOOGLETRANSLATE(B220,""en"",""ja"")"),"調査")</f>
        <v>調査</v>
      </c>
    </row>
    <row r="220" spans="1:3" ht="18" customHeight="1" x14ac:dyDescent="0.3">
      <c r="A220" s="1">
        <v>84</v>
      </c>
      <c r="B220" s="1" t="s">
        <v>201</v>
      </c>
      <c r="C220" s="1" t="str">
        <f ca="1">IFERROR(__xludf.DUMMYFUNCTION("GOOGLETRANSLATE(B221,""en"",""ja"")"),"民事上")</f>
        <v>民事上</v>
      </c>
    </row>
    <row r="221" spans="1:3" ht="18" customHeight="1" x14ac:dyDescent="0.3">
      <c r="A221" s="1">
        <v>84</v>
      </c>
      <c r="B221" s="1" t="s">
        <v>202</v>
      </c>
      <c r="C221" s="1" t="str">
        <f ca="1">IFERROR(__xludf.DUMMYFUNCTION("GOOGLETRANSLATE(B222,""en"",""ja"")"),"できます")</f>
        <v>できます</v>
      </c>
    </row>
    <row r="222" spans="1:3" ht="18" customHeight="1" x14ac:dyDescent="0.3">
      <c r="A222" s="1">
        <v>83</v>
      </c>
      <c r="B222" s="1" t="s">
        <v>203</v>
      </c>
      <c r="C222" s="1" t="str">
        <f ca="1">IFERROR(__xludf.DUMMYFUNCTION("GOOGLETRANSLATE(B223,""en"",""ja"")"),"未来")</f>
        <v>未来</v>
      </c>
    </row>
    <row r="223" spans="1:3" ht="18" customHeight="1" x14ac:dyDescent="0.3">
      <c r="A223" s="1">
        <v>83</v>
      </c>
      <c r="B223" s="1" t="s">
        <v>204</v>
      </c>
      <c r="C223" s="1" t="str">
        <f ca="1">IFERROR(__xludf.DUMMYFUNCTION("GOOGLETRANSLATE(B224,""en"",""ja"")"),"文化的")</f>
        <v>文化的</v>
      </c>
    </row>
    <row r="224" spans="1:3" ht="18" customHeight="1" x14ac:dyDescent="0.3">
      <c r="A224" s="1">
        <v>82</v>
      </c>
      <c r="B224" s="1" t="s">
        <v>205</v>
      </c>
      <c r="C224" s="1" t="str">
        <f ca="1">IFERROR(__xludf.DUMMYFUNCTION("GOOGLETRANSLATE(B225,""en"",""ja"")"),"同時に")</f>
        <v>同時に</v>
      </c>
    </row>
    <row r="225" spans="1:3" ht="18" customHeight="1" x14ac:dyDescent="0.3">
      <c r="A225" s="1">
        <v>82</v>
      </c>
      <c r="B225" s="1" t="s">
        <v>206</v>
      </c>
      <c r="C225" s="1" t="str">
        <f ca="1">IFERROR(__xludf.DUMMYFUNCTION("GOOGLETRANSLATE(B226,""en"",""ja"")"),"間に")</f>
        <v>間に</v>
      </c>
    </row>
    <row r="226" spans="1:3" ht="18" customHeight="1" x14ac:dyDescent="0.3">
      <c r="A226" s="1">
        <v>82</v>
      </c>
      <c r="B226" s="1" t="s">
        <v>207</v>
      </c>
      <c r="C226" s="1" t="str">
        <f ca="1">IFERROR(__xludf.DUMMYFUNCTION("GOOGLETRANSLATE(B227,""en"",""ja"")"),"作ります")</f>
        <v>作ります</v>
      </c>
    </row>
    <row r="227" spans="1:3" ht="18" customHeight="1" x14ac:dyDescent="0.3">
      <c r="A227" s="1">
        <v>81</v>
      </c>
      <c r="B227" s="1" t="s">
        <v>208</v>
      </c>
      <c r="C227" s="1" t="str">
        <f ca="1">IFERROR(__xludf.DUMMYFUNCTION("GOOGLETRANSLATE(B228,""en"",""ja"")"),"期間")</f>
        <v>期間</v>
      </c>
    </row>
    <row r="228" spans="1:3" ht="18" customHeight="1" x14ac:dyDescent="0.3">
      <c r="A228" s="1">
        <v>81</v>
      </c>
      <c r="B228" s="1" t="s">
        <v>209</v>
      </c>
      <c r="C228" s="1" t="str">
        <f ca="1">IFERROR(__xludf.DUMMYFUNCTION("GOOGLETRANSLATE(B229,""en"",""ja"")"),"小さい")</f>
        <v>小さい</v>
      </c>
    </row>
    <row r="229" spans="1:3" ht="18" customHeight="1" x14ac:dyDescent="0.3">
      <c r="A229" s="1">
        <v>80</v>
      </c>
      <c r="B229" s="1" t="s">
        <v>210</v>
      </c>
      <c r="C229" s="1" t="str">
        <f ca="1">IFERROR(__xludf.DUMMYFUNCTION("GOOGLETRANSLATE(B230,""en"",""ja"")"),"呼ばれます")</f>
        <v>呼ばれます</v>
      </c>
    </row>
    <row r="230" spans="1:3" ht="18" customHeight="1" x14ac:dyDescent="0.3">
      <c r="A230" s="1">
        <v>80</v>
      </c>
      <c r="B230" s="1" t="s">
        <v>42</v>
      </c>
      <c r="C230" s="1" t="str">
        <f ca="1">IFERROR(__xludf.DUMMYFUNCTION("GOOGLETRANSLATE(B231,""en"",""ja"")"),"すべて")</f>
        <v>すべて</v>
      </c>
    </row>
    <row r="231" spans="1:3" ht="18" customHeight="1" x14ac:dyDescent="0.3">
      <c r="A231" s="1">
        <v>79</v>
      </c>
      <c r="B231" s="1" t="s">
        <v>211</v>
      </c>
      <c r="C231" s="1" t="str">
        <f ca="1">IFERROR(__xludf.DUMMYFUNCTION("GOOGLETRANSLATE(B232,""en"",""ja"")"),"第2")</f>
        <v>第2</v>
      </c>
    </row>
    <row r="232" spans="1:3" ht="18" customHeight="1" x14ac:dyDescent="0.3">
      <c r="A232" s="1">
        <v>79</v>
      </c>
      <c r="B232" s="1" t="s">
        <v>212</v>
      </c>
      <c r="C232" s="1" t="str">
        <f ca="1">IFERROR(__xludf.DUMMYFUNCTION("GOOGLETRANSLATE(B233,""en"",""ja"")"),"百万")</f>
        <v>百万</v>
      </c>
    </row>
    <row r="233" spans="1:3" ht="18" customHeight="1" x14ac:dyDescent="0.3">
      <c r="A233" s="1">
        <v>78</v>
      </c>
      <c r="B233" s="1" t="s">
        <v>213</v>
      </c>
      <c r="C233" s="1" t="str">
        <f ca="1">IFERROR(__xludf.DUMMYFUNCTION("GOOGLETRANSLATE(B234,""en"",""ja"")"),"感覚")</f>
        <v>感覚</v>
      </c>
    </row>
    <row r="234" spans="1:3" ht="18" customHeight="1" x14ac:dyDescent="0.3">
      <c r="A234" s="1">
        <v>78</v>
      </c>
      <c r="B234" s="1" t="s">
        <v>214</v>
      </c>
      <c r="C234" s="1" t="str">
        <f ca="1">IFERROR(__xludf.DUMMYFUNCTION("GOOGLETRANSLATE(B235,""en"",""ja"")"),"ポイント")</f>
        <v>ポイント</v>
      </c>
    </row>
    <row r="235" spans="1:3" ht="18" customHeight="1" x14ac:dyDescent="0.3">
      <c r="A235" s="1">
        <v>78</v>
      </c>
      <c r="B235" s="1" t="s">
        <v>215</v>
      </c>
      <c r="C235" s="1" t="str">
        <f ca="1">IFERROR(__xludf.DUMMYFUNCTION("GOOGLETRANSLATE(B236,""en"",""ja"")"),"ラーニング")</f>
        <v>ラーニング</v>
      </c>
    </row>
    <row r="236" spans="1:3" ht="18" customHeight="1" x14ac:dyDescent="0.3">
      <c r="A236" s="1">
        <v>78</v>
      </c>
      <c r="B236" s="1" t="s">
        <v>216</v>
      </c>
      <c r="C236" s="1" t="str">
        <f ca="1">IFERROR(__xludf.DUMMYFUNCTION("GOOGLETRANSLATE(B237,""en"",""ja"")"),"変化する")</f>
        <v>変化する</v>
      </c>
    </row>
    <row r="237" spans="1:3" ht="18" customHeight="1" x14ac:dyDescent="0.3">
      <c r="A237" s="1">
        <v>77</v>
      </c>
      <c r="B237" s="1" t="s">
        <v>217</v>
      </c>
      <c r="C237" s="1" t="str">
        <f ca="1">IFERROR(__xludf.DUMMYFUNCTION("GOOGLETRANSLATE(B238,""en"",""ja"")"),"いくつかの")</f>
        <v>いくつかの</v>
      </c>
    </row>
    <row r="238" spans="1:3" ht="18" customHeight="1" x14ac:dyDescent="0.3">
      <c r="A238" s="1">
        <v>77</v>
      </c>
      <c r="B238" s="1" t="s">
        <v>218</v>
      </c>
      <c r="C238" s="1" t="str">
        <f ca="1">IFERROR(__xludf.DUMMYFUNCTION("GOOGLETRANSLATE(B239,""en"",""ja"")"),"医療の")</f>
        <v>医療の</v>
      </c>
    </row>
    <row r="239" spans="1:3" ht="18" customHeight="1" x14ac:dyDescent="0.3">
      <c r="A239" s="1">
        <v>77</v>
      </c>
      <c r="B239" s="1" t="s">
        <v>219</v>
      </c>
      <c r="C239" s="1" t="str">
        <f ca="1">IFERROR(__xludf.DUMMYFUNCTION("GOOGLETRANSLATE(B240,""en"",""ja"")"),"重要")</f>
        <v>重要</v>
      </c>
    </row>
    <row r="240" spans="1:3" ht="18" customHeight="1" x14ac:dyDescent="0.3">
      <c r="A240" s="1">
        <v>77</v>
      </c>
      <c r="B240" s="1" t="s">
        <v>220</v>
      </c>
      <c r="C240" s="1" t="str">
        <f ca="1">IFERROR(__xludf.DUMMYFUNCTION("GOOGLETRANSLATE(B241,""en"",""ja"")"),"著者")</f>
        <v>著者</v>
      </c>
    </row>
    <row r="241" spans="1:3" ht="18" customHeight="1" x14ac:dyDescent="0.3">
      <c r="A241" s="1">
        <v>76</v>
      </c>
      <c r="B241" s="1" t="s">
        <v>221</v>
      </c>
      <c r="C241" s="1" t="str">
        <f ca="1">IFERROR(__xludf.DUMMYFUNCTION("GOOGLETRANSLATE(B242,""en"",""ja"")"),"他人")</f>
        <v>他人</v>
      </c>
    </row>
    <row r="242" spans="1:3" ht="18" customHeight="1" x14ac:dyDescent="0.3">
      <c r="A242" s="1">
        <v>76</v>
      </c>
      <c r="B242" s="1" t="s">
        <v>222</v>
      </c>
      <c r="C242" s="1" t="str">
        <f ca="1">IFERROR(__xludf.DUMMYFUNCTION("GOOGLETRANSLATE(B243,""en"",""ja"")"),"長いです")</f>
        <v>長いです</v>
      </c>
    </row>
    <row r="243" spans="1:3" ht="18" customHeight="1" x14ac:dyDescent="0.3">
      <c r="A243" s="1">
        <v>76</v>
      </c>
      <c r="B243" s="1" t="s">
        <v>223</v>
      </c>
      <c r="C243" s="1" t="str">
        <f ca="1">IFERROR(__xludf.DUMMYFUNCTION("GOOGLETRANSLATE(B244,""en"",""ja"")"),"ランドマーク")</f>
        <v>ランドマーク</v>
      </c>
    </row>
    <row r="244" spans="1:3" ht="18" customHeight="1" x14ac:dyDescent="0.3">
      <c r="A244" s="1">
        <v>76</v>
      </c>
      <c r="B244" s="1" t="s">
        <v>224</v>
      </c>
      <c r="C244" s="1" t="str">
        <f ca="1">IFERROR(__xludf.DUMMYFUNCTION("GOOGLETRANSLATE(B245,""en"",""ja"")"),"開発")</f>
        <v>開発</v>
      </c>
    </row>
    <row r="245" spans="1:3" ht="18" customHeight="1" x14ac:dyDescent="0.3">
      <c r="A245" s="1">
        <v>75</v>
      </c>
      <c r="B245" s="1" t="s">
        <v>5</v>
      </c>
      <c r="C245" s="1" t="str">
        <f ca="1">IFERROR(__xludf.DUMMYFUNCTION("GOOGLETRANSLATE(B246,""en"",""ja"")"),"に")</f>
        <v>に</v>
      </c>
    </row>
    <row r="246" spans="1:3" ht="18" customHeight="1" x14ac:dyDescent="0.3">
      <c r="A246" s="1">
        <v>75</v>
      </c>
      <c r="B246" s="1" t="s">
        <v>225</v>
      </c>
      <c r="C246" s="1" t="str">
        <f ca="1">IFERROR(__xludf.DUMMYFUNCTION("GOOGLETRANSLATE(B247,""en"",""ja"")"),"彼を")</f>
        <v>彼を</v>
      </c>
    </row>
    <row r="247" spans="1:3" ht="18" customHeight="1" x14ac:dyDescent="0.3">
      <c r="A247" s="1">
        <v>75</v>
      </c>
      <c r="B247" s="1" t="s">
        <v>226</v>
      </c>
      <c r="C247" s="1" t="str">
        <f ca="1">IFERROR(__xludf.DUMMYFUNCTION("GOOGLETRANSLATE(B248,""en"",""ja"")"),"成長")</f>
        <v>成長</v>
      </c>
    </row>
    <row r="248" spans="1:3" ht="18" customHeight="1" x14ac:dyDescent="0.3">
      <c r="A248" s="1">
        <v>75</v>
      </c>
      <c r="B248" s="1" t="s">
        <v>227</v>
      </c>
      <c r="C248" s="1" t="str">
        <f ca="1">IFERROR(__xludf.DUMMYFUNCTION("GOOGLETRANSLATE(B249,""en"",""ja"")"),"前")</f>
        <v>前</v>
      </c>
    </row>
    <row r="249" spans="1:3" ht="18" customHeight="1" x14ac:dyDescent="0.3">
      <c r="A249" s="1">
        <v>74</v>
      </c>
      <c r="B249" s="1" t="s">
        <v>228</v>
      </c>
      <c r="C249" s="1" t="str">
        <f ca="1">IFERROR(__xludf.DUMMYFUNCTION("GOOGLETRANSLATE(B250,""en"",""ja"")"),"関連")</f>
        <v>関連</v>
      </c>
    </row>
    <row r="250" spans="1:3" ht="18" customHeight="1" x14ac:dyDescent="0.3">
      <c r="A250" s="1">
        <v>74</v>
      </c>
      <c r="B250" s="1" t="s">
        <v>229</v>
      </c>
      <c r="C250" s="1" t="str">
        <f ca="1">IFERROR(__xludf.DUMMYFUNCTION("GOOGLETRANSLATE(B251,""en"",""ja"")"),"行きます")</f>
        <v>行きます</v>
      </c>
    </row>
    <row r="251" spans="1:3" ht="18" customHeight="1" x14ac:dyDescent="0.3">
      <c r="A251" s="1">
        <v>73</v>
      </c>
      <c r="B251" s="1" t="s">
        <v>230</v>
      </c>
      <c r="C251" s="1" t="str">
        <f ca="1">IFERROR(__xludf.DUMMYFUNCTION("GOOGLETRANSLATE(B252,""en"",""ja"")"),"個人")</f>
        <v>個人</v>
      </c>
    </row>
    <row r="252" spans="1:3" ht="18" customHeight="1" x14ac:dyDescent="0.3">
      <c r="A252" s="1">
        <v>73</v>
      </c>
      <c r="B252" s="1" t="s">
        <v>231</v>
      </c>
      <c r="C252" s="1" t="str">
        <f ca="1">IFERROR(__xludf.DUMMYFUNCTION("GOOGLETRANSLATE(B253,""en"",""ja"")"),"進化の")</f>
        <v>進化の</v>
      </c>
    </row>
    <row r="253" spans="1:3" ht="18" customHeight="1" x14ac:dyDescent="0.3">
      <c r="A253" s="1">
        <v>72</v>
      </c>
      <c r="B253" s="1" t="s">
        <v>232</v>
      </c>
      <c r="C253" s="1" t="str">
        <f ca="1">IFERROR(__xludf.DUMMYFUNCTION("GOOGLETRANSLATE(B254,""en"",""ja"")"),"未だ")</f>
        <v>未だ</v>
      </c>
    </row>
    <row r="254" spans="1:3" ht="18" customHeight="1" x14ac:dyDescent="0.3">
      <c r="A254" s="1">
        <v>72</v>
      </c>
      <c r="B254" s="1" t="s">
        <v>233</v>
      </c>
      <c r="C254" s="1" t="str">
        <f ca="1">IFERROR(__xludf.DUMMYFUNCTION("GOOGLETRANSLATE(B255,""en"",""ja"")"),"水")</f>
        <v>水</v>
      </c>
    </row>
    <row r="255" spans="1:3" ht="18" customHeight="1" x14ac:dyDescent="0.3">
      <c r="A255" s="1">
        <v>72</v>
      </c>
      <c r="B255" s="1" t="s">
        <v>234</v>
      </c>
      <c r="C255" s="1" t="str">
        <f ca="1">IFERROR(__xludf.DUMMYFUNCTION("GOOGLETRANSLATE(B256,""en"",""ja"")"),"供給する")</f>
        <v>供給する</v>
      </c>
    </row>
    <row r="256" spans="1:3" ht="18" customHeight="1" x14ac:dyDescent="0.3">
      <c r="A256" s="1">
        <v>72</v>
      </c>
      <c r="B256" s="1" t="s">
        <v>169</v>
      </c>
      <c r="C256" s="1" t="str">
        <f ca="1">IFERROR(__xludf.DUMMYFUNCTION("GOOGLETRANSLATE(B257,""en"",""ja"")"),"問題")</f>
        <v>問題</v>
      </c>
    </row>
    <row r="257" spans="1:3" ht="18" customHeight="1" x14ac:dyDescent="0.3">
      <c r="A257" s="1">
        <v>72</v>
      </c>
      <c r="B257" s="1" t="s">
        <v>235</v>
      </c>
      <c r="C257" s="1" t="str">
        <f ca="1">IFERROR(__xludf.DUMMYFUNCTION("GOOGLETRANSLATE(B258,""en"",""ja"")"),"見つけます")</f>
        <v>見つけます</v>
      </c>
    </row>
    <row r="258" spans="1:3" ht="18" customHeight="1" x14ac:dyDescent="0.3">
      <c r="A258" s="1">
        <v>71</v>
      </c>
      <c r="B258" s="1" t="s">
        <v>236</v>
      </c>
      <c r="C258" s="1" t="str">
        <f ca="1">IFERROR(__xludf.DUMMYFUNCTION("GOOGLETRANSLATE(B259,""en"",""ja"")"),"通常")</f>
        <v>通常</v>
      </c>
    </row>
    <row r="259" spans="1:3" ht="18" customHeight="1" x14ac:dyDescent="0.3">
      <c r="A259" s="1">
        <v>71</v>
      </c>
      <c r="B259" s="1" t="s">
        <v>237</v>
      </c>
      <c r="C259" s="1" t="str">
        <f ca="1">IFERROR(__xludf.DUMMYFUNCTION("GOOGLETRANSLATE(B260,""en"",""ja"")"),"余りに")</f>
        <v>余りに</v>
      </c>
    </row>
    <row r="260" spans="1:3" ht="18" customHeight="1" x14ac:dyDescent="0.3">
      <c r="A260" s="1">
        <v>71</v>
      </c>
      <c r="B260" s="1" t="s">
        <v>238</v>
      </c>
      <c r="C260" s="1" t="str">
        <f ca="1">IFERROR(__xludf.DUMMYFUNCTION("GOOGLETRANSLATE(B261,""en"",""ja"")"),"単に")</f>
        <v>単に</v>
      </c>
    </row>
    <row r="261" spans="1:3" ht="18" customHeight="1" x14ac:dyDescent="0.3">
      <c r="A261" s="1">
        <v>71</v>
      </c>
      <c r="B261" s="1" t="s">
        <v>239</v>
      </c>
      <c r="C261" s="1" t="str">
        <f ca="1">IFERROR(__xludf.DUMMYFUNCTION("GOOGLETRANSLATE(B262,""en"",""ja"")"),"結果")</f>
        <v>結果</v>
      </c>
    </row>
    <row r="262" spans="1:3" ht="18" customHeight="1" x14ac:dyDescent="0.3">
      <c r="A262" s="1">
        <v>71</v>
      </c>
      <c r="B262" s="1" t="s">
        <v>9</v>
      </c>
      <c r="C262" s="1" t="str">
        <f ca="1">IFERROR(__xludf.DUMMYFUNCTION("GOOGLETRANSLATE(B263,""en"",""ja"")"),"にとって")</f>
        <v>にとって</v>
      </c>
    </row>
    <row r="263" spans="1:3" ht="18" customHeight="1" x14ac:dyDescent="0.3">
      <c r="A263" s="1">
        <v>71</v>
      </c>
      <c r="B263" s="1" t="s">
        <v>240</v>
      </c>
      <c r="C263" s="1" t="str">
        <f ca="1">IFERROR(__xludf.DUMMYFUNCTION("GOOGLETRANSLATE(B264,""en"",""ja"")"),"すべての")</f>
        <v>すべての</v>
      </c>
    </row>
    <row r="264" spans="1:3" ht="18" customHeight="1" x14ac:dyDescent="0.3">
      <c r="A264" s="1">
        <v>71</v>
      </c>
      <c r="B264" s="1" t="s">
        <v>241</v>
      </c>
      <c r="C264" s="1" t="str">
        <f ca="1">IFERROR(__xludf.DUMMYFUNCTION("GOOGLETRANSLATE(B265,""en"",""ja"")"),"アメリカン")</f>
        <v>アメリカン</v>
      </c>
    </row>
    <row r="265" spans="1:3" ht="18" customHeight="1" x14ac:dyDescent="0.3">
      <c r="A265" s="1">
        <v>70</v>
      </c>
      <c r="B265" s="1" t="s">
        <v>242</v>
      </c>
      <c r="C265" s="1" t="str">
        <f ca="1">IFERROR(__xludf.DUMMYFUNCTION("GOOGLETRANSLATE(B266,""en"",""ja"")"),"見る")</f>
        <v>見る</v>
      </c>
    </row>
    <row r="266" spans="1:3" ht="18" customHeight="1" x14ac:dyDescent="0.3">
      <c r="A266" s="1">
        <v>70</v>
      </c>
      <c r="B266" s="1" t="s">
        <v>243</v>
      </c>
      <c r="C266" s="1" t="str">
        <f ca="1">IFERROR(__xludf.DUMMYFUNCTION("GOOGLETRANSLATE(B267,""en"",""ja"")"),"から")</f>
        <v>から</v>
      </c>
    </row>
    <row r="267" spans="1:3" ht="18" customHeight="1" x14ac:dyDescent="0.3">
      <c r="A267" s="1">
        <v>70</v>
      </c>
      <c r="B267" s="1" t="s">
        <v>244</v>
      </c>
      <c r="C267" s="1" t="str">
        <f ca="1">IFERROR(__xludf.DUMMYFUNCTION("GOOGLETRANSLATE(B268,""en"",""ja"")"),"そうです")</f>
        <v>そうです</v>
      </c>
    </row>
    <row r="268" spans="1:3" ht="18" customHeight="1" x14ac:dyDescent="0.3">
      <c r="A268" s="1">
        <v>70</v>
      </c>
      <c r="B268" s="1" t="s">
        <v>245</v>
      </c>
      <c r="C268" s="1" t="str">
        <f ca="1">IFERROR(__xludf.DUMMYFUNCTION("GOOGLETRANSLATE(B269,""en"",""ja"")"),"国")</f>
        <v>国</v>
      </c>
    </row>
    <row r="269" spans="1:3" ht="18" customHeight="1" x14ac:dyDescent="0.3">
      <c r="A269" s="1">
        <v>70</v>
      </c>
      <c r="B269" s="1" t="s">
        <v>246</v>
      </c>
      <c r="C269" s="1" t="str">
        <f ca="1">IFERROR(__xludf.DUMMYFUNCTION("GOOGLETRANSLATE(B270,""en"",""ja"")"),"動作")</f>
        <v>動作</v>
      </c>
    </row>
    <row r="270" spans="1:3" ht="18" customHeight="1" x14ac:dyDescent="0.3">
      <c r="A270" s="1">
        <v>69</v>
      </c>
      <c r="B270" s="1" t="s">
        <v>247</v>
      </c>
      <c r="C270" s="1" t="str">
        <f ca="1">IFERROR(__xludf.DUMMYFUNCTION("GOOGLETRANSLATE(B272,""en"",""ja"")"),"数")</f>
        <v>数</v>
      </c>
    </row>
    <row r="271" spans="1:3" ht="18" customHeight="1" x14ac:dyDescent="0.3">
      <c r="A271" s="1">
        <v>69</v>
      </c>
      <c r="B271" s="1" t="s">
        <v>248</v>
      </c>
      <c r="C271" s="1" t="str">
        <f ca="1">IFERROR(__xludf.DUMMYFUNCTION("GOOGLETRANSLATE(B273,""en"",""ja"")"),"作成")</f>
        <v>作成</v>
      </c>
    </row>
    <row r="272" spans="1:3" ht="18" customHeight="1" x14ac:dyDescent="0.3">
      <c r="A272" s="1">
        <v>69</v>
      </c>
      <c r="B272" s="1" t="s">
        <v>249</v>
      </c>
      <c r="C272" s="1" t="str">
        <f ca="1">IFERROR(__xludf.DUMMYFUNCTION("GOOGLETRANSLATE(B274,""en"",""ja"")"),"より長いです")</f>
        <v>より長いです</v>
      </c>
    </row>
    <row r="273" spans="1:3" ht="18" customHeight="1" x14ac:dyDescent="0.3">
      <c r="A273" s="1">
        <v>69</v>
      </c>
      <c r="B273" s="1" t="s">
        <v>250</v>
      </c>
      <c r="C273" s="1" t="str">
        <f ca="1">IFERROR(__xludf.DUMMYFUNCTION("GOOGLETRANSLATE(B275,""en"",""ja"")"),"最低")</f>
        <v>最低</v>
      </c>
    </row>
    <row r="274" spans="1:3" ht="18" customHeight="1" x14ac:dyDescent="0.3">
      <c r="A274" s="1">
        <v>69</v>
      </c>
      <c r="B274" s="1" t="s">
        <v>251</v>
      </c>
      <c r="C274" s="1" t="str">
        <f ca="1">IFERROR(__xludf.DUMMYFUNCTION("GOOGLETRANSLATE(B276,""en"",""ja"")"),"取得する")</f>
        <v>取得する</v>
      </c>
    </row>
    <row r="275" spans="1:3" ht="18" customHeight="1" x14ac:dyDescent="0.3">
      <c r="A275" s="1">
        <v>68</v>
      </c>
      <c r="B275" s="1" t="s">
        <v>252</v>
      </c>
      <c r="C275" s="1" t="str">
        <f ca="1">IFERROR(__xludf.DUMMYFUNCTION("GOOGLETRANSLATE(B277,""en"",""ja"")"),"特定の")</f>
        <v>特定の</v>
      </c>
    </row>
    <row r="276" spans="1:3" ht="18" customHeight="1" x14ac:dyDescent="0.3">
      <c r="A276" s="1">
        <v>68</v>
      </c>
      <c r="B276" s="1" t="s">
        <v>253</v>
      </c>
      <c r="C276" s="1" t="str">
        <f ca="1">IFERROR(__xludf.DUMMYFUNCTION("GOOGLETRANSLATE(B278,""en"",""ja"")"),"MAKES")</f>
        <v>MAKES</v>
      </c>
    </row>
    <row r="277" spans="1:3" ht="18" customHeight="1" x14ac:dyDescent="0.3">
      <c r="A277" s="1">
        <v>68</v>
      </c>
      <c r="B277" s="1" t="s">
        <v>254</v>
      </c>
      <c r="C277" s="1" t="str">
        <f ca="1">IFERROR(__xludf.DUMMYFUNCTION("GOOGLETRANSLATE(B279,""en"",""ja"")"),"フォーム")</f>
        <v>フォーム</v>
      </c>
    </row>
    <row r="278" spans="1:3" ht="18" customHeight="1" x14ac:dyDescent="0.3">
      <c r="A278" s="1">
        <v>68</v>
      </c>
      <c r="B278" s="1" t="s">
        <v>255</v>
      </c>
      <c r="C278" s="1" t="str">
        <f ca="1">IFERROR(__xludf.DUMMYFUNCTION("GOOGLETRANSLATE(B280,""en"",""ja"")"),"発見")</f>
        <v>発見</v>
      </c>
    </row>
    <row r="279" spans="1:3" ht="18" customHeight="1" x14ac:dyDescent="0.3">
      <c r="A279" s="1">
        <v>67</v>
      </c>
      <c r="B279" s="1" t="s">
        <v>256</v>
      </c>
      <c r="C279" s="1" t="str">
        <f ca="1">IFERROR(__xludf.DUMMYFUNCTION("GOOGLETRANSLATE(B281,""en"",""ja"")"),"無し")</f>
        <v>無し</v>
      </c>
    </row>
    <row r="280" spans="1:3" ht="18" customHeight="1" x14ac:dyDescent="0.3">
      <c r="A280" s="1">
        <v>67</v>
      </c>
      <c r="B280" s="1" t="s">
        <v>257</v>
      </c>
      <c r="C280" s="1" t="str">
        <f ca="1">IFERROR(__xludf.DUMMYFUNCTION("GOOGLETRANSLATE(B282,""en"",""ja"")"),"に")</f>
        <v>に</v>
      </c>
    </row>
    <row r="281" spans="1:3" ht="18" customHeight="1" x14ac:dyDescent="0.3">
      <c r="A281" s="1">
        <v>67</v>
      </c>
      <c r="B281" s="1" t="s">
        <v>258</v>
      </c>
      <c r="C281" s="1" t="str">
        <f ca="1">IFERROR(__xludf.DUMMYFUNCTION("GOOGLETRANSLATE(B283,""en"",""ja"")"),"学校")</f>
        <v>学校</v>
      </c>
    </row>
    <row r="282" spans="1:3" ht="18" customHeight="1" x14ac:dyDescent="0.3">
      <c r="A282" s="1">
        <v>67</v>
      </c>
      <c r="B282" s="1" t="s">
        <v>259</v>
      </c>
      <c r="C282" s="1" t="str">
        <f ca="1">IFERROR(__xludf.DUMMYFUNCTION("GOOGLETRANSLATE(B284,""en"",""ja"")"),"知識")</f>
        <v>知識</v>
      </c>
    </row>
    <row r="283" spans="1:3" ht="18" customHeight="1" x14ac:dyDescent="0.3">
      <c r="A283" s="1">
        <v>67</v>
      </c>
      <c r="B283" s="1" t="s">
        <v>260</v>
      </c>
      <c r="C283" s="1" t="str">
        <f ca="1">IFERROR(__xludf.DUMMYFUNCTION("GOOGLETRANSLATE(B285,""en"",""ja"")"),"歴史")</f>
        <v>歴史</v>
      </c>
    </row>
    <row r="284" spans="1:3" ht="18" customHeight="1" x14ac:dyDescent="0.3">
      <c r="A284" s="1">
        <v>67</v>
      </c>
      <c r="B284" s="1" t="s">
        <v>261</v>
      </c>
      <c r="C284" s="1" t="str">
        <f ca="1">IFERROR(__xludf.DUMMYFUNCTION("GOOGLETRANSLATE(B286,""en"",""ja"")"),"幸福")</f>
        <v>幸福</v>
      </c>
    </row>
    <row r="285" spans="1:3" ht="18" customHeight="1" x14ac:dyDescent="0.3">
      <c r="A285" s="1">
        <v>67</v>
      </c>
      <c r="B285" s="1" t="s">
        <v>262</v>
      </c>
      <c r="C285" s="1" t="str">
        <f ca="1">IFERROR(__xludf.DUMMYFUNCTION("GOOGLETRANSLATE(B287,""en"",""ja"")"),"政府")</f>
        <v>政府</v>
      </c>
    </row>
    <row r="286" spans="1:3" ht="18" customHeight="1" x14ac:dyDescent="0.3">
      <c r="A286" s="1">
        <v>66</v>
      </c>
      <c r="B286" s="1" t="s">
        <v>263</v>
      </c>
      <c r="C286" s="1" t="str">
        <f ca="1">IFERROR(__xludf.DUMMYFUNCTION("GOOGLETRANSLATE(B288,""en"",""ja"")"),"状態")</f>
        <v>状態</v>
      </c>
    </row>
    <row r="287" spans="1:3" ht="18" customHeight="1" x14ac:dyDescent="0.3">
      <c r="A287" s="1">
        <v>66</v>
      </c>
      <c r="B287" s="1" t="s">
        <v>203</v>
      </c>
      <c r="C287" s="1" t="str">
        <f ca="1">IFERROR(__xludf.DUMMYFUNCTION("GOOGLETRANSLATE(B289,""en"",""ja"")"),"未来")</f>
        <v>未来</v>
      </c>
    </row>
    <row r="288" spans="1:3" ht="18" customHeight="1" x14ac:dyDescent="0.3">
      <c r="A288" s="1">
        <v>66</v>
      </c>
      <c r="B288" s="1" t="s">
        <v>264</v>
      </c>
      <c r="C288" s="1" t="str">
        <f ca="1">IFERROR(__xludf.DUMMYFUNCTION("GOOGLETRANSLATE(B290,""en"",""ja"")"),"一定")</f>
        <v>一定</v>
      </c>
    </row>
    <row r="289" spans="1:3" ht="18" customHeight="1" x14ac:dyDescent="0.3">
      <c r="A289" s="1">
        <v>65</v>
      </c>
      <c r="B289" s="1" t="s">
        <v>265</v>
      </c>
      <c r="C289" s="1" t="str">
        <f ca="1">IFERROR(__xludf.DUMMYFUNCTION("GOOGLETRANSLATE(B291,""en"",""ja"")"),"作業")</f>
        <v>作業</v>
      </c>
    </row>
    <row r="290" spans="1:3" ht="18" customHeight="1" x14ac:dyDescent="0.3">
      <c r="A290" s="1">
        <v>65</v>
      </c>
      <c r="B290" s="1" t="s">
        <v>266</v>
      </c>
      <c r="C290" s="1" t="str">
        <f ca="1">IFERROR(__xludf.DUMMYFUNCTION("GOOGLETRANSLATE(B292,""en"",""ja"")"),"公衆")</f>
        <v>公衆</v>
      </c>
    </row>
    <row r="291" spans="1:3" ht="18" customHeight="1" x14ac:dyDescent="0.3">
      <c r="A291" s="1">
        <v>65</v>
      </c>
      <c r="B291" s="1" t="s">
        <v>1</v>
      </c>
      <c r="C291" s="1" t="str">
        <f ca="1">IFERROR(__xludf.DUMMYFUNCTION("GOOGLETRANSLATE(B293,""en"",""ja"")"),"の")</f>
        <v>の</v>
      </c>
    </row>
    <row r="292" spans="1:3" ht="18" customHeight="1" x14ac:dyDescent="0.3">
      <c r="A292" s="1">
        <v>65</v>
      </c>
      <c r="B292" s="1" t="s">
        <v>267</v>
      </c>
      <c r="C292" s="1" t="str">
        <f ca="1">IFERROR(__xludf.DUMMYFUNCTION("GOOGLETRANSLATE(B294,""en"",""ja"")"),"大")</f>
        <v>大</v>
      </c>
    </row>
    <row r="293" spans="1:3" ht="18" customHeight="1" x14ac:dyDescent="0.3">
      <c r="A293" s="1">
        <v>65</v>
      </c>
      <c r="B293" s="1" t="s">
        <v>268</v>
      </c>
      <c r="C293" s="1" t="str">
        <f ca="1">IFERROR(__xludf.DUMMYFUNCTION("GOOGLETRANSLATE(B295,""en"",""ja"")"),"事実")</f>
        <v>事実</v>
      </c>
    </row>
    <row r="294" spans="1:3" ht="18" customHeight="1" x14ac:dyDescent="0.3">
      <c r="A294" s="1">
        <v>65</v>
      </c>
      <c r="B294" s="1" t="s">
        <v>269</v>
      </c>
      <c r="C294" s="1" t="str">
        <f ca="1">IFERROR(__xludf.DUMMYFUNCTION("GOOGLETRANSLATE(B296,""en"",""ja"")"),"やっ")</f>
        <v>やっ</v>
      </c>
    </row>
    <row r="295" spans="1:3" ht="18" customHeight="1" x14ac:dyDescent="0.3">
      <c r="A295" s="1">
        <v>65</v>
      </c>
      <c r="B295" s="1" t="s">
        <v>270</v>
      </c>
      <c r="C295" s="1" t="str">
        <f ca="1">IFERROR(__xludf.DUMMYFUNCTION("GOOGLETRANSLATE(B297,""en"",""ja"")"),"一般")</f>
        <v>一般</v>
      </c>
    </row>
    <row r="296" spans="1:3" ht="18" customHeight="1" x14ac:dyDescent="0.3">
      <c r="A296" s="1">
        <v>64</v>
      </c>
      <c r="B296" s="1" t="s">
        <v>271</v>
      </c>
      <c r="C296" s="1" t="str">
        <f ca="1">IFERROR(__xludf.DUMMYFUNCTION("GOOGLETRANSLATE(B298,""en"",""ja"")"),"使用して")</f>
        <v>使用して</v>
      </c>
    </row>
    <row r="297" spans="1:3" ht="18" customHeight="1" x14ac:dyDescent="0.3">
      <c r="A297" s="1">
        <v>64</v>
      </c>
      <c r="B297" s="1" t="s">
        <v>272</v>
      </c>
      <c r="C297" s="1" t="str">
        <f ca="1">IFERROR(__xludf.DUMMYFUNCTION("GOOGLETRANSLATE(B299,""en"",""ja"")"),"セットする")</f>
        <v>セットする</v>
      </c>
    </row>
    <row r="298" spans="1:3" ht="18" customHeight="1" x14ac:dyDescent="0.3">
      <c r="A298" s="1">
        <v>64</v>
      </c>
      <c r="B298" s="1" t="s">
        <v>273</v>
      </c>
      <c r="C298" s="1" t="str">
        <f ca="1">IFERROR(__xludf.DUMMYFUNCTION("GOOGLETRANSLATE(B300,""en"",""ja"")"),"リベラル")</f>
        <v>リベラル</v>
      </c>
    </row>
    <row r="299" spans="1:3" ht="18" customHeight="1" x14ac:dyDescent="0.3">
      <c r="A299" s="1">
        <v>64</v>
      </c>
      <c r="B299" s="1" t="s">
        <v>274</v>
      </c>
      <c r="C299" s="1" t="str">
        <f ca="1">IFERROR(__xludf.DUMMYFUNCTION("GOOGLETRANSLATE(B301,""en"",""ja"")"),"鉛")</f>
        <v>鉛</v>
      </c>
    </row>
    <row r="300" spans="1:3" ht="18" customHeight="1" x14ac:dyDescent="0.3">
      <c r="A300" s="1">
        <v>64</v>
      </c>
      <c r="B300" s="1" t="s">
        <v>275</v>
      </c>
      <c r="C300" s="1" t="str">
        <f ca="1">IFERROR(__xludf.DUMMYFUNCTION("GOOGLETRANSLATE(B302,""en"",""ja"")"),"インターネット")</f>
        <v>インターネット</v>
      </c>
    </row>
    <row r="301" spans="1:3" ht="18" customHeight="1" x14ac:dyDescent="0.3">
      <c r="A301" s="1">
        <v>64</v>
      </c>
      <c r="B301" s="1" t="s">
        <v>276</v>
      </c>
      <c r="C301" s="1" t="str">
        <f ca="1">IFERROR(__xludf.DUMMYFUNCTION("GOOGLETRANSLATE(B303,""en"",""ja"")"),"独立の")</f>
        <v>独立の</v>
      </c>
    </row>
    <row r="302" spans="1:3" ht="18" customHeight="1" x14ac:dyDescent="0.3">
      <c r="A302" s="1">
        <v>64</v>
      </c>
      <c r="B302" s="1" t="s">
        <v>277</v>
      </c>
      <c r="C302" s="1" t="str">
        <f ca="1">IFERROR(__xludf.DUMMYFUNCTION("GOOGLETRANSLATE(B304,""en"",""ja"")"),"グループ")</f>
        <v>グループ</v>
      </c>
    </row>
    <row r="303" spans="1:3" ht="18" customHeight="1" x14ac:dyDescent="0.3">
      <c r="A303" s="1">
        <v>64</v>
      </c>
      <c r="B303" s="1" t="s">
        <v>278</v>
      </c>
      <c r="C303" s="1" t="str">
        <f ca="1">IFERROR(__xludf.DUMMYFUNCTION("GOOGLETRANSLATE(B305,""en"",""ja"")"),"一般的な")</f>
        <v>一般的な</v>
      </c>
    </row>
    <row r="304" spans="1:3" ht="18" customHeight="1" x14ac:dyDescent="0.3">
      <c r="A304" s="1">
        <v>64</v>
      </c>
      <c r="B304" s="1" t="s">
        <v>279</v>
      </c>
      <c r="C304" s="1" t="str">
        <f ca="1">IFERROR(__xludf.DUMMYFUNCTION("GOOGLETRANSLATE(B306,""en"",""ja"")"),"礼節")</f>
        <v>礼節</v>
      </c>
    </row>
    <row r="305" spans="1:3" ht="18" customHeight="1" x14ac:dyDescent="0.3">
      <c r="A305" s="1">
        <v>64</v>
      </c>
      <c r="B305" s="1" t="s">
        <v>280</v>
      </c>
      <c r="C305" s="1" t="str">
        <f ca="1">IFERROR(__xludf.DUMMYFUNCTION("GOOGLETRANSLATE(B307,""en"",""ja"")"),"変更")</f>
        <v>変更</v>
      </c>
    </row>
    <row r="306" spans="1:3" ht="18" customHeight="1" x14ac:dyDescent="0.3">
      <c r="A306" s="1">
        <v>63</v>
      </c>
      <c r="B306" s="1" t="s">
        <v>281</v>
      </c>
      <c r="C306" s="1" t="str">
        <f ca="1">IFERROR(__xludf.DUMMYFUNCTION("GOOGLETRANSLATE(B308,""en"",""ja"")"),"学生")</f>
        <v>学生</v>
      </c>
    </row>
    <row r="307" spans="1:3" ht="18" customHeight="1" x14ac:dyDescent="0.3">
      <c r="A307" s="1">
        <v>63</v>
      </c>
      <c r="B307" s="1" t="s">
        <v>282</v>
      </c>
      <c r="C307" s="1" t="str">
        <f ca="1">IFERROR(__xludf.DUMMYFUNCTION("GOOGLETRANSLATE(B309,""en"",""ja"")"),"ソフトウェア")</f>
        <v>ソフトウェア</v>
      </c>
    </row>
    <row r="308" spans="1:3" ht="18" customHeight="1" x14ac:dyDescent="0.3">
      <c r="A308" s="1">
        <v>63</v>
      </c>
      <c r="B308" s="1" t="s">
        <v>283</v>
      </c>
      <c r="C308" s="1" t="str">
        <f ca="1">IFERROR(__xludf.DUMMYFUNCTION("GOOGLETRANSLATE(B310,""en"",""ja"")"),"同様の")</f>
        <v>同様の</v>
      </c>
    </row>
    <row r="309" spans="1:3" ht="18" customHeight="1" x14ac:dyDescent="0.3">
      <c r="A309" s="1">
        <v>63</v>
      </c>
      <c r="B309" s="1" t="s">
        <v>284</v>
      </c>
      <c r="C309" s="1" t="str">
        <f ca="1">IFERROR(__xludf.DUMMYFUNCTION("GOOGLETRANSLATE(B311,""en"",""ja"")"),"見て")</f>
        <v>見て</v>
      </c>
    </row>
    <row r="310" spans="1:3" ht="18" customHeight="1" x14ac:dyDescent="0.3">
      <c r="A310" s="1">
        <v>63</v>
      </c>
      <c r="B310" s="1" t="s">
        <v>285</v>
      </c>
      <c r="C310" s="1" t="str">
        <f ca="1">IFERROR(__xludf.DUMMYFUNCTION("GOOGLETRANSLATE(B312,""en"",""ja"")"),"モデル")</f>
        <v>モデル</v>
      </c>
    </row>
    <row r="311" spans="1:3" ht="18" customHeight="1" x14ac:dyDescent="0.3">
      <c r="A311" s="1">
        <v>63</v>
      </c>
      <c r="B311" s="1" t="s">
        <v>286</v>
      </c>
      <c r="C311" s="1" t="str">
        <f ca="1">IFERROR(__xludf.DUMMYFUNCTION("GOOGLETRANSLATE(B313,""en"",""ja"")"),"家族")</f>
        <v>家族</v>
      </c>
    </row>
    <row r="312" spans="1:3" ht="18" customHeight="1" x14ac:dyDescent="0.3">
      <c r="A312" s="1">
        <v>63</v>
      </c>
      <c r="B312" s="1" t="s">
        <v>287</v>
      </c>
      <c r="C312" s="1" t="str">
        <f ca="1">IFERROR(__xludf.DUMMYFUNCTION("GOOGLETRANSLATE(B314,""en"",""ja"")"),"早いです")</f>
        <v>早いです</v>
      </c>
    </row>
    <row r="313" spans="1:3" ht="18" customHeight="1" x14ac:dyDescent="0.3">
      <c r="A313" s="1">
        <v>62</v>
      </c>
      <c r="B313" s="1" t="s">
        <v>288</v>
      </c>
      <c r="C313" s="1" t="str">
        <f ca="1">IFERROR(__xludf.DUMMYFUNCTION("GOOGLETRANSLATE(B315,""en"",""ja"")"),"かどうか")</f>
        <v>かどうか</v>
      </c>
    </row>
    <row r="314" spans="1:3" ht="18" customHeight="1" x14ac:dyDescent="0.3">
      <c r="A314" s="1">
        <v>62</v>
      </c>
      <c r="B314" s="1" t="s">
        <v>289</v>
      </c>
      <c r="C314" s="1" t="str">
        <f ca="1">IFERROR(__xludf.DUMMYFUNCTION("GOOGLETRANSLATE(B316,""en"",""ja"")"),"下")</f>
        <v>下</v>
      </c>
    </row>
    <row r="315" spans="1:3" ht="18" customHeight="1" x14ac:dyDescent="0.3">
      <c r="A315" s="1">
        <v>62</v>
      </c>
      <c r="B315" s="1" t="s">
        <v>290</v>
      </c>
      <c r="C315" s="1" t="str">
        <f ca="1">IFERROR(__xludf.DUMMYFUNCTION("GOOGLETRANSLATE(B317,""en"",""ja"")"),"にもかかわらず")</f>
        <v>にもかかわらず</v>
      </c>
    </row>
    <row r="316" spans="1:3" ht="18" customHeight="1" x14ac:dyDescent="0.3">
      <c r="A316" s="1">
        <v>62</v>
      </c>
      <c r="B316" s="1" t="s">
        <v>291</v>
      </c>
      <c r="C316" s="1" t="str">
        <f ca="1">IFERROR(__xludf.DUMMYFUNCTION("GOOGLETRANSLATE(B318,""en"",""ja"")"),"自分自身")</f>
        <v>自分自身</v>
      </c>
    </row>
    <row r="317" spans="1:3" ht="18" customHeight="1" x14ac:dyDescent="0.3">
      <c r="A317" s="1">
        <v>62</v>
      </c>
      <c r="B317" s="1" t="s">
        <v>188</v>
      </c>
      <c r="C317" s="1" t="str">
        <f ca="1">IFERROR(__xludf.DUMMYFUNCTION("GOOGLETRANSLATE(B319,""en"",""ja"")"),"システム")</f>
        <v>システム</v>
      </c>
    </row>
    <row r="318" spans="1:3" ht="18" customHeight="1" x14ac:dyDescent="0.3">
      <c r="A318" s="1">
        <v>62</v>
      </c>
      <c r="B318" s="1" t="s">
        <v>292</v>
      </c>
      <c r="C318" s="1" t="str">
        <f ca="1">IFERROR(__xludf.DUMMYFUNCTION("GOOGLETRANSLATE(B320,""en"",""ja"")"),"メディア")</f>
        <v>メディア</v>
      </c>
    </row>
    <row r="319" spans="1:3" ht="18" customHeight="1" x14ac:dyDescent="0.3">
      <c r="A319" s="1">
        <v>62</v>
      </c>
      <c r="B319" s="1" t="s">
        <v>293</v>
      </c>
      <c r="C319" s="1" t="str">
        <f ca="1">IFERROR(__xludf.DUMMYFUNCTION("GOOGLETRANSLATE(B321,""en"",""ja"")"),"外観")</f>
        <v>外観</v>
      </c>
    </row>
    <row r="320" spans="1:3" ht="18" customHeight="1" x14ac:dyDescent="0.3">
      <c r="A320" s="1">
        <v>62</v>
      </c>
      <c r="B320" s="1" t="s">
        <v>294</v>
      </c>
      <c r="C320" s="1" t="str">
        <f ca="1">IFERROR(__xludf.DUMMYFUNCTION("GOOGLETRANSLATE(B322,""en"",""ja"")"),"与える")</f>
        <v>与える</v>
      </c>
    </row>
    <row r="321" spans="1:3" ht="18" customHeight="1" x14ac:dyDescent="0.3">
      <c r="A321" s="1">
        <v>62</v>
      </c>
      <c r="B321" s="1" t="s">
        <v>295</v>
      </c>
      <c r="C321" s="1" t="str">
        <f ca="1">IFERROR(__xludf.DUMMYFUNCTION("GOOGLETRANSLATE(B323,""en"",""ja"")"),"考えます")</f>
        <v>考えます</v>
      </c>
    </row>
    <row r="322" spans="1:3" ht="18" customHeight="1" x14ac:dyDescent="0.3">
      <c r="A322" s="1">
        <v>61</v>
      </c>
      <c r="B322" s="1" t="s">
        <v>296</v>
      </c>
      <c r="C322" s="1" t="str">
        <f ca="1">IFERROR(__xludf.DUMMYFUNCTION("GOOGLETRANSLATE(B324,""en"",""ja"")"),"その")</f>
        <v>その</v>
      </c>
    </row>
    <row r="323" spans="1:3" ht="18" customHeight="1" x14ac:dyDescent="0.3">
      <c r="A323" s="1">
        <v>61</v>
      </c>
      <c r="B323" s="1" t="s">
        <v>297</v>
      </c>
      <c r="C323" s="1" t="str">
        <f ca="1">IFERROR(__xludf.DUMMYFUNCTION("GOOGLETRANSLATE(B325,""en"",""ja"")"),"物事")</f>
        <v>物事</v>
      </c>
    </row>
    <row r="324" spans="1:3" ht="18" customHeight="1" x14ac:dyDescent="0.3">
      <c r="A324" s="1">
        <v>61</v>
      </c>
      <c r="B324" s="1" t="s">
        <v>298</v>
      </c>
      <c r="C324" s="1" t="str">
        <f ca="1">IFERROR(__xludf.DUMMYFUNCTION("GOOGLETRANSLATE(B326,""en"",""ja"")"),"技術")</f>
        <v>技術</v>
      </c>
    </row>
    <row r="325" spans="1:3" ht="18" customHeight="1" x14ac:dyDescent="0.3">
      <c r="A325" s="1">
        <v>61</v>
      </c>
      <c r="B325" s="1" t="s">
        <v>263</v>
      </c>
      <c r="C325" s="1" t="str">
        <f ca="1">IFERROR(__xludf.DUMMYFUNCTION("GOOGLETRANSLATE(B327,""en"",""ja"")"),"状態")</f>
        <v>状態</v>
      </c>
    </row>
    <row r="326" spans="1:3" ht="18" customHeight="1" x14ac:dyDescent="0.3">
      <c r="A326" s="1">
        <v>61</v>
      </c>
      <c r="B326" s="1" t="s">
        <v>299</v>
      </c>
      <c r="C326" s="1" t="str">
        <f ca="1">IFERROR(__xludf.DUMMYFUNCTION("GOOGLETRANSLATE(B328,""en"",""ja"")"),"論文")</f>
        <v>論文</v>
      </c>
    </row>
    <row r="327" spans="1:3" ht="18" customHeight="1" x14ac:dyDescent="0.3">
      <c r="A327" s="1">
        <v>61</v>
      </c>
      <c r="B327" s="1" t="s">
        <v>31</v>
      </c>
      <c r="C327" s="1" t="str">
        <f ca="1">IFERROR(__xludf.DUMMYFUNCTION("GOOGLETRANSLATE(B329,""en"",""ja"")"),"1")</f>
        <v>1</v>
      </c>
    </row>
    <row r="328" spans="1:3" ht="18" customHeight="1" x14ac:dyDescent="0.3">
      <c r="A328" s="1">
        <v>61</v>
      </c>
      <c r="B328" s="1" t="s">
        <v>300</v>
      </c>
      <c r="C328" s="1" t="str">
        <f ca="1">IFERROR(__xludf.DUMMYFUNCTION("GOOGLETRANSLATE(B330,""en"",""ja"")"),"知っています")</f>
        <v>知っています</v>
      </c>
    </row>
    <row r="329" spans="1:3" ht="18" customHeight="1" x14ac:dyDescent="0.3">
      <c r="A329" s="1">
        <v>61</v>
      </c>
      <c r="B329" s="1" t="s">
        <v>301</v>
      </c>
      <c r="C329" s="1" t="str">
        <f ca="1">IFERROR(__xludf.DUMMYFUNCTION("GOOGLETRANSLATE(B331,""en"",""ja"")"),"繁雑")</f>
        <v>繁雑</v>
      </c>
    </row>
    <row r="330" spans="1:3" ht="18" customHeight="1" x14ac:dyDescent="0.3">
      <c r="A330" s="1">
        <v>61</v>
      </c>
      <c r="B330" s="1" t="s">
        <v>3</v>
      </c>
      <c r="C330" s="1" t="str">
        <f ca="1">IFERROR(__xludf.DUMMYFUNCTION("GOOGLETRANSLATE(B332,""en"",""ja"")"),"そして")</f>
        <v>そして</v>
      </c>
    </row>
    <row r="331" spans="1:3" ht="18" customHeight="1" x14ac:dyDescent="0.3">
      <c r="A331" s="1">
        <v>61</v>
      </c>
      <c r="B331" s="1" t="s">
        <v>302</v>
      </c>
      <c r="C331" s="1" t="str">
        <f ca="1">IFERROR(__xludf.DUMMYFUNCTION("GOOGLETRANSLATE(B333,""en"",""ja"")"),"既に")</f>
        <v>既に</v>
      </c>
    </row>
    <row r="332" spans="1:3" ht="18" customHeight="1" x14ac:dyDescent="0.3">
      <c r="A332" s="1">
        <v>60</v>
      </c>
      <c r="B332" s="1" t="s">
        <v>303</v>
      </c>
      <c r="C332" s="1" t="str">
        <f ca="1">IFERROR(__xludf.DUMMYFUNCTION("GOOGLETRANSLATE(B334,""en"",""ja"")"),"人")</f>
        <v>人</v>
      </c>
    </row>
    <row r="333" spans="1:3" ht="18" customHeight="1" x14ac:dyDescent="0.3">
      <c r="A333" s="1">
        <v>60</v>
      </c>
      <c r="B333" s="1" t="s">
        <v>221</v>
      </c>
      <c r="C333" s="1" t="str">
        <f ca="1">IFERROR(__xludf.DUMMYFUNCTION("GOOGLETRANSLATE(B335,""en"",""ja"")"),"他人")</f>
        <v>他人</v>
      </c>
    </row>
    <row r="334" spans="1:3" ht="18" customHeight="1" x14ac:dyDescent="0.3">
      <c r="A334" s="1">
        <v>60</v>
      </c>
      <c r="B334" s="1" t="s">
        <v>304</v>
      </c>
      <c r="C334" s="1" t="str">
        <f ca="1">IFERROR(__xludf.DUMMYFUNCTION("GOOGLETRANSLATE(B336,""en"",""ja"")"),"手段")</f>
        <v>手段</v>
      </c>
    </row>
    <row r="335" spans="1:3" ht="18" customHeight="1" x14ac:dyDescent="0.3">
      <c r="A335" s="1">
        <v>60</v>
      </c>
      <c r="B335" s="1" t="s">
        <v>305</v>
      </c>
      <c r="C335" s="1" t="str">
        <f ca="1">IFERROR(__xludf.DUMMYFUNCTION("GOOGLETRANSLATE(B337,""en"",""ja"")"),"来ます")</f>
        <v>来ます</v>
      </c>
    </row>
    <row r="336" spans="1:3" ht="18" customHeight="1" x14ac:dyDescent="0.3">
      <c r="A336" s="1">
        <v>60</v>
      </c>
      <c r="B336" s="1" t="s">
        <v>306</v>
      </c>
      <c r="C336" s="1" t="str">
        <f ca="1">IFERROR(__xludf.DUMMYFUNCTION("GOOGLETRANSLATE(B338,""en"",""ja"")"),"なりました")</f>
        <v>なりました</v>
      </c>
    </row>
    <row r="337" spans="1:3" ht="18" customHeight="1" x14ac:dyDescent="0.3">
      <c r="A337" s="1">
        <v>60</v>
      </c>
      <c r="B337" s="1" t="s">
        <v>676</v>
      </c>
      <c r="C337" s="1" t="str">
        <f ca="1">IFERROR(__xludf.DUMMYFUNCTION("GOOGLETRANSLATE(B790,""en"",""ja"")"),"自由")</f>
        <v>自由</v>
      </c>
    </row>
    <row r="338" spans="1:3" ht="18" customHeight="1" x14ac:dyDescent="0.3">
      <c r="A338" s="1">
        <v>59</v>
      </c>
      <c r="B338" s="1" t="s">
        <v>307</v>
      </c>
      <c r="C338" s="1" t="str">
        <f ca="1">IFERROR(__xludf.DUMMYFUNCTION("GOOGLETRANSLATE(B339,""en"",""ja"")"),"値")</f>
        <v>値</v>
      </c>
    </row>
    <row r="339" spans="1:3" ht="18" customHeight="1" x14ac:dyDescent="0.3">
      <c r="A339" s="1">
        <v>59</v>
      </c>
      <c r="B339" s="1" t="s">
        <v>308</v>
      </c>
      <c r="C339" s="1" t="str">
        <f ca="1">IFERROR(__xludf.DUMMYFUNCTION("GOOGLETRANSLATE(B340,""en"",""ja"")"),"こうして")</f>
        <v>こうして</v>
      </c>
    </row>
    <row r="340" spans="1:3" ht="18" customHeight="1" x14ac:dyDescent="0.3">
      <c r="A340" s="1">
        <v>59</v>
      </c>
      <c r="B340" s="1" t="s">
        <v>309</v>
      </c>
      <c r="C340" s="1" t="str">
        <f ca="1">IFERROR(__xludf.DUMMYFUNCTION("GOOGLETRANSLATE(B341,""en"",""ja"")"),"惑星")</f>
        <v>惑星</v>
      </c>
    </row>
    <row r="341" spans="1:3" ht="18" customHeight="1" x14ac:dyDescent="0.3">
      <c r="A341" s="1">
        <v>59</v>
      </c>
      <c r="B341" s="1" t="s">
        <v>310</v>
      </c>
      <c r="C341" s="1" t="str">
        <f ca="1">IFERROR(__xludf.DUMMYFUNCTION("GOOGLETRANSLATE(B342,""en"",""ja"")"),"インダストリアル")</f>
        <v>インダストリアル</v>
      </c>
    </row>
    <row r="342" spans="1:3" ht="18" customHeight="1" x14ac:dyDescent="0.3">
      <c r="A342" s="1">
        <v>59</v>
      </c>
      <c r="B342" s="1" t="s">
        <v>311</v>
      </c>
      <c r="C342" s="1" t="str">
        <f ca="1">IFERROR(__xludf.DUMMYFUNCTION("GOOGLETRANSLATE(B343,""en"",""ja"")"),"端末")</f>
        <v>端末</v>
      </c>
    </row>
    <row r="343" spans="1:3" ht="18" customHeight="1" x14ac:dyDescent="0.3">
      <c r="A343" s="1">
        <v>58</v>
      </c>
      <c r="B343" s="1" t="s">
        <v>2</v>
      </c>
      <c r="C343" s="1" t="str">
        <f ca="1">IFERROR(__xludf.DUMMYFUNCTION("GOOGLETRANSLATE(B344,""en"",""ja"")"),"に")</f>
        <v>に</v>
      </c>
    </row>
    <row r="344" spans="1:3" ht="18" customHeight="1" x14ac:dyDescent="0.3">
      <c r="A344" s="1">
        <v>58</v>
      </c>
      <c r="B344" s="1" t="s">
        <v>312</v>
      </c>
      <c r="C344" s="1" t="str">
        <f ca="1">IFERROR(__xludf.DUMMYFUNCTION("GOOGLETRANSLATE(B345,""en"",""ja"")"),"ラブロック")</f>
        <v>ラブロック</v>
      </c>
    </row>
    <row r="345" spans="1:3" ht="18" customHeight="1" x14ac:dyDescent="0.3">
      <c r="A345" s="1">
        <v>58</v>
      </c>
      <c r="B345" s="1" t="s">
        <v>313</v>
      </c>
      <c r="C345" s="1" t="str">
        <f ca="1">IFERROR(__xludf.DUMMYFUNCTION("GOOGLETRANSLATE(B346,""en"",""ja"")"),"ディスプレイ")</f>
        <v>ディスプレイ</v>
      </c>
    </row>
    <row r="346" spans="1:3" ht="18" customHeight="1" x14ac:dyDescent="0.3">
      <c r="A346" s="1">
        <v>58</v>
      </c>
      <c r="B346" s="1" t="s">
        <v>314</v>
      </c>
      <c r="C346" s="1" t="str">
        <f ca="1">IFERROR(__xludf.DUMMYFUNCTION("GOOGLETRANSLATE(B347,""en"",""ja"")"),"考えます")</f>
        <v>考えます</v>
      </c>
    </row>
    <row r="347" spans="1:3" ht="18" customHeight="1" x14ac:dyDescent="0.3">
      <c r="A347" s="1">
        <v>58</v>
      </c>
      <c r="B347" s="1" t="s">
        <v>315</v>
      </c>
      <c r="C347" s="1" t="str">
        <f ca="1">IFERROR(__xludf.DUMMYFUNCTION("GOOGLETRANSLATE(B348,""en"",""ja"")"),"先に")</f>
        <v>先に</v>
      </c>
    </row>
    <row r="348" spans="1:3" ht="18" customHeight="1" x14ac:dyDescent="0.3">
      <c r="A348" s="1">
        <v>57</v>
      </c>
      <c r="B348" s="1" t="s">
        <v>316</v>
      </c>
      <c r="C348" s="1" t="str">
        <f ca="1">IFERROR(__xludf.DUMMYFUNCTION("GOOGLETRANSLATE(B349,""en"",""ja"")"),"暖かいです")</f>
        <v>暖かいです</v>
      </c>
    </row>
    <row r="349" spans="1:3" ht="18" customHeight="1" x14ac:dyDescent="0.3">
      <c r="A349" s="1">
        <v>57</v>
      </c>
      <c r="B349" s="1" t="s">
        <v>317</v>
      </c>
      <c r="C349" s="1" t="str">
        <f ca="1">IFERROR(__xludf.DUMMYFUNCTION("GOOGLETRANSLATE(B350,""en"",""ja"")"),"大学")</f>
        <v>大学</v>
      </c>
    </row>
    <row r="350" spans="1:3" ht="18" customHeight="1" x14ac:dyDescent="0.3">
      <c r="A350" s="1">
        <v>57</v>
      </c>
      <c r="B350" s="1" t="s">
        <v>318</v>
      </c>
      <c r="C350" s="1" t="str">
        <f ca="1">IFERROR(__xludf.DUMMYFUNCTION("GOOGLETRANSLATE(B351,""en"",""ja"")"),"ユナイテッド")</f>
        <v>ユナイテッド</v>
      </c>
    </row>
    <row r="351" spans="1:3" ht="18" customHeight="1" x14ac:dyDescent="0.3">
      <c r="A351" s="1">
        <v>57</v>
      </c>
      <c r="B351" s="1" t="s">
        <v>319</v>
      </c>
      <c r="C351" s="1" t="str">
        <f ca="1">IFERROR(__xludf.DUMMYFUNCTION("GOOGLETRANSLATE(B352,""en"",""ja"")"),"条項")</f>
        <v>条項</v>
      </c>
    </row>
    <row r="352" spans="1:3" ht="18" customHeight="1" x14ac:dyDescent="0.3">
      <c r="A352" s="1">
        <v>57</v>
      </c>
      <c r="B352" s="1" t="s">
        <v>320</v>
      </c>
      <c r="C352" s="1" t="str">
        <f ca="1">IFERROR(__xludf.DUMMYFUNCTION("GOOGLETRANSLATE(B353,""en"",""ja"")"),"思われる")</f>
        <v>思われる</v>
      </c>
    </row>
    <row r="353" spans="1:3" ht="18" customHeight="1" x14ac:dyDescent="0.3">
      <c r="A353" s="1">
        <v>57</v>
      </c>
      <c r="B353" s="1" t="s">
        <v>321</v>
      </c>
      <c r="C353" s="1" t="str">
        <f ca="1">IFERROR(__xludf.DUMMYFUNCTION("GOOGLETRANSLATE(B354,""en"",""ja"")"),"言います")</f>
        <v>言います</v>
      </c>
    </row>
    <row r="354" spans="1:3" ht="18" customHeight="1" x14ac:dyDescent="0.3">
      <c r="A354" s="1">
        <v>57</v>
      </c>
      <c r="B354" s="1" t="s">
        <v>322</v>
      </c>
      <c r="C354" s="1" t="str">
        <f ca="1">IFERROR(__xludf.DUMMYFUNCTION("GOOGLETRANSLATE(B355,""en"",""ja"")"),"恐らく")</f>
        <v>恐らく</v>
      </c>
    </row>
    <row r="355" spans="1:3" ht="18" customHeight="1" x14ac:dyDescent="0.3">
      <c r="A355" s="1">
        <v>57</v>
      </c>
      <c r="B355" s="1" t="s">
        <v>323</v>
      </c>
      <c r="C355" s="1" t="str">
        <f ca="1">IFERROR(__xludf.DUMMYFUNCTION("GOOGLETRANSLATE(B356,""en"",""ja"")"),"自然")</f>
        <v>自然</v>
      </c>
    </row>
    <row r="356" spans="1:3" ht="18" customHeight="1" x14ac:dyDescent="0.3">
      <c r="A356" s="1">
        <v>57</v>
      </c>
      <c r="B356" s="1" t="s">
        <v>142</v>
      </c>
      <c r="C356" s="1" t="str">
        <f ca="1">IFERROR(__xludf.DUMMYFUNCTION("GOOGLETRANSLATE(B357,""en"",""ja"")"),"自由主義")</f>
        <v>自由主義</v>
      </c>
    </row>
    <row r="357" spans="1:3" ht="18" customHeight="1" x14ac:dyDescent="0.3">
      <c r="A357" s="1">
        <v>57</v>
      </c>
      <c r="B357" s="1" t="s">
        <v>324</v>
      </c>
      <c r="C357" s="1" t="str">
        <f ca="1">IFERROR(__xludf.DUMMYFUNCTION("GOOGLETRANSLATE(B358,""en"",""ja"")"),"概念")</f>
        <v>概念</v>
      </c>
    </row>
    <row r="358" spans="1:3" ht="18" customHeight="1" x14ac:dyDescent="0.3">
      <c r="A358" s="1">
        <v>57</v>
      </c>
      <c r="B358" s="1" t="s">
        <v>167</v>
      </c>
      <c r="C358" s="1" t="str">
        <f ca="1">IFERROR(__xludf.DUMMYFUNCTION("GOOGLETRANSLATE(B359,""en"",""ja"")"),"世紀")</f>
        <v>世紀</v>
      </c>
    </row>
    <row r="359" spans="1:3" ht="18" customHeight="1" x14ac:dyDescent="0.3">
      <c r="A359" s="1">
        <v>56</v>
      </c>
      <c r="B359" s="1" t="s">
        <v>325</v>
      </c>
      <c r="C359" s="1" t="str">
        <f ca="1">IFERROR(__xludf.DUMMYFUNCTION("GOOGLETRANSLATE(B360,""en"",""ja"")"),"欲しいです")</f>
        <v>欲しいです</v>
      </c>
    </row>
    <row r="360" spans="1:3" ht="18" customHeight="1" x14ac:dyDescent="0.3">
      <c r="A360" s="1">
        <v>56</v>
      </c>
      <c r="B360" s="1" t="s">
        <v>326</v>
      </c>
      <c r="C360" s="1" t="str">
        <f ca="1">IFERROR(__xludf.DUMMYFUNCTION("GOOGLETRANSLATE(B361,""en"",""ja"")"),"監視")</f>
        <v>監視</v>
      </c>
    </row>
    <row r="361" spans="1:3" ht="18" customHeight="1" x14ac:dyDescent="0.3">
      <c r="A361" s="1">
        <v>56</v>
      </c>
      <c r="B361" s="1" t="s">
        <v>327</v>
      </c>
      <c r="C361" s="1" t="str">
        <f ca="1">IFERROR(__xludf.DUMMYFUNCTION("GOOGLETRANSLATE(B362,""en"",""ja"")"),"革命")</f>
        <v>革命</v>
      </c>
    </row>
    <row r="362" spans="1:3" ht="18" customHeight="1" x14ac:dyDescent="0.3">
      <c r="A362" s="1">
        <v>56</v>
      </c>
      <c r="B362" s="1" t="s">
        <v>328</v>
      </c>
      <c r="C362" s="1" t="str">
        <f ca="1">IFERROR(__xludf.DUMMYFUNCTION("GOOGLETRANSLATE(B363,""en"",""ja"")"),"多分")</f>
        <v>多分</v>
      </c>
    </row>
    <row r="363" spans="1:3" ht="18" customHeight="1" x14ac:dyDescent="0.3">
      <c r="A363" s="1">
        <v>56</v>
      </c>
      <c r="B363" s="1" t="s">
        <v>329</v>
      </c>
      <c r="C363" s="1" t="str">
        <f ca="1">IFERROR(__xludf.DUMMYFUNCTION("GOOGLETRANSLATE(B364,""en"",""ja"")"),"チャンス")</f>
        <v>チャンス</v>
      </c>
    </row>
    <row r="364" spans="1:3" ht="18" customHeight="1" x14ac:dyDescent="0.3">
      <c r="A364" s="1">
        <v>56</v>
      </c>
      <c r="B364" s="1" t="s">
        <v>330</v>
      </c>
      <c r="C364" s="1" t="str">
        <f ca="1">IFERROR(__xludf.DUMMYFUNCTION("GOOGLETRANSLATE(B365,""en"",""ja"")"),"高い")</f>
        <v>高い</v>
      </c>
    </row>
    <row r="365" spans="1:3" ht="18" customHeight="1" x14ac:dyDescent="0.3">
      <c r="A365" s="1">
        <v>56</v>
      </c>
      <c r="B365" s="1" t="s">
        <v>331</v>
      </c>
      <c r="C365" s="1" t="str">
        <f ca="1">IFERROR(__xludf.DUMMYFUNCTION("GOOGLETRANSLATE(B366,""en"",""ja"")"),"少数")</f>
        <v>少数</v>
      </c>
    </row>
    <row r="366" spans="1:3" ht="18" customHeight="1" x14ac:dyDescent="0.3">
      <c r="A366" s="1">
        <v>56</v>
      </c>
      <c r="B366" s="1" t="s">
        <v>332</v>
      </c>
      <c r="C366" s="1" t="str">
        <f ca="1">IFERROR(__xludf.DUMMYFUNCTION("GOOGLETRANSLATE(B367,""en"",""ja"")"),"難しいです")</f>
        <v>難しいです</v>
      </c>
    </row>
    <row r="367" spans="1:3" ht="18" customHeight="1" x14ac:dyDescent="0.3">
      <c r="A367" s="1">
        <v>56</v>
      </c>
      <c r="B367" s="1" t="s">
        <v>333</v>
      </c>
      <c r="C367" s="1" t="str">
        <f ca="1">IFERROR(__xludf.DUMMYFUNCTION("GOOGLETRANSLATE(B368,""en"",""ja"")"),"信じます")</f>
        <v>信じます</v>
      </c>
    </row>
    <row r="368" spans="1:3" ht="18" customHeight="1" x14ac:dyDescent="0.3">
      <c r="A368" s="1">
        <v>56</v>
      </c>
      <c r="B368" s="1" t="s">
        <v>334</v>
      </c>
      <c r="C368" s="1" t="str">
        <f ca="1">IFERROR(__xludf.DUMMYFUNCTION("GOOGLETRANSLATE(B369,""en"",""ja"")"),"周りに")</f>
        <v>周りに</v>
      </c>
    </row>
    <row r="369" spans="1:3" ht="18" customHeight="1" x14ac:dyDescent="0.3">
      <c r="A369" s="1">
        <v>55</v>
      </c>
      <c r="B369" s="1" t="s">
        <v>335</v>
      </c>
      <c r="C369" s="1" t="str">
        <f ca="1">IFERROR(__xludf.DUMMYFUNCTION("GOOGLETRANSLATE(B370,""en"",""ja"")"),"語")</f>
        <v>語</v>
      </c>
    </row>
    <row r="370" spans="1:3" ht="18" customHeight="1" x14ac:dyDescent="0.3">
      <c r="A370" s="1">
        <v>55</v>
      </c>
      <c r="B370" s="1" t="s">
        <v>336</v>
      </c>
      <c r="C370" s="1" t="str">
        <f ca="1">IFERROR(__xludf.DUMMYFUNCTION("GOOGLETRANSLATE(B371,""en"",""ja"")"),"全体")</f>
        <v>全体</v>
      </c>
    </row>
    <row r="371" spans="1:3" ht="18" customHeight="1" x14ac:dyDescent="0.3">
      <c r="A371" s="1">
        <v>55</v>
      </c>
      <c r="B371" s="1" t="s">
        <v>337</v>
      </c>
      <c r="C371" s="1" t="str">
        <f ca="1">IFERROR(__xludf.DUMMYFUNCTION("GOOGLETRANSLATE(B372,""en"",""ja"")"),"三")</f>
        <v>三</v>
      </c>
    </row>
    <row r="372" spans="1:3" ht="18" customHeight="1" x14ac:dyDescent="0.3">
      <c r="A372" s="1">
        <v>55</v>
      </c>
      <c r="B372" s="1" t="s">
        <v>338</v>
      </c>
      <c r="C372" s="1" t="str">
        <f ca="1">IFERROR(__xludf.DUMMYFUNCTION("GOOGLETRANSLATE(B373,""en"",""ja"")"),"正貨")</f>
        <v>正貨</v>
      </c>
    </row>
    <row r="373" spans="1:3" ht="18" customHeight="1" x14ac:dyDescent="0.3">
      <c r="A373" s="1">
        <v>55</v>
      </c>
      <c r="B373" s="1" t="s">
        <v>339</v>
      </c>
      <c r="C373" s="1" t="str">
        <f ca="1">IFERROR(__xludf.DUMMYFUNCTION("GOOGLETRANSLATE(B374,""en"",""ja"")"),"科学者")</f>
        <v>科学者</v>
      </c>
    </row>
    <row r="374" spans="1:3" ht="18" customHeight="1" x14ac:dyDescent="0.3">
      <c r="A374" s="1">
        <v>55</v>
      </c>
      <c r="B374" s="1" t="s">
        <v>34</v>
      </c>
      <c r="C374" s="1" t="str">
        <f ca="1">IFERROR(__xludf.DUMMYFUNCTION("GOOGLETRANSLATE(B375,""en"",""ja"")"),"人")</f>
        <v>人</v>
      </c>
    </row>
    <row r="375" spans="1:3" ht="18" customHeight="1" x14ac:dyDescent="0.3">
      <c r="A375" s="1">
        <v>55</v>
      </c>
      <c r="B375" s="1" t="s">
        <v>21</v>
      </c>
      <c r="C375" s="1" t="str">
        <f ca="1">IFERROR(__xludf.DUMMYFUNCTION("GOOGLETRANSLATE(B376,""en"",""ja"")"),"から")</f>
        <v>から</v>
      </c>
    </row>
    <row r="376" spans="1:3" ht="18" customHeight="1" x14ac:dyDescent="0.3">
      <c r="A376" s="1">
        <v>54</v>
      </c>
      <c r="B376" s="1" t="s">
        <v>340</v>
      </c>
      <c r="C376" s="1" t="str">
        <f ca="1">IFERROR(__xludf.DUMMYFUNCTION("GOOGLETRANSLATE(B377,""en"",""ja"")"),"研究者")</f>
        <v>研究者</v>
      </c>
    </row>
    <row r="377" spans="1:3" ht="18" customHeight="1" x14ac:dyDescent="0.3">
      <c r="A377" s="1">
        <v>54</v>
      </c>
      <c r="B377" s="1" t="s">
        <v>341</v>
      </c>
      <c r="C377" s="1" t="str">
        <f ca="1">IFERROR(__xludf.DUMMYFUNCTION("GOOGLETRANSLATE(B378,""en"",""ja"")"),"質問")</f>
        <v>質問</v>
      </c>
    </row>
    <row r="378" spans="1:3" ht="18" customHeight="1" x14ac:dyDescent="0.3">
      <c r="A378" s="1">
        <v>54</v>
      </c>
      <c r="B378" s="1" t="s">
        <v>342</v>
      </c>
      <c r="C378" s="1" t="str">
        <f ca="1">IFERROR(__xludf.DUMMYFUNCTION("GOOGLETRANSLATE(B379,""en"",""ja"")"),"古い")</f>
        <v>古い</v>
      </c>
    </row>
    <row r="379" spans="1:3" ht="18" customHeight="1" x14ac:dyDescent="0.3">
      <c r="A379" s="1">
        <v>54</v>
      </c>
      <c r="B379" s="1" t="s">
        <v>343</v>
      </c>
      <c r="C379" s="1" t="str">
        <f ca="1">IFERROR(__xludf.DUMMYFUNCTION("GOOGLETRANSLATE(B380,""en"",""ja"")"),"道徳の")</f>
        <v>道徳の</v>
      </c>
    </row>
    <row r="380" spans="1:3" ht="18" customHeight="1" x14ac:dyDescent="0.3">
      <c r="A380" s="1">
        <v>54</v>
      </c>
      <c r="B380" s="1" t="s">
        <v>103</v>
      </c>
      <c r="C380" s="1" t="str">
        <f ca="1">IFERROR(__xludf.DUMMYFUNCTION("GOOGLETRANSLATE(B381,""en"",""ja"")"),"最初")</f>
        <v>最初</v>
      </c>
    </row>
    <row r="381" spans="1:3" ht="18" customHeight="1" x14ac:dyDescent="0.3">
      <c r="A381" s="1">
        <v>54</v>
      </c>
      <c r="B381" s="1" t="s">
        <v>344</v>
      </c>
      <c r="C381" s="1" t="str">
        <f ca="1">IFERROR(__xludf.DUMMYFUNCTION("GOOGLETRANSLATE(B382,""en"",""ja"")"),"ダウン")</f>
        <v>ダウン</v>
      </c>
    </row>
    <row r="382" spans="1:3" ht="18" customHeight="1" x14ac:dyDescent="0.3">
      <c r="A382" s="1">
        <v>54</v>
      </c>
      <c r="B382" s="1" t="s">
        <v>345</v>
      </c>
      <c r="C382" s="1" t="str">
        <f ca="1">IFERROR(__xludf.DUMMYFUNCTION("GOOGLETRANSLATE(B383,""en"",""ja"")"),"データ")</f>
        <v>データ</v>
      </c>
    </row>
    <row r="383" spans="1:3" ht="18" customHeight="1" x14ac:dyDescent="0.3">
      <c r="A383" s="1">
        <v>53</v>
      </c>
      <c r="B383" s="1" t="s">
        <v>346</v>
      </c>
      <c r="C383" s="1" t="str">
        <f ca="1">IFERROR(__xludf.DUMMYFUNCTION("GOOGLETRANSLATE(B384,""en"",""ja"")"),"都市")</f>
        <v>都市</v>
      </c>
    </row>
    <row r="384" spans="1:3" ht="18" customHeight="1" x14ac:dyDescent="0.3">
      <c r="A384" s="1">
        <v>53</v>
      </c>
      <c r="B384" s="1" t="s">
        <v>347</v>
      </c>
      <c r="C384" s="1" t="str">
        <f ca="1">IFERROR(__xludf.DUMMYFUNCTION("GOOGLETRANSLATE(B385,""en"",""ja"")"),"回")</f>
        <v>回</v>
      </c>
    </row>
    <row r="385" spans="1:3" ht="18" customHeight="1" x14ac:dyDescent="0.3">
      <c r="A385" s="1">
        <v>53</v>
      </c>
      <c r="B385" s="1" t="s">
        <v>348</v>
      </c>
      <c r="C385" s="1" t="str">
        <f ca="1">IFERROR(__xludf.DUMMYFUNCTION("GOOGLETRANSLATE(B386,""en"",""ja"")"),"シングル")</f>
        <v>シングル</v>
      </c>
    </row>
    <row r="386" spans="1:3" ht="18" customHeight="1" x14ac:dyDescent="0.3">
      <c r="A386" s="1">
        <v>53</v>
      </c>
      <c r="B386" s="1" t="s">
        <v>349</v>
      </c>
      <c r="C386" s="1" t="str">
        <f ca="1">IFERROR(__xludf.DUMMYFUNCTION("GOOGLETRANSLATE(B387,""en"",""ja"")"),"いう")</f>
        <v>いう</v>
      </c>
    </row>
    <row r="387" spans="1:3" ht="18" customHeight="1" x14ac:dyDescent="0.3">
      <c r="A387" s="1">
        <v>53</v>
      </c>
      <c r="B387" s="1" t="s">
        <v>350</v>
      </c>
      <c r="C387" s="1" t="str">
        <f ca="1">IFERROR(__xludf.DUMMYFUNCTION("GOOGLETRANSLATE(B388,""en"",""ja"")"),"前記")</f>
        <v>前記</v>
      </c>
    </row>
    <row r="388" spans="1:3" ht="18" customHeight="1" x14ac:dyDescent="0.3">
      <c r="A388" s="1">
        <v>53</v>
      </c>
      <c r="B388" s="1" t="s">
        <v>351</v>
      </c>
      <c r="C388" s="1" t="str">
        <f ca="1">IFERROR(__xludf.DUMMYFUNCTION("GOOGLETRANSLATE(B389,""en"",""ja"")"),"ルール")</f>
        <v>ルール</v>
      </c>
    </row>
    <row r="389" spans="1:3" ht="18" customHeight="1" x14ac:dyDescent="0.3">
      <c r="A389" s="1">
        <v>53</v>
      </c>
      <c r="B389" s="1" t="s">
        <v>352</v>
      </c>
      <c r="C389" s="1" t="str">
        <f ca="1">IFERROR(__xludf.DUMMYFUNCTION("GOOGLETRANSLATE(B390,""en"",""ja"")"),"比較的に")</f>
        <v>比較的に</v>
      </c>
    </row>
    <row r="390" spans="1:3" ht="18" customHeight="1" x14ac:dyDescent="0.3">
      <c r="A390" s="1">
        <v>53</v>
      </c>
      <c r="B390" s="1" t="s">
        <v>38</v>
      </c>
      <c r="C390" s="1" t="str">
        <f ca="1">IFERROR(__xludf.DUMMYFUNCTION("GOOGLETRANSLATE(B391,""en"",""ja"")"),"他の")</f>
        <v>他の</v>
      </c>
    </row>
    <row r="391" spans="1:3" ht="18" customHeight="1" x14ac:dyDescent="0.3">
      <c r="A391" s="1">
        <v>53</v>
      </c>
      <c r="B391" s="1" t="s">
        <v>353</v>
      </c>
      <c r="C391" s="1" t="str">
        <f ca="1">IFERROR(__xludf.DUMMYFUNCTION("GOOGLETRANSLATE(B392,""en"",""ja"")"),"開いた")</f>
        <v>開いた</v>
      </c>
    </row>
    <row r="392" spans="1:3" ht="18" customHeight="1" x14ac:dyDescent="0.3">
      <c r="A392" s="1">
        <v>53</v>
      </c>
      <c r="B392" s="1" t="s">
        <v>126</v>
      </c>
      <c r="C392" s="1" t="str">
        <f ca="1">IFERROR(__xludf.DUMMYFUNCTION("GOOGLETRANSLATE(B393,""en"",""ja"")"),"形")</f>
        <v>形</v>
      </c>
    </row>
    <row r="393" spans="1:3" ht="18" customHeight="1" x14ac:dyDescent="0.3">
      <c r="A393" s="1">
        <v>53</v>
      </c>
      <c r="B393" s="1" t="s">
        <v>354</v>
      </c>
      <c r="C393" s="1" t="str">
        <f ca="1">IFERROR(__xludf.DUMMYFUNCTION("GOOGLETRANSLATE(B394,""en"",""ja"")"),"ドキュメント")</f>
        <v>ドキュメント</v>
      </c>
    </row>
    <row r="394" spans="1:3" ht="18" customHeight="1" x14ac:dyDescent="0.3">
      <c r="A394" s="1">
        <v>53</v>
      </c>
      <c r="B394" s="1" t="s">
        <v>355</v>
      </c>
      <c r="C394" s="1" t="str">
        <f ca="1">IFERROR(__xludf.DUMMYFUNCTION("GOOGLETRANSLATE(B395,""en"",""ja"")"),"バック")</f>
        <v>バック</v>
      </c>
    </row>
    <row r="395" spans="1:3" ht="18" customHeight="1" x14ac:dyDescent="0.3">
      <c r="A395" s="1">
        <v>52</v>
      </c>
      <c r="B395" s="1" t="s">
        <v>356</v>
      </c>
      <c r="C395" s="1" t="str">
        <f ca="1">IFERROR(__xludf.DUMMYFUNCTION("GOOGLETRANSLATE(B396,""en"",""ja"")"),"国民")</f>
        <v>国民</v>
      </c>
    </row>
    <row r="396" spans="1:3" ht="18" customHeight="1" x14ac:dyDescent="0.3">
      <c r="A396" s="1">
        <v>52</v>
      </c>
      <c r="B396" s="1" t="s">
        <v>357</v>
      </c>
      <c r="C396" s="1" t="str">
        <f ca="1">IFERROR(__xludf.DUMMYFUNCTION("GOOGLETRANSLATE(B397,""en"",""ja"")"),"地元")</f>
        <v>地元</v>
      </c>
    </row>
    <row r="397" spans="1:3" ht="18" customHeight="1" x14ac:dyDescent="0.3">
      <c r="A397" s="1">
        <v>52</v>
      </c>
      <c r="B397" s="1" t="s">
        <v>358</v>
      </c>
      <c r="C397" s="1" t="str">
        <f ca="1">IFERROR(__xludf.DUMMYFUNCTION("GOOGLETRANSLATE(B398,""en"",""ja"")"),"含みます")</f>
        <v>含みます</v>
      </c>
    </row>
    <row r="398" spans="1:3" ht="18" customHeight="1" x14ac:dyDescent="0.3">
      <c r="A398" s="1">
        <v>52</v>
      </c>
      <c r="B398" s="1" t="s">
        <v>359</v>
      </c>
      <c r="C398" s="1" t="str">
        <f ca="1">IFERROR(__xludf.DUMMYFUNCTION("GOOGLETRANSLATE(B399,""en"",""ja"")"),"地球")</f>
        <v>地球</v>
      </c>
    </row>
    <row r="399" spans="1:3" ht="18" customHeight="1" x14ac:dyDescent="0.3">
      <c r="A399" s="1">
        <v>52</v>
      </c>
      <c r="B399" s="1" t="s">
        <v>360</v>
      </c>
      <c r="C399" s="1" t="str">
        <f ca="1">IFERROR(__xludf.DUMMYFUNCTION("GOOGLETRANSLATE(B400,""en"",""ja"")"),"尋ね")</f>
        <v>尋ね</v>
      </c>
    </row>
    <row r="400" spans="1:3" ht="18" customHeight="1" x14ac:dyDescent="0.3">
      <c r="A400" s="1">
        <v>52</v>
      </c>
      <c r="B400" s="1" t="s">
        <v>361</v>
      </c>
      <c r="C400" s="1" t="str">
        <f ca="1">IFERROR(__xludf.DUMMYFUNCTION("GOOGLETRANSLATE(B401,""en"",""ja"")"),"沿って")</f>
        <v>沿って</v>
      </c>
    </row>
    <row r="401" spans="1:3" ht="18" customHeight="1" x14ac:dyDescent="0.3">
      <c r="A401" s="1">
        <v>51</v>
      </c>
      <c r="B401" s="1" t="s">
        <v>335</v>
      </c>
      <c r="C401" s="1" t="str">
        <f ca="1">IFERROR(__xludf.DUMMYFUNCTION("GOOGLETRANSLATE(B402,""en"",""ja"")"),"語")</f>
        <v>語</v>
      </c>
    </row>
    <row r="402" spans="1:3" ht="18" customHeight="1" x14ac:dyDescent="0.3">
      <c r="A402" s="1">
        <v>51</v>
      </c>
      <c r="B402" s="1" t="s">
        <v>298</v>
      </c>
      <c r="C402" s="1" t="str">
        <f ca="1">IFERROR(__xludf.DUMMYFUNCTION("GOOGLETRANSLATE(B403,""en"",""ja"")"),"技術")</f>
        <v>技術</v>
      </c>
    </row>
    <row r="403" spans="1:3" ht="18" customHeight="1" x14ac:dyDescent="0.3">
      <c r="A403" s="1">
        <v>51</v>
      </c>
      <c r="B403" s="1" t="s">
        <v>362</v>
      </c>
      <c r="C403" s="1" t="str">
        <f ca="1">IFERROR(__xludf.DUMMYFUNCTION("GOOGLETRANSLATE(B404,""en"",""ja"")"),"提案")</f>
        <v>提案</v>
      </c>
    </row>
    <row r="404" spans="1:3" ht="18" customHeight="1" x14ac:dyDescent="0.3">
      <c r="A404" s="1">
        <v>51</v>
      </c>
      <c r="B404" s="1" t="s">
        <v>363</v>
      </c>
      <c r="C404" s="1" t="str">
        <f ca="1">IFERROR(__xludf.DUMMYFUNCTION("GOOGLETRANSLATE(B405,""en"",""ja"")"),"ステートメント")</f>
        <v>ステートメント</v>
      </c>
    </row>
    <row r="405" spans="1:3" ht="18" customHeight="1" x14ac:dyDescent="0.3">
      <c r="A405" s="1">
        <v>51</v>
      </c>
      <c r="B405" s="1" t="s">
        <v>364</v>
      </c>
      <c r="C405" s="1" t="str">
        <f ca="1">IFERROR(__xludf.DUMMYFUNCTION("GOOGLETRANSLATE(B406,""en"",""ja"")"),"科学的")</f>
        <v>科学的</v>
      </c>
    </row>
    <row r="406" spans="1:3" ht="18" customHeight="1" x14ac:dyDescent="0.3">
      <c r="A406" s="1">
        <v>51</v>
      </c>
      <c r="B406" s="1" t="s">
        <v>365</v>
      </c>
      <c r="C406" s="1" t="str">
        <f ca="1">IFERROR(__xludf.DUMMYFUNCTION("GOOGLETRANSLATE(B407,""en"",""ja"")"),"最近")</f>
        <v>最近</v>
      </c>
    </row>
    <row r="407" spans="1:3" ht="18" customHeight="1" x14ac:dyDescent="0.3">
      <c r="A407" s="1">
        <v>51</v>
      </c>
      <c r="B407" s="1" t="s">
        <v>366</v>
      </c>
      <c r="C407" s="1" t="str">
        <f ca="1">IFERROR(__xludf.DUMMYFUNCTION("GOOGLETRANSLATE(B408,""en"",""ja"")"),"場所")</f>
        <v>場所</v>
      </c>
    </row>
    <row r="408" spans="1:3" ht="18" customHeight="1" x14ac:dyDescent="0.3">
      <c r="A408" s="1">
        <v>51</v>
      </c>
      <c r="B408" s="1" t="s">
        <v>367</v>
      </c>
      <c r="C408" s="1" t="str">
        <f ca="1">IFERROR(__xludf.DUMMYFUNCTION("GOOGLETRANSLATE(B409,""en"",""ja"")"),"ナチュラル")</f>
        <v>ナチュラル</v>
      </c>
    </row>
    <row r="409" spans="1:3" ht="18" customHeight="1" x14ac:dyDescent="0.3">
      <c r="A409" s="1">
        <v>51</v>
      </c>
      <c r="B409" s="1" t="s">
        <v>368</v>
      </c>
      <c r="C409" s="1" t="str">
        <f ca="1">IFERROR(__xludf.DUMMYFUNCTION("GOOGLETRANSLATE(B410,""en"",""ja"")"),"感じます")</f>
        <v>感じます</v>
      </c>
    </row>
    <row r="410" spans="1:3" ht="18" customHeight="1" x14ac:dyDescent="0.3">
      <c r="A410" s="1">
        <v>51</v>
      </c>
      <c r="B410" s="1" t="s">
        <v>369</v>
      </c>
      <c r="C410" s="1" t="str">
        <f ca="1">IFERROR(__xludf.DUMMYFUNCTION("GOOGLETRANSLATE(B411,""en"",""ja"")"),"コンピューター")</f>
        <v>コンピューター</v>
      </c>
    </row>
    <row r="411" spans="1:3" ht="18" customHeight="1" x14ac:dyDescent="0.3">
      <c r="A411" s="1">
        <v>50</v>
      </c>
      <c r="B411" s="1" t="s">
        <v>370</v>
      </c>
      <c r="C411" s="1" t="str">
        <f ca="1">IFERROR(__xludf.DUMMYFUNCTION("GOOGLETRANSLATE(B412,""en"",""ja"")"),"理解する")</f>
        <v>理解する</v>
      </c>
    </row>
    <row r="412" spans="1:3" ht="18" customHeight="1" x14ac:dyDescent="0.3">
      <c r="A412" s="1">
        <v>50</v>
      </c>
      <c r="B412" s="1" t="s">
        <v>371</v>
      </c>
      <c r="C412" s="1" t="str">
        <f ca="1">IFERROR(__xludf.DUMMYFUNCTION("GOOGLETRANSLATE(B413,""en"",""ja"")"),"伝統的な")</f>
        <v>伝統的な</v>
      </c>
    </row>
    <row r="413" spans="1:3" ht="18" customHeight="1" x14ac:dyDescent="0.3">
      <c r="A413" s="1">
        <v>50</v>
      </c>
      <c r="B413" s="1" t="s">
        <v>372</v>
      </c>
      <c r="C413" s="1" t="str">
        <f ca="1">IFERROR(__xludf.DUMMYFUNCTION("GOOGLETRANSLATE(B414,""en"",""ja"")"),"強い")</f>
        <v>強い</v>
      </c>
    </row>
    <row r="414" spans="1:3" ht="18" customHeight="1" x14ac:dyDescent="0.3">
      <c r="A414" s="1">
        <v>50</v>
      </c>
      <c r="B414" s="1" t="s">
        <v>373</v>
      </c>
      <c r="C414" s="1" t="str">
        <f ca="1">IFERROR(__xludf.DUMMYFUNCTION("GOOGLETRANSLATE(B415,""en"",""ja"")"),"ショート")</f>
        <v>ショート</v>
      </c>
    </row>
    <row r="415" spans="1:3" ht="18" customHeight="1" x14ac:dyDescent="0.3">
      <c r="A415" s="1">
        <v>50</v>
      </c>
      <c r="B415" s="1" t="s">
        <v>374</v>
      </c>
      <c r="C415" s="1" t="str">
        <f ca="1">IFERROR(__xludf.DUMMYFUNCTION("GOOGLETRANSLATE(B416,""en"",""ja"")"),"プライム")</f>
        <v>プライム</v>
      </c>
    </row>
    <row r="416" spans="1:3" ht="18" customHeight="1" x14ac:dyDescent="0.3">
      <c r="A416" s="1">
        <v>50</v>
      </c>
      <c r="B416" s="1" t="s">
        <v>375</v>
      </c>
      <c r="C416" s="1" t="str">
        <f ca="1">IFERROR(__xludf.DUMMYFUNCTION("GOOGLETRANSLATE(B417,""en"",""ja"")"),"オブジェクト")</f>
        <v>オブジェクト</v>
      </c>
    </row>
    <row r="417" spans="1:3" ht="18" customHeight="1" x14ac:dyDescent="0.3">
      <c r="A417" s="1">
        <v>50</v>
      </c>
      <c r="B417" s="1" t="s">
        <v>376</v>
      </c>
      <c r="C417" s="1" t="str">
        <f ca="1">IFERROR(__xludf.DUMMYFUNCTION("GOOGLETRANSLATE(B418,""en"",""ja"")"),"知られています")</f>
        <v>知られています</v>
      </c>
    </row>
    <row r="418" spans="1:3" ht="18" customHeight="1" x14ac:dyDescent="0.3">
      <c r="A418" s="1">
        <v>50</v>
      </c>
      <c r="B418" s="1" t="s">
        <v>50</v>
      </c>
      <c r="C418" s="1" t="str">
        <f ca="1">IFERROR(__xludf.DUMMYFUNCTION("GOOGLETRANSLATE(B419,""en"",""ja"")"),"人間")</f>
        <v>人間</v>
      </c>
    </row>
    <row r="419" spans="1:3" ht="18" customHeight="1" x14ac:dyDescent="0.3">
      <c r="A419" s="1">
        <v>50</v>
      </c>
      <c r="B419" s="1" t="s">
        <v>377</v>
      </c>
      <c r="C419" s="1" t="str">
        <f ca="1">IFERROR(__xludf.DUMMYFUNCTION("GOOGLETRANSLATE(B420,""en"",""ja"")"),"グループ")</f>
        <v>グループ</v>
      </c>
    </row>
    <row r="420" spans="1:3" ht="18" customHeight="1" x14ac:dyDescent="0.3">
      <c r="A420" s="1">
        <v>50</v>
      </c>
      <c r="B420" s="1" t="s">
        <v>378</v>
      </c>
      <c r="C420" s="1" t="str">
        <f ca="1">IFERROR(__xludf.DUMMYFUNCTION("GOOGLETRANSLATE(B421,""en"",""ja"")"),"大きいです")</f>
        <v>大きいです</v>
      </c>
    </row>
    <row r="421" spans="1:3" ht="18" customHeight="1" x14ac:dyDescent="0.3">
      <c r="A421" s="1">
        <v>50</v>
      </c>
      <c r="B421" s="1" t="s">
        <v>359</v>
      </c>
      <c r="C421" s="1" t="str">
        <f ca="1">IFERROR(__xludf.DUMMYFUNCTION("GOOGLETRANSLATE(B422,""en"",""ja"")"),"地球")</f>
        <v>地球</v>
      </c>
    </row>
    <row r="422" spans="1:3" ht="18" customHeight="1" x14ac:dyDescent="0.3">
      <c r="A422" s="1">
        <v>50</v>
      </c>
      <c r="B422" s="1" t="s">
        <v>379</v>
      </c>
      <c r="C422" s="1" t="str">
        <f ca="1">IFERROR(__xludf.DUMMYFUNCTION("GOOGLETRANSLATE(B423,""en"",""ja"")"),"都市")</f>
        <v>都市</v>
      </c>
    </row>
    <row r="423" spans="1:3" ht="18" customHeight="1" x14ac:dyDescent="0.3">
      <c r="A423" s="1">
        <v>50</v>
      </c>
      <c r="B423" s="1" t="s">
        <v>380</v>
      </c>
      <c r="C423" s="1" t="str">
        <f ca="1">IFERROR(__xludf.DUMMYFUNCTION("GOOGLETRANSLATE(B424,""en"",""ja"")"),"本")</f>
        <v>本</v>
      </c>
    </row>
    <row r="424" spans="1:3" ht="18" customHeight="1" x14ac:dyDescent="0.3">
      <c r="A424" s="1">
        <v>50</v>
      </c>
      <c r="B424" s="1" t="s">
        <v>381</v>
      </c>
      <c r="C424" s="1" t="str">
        <f ca="1">IFERROR(__xludf.DUMMYFUNCTION("GOOGLETRANSLATE(B425,""en"",""ja"")"),"平均")</f>
        <v>平均</v>
      </c>
    </row>
    <row r="425" spans="1:3" ht="18" customHeight="1" x14ac:dyDescent="0.3">
      <c r="A425" s="1">
        <v>49</v>
      </c>
      <c r="B425" s="1" t="s">
        <v>382</v>
      </c>
      <c r="C425" s="1" t="str">
        <f ca="1">IFERROR(__xludf.DUMMYFUNCTION("GOOGLETRANSLATE(B426,""en"",""ja"")"),"思想")</f>
        <v>思想</v>
      </c>
    </row>
    <row r="426" spans="1:3" ht="18" customHeight="1" x14ac:dyDescent="0.3">
      <c r="A426" s="1">
        <v>49</v>
      </c>
      <c r="B426" s="1" t="s">
        <v>137</v>
      </c>
      <c r="C426" s="1" t="str">
        <f ca="1">IFERROR(__xludf.DUMMYFUNCTION("GOOGLETRANSLATE(B427,""en"",""ja"")"),"社会")</f>
        <v>社会</v>
      </c>
    </row>
    <row r="427" spans="1:3" ht="18" customHeight="1" x14ac:dyDescent="0.3">
      <c r="A427" s="1">
        <v>49</v>
      </c>
      <c r="B427" s="1" t="s">
        <v>383</v>
      </c>
      <c r="C427" s="1" t="str">
        <f ca="1">IFERROR(__xludf.DUMMYFUNCTION("GOOGLETRANSLATE(B428,""en"",""ja"")"),"状況")</f>
        <v>状況</v>
      </c>
    </row>
    <row r="428" spans="1:3" ht="18" customHeight="1" x14ac:dyDescent="0.3">
      <c r="A428" s="1">
        <v>49</v>
      </c>
      <c r="B428" s="1" t="s">
        <v>384</v>
      </c>
      <c r="C428" s="1" t="str">
        <f ca="1">IFERROR(__xludf.DUMMYFUNCTION("GOOGLETRANSLATE(B429,""en"",""ja"")"),"物理的")</f>
        <v>物理的</v>
      </c>
    </row>
    <row r="429" spans="1:3" ht="18" customHeight="1" x14ac:dyDescent="0.3">
      <c r="A429" s="1">
        <v>49</v>
      </c>
      <c r="B429" s="1" t="s">
        <v>119</v>
      </c>
      <c r="C429" s="1" t="str">
        <f ca="1">IFERROR(__xludf.DUMMYFUNCTION("GOOGLETRANSLATE(B430,""en"",""ja"")"),"でる")</f>
        <v>でる</v>
      </c>
    </row>
    <row r="430" spans="1:3" ht="18" customHeight="1" x14ac:dyDescent="0.3">
      <c r="A430" s="1">
        <v>49</v>
      </c>
      <c r="B430" s="1" t="s">
        <v>330</v>
      </c>
      <c r="C430" s="1" t="str">
        <f ca="1">IFERROR(__xludf.DUMMYFUNCTION("GOOGLETRANSLATE(B431,""en"",""ja"")"),"高い")</f>
        <v>高い</v>
      </c>
    </row>
    <row r="431" spans="1:3" ht="18" customHeight="1" x14ac:dyDescent="0.3">
      <c r="A431" s="1">
        <v>49</v>
      </c>
      <c r="B431" s="1" t="s">
        <v>385</v>
      </c>
      <c r="C431" s="1" t="str">
        <f ca="1">IFERROR(__xludf.DUMMYFUNCTION("GOOGLETRANSLATE(B432,""en"",""ja"")"),"FDA")</f>
        <v>FDA</v>
      </c>
    </row>
    <row r="432" spans="1:3" ht="18" customHeight="1" x14ac:dyDescent="0.3">
      <c r="A432" s="1">
        <v>49</v>
      </c>
      <c r="B432" s="1" t="s">
        <v>386</v>
      </c>
      <c r="C432" s="1" t="str">
        <f ca="1">IFERROR(__xludf.DUMMYFUNCTION("GOOGLETRANSLATE(B433,""en"",""ja"")"),"進化")</f>
        <v>進化</v>
      </c>
    </row>
    <row r="433" spans="1:3" ht="18" customHeight="1" x14ac:dyDescent="0.3">
      <c r="A433" s="1">
        <v>49</v>
      </c>
      <c r="B433" s="1" t="s">
        <v>387</v>
      </c>
      <c r="C433" s="1" t="str">
        <f ca="1">IFERROR(__xludf.DUMMYFUNCTION("GOOGLETRANSLATE(B434,""en"",""ja"")"),"不可欠")</f>
        <v>不可欠</v>
      </c>
    </row>
    <row r="434" spans="1:3" ht="18" customHeight="1" x14ac:dyDescent="0.3">
      <c r="A434" s="1">
        <v>49</v>
      </c>
      <c r="B434" s="1" t="s">
        <v>388</v>
      </c>
      <c r="C434" s="1" t="str">
        <f ca="1">IFERROR(__xludf.DUMMYFUNCTION("GOOGLETRANSLATE(B435,""en"",""ja"")"),"現像")</f>
        <v>現像</v>
      </c>
    </row>
    <row r="435" spans="1:3" ht="18" customHeight="1" x14ac:dyDescent="0.3">
      <c r="A435" s="1">
        <v>49</v>
      </c>
      <c r="B435" s="1" t="s">
        <v>389</v>
      </c>
      <c r="C435" s="1" t="str">
        <f ca="1">IFERROR(__xludf.DUMMYFUNCTION("GOOGLETRANSLATE(B436,""en"",""ja"")"),"晴れ")</f>
        <v>晴れ</v>
      </c>
    </row>
    <row r="436" spans="1:3" ht="18" customHeight="1" x14ac:dyDescent="0.3">
      <c r="A436" s="1">
        <v>49</v>
      </c>
      <c r="B436" s="1" t="s">
        <v>390</v>
      </c>
      <c r="C436" s="1" t="str">
        <f ca="1">IFERROR(__xludf.DUMMYFUNCTION("GOOGLETRANSLATE(B437,""en"",""ja"")"),"チョムスキー")</f>
        <v>チョムスキー</v>
      </c>
    </row>
    <row r="437" spans="1:3" ht="18" customHeight="1" x14ac:dyDescent="0.3">
      <c r="A437" s="1">
        <v>49</v>
      </c>
      <c r="B437" s="1" t="s">
        <v>246</v>
      </c>
      <c r="C437" s="1" t="str">
        <f ca="1">IFERROR(__xludf.DUMMYFUNCTION("GOOGLETRANSLATE(B438,""en"",""ja"")"),"動作")</f>
        <v>動作</v>
      </c>
    </row>
    <row r="438" spans="1:3" ht="18" customHeight="1" x14ac:dyDescent="0.3">
      <c r="A438" s="1">
        <v>49</v>
      </c>
      <c r="B438" s="1" t="s">
        <v>391</v>
      </c>
      <c r="C438" s="1" t="str">
        <f ca="1">IFERROR(__xludf.DUMMYFUNCTION("GOOGLETRANSLATE(B439,""en"",""ja"")"),"初め")</f>
        <v>初め</v>
      </c>
    </row>
    <row r="439" spans="1:3" ht="18" customHeight="1" x14ac:dyDescent="0.3">
      <c r="A439" s="1">
        <v>49</v>
      </c>
      <c r="B439" s="1" t="s">
        <v>392</v>
      </c>
      <c r="C439" s="1" t="str">
        <f ca="1">IFERROR(__xludf.DUMMYFUNCTION("GOOGLETRANSLATE(B440,""en"",""ja"")"),"雰囲気")</f>
        <v>雰囲気</v>
      </c>
    </row>
    <row r="440" spans="1:3" ht="18" customHeight="1" x14ac:dyDescent="0.3">
      <c r="A440" s="1">
        <v>48</v>
      </c>
      <c r="B440" s="1" t="s">
        <v>393</v>
      </c>
      <c r="C440" s="1" t="str">
        <f ca="1">IFERROR(__xludf.DUMMYFUNCTION("GOOGLETRANSLATE(B441,""en"",""ja"")"),"若い")</f>
        <v>若い</v>
      </c>
    </row>
    <row r="441" spans="1:3" ht="18" customHeight="1" x14ac:dyDescent="0.3">
      <c r="A441" s="1">
        <v>48</v>
      </c>
      <c r="B441" s="1" t="s">
        <v>57</v>
      </c>
      <c r="C441" s="1" t="str">
        <f ca="1">IFERROR(__xludf.DUMMYFUNCTION("GOOGLETRANSLATE(B442,""en"",""ja"")"),"そう")</f>
        <v>そう</v>
      </c>
    </row>
    <row r="442" spans="1:3" ht="18" customHeight="1" x14ac:dyDescent="0.3">
      <c r="A442" s="1">
        <v>48</v>
      </c>
      <c r="B442" s="1" t="s">
        <v>394</v>
      </c>
      <c r="C442" s="1" t="str">
        <f ca="1">IFERROR(__xludf.DUMMYFUNCTION("GOOGLETRANSLATE(B443,""en"",""ja"")"),"少し")</f>
        <v>少し</v>
      </c>
    </row>
    <row r="443" spans="1:3" ht="18" customHeight="1" x14ac:dyDescent="0.3">
      <c r="A443" s="1">
        <v>48</v>
      </c>
      <c r="B443" s="1" t="s">
        <v>395</v>
      </c>
      <c r="C443" s="1" t="str">
        <f ca="1">IFERROR(__xludf.DUMMYFUNCTION("GOOGLETRANSLATE(B444,""en"",""ja"")"),"ランドマーク")</f>
        <v>ランドマーク</v>
      </c>
    </row>
    <row r="444" spans="1:3" ht="18" customHeight="1" x14ac:dyDescent="0.3">
      <c r="A444" s="1">
        <v>48</v>
      </c>
      <c r="B444" s="1" t="s">
        <v>396</v>
      </c>
      <c r="C444" s="1" t="str">
        <f ca="1">IFERROR(__xludf.DUMMYFUNCTION("GOOGLETRANSLATE(B445,""en"",""ja"")"),"ENSO")</f>
        <v>ENSO</v>
      </c>
    </row>
    <row r="445" spans="1:3" ht="18" customHeight="1" x14ac:dyDescent="0.3">
      <c r="A445" s="1">
        <v>48</v>
      </c>
      <c r="B445" s="1" t="s">
        <v>143</v>
      </c>
      <c r="C445" s="1" t="str">
        <f ca="1">IFERROR(__xludf.DUMMYFUNCTION("GOOGLETRANSLATE(B446,""en"",""ja"")"),"文化")</f>
        <v>文化</v>
      </c>
    </row>
    <row r="446" spans="1:3" ht="18" customHeight="1" x14ac:dyDescent="0.3">
      <c r="A446" s="1">
        <v>48</v>
      </c>
      <c r="B446" s="1" t="s">
        <v>397</v>
      </c>
      <c r="C446" s="1" t="str">
        <f ca="1">IFERROR(__xludf.DUMMYFUNCTION("GOOGLETRANSLATE(B447,""en"",""ja"")"),"懸念")</f>
        <v>懸念</v>
      </c>
    </row>
    <row r="447" spans="1:3" ht="18" customHeight="1" x14ac:dyDescent="0.3">
      <c r="A447" s="1">
        <v>48</v>
      </c>
      <c r="B447" s="1" t="s">
        <v>398</v>
      </c>
      <c r="C447" s="1" t="str">
        <f ca="1">IFERROR(__xludf.DUMMYFUNCTION("GOOGLETRANSLATE(B448,""en"",""ja"")"),"鳥類")</f>
        <v>鳥類</v>
      </c>
    </row>
    <row r="448" spans="1:3" ht="18" customHeight="1" x14ac:dyDescent="0.3">
      <c r="A448" s="1">
        <v>48</v>
      </c>
      <c r="B448" s="1" t="s">
        <v>399</v>
      </c>
      <c r="C448" s="1" t="str">
        <f ca="1">IFERROR(__xludf.DUMMYFUNCTION("GOOGLETRANSLATE(B449,""en"",""ja"")"),"アプローチ")</f>
        <v>アプローチ</v>
      </c>
    </row>
    <row r="449" spans="1:3" ht="18" customHeight="1" x14ac:dyDescent="0.3">
      <c r="A449" s="1">
        <v>48</v>
      </c>
      <c r="B449" s="1" t="s">
        <v>400</v>
      </c>
      <c r="C449" s="1" t="str">
        <f ca="1">IFERROR(__xludf.DUMMYFUNCTION("GOOGLETRANSLATE(B450,""en"",""ja"")"),"ほとんど")</f>
        <v>ほとんど</v>
      </c>
    </row>
    <row r="450" spans="1:3" ht="18" customHeight="1" x14ac:dyDescent="0.3">
      <c r="A450" s="1">
        <v>48</v>
      </c>
      <c r="B450" s="1" t="s">
        <v>401</v>
      </c>
      <c r="C450" s="1" t="str">
        <f ca="1">IFERROR(__xludf.DUMMYFUNCTION("GOOGLETRANSLATE(B451,""en"",""ja"")"),"アフリカの")</f>
        <v>アフリカの</v>
      </c>
    </row>
    <row r="451" spans="1:3" ht="18" customHeight="1" x14ac:dyDescent="0.3">
      <c r="A451" s="1">
        <v>48</v>
      </c>
      <c r="B451" s="1" t="s">
        <v>837</v>
      </c>
      <c r="C451" s="1" t="str">
        <f ca="1">IFERROR(__xludf.DUMMYFUNCTION("GOOGLETRANSLATE(B992,""en"",""ja"")"),"サービス")</f>
        <v>サービス</v>
      </c>
    </row>
    <row r="452" spans="1:3" ht="18" customHeight="1" x14ac:dyDescent="0.3">
      <c r="A452" s="1">
        <v>47</v>
      </c>
      <c r="B452" s="1" t="s">
        <v>402</v>
      </c>
      <c r="C452" s="1" t="str">
        <f ca="1">IFERROR(__xludf.DUMMYFUNCTION("GOOGLETRANSLATE(B452,""en"",""ja"")"),"傾向")</f>
        <v>傾向</v>
      </c>
    </row>
    <row r="453" spans="1:3" ht="18" customHeight="1" x14ac:dyDescent="0.3">
      <c r="A453" s="1">
        <v>47</v>
      </c>
      <c r="B453" s="1" t="s">
        <v>349</v>
      </c>
      <c r="C453" s="1" t="str">
        <f ca="1">IFERROR(__xludf.DUMMYFUNCTION("GOOGLETRANSLATE(B453,""en"",""ja"")"),"いう")</f>
        <v>いう</v>
      </c>
    </row>
    <row r="454" spans="1:3" ht="18" customHeight="1" x14ac:dyDescent="0.3">
      <c r="A454" s="1">
        <v>47</v>
      </c>
      <c r="B454" s="1" t="s">
        <v>403</v>
      </c>
      <c r="C454" s="1" t="str">
        <f ca="1">IFERROR(__xludf.DUMMYFUNCTION("GOOGLETRANSLATE(B454,""en"",""ja"")"),"ポジション")</f>
        <v>ポジション</v>
      </c>
    </row>
    <row r="455" spans="1:3" ht="18" customHeight="1" x14ac:dyDescent="0.3">
      <c r="A455" s="1">
        <v>47</v>
      </c>
      <c r="B455" s="1" t="s">
        <v>404</v>
      </c>
      <c r="C455" s="1" t="str">
        <f ca="1">IFERROR(__xludf.DUMMYFUNCTION("GOOGLETRANSLATE(B455,""en"",""ja"")"),"男性")</f>
        <v>男性</v>
      </c>
    </row>
    <row r="456" spans="1:3" ht="18" customHeight="1" x14ac:dyDescent="0.3">
      <c r="A456" s="1">
        <v>47</v>
      </c>
      <c r="B456" s="1" t="s">
        <v>405</v>
      </c>
      <c r="C456" s="1" t="str">
        <f ca="1">IFERROR(__xludf.DUMMYFUNCTION("GOOGLETRANSLATE(B456,""en"",""ja"")"),"主要な")</f>
        <v>主要な</v>
      </c>
    </row>
    <row r="457" spans="1:3" ht="18" customHeight="1" x14ac:dyDescent="0.3">
      <c r="A457" s="1">
        <v>47</v>
      </c>
      <c r="B457" s="1" t="s">
        <v>406</v>
      </c>
      <c r="C457" s="1" t="str">
        <f ca="1">IFERROR(__xludf.DUMMYFUNCTION("GOOGLETRANSLATE(B457,""en"",""ja"")"),"画像")</f>
        <v>画像</v>
      </c>
    </row>
    <row r="458" spans="1:3" ht="18" customHeight="1" x14ac:dyDescent="0.3">
      <c r="A458" s="1">
        <v>47</v>
      </c>
      <c r="B458" s="1" t="s">
        <v>261</v>
      </c>
      <c r="C458" s="1" t="str">
        <f ca="1">IFERROR(__xludf.DUMMYFUNCTION("GOOGLETRANSLATE(B458,""en"",""ja"")"),"幸福")</f>
        <v>幸福</v>
      </c>
    </row>
    <row r="459" spans="1:3" ht="18" customHeight="1" x14ac:dyDescent="0.3">
      <c r="A459" s="1">
        <v>47</v>
      </c>
      <c r="B459" s="1" t="s">
        <v>139</v>
      </c>
      <c r="C459" s="1" t="str">
        <f ca="1">IFERROR(__xludf.DUMMYFUNCTION("GOOGLETRANSLATE(B459,""en"",""ja"")"),"例")</f>
        <v>例</v>
      </c>
    </row>
    <row r="460" spans="1:3" ht="18" customHeight="1" x14ac:dyDescent="0.3">
      <c r="A460" s="1">
        <v>47</v>
      </c>
      <c r="B460" s="1" t="s">
        <v>407</v>
      </c>
      <c r="C460" s="1" t="str">
        <f ca="1">IFERROR(__xludf.DUMMYFUNCTION("GOOGLETRANSLATE(B460,""en"",""ja"")"),"エジソン")</f>
        <v>エジソン</v>
      </c>
    </row>
    <row r="461" spans="1:3" ht="18" customHeight="1" x14ac:dyDescent="0.3">
      <c r="A461" s="1">
        <v>47</v>
      </c>
      <c r="B461" s="1" t="s">
        <v>408</v>
      </c>
      <c r="C461" s="1" t="str">
        <f ca="1">IFERROR(__xludf.DUMMYFUNCTION("GOOGLETRANSLATE(B461,""en"",""ja"")"),"発展させる")</f>
        <v>発展させる</v>
      </c>
    </row>
    <row r="462" spans="1:3" ht="18" customHeight="1" x14ac:dyDescent="0.3">
      <c r="A462" s="1">
        <v>47</v>
      </c>
      <c r="B462" s="1" t="s">
        <v>409</v>
      </c>
      <c r="C462" s="1" t="str">
        <f ca="1">IFERROR(__xludf.DUMMYFUNCTION("GOOGLETRANSLATE(B462,""en"",""ja"")"),"場合")</f>
        <v>場合</v>
      </c>
    </row>
    <row r="463" spans="1:3" ht="18" customHeight="1" x14ac:dyDescent="0.3">
      <c r="A463" s="1">
        <v>47</v>
      </c>
      <c r="B463" s="1" t="s">
        <v>24</v>
      </c>
      <c r="C463" s="1" t="str">
        <f ca="1">IFERROR(__xludf.DUMMYFUNCTION("GOOGLETRANSLATE(B463,""en"",""ja"")"),"だが")</f>
        <v>だが</v>
      </c>
    </row>
    <row r="464" spans="1:3" ht="18" customHeight="1" x14ac:dyDescent="0.3">
      <c r="A464" s="1">
        <v>47</v>
      </c>
      <c r="B464" s="1" t="s">
        <v>152</v>
      </c>
      <c r="C464" s="1" t="str">
        <f ca="1">IFERROR(__xludf.DUMMYFUNCTION("GOOGLETRANSLATE(B464,""en"",""ja"")"),"動物")</f>
        <v>動物</v>
      </c>
    </row>
    <row r="465" spans="1:3" ht="18" customHeight="1" x14ac:dyDescent="0.3">
      <c r="A465" s="1">
        <v>47</v>
      </c>
      <c r="B465" s="1" t="s">
        <v>410</v>
      </c>
      <c r="C465" s="1" t="str">
        <f ca="1">IFERROR(__xludf.DUMMYFUNCTION("GOOGLETRANSLATE(B465,""en"",""ja"")"),"前")</f>
        <v>前</v>
      </c>
    </row>
    <row r="466" spans="1:3" ht="18" customHeight="1" x14ac:dyDescent="0.3">
      <c r="A466" s="1">
        <v>47</v>
      </c>
      <c r="B466" s="1" t="s">
        <v>411</v>
      </c>
      <c r="C466" s="1" t="str">
        <f ca="1">IFERROR(__xludf.DUMMYFUNCTION("GOOGLETRANSLATE(B466,""en"",""ja"")"),"行為")</f>
        <v>行為</v>
      </c>
    </row>
    <row r="467" spans="1:3" ht="18" customHeight="1" x14ac:dyDescent="0.3">
      <c r="A467" s="1">
        <v>46</v>
      </c>
      <c r="B467" s="1" t="s">
        <v>412</v>
      </c>
      <c r="C467" s="1" t="str">
        <f ca="1">IFERROR(__xludf.DUMMYFUNCTION("GOOGLETRANSLATE(B467,""en"",""ja"")"),"サポート")</f>
        <v>サポート</v>
      </c>
    </row>
    <row r="468" spans="1:3" ht="18" customHeight="1" x14ac:dyDescent="0.3">
      <c r="A468" s="1">
        <v>46</v>
      </c>
      <c r="B468" s="1" t="s">
        <v>413</v>
      </c>
      <c r="C468" s="1" t="str">
        <f ca="1">IFERROR(__xludf.DUMMYFUNCTION("GOOGLETRANSLATE(B468,""en"",""ja"")"),"サポート")</f>
        <v>サポート</v>
      </c>
    </row>
    <row r="469" spans="1:3" ht="18" customHeight="1" x14ac:dyDescent="0.3">
      <c r="A469" s="1">
        <v>46</v>
      </c>
      <c r="B469" s="1" t="s">
        <v>414</v>
      </c>
      <c r="C469" s="1" t="str">
        <f ca="1">IFERROR(__xludf.DUMMYFUNCTION("GOOGLETRANSLATE(B469,""en"",""ja"")"),"構造")</f>
        <v>構造</v>
      </c>
    </row>
    <row r="470" spans="1:3" ht="18" customHeight="1" x14ac:dyDescent="0.3">
      <c r="A470" s="1">
        <v>46</v>
      </c>
      <c r="B470" s="1" t="s">
        <v>415</v>
      </c>
      <c r="C470" s="1" t="str">
        <f ca="1">IFERROR(__xludf.DUMMYFUNCTION("GOOGLETRANSLATE(B470,""en"",""ja"")"),"正しい")</f>
        <v>正しい</v>
      </c>
    </row>
    <row r="471" spans="1:3" ht="18" customHeight="1" x14ac:dyDescent="0.3">
      <c r="A471" s="1">
        <v>46</v>
      </c>
      <c r="B471" s="1" t="s">
        <v>416</v>
      </c>
      <c r="C471" s="1" t="str">
        <f ca="1">IFERROR(__xludf.DUMMYFUNCTION("GOOGLETRANSLATE(B471,""en"",""ja"")"),"過去")</f>
        <v>過去</v>
      </c>
    </row>
    <row r="472" spans="1:3" ht="18" customHeight="1" x14ac:dyDescent="0.3">
      <c r="A472" s="1">
        <v>46</v>
      </c>
      <c r="B472" s="1" t="s">
        <v>417</v>
      </c>
      <c r="C472" s="1" t="str">
        <f ca="1">IFERROR(__xludf.DUMMYFUNCTION("GOOGLETRANSLATE(B472,""en"",""ja"")"),"親")</f>
        <v>親</v>
      </c>
    </row>
    <row r="473" spans="1:3" ht="18" customHeight="1" x14ac:dyDescent="0.3">
      <c r="A473" s="1">
        <v>46</v>
      </c>
      <c r="B473" s="1" t="s">
        <v>418</v>
      </c>
      <c r="C473" s="1" t="str">
        <f ca="1">IFERROR(__xludf.DUMMYFUNCTION("GOOGLETRANSLATE(B473,""en"",""ja"")"),"オンライン")</f>
        <v>オンライン</v>
      </c>
    </row>
    <row r="474" spans="1:3" ht="18" customHeight="1" x14ac:dyDescent="0.3">
      <c r="A474" s="1">
        <v>46</v>
      </c>
      <c r="B474" s="1" t="s">
        <v>419</v>
      </c>
      <c r="C474" s="1" t="str">
        <f ca="1">IFERROR(__xludf.DUMMYFUNCTION("GOOGLETRANSLATE(B474,""en"",""ja"")"),"発生する")</f>
        <v>発生する</v>
      </c>
    </row>
    <row r="475" spans="1:3" ht="18" customHeight="1" x14ac:dyDescent="0.3">
      <c r="A475" s="1">
        <v>46</v>
      </c>
      <c r="B475" s="1" t="s">
        <v>17</v>
      </c>
      <c r="C475" s="1" t="str">
        <f ca="1">IFERROR(__xludf.DUMMYFUNCTION("GOOGLETRANSLATE(B475,""en"",""ja"")"),"ではありません")</f>
        <v>ではありません</v>
      </c>
    </row>
    <row r="476" spans="1:3" ht="18" customHeight="1" x14ac:dyDescent="0.3">
      <c r="A476" s="1">
        <v>46</v>
      </c>
      <c r="B476" s="1" t="s">
        <v>420</v>
      </c>
      <c r="C476" s="1" t="str">
        <f ca="1">IFERROR(__xludf.DUMMYFUNCTION("GOOGLETRANSLATE(B476,""en"",""ja"")"),"質量")</f>
        <v>質量</v>
      </c>
    </row>
    <row r="477" spans="1:3" ht="18" customHeight="1" x14ac:dyDescent="0.3">
      <c r="A477" s="1">
        <v>46</v>
      </c>
      <c r="B477" s="1" t="s">
        <v>421</v>
      </c>
      <c r="C477" s="1" t="str">
        <f ca="1">IFERROR(__xludf.DUMMYFUNCTION("GOOGLETRANSLATE(B477,""en"",""ja"")"),"たくさん")</f>
        <v>たくさん</v>
      </c>
    </row>
    <row r="478" spans="1:3" ht="18" customHeight="1" x14ac:dyDescent="0.3">
      <c r="A478" s="1">
        <v>46</v>
      </c>
      <c r="B478" s="1" t="s">
        <v>222</v>
      </c>
      <c r="C478" s="1" t="str">
        <f ca="1">IFERROR(__xludf.DUMMYFUNCTION("GOOGLETRANSLATE(B478,""en"",""ja"")"),"長いです")</f>
        <v>長いです</v>
      </c>
    </row>
    <row r="479" spans="1:3" ht="18" customHeight="1" x14ac:dyDescent="0.3">
      <c r="A479" s="1">
        <v>46</v>
      </c>
      <c r="B479" s="1" t="s">
        <v>422</v>
      </c>
      <c r="C479" s="1" t="str">
        <f ca="1">IFERROR(__xludf.DUMMYFUNCTION("GOOGLETRANSLATE(B479,""en"",""ja"")"),"導いた")</f>
        <v>導いた</v>
      </c>
    </row>
    <row r="480" spans="1:3" ht="18" customHeight="1" x14ac:dyDescent="0.3">
      <c r="A480" s="1">
        <v>46</v>
      </c>
      <c r="B480" s="1" t="s">
        <v>423</v>
      </c>
      <c r="C480" s="1" t="str">
        <f ca="1">IFERROR(__xludf.DUMMYFUNCTION("GOOGLETRANSLATE(B480,""en"",""ja"")"),"重要性")</f>
        <v>重要性</v>
      </c>
    </row>
    <row r="481" spans="1:3" ht="18" customHeight="1" x14ac:dyDescent="0.3">
      <c r="A481" s="1">
        <v>46</v>
      </c>
      <c r="B481" s="1" t="s">
        <v>424</v>
      </c>
      <c r="C481" s="1" t="str">
        <f ca="1">IFERROR(__xludf.DUMMYFUNCTION("GOOGLETRANSLATE(B481,""en"",""ja"")"),"所与")</f>
        <v>所与</v>
      </c>
    </row>
    <row r="482" spans="1:3" ht="18" customHeight="1" x14ac:dyDescent="0.3">
      <c r="A482" s="1">
        <v>46</v>
      </c>
      <c r="B482" s="1" t="s">
        <v>425</v>
      </c>
      <c r="C482" s="1" t="str">
        <f ca="1">IFERROR(__xludf.DUMMYFUNCTION("GOOGLETRANSLATE(B482,""en"",""ja"")"),"経験")</f>
        <v>経験</v>
      </c>
    </row>
    <row r="483" spans="1:3" ht="18" customHeight="1" x14ac:dyDescent="0.3">
      <c r="A483" s="1">
        <v>46</v>
      </c>
      <c r="B483" s="1" t="s">
        <v>426</v>
      </c>
      <c r="C483" s="1" t="str">
        <f ca="1">IFERROR(__xludf.DUMMYFUNCTION("GOOGLETRANSLATE(B483,""en"",""ja"")"),"DR")</f>
        <v>DR</v>
      </c>
    </row>
    <row r="484" spans="1:3" ht="18" customHeight="1" x14ac:dyDescent="0.3">
      <c r="A484" s="1">
        <v>46</v>
      </c>
      <c r="B484" s="1" t="s">
        <v>311</v>
      </c>
      <c r="C484" s="1" t="str">
        <f ca="1">IFERROR(__xludf.DUMMYFUNCTION("GOOGLETRANSLATE(B484,""en"",""ja"")"),"端末")</f>
        <v>端末</v>
      </c>
    </row>
    <row r="485" spans="1:3" ht="18" customHeight="1" x14ac:dyDescent="0.3">
      <c r="A485" s="1">
        <v>46</v>
      </c>
      <c r="B485" s="1" t="s">
        <v>427</v>
      </c>
      <c r="C485" s="1" t="str">
        <f ca="1">IFERROR(__xludf.DUMMYFUNCTION("GOOGLETRANSLATE(B485,""en"",""ja"")"),"国")</f>
        <v>国</v>
      </c>
    </row>
    <row r="486" spans="1:3" ht="18" customHeight="1" x14ac:dyDescent="0.3">
      <c r="A486" s="1">
        <v>46</v>
      </c>
      <c r="B486" s="1" t="s">
        <v>174</v>
      </c>
      <c r="C486" s="1" t="str">
        <f ca="1">IFERROR(__xludf.DUMMYFUNCTION("GOOGLETRANSLATE(B486,""en"",""ja"")"),"論文")</f>
        <v>論文</v>
      </c>
    </row>
    <row r="487" spans="1:3" ht="18" customHeight="1" x14ac:dyDescent="0.3">
      <c r="A487" s="1">
        <v>45</v>
      </c>
      <c r="B487" s="1" t="s">
        <v>242</v>
      </c>
      <c r="C487" s="1" t="str">
        <f ca="1">IFERROR(__xludf.DUMMYFUNCTION("GOOGLETRANSLATE(B487,""en"",""ja"")"),"見る")</f>
        <v>見る</v>
      </c>
    </row>
    <row r="488" spans="1:3" ht="18" customHeight="1" x14ac:dyDescent="0.3">
      <c r="A488" s="1">
        <v>45</v>
      </c>
      <c r="B488" s="1" t="s">
        <v>428</v>
      </c>
      <c r="C488" s="1" t="str">
        <f ca="1">IFERROR(__xludf.DUMMYFUNCTION("GOOGLETRANSLATE(B488,""en"",""ja"")"),"ルーラー")</f>
        <v>ルーラー</v>
      </c>
    </row>
    <row r="489" spans="1:3" ht="18" customHeight="1" x14ac:dyDescent="0.3">
      <c r="A489" s="1">
        <v>45</v>
      </c>
      <c r="B489" s="1" t="s">
        <v>429</v>
      </c>
      <c r="C489" s="1" t="str">
        <f ca="1">IFERROR(__xludf.DUMMYFUNCTION("GOOGLETRANSLATE(B489,""en"",""ja"")"),"外側")</f>
        <v>外側</v>
      </c>
    </row>
    <row r="490" spans="1:3" ht="18" customHeight="1" x14ac:dyDescent="0.3">
      <c r="A490" s="1">
        <v>45</v>
      </c>
      <c r="B490" s="1" t="s">
        <v>430</v>
      </c>
      <c r="C490" s="1" t="str">
        <f ca="1">IFERROR(__xludf.DUMMYFUNCTION("GOOGLETRANSLATE(B490,""en"",""ja"")"),"じぶんの")</f>
        <v>じぶんの</v>
      </c>
    </row>
    <row r="491" spans="1:3" ht="18" customHeight="1" x14ac:dyDescent="0.3">
      <c r="A491" s="1">
        <v>45</v>
      </c>
      <c r="B491" s="1" t="s">
        <v>431</v>
      </c>
      <c r="C491" s="1" t="str">
        <f ca="1">IFERROR(__xludf.DUMMYFUNCTION("GOOGLETRANSLATE(B491,""en"",""ja"")"),"中")</f>
        <v>中</v>
      </c>
    </row>
    <row r="492" spans="1:3" ht="18" customHeight="1" x14ac:dyDescent="0.3">
      <c r="A492" s="1">
        <v>45</v>
      </c>
      <c r="B492" s="1" t="s">
        <v>136</v>
      </c>
      <c r="C492" s="1" t="str">
        <f ca="1">IFERROR(__xludf.DUMMYFUNCTION("GOOGLETRANSLATE(B492,""en"",""ja"")"),"良い")</f>
        <v>良い</v>
      </c>
    </row>
    <row r="493" spans="1:3" ht="18" customHeight="1" x14ac:dyDescent="0.3">
      <c r="A493" s="1">
        <v>45</v>
      </c>
      <c r="B493" s="1" t="s">
        <v>432</v>
      </c>
      <c r="C493" s="1" t="str">
        <f ca="1">IFERROR(__xludf.DUMMYFUNCTION("GOOGLETRANSLATE(B493,""en"",""ja"")"),"さらに")</f>
        <v>さらに</v>
      </c>
    </row>
    <row r="494" spans="1:3" ht="18" customHeight="1" x14ac:dyDescent="0.3">
      <c r="A494" s="1">
        <v>45</v>
      </c>
      <c r="B494" s="1" t="s">
        <v>433</v>
      </c>
      <c r="C494" s="1" t="str">
        <f ca="1">IFERROR(__xludf.DUMMYFUNCTION("GOOGLETRANSLATE(B494,""en"",""ja"")"),"表示")</f>
        <v>表示</v>
      </c>
    </row>
    <row r="495" spans="1:3" ht="18" customHeight="1" x14ac:dyDescent="0.3">
      <c r="A495" s="1">
        <v>45</v>
      </c>
      <c r="B495" s="1" t="s">
        <v>434</v>
      </c>
      <c r="C495" s="1" t="str">
        <f ca="1">IFERROR(__xludf.DUMMYFUNCTION("GOOGLETRANSLATE(B495,""en"",""ja"")"),"コース")</f>
        <v>コース</v>
      </c>
    </row>
    <row r="496" spans="1:3" ht="18" customHeight="1" x14ac:dyDescent="0.3">
      <c r="A496" s="1">
        <v>45</v>
      </c>
      <c r="B496" s="1" t="s">
        <v>245</v>
      </c>
      <c r="C496" s="1" t="str">
        <f ca="1">IFERROR(__xludf.DUMMYFUNCTION("GOOGLETRANSLATE(B496,""en"",""ja"")"),"国")</f>
        <v>国</v>
      </c>
    </row>
    <row r="497" spans="1:3" ht="18" customHeight="1" x14ac:dyDescent="0.3">
      <c r="A497" s="1">
        <v>45</v>
      </c>
      <c r="B497" s="1" t="s">
        <v>435</v>
      </c>
      <c r="C497" s="1" t="str">
        <f ca="1">IFERROR(__xludf.DUMMYFUNCTION("GOOGLETRANSLATE(B497,""en"",""ja"")"),"市")</f>
        <v>市</v>
      </c>
    </row>
    <row r="498" spans="1:3" ht="18" customHeight="1" x14ac:dyDescent="0.3">
      <c r="A498" s="1">
        <v>45</v>
      </c>
      <c r="B498" s="1" t="s">
        <v>436</v>
      </c>
      <c r="C498" s="1" t="str">
        <f ca="1">IFERROR(__xludf.DUMMYFUNCTION("GOOGLETRANSLATE(B498,""en"",""ja"")"),"再び")</f>
        <v>再び</v>
      </c>
    </row>
    <row r="499" spans="1:3" ht="18" customHeight="1" x14ac:dyDescent="0.3">
      <c r="A499" s="1">
        <v>44</v>
      </c>
      <c r="B499" s="1" t="s">
        <v>265</v>
      </c>
      <c r="C499" s="1" t="str">
        <f ca="1">IFERROR(__xludf.DUMMYFUNCTION("GOOGLETRANSLATE(B499,""en"",""ja"")"),"作業")</f>
        <v>作業</v>
      </c>
    </row>
    <row r="500" spans="1:3" ht="18" customHeight="1" x14ac:dyDescent="0.3">
      <c r="A500" s="1">
        <v>44</v>
      </c>
      <c r="B500" s="1" t="s">
        <v>437</v>
      </c>
      <c r="C500" s="1" t="str">
        <f ca="1">IFERROR(__xludf.DUMMYFUNCTION("GOOGLETRANSLATE(B500,""en"",""ja"")"),"宗教的な")</f>
        <v>宗教的な</v>
      </c>
    </row>
    <row r="501" spans="1:3" ht="18" customHeight="1" x14ac:dyDescent="0.3">
      <c r="A501" s="1">
        <v>44</v>
      </c>
      <c r="B501" s="1" t="s">
        <v>341</v>
      </c>
      <c r="C501" s="1" t="str">
        <f ca="1">IFERROR(__xludf.DUMMYFUNCTION("GOOGLETRANSLATE(B501,""en"",""ja"")"),"質問")</f>
        <v>質問</v>
      </c>
    </row>
    <row r="502" spans="1:3" ht="18" customHeight="1" x14ac:dyDescent="0.3">
      <c r="A502" s="1">
        <v>44</v>
      </c>
      <c r="B502" s="1" t="s">
        <v>438</v>
      </c>
      <c r="C502" s="1" t="str">
        <f ca="1">IFERROR(__xludf.DUMMYFUNCTION("GOOGLETRANSLATE(B502,""en"",""ja"")"),"演奏する")</f>
        <v>演奏する</v>
      </c>
    </row>
    <row r="503" spans="1:3" ht="18" customHeight="1" x14ac:dyDescent="0.3">
      <c r="A503" s="1">
        <v>44</v>
      </c>
      <c r="B503" s="1" t="s">
        <v>439</v>
      </c>
      <c r="C503" s="1" t="str">
        <f ca="1">IFERROR(__xludf.DUMMYFUNCTION("GOOGLETRANSLATE(B503,""en"",""ja"")"),"メンバー")</f>
        <v>メンバー</v>
      </c>
    </row>
    <row r="504" spans="1:3" ht="18" customHeight="1" x14ac:dyDescent="0.3">
      <c r="A504" s="1">
        <v>44</v>
      </c>
      <c r="B504" s="1" t="s">
        <v>440</v>
      </c>
      <c r="C504" s="1" t="str">
        <f ca="1">IFERROR(__xludf.DUMMYFUNCTION("GOOGLETRANSLATE(B504,""en"",""ja"")"),"発明")</f>
        <v>発明</v>
      </c>
    </row>
    <row r="505" spans="1:3" ht="18" customHeight="1" x14ac:dyDescent="0.3">
      <c r="A505" s="1">
        <v>44</v>
      </c>
      <c r="B505" s="1" t="s">
        <v>92</v>
      </c>
      <c r="C505" s="1" t="str">
        <f ca="1">IFERROR(__xludf.DUMMYFUNCTION("GOOGLETRANSLATE(B505,""en"",""ja"")"),"情報")</f>
        <v>情報</v>
      </c>
    </row>
    <row r="506" spans="1:3" ht="18" customHeight="1" x14ac:dyDescent="0.3">
      <c r="A506" s="1">
        <v>44</v>
      </c>
      <c r="B506" s="1" t="s">
        <v>441</v>
      </c>
      <c r="C506" s="1" t="str">
        <f ca="1">IFERROR(__xludf.DUMMYFUNCTION("GOOGLETRANSLATE(B506,""en"",""ja"")"),"ハッピー")</f>
        <v>ハッピー</v>
      </c>
    </row>
    <row r="507" spans="1:3" ht="18" customHeight="1" x14ac:dyDescent="0.3">
      <c r="A507" s="1">
        <v>44</v>
      </c>
      <c r="B507" s="1" t="s">
        <v>442</v>
      </c>
      <c r="C507" s="1" t="str">
        <f ca="1">IFERROR(__xludf.DUMMYFUNCTION("GOOGLETRANSLATE(B507,""en"",""ja"")"),"関数")</f>
        <v>関数</v>
      </c>
    </row>
    <row r="508" spans="1:3" ht="18" customHeight="1" x14ac:dyDescent="0.3">
      <c r="A508" s="1">
        <v>44</v>
      </c>
      <c r="B508" s="1" t="s">
        <v>443</v>
      </c>
      <c r="C508" s="1" t="str">
        <f ca="1">IFERROR(__xludf.DUMMYFUNCTION("GOOGLETRANSLATE(B508,""en"",""ja"")"),"証拠")</f>
        <v>証拠</v>
      </c>
    </row>
    <row r="509" spans="1:3" ht="18" customHeight="1" x14ac:dyDescent="0.3">
      <c r="A509" s="1">
        <v>44</v>
      </c>
      <c r="B509" s="1" t="s">
        <v>444</v>
      </c>
      <c r="C509" s="1" t="str">
        <f ca="1">IFERROR(__xludf.DUMMYFUNCTION("GOOGLETRANSLATE(B509,""en"",""ja"")"),"環境")</f>
        <v>環境</v>
      </c>
    </row>
    <row r="510" spans="1:3" ht="18" customHeight="1" x14ac:dyDescent="0.3">
      <c r="A510" s="1">
        <v>44</v>
      </c>
      <c r="B510" s="1" t="s">
        <v>445</v>
      </c>
      <c r="C510" s="1" t="str">
        <f ca="1">IFERROR(__xludf.DUMMYFUNCTION("GOOGLETRANSLATE(B510,""en"",""ja"")"),"比べ")</f>
        <v>比べ</v>
      </c>
    </row>
    <row r="511" spans="1:3" ht="18" customHeight="1" x14ac:dyDescent="0.3">
      <c r="A511" s="1">
        <v>44</v>
      </c>
      <c r="B511" s="1" t="s">
        <v>435</v>
      </c>
      <c r="C511" s="1" t="str">
        <f ca="1">IFERROR(__xludf.DUMMYFUNCTION("GOOGLETRANSLATE(B511,""en"",""ja"")"),"市")</f>
        <v>市</v>
      </c>
    </row>
    <row r="512" spans="1:3" ht="18" customHeight="1" x14ac:dyDescent="0.3">
      <c r="A512" s="1">
        <v>43</v>
      </c>
      <c r="B512" s="1" t="s">
        <v>446</v>
      </c>
      <c r="C512" s="1" t="str">
        <f ca="1">IFERROR(__xludf.DUMMYFUNCTION("GOOGLETRANSLATE(B512,""en"",""ja"")"),"ポロ")</f>
        <v>ポロ</v>
      </c>
    </row>
    <row r="513" spans="1:3" ht="18" customHeight="1" x14ac:dyDescent="0.3">
      <c r="A513" s="1">
        <v>43</v>
      </c>
      <c r="B513" s="1" t="s">
        <v>447</v>
      </c>
      <c r="C513" s="1" t="str">
        <f ca="1">IFERROR(__xludf.DUMMYFUNCTION("GOOGLETRANSLATE(B513,""en"",""ja"")"),"大きな")</f>
        <v>大きな</v>
      </c>
    </row>
    <row r="514" spans="1:3" ht="18" customHeight="1" x14ac:dyDescent="0.3">
      <c r="A514" s="1">
        <v>43</v>
      </c>
      <c r="B514" s="1" t="s">
        <v>448</v>
      </c>
      <c r="C514" s="1" t="str">
        <f ca="1">IFERROR(__xludf.DUMMYFUNCTION("GOOGLETRANSLATE(B514,""en"",""ja"")"),"概して")</f>
        <v>概して</v>
      </c>
    </row>
    <row r="515" spans="1:3" ht="18" customHeight="1" x14ac:dyDescent="0.3">
      <c r="A515" s="1">
        <v>43</v>
      </c>
      <c r="B515" s="1" t="s">
        <v>449</v>
      </c>
      <c r="C515" s="1" t="str">
        <f ca="1">IFERROR(__xludf.DUMMYFUNCTION("GOOGLETRANSLATE(B515,""en"",""ja"")"),"特性")</f>
        <v>特性</v>
      </c>
    </row>
    <row r="516" spans="1:3" ht="18" customHeight="1" x14ac:dyDescent="0.3">
      <c r="A516" s="1">
        <v>43</v>
      </c>
      <c r="B516" s="1" t="s">
        <v>216</v>
      </c>
      <c r="C516" s="1" t="str">
        <f ca="1">IFERROR(__xludf.DUMMYFUNCTION("GOOGLETRANSLATE(B516,""en"",""ja"")"),"変化する")</f>
        <v>変化する</v>
      </c>
    </row>
    <row r="517" spans="1:3" ht="18" customHeight="1" x14ac:dyDescent="0.3">
      <c r="A517" s="1">
        <v>43</v>
      </c>
      <c r="B517" s="1" t="s">
        <v>450</v>
      </c>
      <c r="C517" s="1" t="str">
        <f ca="1">IFERROR(__xludf.DUMMYFUNCTION("GOOGLETRANSLATE(B517,""en"",""ja"")"),"来ました")</f>
        <v>来ました</v>
      </c>
    </row>
    <row r="518" spans="1:3" ht="18" customHeight="1" x14ac:dyDescent="0.3">
      <c r="A518" s="1">
        <v>42</v>
      </c>
      <c r="B518" s="1" t="s">
        <v>451</v>
      </c>
      <c r="C518" s="1" t="str">
        <f ca="1">IFERROR(__xludf.DUMMYFUNCTION("GOOGLETRANSLATE(B518,""en"",""ja"")"),"ウォーミング")</f>
        <v>ウォーミング</v>
      </c>
    </row>
    <row r="519" spans="1:3" ht="18" customHeight="1" x14ac:dyDescent="0.3">
      <c r="A519" s="1">
        <v>42</v>
      </c>
      <c r="B519" s="1" t="s">
        <v>452</v>
      </c>
      <c r="C519" s="1" t="str">
        <f ca="1">IFERROR(__xludf.DUMMYFUNCTION("GOOGLETRANSLATE(B519,""en"",""ja"")"),"まで")</f>
        <v>まで</v>
      </c>
    </row>
    <row r="520" spans="1:3" ht="18" customHeight="1" x14ac:dyDescent="0.3">
      <c r="A520" s="1">
        <v>42</v>
      </c>
      <c r="B520" s="1" t="s">
        <v>453</v>
      </c>
      <c r="C520" s="1" t="str">
        <f ca="1">IFERROR(__xludf.DUMMYFUNCTION("GOOGLETRANSLATE(B520,""en"",""ja"")"),"専門的な")</f>
        <v>専門的な</v>
      </c>
    </row>
    <row r="521" spans="1:3" ht="18" customHeight="1" x14ac:dyDescent="0.3">
      <c r="A521" s="1">
        <v>42</v>
      </c>
      <c r="B521" s="1" t="s">
        <v>454</v>
      </c>
      <c r="C521" s="1" t="str">
        <f ca="1">IFERROR(__xludf.DUMMYFUNCTION("GOOGLETRANSLATE(B521,""en"",""ja"")"),"公演")</f>
        <v>公演</v>
      </c>
    </row>
    <row r="522" spans="1:3" ht="18" customHeight="1" x14ac:dyDescent="0.3">
      <c r="A522" s="1">
        <v>42</v>
      </c>
      <c r="B522" s="1" t="s">
        <v>455</v>
      </c>
      <c r="C522" s="1" t="str">
        <f ca="1">IFERROR(__xludf.DUMMYFUNCTION("GOOGLETRANSLATE(B522,""en"",""ja"")"),"シェア")</f>
        <v>シェア</v>
      </c>
    </row>
    <row r="523" spans="1:3" ht="18" customHeight="1" x14ac:dyDescent="0.3">
      <c r="A523" s="1">
        <v>42</v>
      </c>
      <c r="B523" s="1" t="s">
        <v>456</v>
      </c>
      <c r="C523" s="1" t="str">
        <f ca="1">IFERROR(__xludf.DUMMYFUNCTION("GOOGLETRANSLATE(B523,""en"",""ja"")"),"S")</f>
        <v>S</v>
      </c>
    </row>
    <row r="524" spans="1:3" ht="18" customHeight="1" x14ac:dyDescent="0.3">
      <c r="A524" s="1">
        <v>42</v>
      </c>
      <c r="B524" s="1" t="s">
        <v>457</v>
      </c>
      <c r="C524" s="1" t="str">
        <f ca="1">IFERROR(__xludf.DUMMYFUNCTION("GOOGLETRANSLATE(B524,""en"",""ja"")"),"相対的")</f>
        <v>相対的</v>
      </c>
    </row>
    <row r="525" spans="1:3" ht="18" customHeight="1" x14ac:dyDescent="0.3">
      <c r="A525" s="1">
        <v>42</v>
      </c>
      <c r="B525" s="1" t="s">
        <v>458</v>
      </c>
      <c r="C525" s="1" t="str">
        <f ca="1">IFERROR(__xludf.DUMMYFUNCTION("GOOGLETRANSLATE(B525,""en"",""ja"")"),"強いです")</f>
        <v>強いです</v>
      </c>
    </row>
    <row r="526" spans="1:3" ht="18" customHeight="1" x14ac:dyDescent="0.3">
      <c r="A526" s="1">
        <v>42</v>
      </c>
      <c r="B526" s="1" t="s">
        <v>459</v>
      </c>
      <c r="C526" s="1" t="str">
        <f ca="1">IFERROR(__xludf.DUMMYFUNCTION("GOOGLETRANSLATE(B526,""en"",""ja"")"),"ノン")</f>
        <v>ノン</v>
      </c>
    </row>
    <row r="527" spans="1:3" ht="18" customHeight="1" x14ac:dyDescent="0.3">
      <c r="A527" s="1">
        <v>42</v>
      </c>
      <c r="B527" s="1" t="s">
        <v>460</v>
      </c>
      <c r="C527" s="1" t="str">
        <f ca="1">IFERROR(__xludf.DUMMYFUNCTION("GOOGLETRANSLATE(B527,""en"",""ja"")"),"ミトコンドリア")</f>
        <v>ミトコンドリア</v>
      </c>
    </row>
    <row r="528" spans="1:3" ht="18" customHeight="1" x14ac:dyDescent="0.3">
      <c r="A528" s="1">
        <v>42</v>
      </c>
      <c r="B528" s="1" t="s">
        <v>461</v>
      </c>
      <c r="C528" s="1" t="str">
        <f ca="1">IFERROR(__xludf.DUMMYFUNCTION("GOOGLETRANSLATE(B528,""en"",""ja"")"),"何百万人")</f>
        <v>何百万人</v>
      </c>
    </row>
    <row r="529" spans="1:3" ht="18" customHeight="1" x14ac:dyDescent="0.3">
      <c r="A529" s="1">
        <v>42</v>
      </c>
      <c r="B529" s="1" t="s">
        <v>462</v>
      </c>
      <c r="C529" s="1" t="str">
        <f ca="1">IFERROR(__xludf.DUMMYFUNCTION("GOOGLETRANSLATE(B529,""en"",""ja"")"),"言及")</f>
        <v>言及</v>
      </c>
    </row>
    <row r="530" spans="1:3" ht="18" customHeight="1" x14ac:dyDescent="0.3">
      <c r="A530" s="1">
        <v>42</v>
      </c>
      <c r="B530" s="1" t="s">
        <v>463</v>
      </c>
      <c r="C530" s="1" t="str">
        <f ca="1">IFERROR(__xludf.DUMMYFUNCTION("GOOGLETRANSLATE(B530,""en"",""ja"")"),"住む")</f>
        <v>住む</v>
      </c>
    </row>
    <row r="531" spans="1:3" ht="18" customHeight="1" x14ac:dyDescent="0.3">
      <c r="A531" s="1">
        <v>42</v>
      </c>
      <c r="B531" s="1" t="s">
        <v>273</v>
      </c>
      <c r="C531" s="1" t="str">
        <f ca="1">IFERROR(__xludf.DUMMYFUNCTION("GOOGLETRANSLATE(B531,""en"",""ja"")"),"リベラル")</f>
        <v>リベラル</v>
      </c>
    </row>
    <row r="532" spans="1:3" ht="18" customHeight="1" x14ac:dyDescent="0.3">
      <c r="A532" s="1">
        <v>42</v>
      </c>
      <c r="B532" s="1" t="s">
        <v>262</v>
      </c>
      <c r="C532" s="1" t="str">
        <f ca="1">IFERROR(__xludf.DUMMYFUNCTION("GOOGLETRANSLATE(B532,""en"",""ja"")"),"政府")</f>
        <v>政府</v>
      </c>
    </row>
    <row r="533" spans="1:3" ht="18" customHeight="1" x14ac:dyDescent="0.3">
      <c r="A533" s="1">
        <v>42</v>
      </c>
      <c r="B533" s="1" t="s">
        <v>464</v>
      </c>
      <c r="C533" s="1" t="str">
        <f ca="1">IFERROR(__xludf.DUMMYFUNCTION("GOOGLETRANSLATE(B533,""en"",""ja"")"),"表示されます")</f>
        <v>表示されます</v>
      </c>
    </row>
    <row r="534" spans="1:3" ht="18" customHeight="1" x14ac:dyDescent="0.3">
      <c r="A534" s="1">
        <v>42</v>
      </c>
      <c r="B534" s="1" t="s">
        <v>989</v>
      </c>
      <c r="C534" s="1" t="str">
        <f ca="1">IFERROR(__xludf.DUMMYFUNCTION("GOOGLETRANSLATE(B1176,""en"",""ja"")"),"シンプル")</f>
        <v>シンプル</v>
      </c>
    </row>
    <row r="535" spans="1:3" ht="18" customHeight="1" x14ac:dyDescent="0.3">
      <c r="A535" s="1">
        <v>41</v>
      </c>
      <c r="B535" s="1" t="s">
        <v>465</v>
      </c>
      <c r="C535" s="1" t="str">
        <f ca="1">IFERROR(__xludf.DUMMYFUNCTION("GOOGLETRANSLATE(B534,""en"",""ja"")"),"試します")</f>
        <v>試します</v>
      </c>
    </row>
    <row r="536" spans="1:3" ht="18" customHeight="1" x14ac:dyDescent="0.3">
      <c r="A536" s="1">
        <v>41</v>
      </c>
      <c r="B536" s="1" t="s">
        <v>466</v>
      </c>
      <c r="C536" s="1" t="str">
        <f ca="1">IFERROR(__xludf.DUMMYFUNCTION("GOOGLETRANSLATE(B535,""en"",""ja"")"),"資質")</f>
        <v>資質</v>
      </c>
    </row>
    <row r="537" spans="1:3" ht="18" customHeight="1" x14ac:dyDescent="0.3">
      <c r="A537" s="1">
        <v>41</v>
      </c>
      <c r="B537" s="1" t="s">
        <v>366</v>
      </c>
      <c r="C537" s="1" t="str">
        <f ca="1">IFERROR(__xludf.DUMMYFUNCTION("GOOGLETRANSLATE(B536,""en"",""ja"")"),"場所")</f>
        <v>場所</v>
      </c>
    </row>
    <row r="538" spans="1:3" ht="18" customHeight="1" x14ac:dyDescent="0.3">
      <c r="A538" s="1">
        <v>41</v>
      </c>
      <c r="B538" s="1" t="s">
        <v>467</v>
      </c>
      <c r="C538" s="1" t="str">
        <f ca="1">IFERROR(__xludf.DUMMYFUNCTION("GOOGLETRANSLATE(B537,""en"",""ja"")"),"必要に応じて")</f>
        <v>必要に応じて</v>
      </c>
    </row>
    <row r="539" spans="1:3" ht="18" customHeight="1" x14ac:dyDescent="0.3">
      <c r="A539" s="1">
        <v>41</v>
      </c>
      <c r="B539" s="1" t="s">
        <v>468</v>
      </c>
      <c r="C539" s="1" t="str">
        <f ca="1">IFERROR(__xludf.DUMMYFUNCTION("GOOGLETRANSLATE(B538,""en"",""ja"")"),"平均")</f>
        <v>平均</v>
      </c>
    </row>
    <row r="540" spans="1:3" ht="18" customHeight="1" x14ac:dyDescent="0.3">
      <c r="A540" s="1">
        <v>41</v>
      </c>
      <c r="B540" s="1" t="s">
        <v>469</v>
      </c>
      <c r="C540" s="1" t="str">
        <f ca="1">IFERROR(__xludf.DUMMYFUNCTION("GOOGLETRANSLATE(B539,""en"",""ja"")"),"レベル")</f>
        <v>レベル</v>
      </c>
    </row>
    <row r="541" spans="1:3" ht="18" customHeight="1" x14ac:dyDescent="0.3">
      <c r="A541" s="1">
        <v>41</v>
      </c>
      <c r="B541" s="1" t="s">
        <v>442</v>
      </c>
      <c r="C541" s="1" t="str">
        <f ca="1">IFERROR(__xludf.DUMMYFUNCTION("GOOGLETRANSLATE(B540,""en"",""ja"")"),"関数")</f>
        <v>関数</v>
      </c>
    </row>
    <row r="542" spans="1:3" ht="18" customHeight="1" x14ac:dyDescent="0.3">
      <c r="A542" s="1">
        <v>41</v>
      </c>
      <c r="B542" s="1" t="s">
        <v>470</v>
      </c>
      <c r="C542" s="1" t="str">
        <f ca="1">IFERROR(__xludf.DUMMYFUNCTION("GOOGLETRANSLATE(B541,""en"",""ja"")"),"面")</f>
        <v>面</v>
      </c>
    </row>
    <row r="543" spans="1:3" ht="18" customHeight="1" x14ac:dyDescent="0.3">
      <c r="A543" s="1">
        <v>41</v>
      </c>
      <c r="B543" s="1" t="s">
        <v>386</v>
      </c>
      <c r="C543" s="1" t="str">
        <f ca="1">IFERROR(__xludf.DUMMYFUNCTION("GOOGLETRANSLATE(B542,""en"",""ja"")"),"進化")</f>
        <v>進化</v>
      </c>
    </row>
    <row r="544" spans="1:3" ht="18" customHeight="1" x14ac:dyDescent="0.3">
      <c r="A544" s="1">
        <v>41</v>
      </c>
      <c r="B544" s="1" t="s">
        <v>471</v>
      </c>
      <c r="C544" s="1" t="str">
        <f ca="1">IFERROR(__xludf.DUMMYFUNCTION("GOOGLETRANSLATE(B543,""en"",""ja"")"),"特に")</f>
        <v>特に</v>
      </c>
    </row>
    <row r="545" spans="1:3" ht="18" customHeight="1" x14ac:dyDescent="0.3">
      <c r="A545" s="1">
        <v>41</v>
      </c>
      <c r="B545" s="1" t="s">
        <v>472</v>
      </c>
      <c r="C545" s="1" t="str">
        <f ca="1">IFERROR(__xludf.DUMMYFUNCTION("GOOGLETRANSLATE(B544,""en"",""ja"")"),"デジタル")</f>
        <v>デジタル</v>
      </c>
    </row>
    <row r="546" spans="1:3" ht="18" customHeight="1" x14ac:dyDescent="0.3">
      <c r="A546" s="1">
        <v>41</v>
      </c>
      <c r="B546" s="1" t="s">
        <v>473</v>
      </c>
      <c r="C546" s="1" t="str">
        <f ca="1">IFERROR(__xludf.DUMMYFUNCTION("GOOGLETRANSLATE(B545,""en"",""ja"")"),"コントロール")</f>
        <v>コントロール</v>
      </c>
    </row>
    <row r="547" spans="1:3" ht="18" customHeight="1" x14ac:dyDescent="0.3">
      <c r="A547" s="1">
        <v>41</v>
      </c>
      <c r="B547" s="1" t="s">
        <v>474</v>
      </c>
      <c r="C547" s="1" t="str">
        <f ca="1">IFERROR(__xludf.DUMMYFUNCTION("GOOGLETRANSLATE(B546,""en"",""ja"")"),"ベギン")</f>
        <v>ベギン</v>
      </c>
    </row>
    <row r="548" spans="1:3" ht="18" customHeight="1" x14ac:dyDescent="0.3">
      <c r="A548" s="1">
        <v>40</v>
      </c>
      <c r="B548" s="1" t="s">
        <v>475</v>
      </c>
      <c r="C548" s="1" t="str">
        <f ca="1">IFERROR(__xludf.DUMMYFUNCTION("GOOGLETRANSLATE(B547,""en"",""ja"")"),"傾向があります")</f>
        <v>傾向があります</v>
      </c>
    </row>
    <row r="549" spans="1:3" ht="18" customHeight="1" x14ac:dyDescent="0.3">
      <c r="A549" s="1">
        <v>40</v>
      </c>
      <c r="B549" s="1" t="s">
        <v>476</v>
      </c>
      <c r="C549" s="1" t="str">
        <f ca="1">IFERROR(__xludf.DUMMYFUNCTION("GOOGLETRANSLATE(B548,""en"",""ja"")"),"先生")</f>
        <v>先生</v>
      </c>
    </row>
    <row r="550" spans="1:3" ht="18" customHeight="1" x14ac:dyDescent="0.3">
      <c r="A550" s="1">
        <v>40</v>
      </c>
      <c r="B550" s="1" t="s">
        <v>477</v>
      </c>
      <c r="C550" s="1" t="str">
        <f ca="1">IFERROR(__xludf.DUMMYFUNCTION("GOOGLETRANSLATE(B549,""en"",""ja"")"),"役割")</f>
        <v>役割</v>
      </c>
    </row>
    <row r="551" spans="1:3" ht="18" customHeight="1" x14ac:dyDescent="0.3">
      <c r="A551" s="1">
        <v>40</v>
      </c>
      <c r="B551" s="1" t="s">
        <v>90</v>
      </c>
      <c r="C551" s="1" t="str">
        <f ca="1">IFERROR(__xludf.DUMMYFUNCTION("GOOGLETRANSLATE(B550,""en"",""ja"")"),"メイク")</f>
        <v>メイク</v>
      </c>
    </row>
    <row r="552" spans="1:3" ht="18" customHeight="1" x14ac:dyDescent="0.3">
      <c r="A552" s="1">
        <v>40</v>
      </c>
      <c r="B552" s="1" t="s">
        <v>478</v>
      </c>
      <c r="C552" s="1" t="str">
        <f ca="1">IFERROR(__xludf.DUMMYFUNCTION("GOOGLETRANSLATE(B551,""en"",""ja"")"),"レベル")</f>
        <v>レベル</v>
      </c>
    </row>
    <row r="553" spans="1:3" ht="18" customHeight="1" x14ac:dyDescent="0.3">
      <c r="A553" s="1">
        <v>40</v>
      </c>
      <c r="B553" s="1" t="s">
        <v>479</v>
      </c>
      <c r="C553" s="1" t="str">
        <f ca="1">IFERROR(__xludf.DUMMYFUNCTION("GOOGLETRANSLATE(B552,""en"",""ja"")"),"左")</f>
        <v>左</v>
      </c>
    </row>
    <row r="554" spans="1:3" ht="18" customHeight="1" x14ac:dyDescent="0.3">
      <c r="A554" s="1">
        <v>40</v>
      </c>
      <c r="B554" s="1" t="s">
        <v>267</v>
      </c>
      <c r="C554" s="1" t="str">
        <f ca="1">IFERROR(__xludf.DUMMYFUNCTION("GOOGLETRANSLATE(B553,""en"",""ja"")"),"大")</f>
        <v>大</v>
      </c>
    </row>
    <row r="555" spans="1:3" ht="18" customHeight="1" x14ac:dyDescent="0.3">
      <c r="A555" s="1">
        <v>40</v>
      </c>
      <c r="B555" s="1" t="s">
        <v>480</v>
      </c>
      <c r="C555" s="1" t="str">
        <f ca="1">IFERROR(__xludf.DUMMYFUNCTION("GOOGLETRANSLATE(B554,""en"",""ja"")"),"フランス語")</f>
        <v>フランス語</v>
      </c>
    </row>
    <row r="556" spans="1:3" ht="18" customHeight="1" x14ac:dyDescent="0.3">
      <c r="A556" s="1">
        <v>40</v>
      </c>
      <c r="B556" s="1" t="s">
        <v>425</v>
      </c>
      <c r="C556" s="1" t="str">
        <f ca="1">IFERROR(__xludf.DUMMYFUNCTION("GOOGLETRANSLATE(B555,""en"",""ja"")"),"経験")</f>
        <v>経験</v>
      </c>
    </row>
    <row r="557" spans="1:3" ht="18" customHeight="1" x14ac:dyDescent="0.3">
      <c r="A557" s="1">
        <v>40</v>
      </c>
      <c r="B557" s="1" t="s">
        <v>481</v>
      </c>
      <c r="C557" s="1" t="str">
        <f ca="1">IFERROR(__xludf.DUMMYFUNCTION("GOOGLETRANSLATE(B556,""en"",""ja"")"),"進化")</f>
        <v>進化</v>
      </c>
    </row>
    <row r="558" spans="1:3" ht="18" customHeight="1" x14ac:dyDescent="0.3">
      <c r="A558" s="1">
        <v>40</v>
      </c>
      <c r="B558" s="1" t="s">
        <v>434</v>
      </c>
      <c r="C558" s="1" t="str">
        <f ca="1">IFERROR(__xludf.DUMMYFUNCTION("GOOGLETRANSLATE(B557,""en"",""ja"")"),"コース")</f>
        <v>コース</v>
      </c>
    </row>
    <row r="559" spans="1:3" ht="18" customHeight="1" x14ac:dyDescent="0.3">
      <c r="A559" s="1">
        <v>40</v>
      </c>
      <c r="B559" s="1" t="s">
        <v>482</v>
      </c>
      <c r="C559" s="1" t="str">
        <f ca="1">IFERROR(__xludf.DUMMYFUNCTION("GOOGLETRANSLATE(B558,""en"",""ja"")"),"費用")</f>
        <v>費用</v>
      </c>
    </row>
    <row r="560" spans="1:3" ht="18" customHeight="1" x14ac:dyDescent="0.3">
      <c r="A560" s="1">
        <v>40</v>
      </c>
      <c r="B560" s="1" t="s">
        <v>483</v>
      </c>
      <c r="C560" s="1" t="str">
        <f ca="1">IFERROR(__xludf.DUMMYFUNCTION("GOOGLETRANSLATE(B559,""en"",""ja"")"),"契約する")</f>
        <v>契約する</v>
      </c>
    </row>
    <row r="561" spans="1:3" ht="18" customHeight="1" x14ac:dyDescent="0.3">
      <c r="A561" s="1">
        <v>40</v>
      </c>
      <c r="B561" s="1" t="s">
        <v>444</v>
      </c>
      <c r="C561" s="1" t="str">
        <f ca="1">IFERROR(__xludf.DUMMYFUNCTION("GOOGLETRANSLATE(B560,""en"",""ja"")"),"環境")</f>
        <v>環境</v>
      </c>
    </row>
    <row r="562" spans="1:3" ht="18" customHeight="1" x14ac:dyDescent="0.3">
      <c r="A562" s="1">
        <v>40</v>
      </c>
      <c r="B562" s="1" t="s">
        <v>484</v>
      </c>
      <c r="C562" s="1" t="str">
        <f ca="1">IFERROR(__xludf.DUMMYFUNCTION("GOOGLETRANSLATE(B561,""en"",""ja"")"),"競争の")</f>
        <v>競争の</v>
      </c>
    </row>
    <row r="563" spans="1:3" ht="18" customHeight="1" x14ac:dyDescent="0.3">
      <c r="A563" s="1">
        <v>40</v>
      </c>
      <c r="B563" s="1" t="s">
        <v>485</v>
      </c>
      <c r="C563" s="1" t="str">
        <f ca="1">IFERROR(__xludf.DUMMYFUNCTION("GOOGLETRANSLATE(B562,""en"",""ja"")"),"海抜")</f>
        <v>海抜</v>
      </c>
    </row>
    <row r="564" spans="1:3" ht="18" customHeight="1" x14ac:dyDescent="0.3">
      <c r="A564" s="1">
        <v>39</v>
      </c>
      <c r="B564" s="1" t="s">
        <v>486</v>
      </c>
      <c r="C564" s="1" t="str">
        <f ca="1">IFERROR(__xludf.DUMMYFUNCTION("GOOGLETRANSLATE(B563,""en"",""ja"")"),"値")</f>
        <v>値</v>
      </c>
    </row>
    <row r="565" spans="1:3" ht="18" customHeight="1" x14ac:dyDescent="0.3">
      <c r="A565" s="1">
        <v>39</v>
      </c>
      <c r="B565" s="1" t="s">
        <v>308</v>
      </c>
      <c r="C565" s="1" t="str">
        <f ca="1">IFERROR(__xludf.DUMMYFUNCTION("GOOGLETRANSLATE(B564,""en"",""ja"")"),"こうして")</f>
        <v>こうして</v>
      </c>
    </row>
    <row r="566" spans="1:3" ht="18" customHeight="1" x14ac:dyDescent="0.3">
      <c r="A566" s="1">
        <v>39</v>
      </c>
      <c r="B566" s="1" t="s">
        <v>487</v>
      </c>
      <c r="C566" s="1" t="str">
        <f ca="1">IFERROR(__xludf.DUMMYFUNCTION("GOOGLETRANSLATE(B565,""en"",""ja"")"),"ずっと")</f>
        <v>ずっと</v>
      </c>
    </row>
    <row r="567" spans="1:3" ht="18" customHeight="1" x14ac:dyDescent="0.3">
      <c r="A567" s="1">
        <v>39</v>
      </c>
      <c r="B567" s="1" t="s">
        <v>488</v>
      </c>
      <c r="C567" s="1" t="str">
        <f ca="1">IFERROR(__xludf.DUMMYFUNCTION("GOOGLETRANSLATE(B566,""en"",""ja"")"),"テクノロジ")</f>
        <v>テクノロジ</v>
      </c>
    </row>
    <row r="568" spans="1:3" ht="18" customHeight="1" x14ac:dyDescent="0.3">
      <c r="A568" s="1">
        <v>39</v>
      </c>
      <c r="B568" s="1" t="s">
        <v>383</v>
      </c>
      <c r="C568" s="1" t="str">
        <f ca="1">IFERROR(__xludf.DUMMYFUNCTION("GOOGLETRANSLATE(B567,""en"",""ja"")"),"状況")</f>
        <v>状況</v>
      </c>
    </row>
    <row r="569" spans="1:3" ht="18" customHeight="1" x14ac:dyDescent="0.3">
      <c r="A569" s="1">
        <v>39</v>
      </c>
      <c r="B569" s="1" t="s">
        <v>489</v>
      </c>
      <c r="C569" s="1" t="str">
        <f ca="1">IFERROR(__xludf.DUMMYFUNCTION("GOOGLETRANSLATE(B568,""en"",""ja"")"),"理科")</f>
        <v>理科</v>
      </c>
    </row>
    <row r="570" spans="1:3" ht="18" customHeight="1" x14ac:dyDescent="0.3">
      <c r="A570" s="1">
        <v>39</v>
      </c>
      <c r="B570" s="1" t="s">
        <v>327</v>
      </c>
      <c r="C570" s="1" t="str">
        <f ca="1">IFERROR(__xludf.DUMMYFUNCTION("GOOGLETRANSLATE(B569,""en"",""ja"")"),"革命")</f>
        <v>革命</v>
      </c>
    </row>
    <row r="571" spans="1:3" ht="18" customHeight="1" x14ac:dyDescent="0.3">
      <c r="A571" s="1">
        <v>39</v>
      </c>
      <c r="B571" s="1" t="s">
        <v>490</v>
      </c>
      <c r="C571" s="1" t="str">
        <f ca="1">IFERROR(__xludf.DUMMYFUNCTION("GOOGLETRANSLATE(B570,""en"",""ja"")"),"リソース")</f>
        <v>リソース</v>
      </c>
    </row>
    <row r="572" spans="1:3" ht="18" customHeight="1" x14ac:dyDescent="0.3">
      <c r="A572" s="1">
        <v>39</v>
      </c>
      <c r="B572" s="1" t="s">
        <v>491</v>
      </c>
      <c r="C572" s="1" t="str">
        <f ca="1">IFERROR(__xludf.DUMMYFUNCTION("GOOGLETRANSLATE(B571,""en"",""ja"")"),"一度")</f>
        <v>一度</v>
      </c>
    </row>
    <row r="573" spans="1:3" ht="18" customHeight="1" x14ac:dyDescent="0.3">
      <c r="A573" s="1">
        <v>39</v>
      </c>
      <c r="B573" s="1" t="s">
        <v>492</v>
      </c>
      <c r="C573" s="1" t="str">
        <f ca="1">IFERROR(__xludf.DUMMYFUNCTION("GOOGLETRANSLATE(B572,""en"",""ja"")"),"動き")</f>
        <v>動き</v>
      </c>
    </row>
    <row r="574" spans="1:3" ht="18" customHeight="1" x14ac:dyDescent="0.3">
      <c r="A574" s="1">
        <v>39</v>
      </c>
      <c r="B574" s="1" t="s">
        <v>463</v>
      </c>
      <c r="C574" s="1" t="str">
        <f ca="1">IFERROR(__xludf.DUMMYFUNCTION("GOOGLETRANSLATE(B573,""en"",""ja"")"),"住む")</f>
        <v>住む</v>
      </c>
    </row>
    <row r="575" spans="1:3" ht="18" customHeight="1" x14ac:dyDescent="0.3">
      <c r="A575" s="1">
        <v>39</v>
      </c>
      <c r="B575" s="1" t="s">
        <v>493</v>
      </c>
      <c r="C575" s="1" t="str">
        <f ca="1">IFERROR(__xludf.DUMMYFUNCTION("GOOGLETRANSLATE(B574,""en"",""ja"")"),"所得")</f>
        <v>所得</v>
      </c>
    </row>
    <row r="576" spans="1:3" ht="18" customHeight="1" x14ac:dyDescent="0.3">
      <c r="A576" s="1">
        <v>39</v>
      </c>
      <c r="B576" s="1" t="s">
        <v>441</v>
      </c>
      <c r="C576" s="1" t="str">
        <f ca="1">IFERROR(__xludf.DUMMYFUNCTION("GOOGLETRANSLATE(B575,""en"",""ja"")"),"ハッピー")</f>
        <v>ハッピー</v>
      </c>
    </row>
    <row r="577" spans="1:3" ht="18" customHeight="1" x14ac:dyDescent="0.3">
      <c r="A577" s="1">
        <v>39</v>
      </c>
      <c r="B577" s="1" t="s">
        <v>494</v>
      </c>
      <c r="C577" s="1" t="str">
        <f ca="1">IFERROR(__xludf.DUMMYFUNCTION("GOOGLETRANSLATE(B576,""en"",""ja"")"),"ハーフ")</f>
        <v>ハーフ</v>
      </c>
    </row>
    <row r="578" spans="1:3" ht="18" customHeight="1" x14ac:dyDescent="0.3">
      <c r="A578" s="1">
        <v>39</v>
      </c>
      <c r="B578" s="1" t="s">
        <v>495</v>
      </c>
      <c r="C578" s="1" t="str">
        <f ca="1">IFERROR(__xludf.DUMMYFUNCTION("GOOGLETRANSLATE(B577,""en"",""ja"")"),"故障")</f>
        <v>故障</v>
      </c>
    </row>
    <row r="579" spans="1:3" ht="18" customHeight="1" x14ac:dyDescent="0.3">
      <c r="A579" s="1">
        <v>39</v>
      </c>
      <c r="B579" s="1" t="s">
        <v>496</v>
      </c>
      <c r="C579" s="1" t="str">
        <f ca="1">IFERROR(__xludf.DUMMYFUNCTION("GOOGLETRANSLATE(B578,""en"",""ja"")"),"足りる")</f>
        <v>足りる</v>
      </c>
    </row>
    <row r="580" spans="1:3" ht="18" customHeight="1" x14ac:dyDescent="0.3">
      <c r="A580" s="1">
        <v>39</v>
      </c>
      <c r="B580" s="1" t="s">
        <v>497</v>
      </c>
      <c r="C580" s="1" t="str">
        <f ca="1">IFERROR(__xludf.DUMMYFUNCTION("GOOGLETRANSLATE(B579,""en"",""ja"")"),"作成した")</f>
        <v>作成した</v>
      </c>
    </row>
    <row r="581" spans="1:3" ht="18" customHeight="1" x14ac:dyDescent="0.3">
      <c r="A581" s="1">
        <v>39</v>
      </c>
      <c r="B581" s="1" t="s">
        <v>498</v>
      </c>
      <c r="C581" s="1" t="str">
        <f ca="1">IFERROR(__xludf.DUMMYFUNCTION("GOOGLETRANSLATE(B580,""en"",""ja"")"),"商業の")</f>
        <v>商業の</v>
      </c>
    </row>
    <row r="582" spans="1:3" ht="18" customHeight="1" x14ac:dyDescent="0.3">
      <c r="A582" s="1">
        <v>39</v>
      </c>
      <c r="B582" s="1" t="s">
        <v>499</v>
      </c>
      <c r="C582" s="1" t="str">
        <f ca="1">IFERROR(__xludf.DUMMYFUNCTION("GOOGLETRANSLATE(B581,""en"",""ja"")"),"脳")</f>
        <v>脳</v>
      </c>
    </row>
    <row r="583" spans="1:3" ht="18" customHeight="1" x14ac:dyDescent="0.3">
      <c r="A583" s="1">
        <v>39</v>
      </c>
      <c r="B583" s="1" t="s">
        <v>500</v>
      </c>
      <c r="C583" s="1" t="str">
        <f ca="1">IFERROR(__xludf.DUMMYFUNCTION("GOOGLETRANSLATE(B582,""en"",""ja"")"),"ベネフィット")</f>
        <v>ベネフィット</v>
      </c>
    </row>
    <row r="584" spans="1:3" ht="18" customHeight="1" x14ac:dyDescent="0.3">
      <c r="A584" s="1">
        <v>39</v>
      </c>
      <c r="B584" s="1" t="s">
        <v>501</v>
      </c>
      <c r="C584" s="1" t="str">
        <f ca="1">IFERROR(__xludf.DUMMYFUNCTION("GOOGLETRANSLATE(B583,""en"",""ja"")"),"バングラデシュ")</f>
        <v>バングラデシュ</v>
      </c>
    </row>
    <row r="585" spans="1:3" ht="18" customHeight="1" x14ac:dyDescent="0.3">
      <c r="A585" s="1">
        <v>39</v>
      </c>
      <c r="B585" s="1" t="s">
        <v>502</v>
      </c>
      <c r="C585" s="1" t="str">
        <f ca="1">IFERROR(__xludf.DUMMYFUNCTION("GOOGLETRANSLATE(B584,""en"",""ja"")"),"エリア")</f>
        <v>エリア</v>
      </c>
    </row>
    <row r="586" spans="1:3" ht="18" customHeight="1" x14ac:dyDescent="0.3">
      <c r="A586" s="1">
        <v>39</v>
      </c>
      <c r="B586" s="1" t="s">
        <v>503</v>
      </c>
      <c r="C586" s="1" t="str">
        <f ca="1">IFERROR(__xludf.DUMMYFUNCTION("GOOGLETRANSLATE(B585,""en"",""ja"")"),"アフリカ")</f>
        <v>アフリカ</v>
      </c>
    </row>
    <row r="587" spans="1:3" ht="18" customHeight="1" x14ac:dyDescent="0.3">
      <c r="A587" s="1">
        <v>39</v>
      </c>
      <c r="B587" s="1" t="s">
        <v>504</v>
      </c>
      <c r="C587" s="1" t="str">
        <f ca="1">IFERROR(__xludf.DUMMYFUNCTION("GOOGLETRANSLATE(B586,""en"",""ja"")"),"アクティビティ")</f>
        <v>アクティビティ</v>
      </c>
    </row>
    <row r="588" spans="1:3" ht="18" customHeight="1" x14ac:dyDescent="0.3">
      <c r="A588" s="1">
        <v>38</v>
      </c>
      <c r="B588" s="1" t="s">
        <v>108</v>
      </c>
      <c r="C588" s="1" t="str">
        <f ca="1">IFERROR(__xludf.DUMMYFUNCTION("GOOGLETRANSLATE(B587,""en"",""ja"")"),"年")</f>
        <v>年</v>
      </c>
    </row>
    <row r="589" spans="1:3" ht="18" customHeight="1" x14ac:dyDescent="0.3">
      <c r="A589" s="1">
        <v>38</v>
      </c>
      <c r="B589" s="1" t="s">
        <v>505</v>
      </c>
      <c r="C589" s="1" t="str">
        <f ca="1">IFERROR(__xludf.DUMMYFUNCTION("GOOGLETRANSLATE(B588,""en"",""ja"")"),"とら")</f>
        <v>とら</v>
      </c>
    </row>
    <row r="590" spans="1:3" ht="18" customHeight="1" x14ac:dyDescent="0.3">
      <c r="A590" s="1">
        <v>38</v>
      </c>
      <c r="B590" s="1" t="s">
        <v>506</v>
      </c>
      <c r="C590" s="1" t="str">
        <f ca="1">IFERROR(__xludf.DUMMYFUNCTION("GOOGLETRANSLATE(B589,""en"",""ja"")"),"表面")</f>
        <v>表面</v>
      </c>
    </row>
    <row r="591" spans="1:3" ht="18" customHeight="1" x14ac:dyDescent="0.3">
      <c r="A591" s="1">
        <v>38</v>
      </c>
      <c r="B591" s="1" t="s">
        <v>507</v>
      </c>
      <c r="C591" s="1" t="str">
        <f ca="1">IFERROR(__xludf.DUMMYFUNCTION("GOOGLETRANSLATE(B590,""en"",""ja"")"),"提案します")</f>
        <v>提案します</v>
      </c>
    </row>
    <row r="592" spans="1:3" ht="18" customHeight="1" x14ac:dyDescent="0.3">
      <c r="A592" s="1">
        <v>38</v>
      </c>
      <c r="B592" s="1" t="s">
        <v>508</v>
      </c>
      <c r="C592" s="1" t="str">
        <f ca="1">IFERROR(__xludf.DUMMYFUNCTION("GOOGLETRANSLATE(B591,""en"",""ja"")"),"事業")</f>
        <v>事業</v>
      </c>
    </row>
    <row r="593" spans="1:3" ht="18" customHeight="1" x14ac:dyDescent="0.3">
      <c r="A593" s="1">
        <v>38</v>
      </c>
      <c r="B593" s="1" t="s">
        <v>509</v>
      </c>
      <c r="C593" s="1" t="str">
        <f ca="1">IFERROR(__xludf.DUMMYFUNCTION("GOOGLETRANSLATE(B592,""en"",""ja"")"),"集団")</f>
        <v>集団</v>
      </c>
    </row>
    <row r="594" spans="1:3" ht="18" customHeight="1" x14ac:dyDescent="0.3">
      <c r="A594" s="1">
        <v>38</v>
      </c>
      <c r="B594" s="1" t="s">
        <v>510</v>
      </c>
      <c r="C594" s="1" t="str">
        <f ca="1">IFERROR(__xludf.DUMMYFUNCTION("GOOGLETRANSLATE(B593,""en"",""ja"")"),"貧しいです")</f>
        <v>貧しいです</v>
      </c>
    </row>
    <row r="595" spans="1:3" ht="18" customHeight="1" x14ac:dyDescent="0.3">
      <c r="A595" s="1">
        <v>38</v>
      </c>
      <c r="B595" s="1" t="s">
        <v>299</v>
      </c>
      <c r="C595" s="1" t="str">
        <f ca="1">IFERROR(__xludf.DUMMYFUNCTION("GOOGLETRANSLATE(B594,""en"",""ja"")"),"論文")</f>
        <v>論文</v>
      </c>
    </row>
    <row r="596" spans="1:3" ht="18" customHeight="1" x14ac:dyDescent="0.3">
      <c r="A596" s="1">
        <v>38</v>
      </c>
      <c r="B596" s="1" t="s">
        <v>511</v>
      </c>
      <c r="C596" s="1" t="str">
        <f ca="1">IFERROR(__xludf.DUMMYFUNCTION("GOOGLETRANSLATE(B595,""en"",""ja"")"),"原点")</f>
        <v>原点</v>
      </c>
    </row>
    <row r="597" spans="1:3" ht="18" customHeight="1" x14ac:dyDescent="0.3">
      <c r="A597" s="1">
        <v>38</v>
      </c>
      <c r="B597" s="1" t="s">
        <v>512</v>
      </c>
      <c r="C597" s="1" t="str">
        <f ca="1">IFERROR(__xludf.DUMMYFUNCTION("GOOGLETRANSLATE(B596,""en"",""ja"")"),"決して")</f>
        <v>決して</v>
      </c>
    </row>
    <row r="598" spans="1:3" ht="18" customHeight="1" x14ac:dyDescent="0.3">
      <c r="A598" s="1">
        <v>38</v>
      </c>
      <c r="B598" s="1" t="s">
        <v>513</v>
      </c>
      <c r="C598" s="1" t="str">
        <f ca="1">IFERROR(__xludf.DUMMYFUNCTION("GOOGLETRANSLATE(B597,""en"",""ja"")"),"ライン")</f>
        <v>ライン</v>
      </c>
    </row>
    <row r="599" spans="1:3" ht="18" customHeight="1" x14ac:dyDescent="0.3">
      <c r="A599" s="1">
        <v>38</v>
      </c>
      <c r="B599" s="1" t="s">
        <v>514</v>
      </c>
      <c r="C599" s="1" t="str">
        <f ca="1">IFERROR(__xludf.DUMMYFUNCTION("GOOGLETRANSLATE(B598,""en"",""ja"")"),"文法")</f>
        <v>文法</v>
      </c>
    </row>
    <row r="600" spans="1:3" ht="18" customHeight="1" x14ac:dyDescent="0.3">
      <c r="A600" s="1">
        <v>38</v>
      </c>
      <c r="B600" s="1" t="s">
        <v>515</v>
      </c>
      <c r="C600" s="1" t="str">
        <f ca="1">IFERROR(__xludf.DUMMYFUNCTION("GOOGLETRANSLATE(B599,""en"",""ja"")"),"食物")</f>
        <v>食物</v>
      </c>
    </row>
    <row r="601" spans="1:3" ht="18" customHeight="1" x14ac:dyDescent="0.3">
      <c r="A601" s="1">
        <v>38</v>
      </c>
      <c r="B601" s="1" t="s">
        <v>516</v>
      </c>
      <c r="C601" s="1" t="str">
        <f ca="1">IFERROR(__xludf.DUMMYFUNCTION("GOOGLETRANSLATE(B600,""en"",""ja"")"),"運動")</f>
        <v>運動</v>
      </c>
    </row>
    <row r="602" spans="1:3" ht="18" customHeight="1" x14ac:dyDescent="0.3">
      <c r="A602" s="1">
        <v>38</v>
      </c>
      <c r="B602" s="1" t="s">
        <v>517</v>
      </c>
      <c r="C602" s="1" t="str">
        <f ca="1">IFERROR(__xludf.DUMMYFUNCTION("GOOGLETRANSLATE(B601,""en"",""ja"")"),"推計")</f>
        <v>推計</v>
      </c>
    </row>
    <row r="603" spans="1:3" ht="18" customHeight="1" x14ac:dyDescent="0.3">
      <c r="A603" s="1">
        <v>38</v>
      </c>
      <c r="B603" s="1" t="s">
        <v>518</v>
      </c>
      <c r="C603" s="1" t="str">
        <f ca="1">IFERROR(__xludf.DUMMYFUNCTION("GOOGLETRANSLATE(B602,""en"",""ja"")"),"終わり")</f>
        <v>終わり</v>
      </c>
    </row>
    <row r="604" spans="1:3" ht="18" customHeight="1" x14ac:dyDescent="0.3">
      <c r="A604" s="1">
        <v>38</v>
      </c>
      <c r="B604" s="1" t="s">
        <v>519</v>
      </c>
      <c r="C604" s="1" t="str">
        <f ca="1">IFERROR(__xludf.DUMMYFUNCTION("GOOGLETRANSLATE(B603,""en"",""ja"")"),"資料")</f>
        <v>資料</v>
      </c>
    </row>
    <row r="605" spans="1:3" ht="18" customHeight="1" x14ac:dyDescent="0.3">
      <c r="A605" s="1">
        <v>38</v>
      </c>
      <c r="B605" s="1" t="s">
        <v>520</v>
      </c>
      <c r="C605" s="1" t="str">
        <f ca="1">IFERROR(__xludf.DUMMYFUNCTION("GOOGLETRANSLATE(B604,""en"",""ja"")"),"条件")</f>
        <v>条件</v>
      </c>
    </row>
    <row r="606" spans="1:3" ht="18" customHeight="1" x14ac:dyDescent="0.3">
      <c r="A606" s="1">
        <v>38</v>
      </c>
      <c r="B606" s="1" t="s">
        <v>279</v>
      </c>
      <c r="C606" s="1" t="str">
        <f ca="1">IFERROR(__xludf.DUMMYFUNCTION("GOOGLETRANSLATE(B605,""en"",""ja"")"),"礼節")</f>
        <v>礼節</v>
      </c>
    </row>
    <row r="607" spans="1:3" ht="18" customHeight="1" x14ac:dyDescent="0.3">
      <c r="A607" s="1">
        <v>38</v>
      </c>
      <c r="B607" s="1" t="s">
        <v>521</v>
      </c>
      <c r="C607" s="1" t="str">
        <f ca="1">IFERROR(__xludf.DUMMYFUNCTION("GOOGLETRANSLATE(B606,""en"",""ja"")"),"始めた")</f>
        <v>始めた</v>
      </c>
    </row>
    <row r="608" spans="1:3" ht="18" customHeight="1" x14ac:dyDescent="0.3">
      <c r="A608" s="1">
        <v>38</v>
      </c>
      <c r="B608" s="1" t="s">
        <v>522</v>
      </c>
      <c r="C608" s="1" t="str">
        <f ca="1">IFERROR(__xludf.DUMMYFUNCTION("GOOGLETRANSLATE(B607,""en"",""ja"")"),"取得")</f>
        <v>取得</v>
      </c>
    </row>
    <row r="609" spans="1:3" ht="18" customHeight="1" x14ac:dyDescent="0.3">
      <c r="A609" s="1">
        <v>37</v>
      </c>
      <c r="B609" s="1" t="s">
        <v>523</v>
      </c>
      <c r="C609" s="1" t="str">
        <f ca="1">IFERROR(__xludf.DUMMYFUNCTION("GOOGLETRANSLATE(B608,""en"",""ja"")"),"諸")</f>
        <v>諸</v>
      </c>
    </row>
    <row r="610" spans="1:3" ht="18" customHeight="1" x14ac:dyDescent="0.3">
      <c r="A610" s="1">
        <v>37</v>
      </c>
      <c r="B610" s="1" t="s">
        <v>200</v>
      </c>
      <c r="C610" s="1" t="str">
        <f ca="1">IFERROR(__xludf.DUMMYFUNCTION("GOOGLETRANSLATE(B609,""en"",""ja"")"),"調査")</f>
        <v>調査</v>
      </c>
    </row>
    <row r="611" spans="1:3" ht="18" customHeight="1" x14ac:dyDescent="0.3">
      <c r="A611" s="1">
        <v>37</v>
      </c>
      <c r="B611" s="1" t="s">
        <v>524</v>
      </c>
      <c r="C611" s="1" t="str">
        <f ca="1">IFERROR(__xludf.DUMMYFUNCTION("GOOGLETRANSLATE(B610,""en"",""ja"")"),"特別")</f>
        <v>特別</v>
      </c>
    </row>
    <row r="612" spans="1:3" ht="18" customHeight="1" x14ac:dyDescent="0.3">
      <c r="A612" s="1">
        <v>37</v>
      </c>
      <c r="B612" s="1" t="s">
        <v>525</v>
      </c>
      <c r="C612" s="1" t="str">
        <f ca="1">IFERROR(__xludf.DUMMYFUNCTION("GOOGLETRANSLATE(B611,""en"",""ja"")"),"スペース")</f>
        <v>スペース</v>
      </c>
    </row>
    <row r="613" spans="1:3" ht="18" customHeight="1" x14ac:dyDescent="0.3">
      <c r="A613" s="1">
        <v>37</v>
      </c>
      <c r="B613" s="1" t="s">
        <v>211</v>
      </c>
      <c r="C613" s="1" t="str">
        <f ca="1">IFERROR(__xludf.DUMMYFUNCTION("GOOGLETRANSLATE(B612,""en"",""ja"")"),"第2")</f>
        <v>第2</v>
      </c>
    </row>
    <row r="614" spans="1:3" ht="18" customHeight="1" x14ac:dyDescent="0.3">
      <c r="A614" s="1">
        <v>37</v>
      </c>
      <c r="B614" s="1" t="s">
        <v>489</v>
      </c>
      <c r="C614" s="1" t="str">
        <f ca="1">IFERROR(__xludf.DUMMYFUNCTION("GOOGLETRANSLATE(B613,""en"",""ja"")"),"理科")</f>
        <v>理科</v>
      </c>
    </row>
    <row r="615" spans="1:3" ht="18" customHeight="1" x14ac:dyDescent="0.3">
      <c r="A615" s="1">
        <v>37</v>
      </c>
      <c r="B615" s="1" t="s">
        <v>526</v>
      </c>
      <c r="C615" s="1" t="str">
        <f ca="1">IFERROR(__xludf.DUMMYFUNCTION("GOOGLETRANSLATE(B614,""en"",""ja"")"),"権利")</f>
        <v>権利</v>
      </c>
    </row>
    <row r="616" spans="1:3" ht="18" customHeight="1" x14ac:dyDescent="0.3">
      <c r="A616" s="1">
        <v>37</v>
      </c>
      <c r="B616" s="1" t="s">
        <v>527</v>
      </c>
      <c r="C616" s="1" t="str">
        <f ca="1">IFERROR(__xludf.DUMMYFUNCTION("GOOGLETRANSLATE(B615,""en"",""ja"")"),"結果")</f>
        <v>結果</v>
      </c>
    </row>
    <row r="617" spans="1:3" ht="18" customHeight="1" x14ac:dyDescent="0.3">
      <c r="A617" s="1">
        <v>37</v>
      </c>
      <c r="B617" s="1" t="s">
        <v>528</v>
      </c>
      <c r="C617" s="1" t="str">
        <f ca="1">IFERROR(__xludf.DUMMYFUNCTION("GOOGLETRANSLATE(B616,""en"",""ja"")"),"必須")</f>
        <v>必須</v>
      </c>
    </row>
    <row r="618" spans="1:3" ht="18" customHeight="1" x14ac:dyDescent="0.3">
      <c r="A618" s="1">
        <v>37</v>
      </c>
      <c r="B618" s="1" t="s">
        <v>529</v>
      </c>
      <c r="C618" s="1" t="str">
        <f ca="1">IFERROR(__xludf.DUMMYFUNCTION("GOOGLETRANSLATE(B617,""en"",""ja"")"),"画像")</f>
        <v>画像</v>
      </c>
    </row>
    <row r="619" spans="1:3" ht="18" customHeight="1" x14ac:dyDescent="0.3">
      <c r="A619" s="1">
        <v>37</v>
      </c>
      <c r="B619" s="1" t="s">
        <v>530</v>
      </c>
      <c r="C619" s="1" t="str">
        <f ca="1">IFERROR(__xludf.DUMMYFUNCTION("GOOGLETRANSLATE(B618,""en"",""ja"")"),"保つ")</f>
        <v>保つ</v>
      </c>
    </row>
    <row r="620" spans="1:3" ht="18" customHeight="1" x14ac:dyDescent="0.3">
      <c r="A620" s="1">
        <v>37</v>
      </c>
      <c r="B620" s="1" t="s">
        <v>531</v>
      </c>
      <c r="C620" s="1" t="str">
        <f ca="1">IFERROR(__xludf.DUMMYFUNCTION("GOOGLETRANSLATE(B619,""en"",""ja"")"),"画像")</f>
        <v>画像</v>
      </c>
    </row>
    <row r="621" spans="1:3" ht="18" customHeight="1" x14ac:dyDescent="0.3">
      <c r="A621" s="1">
        <v>37</v>
      </c>
      <c r="B621" s="1" t="s">
        <v>532</v>
      </c>
      <c r="C621" s="1" t="str">
        <f ca="1">IFERROR(__xludf.DUMMYFUNCTION("GOOGLETRANSLATE(B620,""en"",""ja"")"),"身元")</f>
        <v>身元</v>
      </c>
    </row>
    <row r="622" spans="1:3" ht="18" customHeight="1" x14ac:dyDescent="0.3">
      <c r="A622" s="1">
        <v>37</v>
      </c>
      <c r="B622" s="1" t="s">
        <v>533</v>
      </c>
      <c r="C622" s="1" t="str">
        <f ca="1">IFERROR(__xludf.DUMMYFUNCTION("GOOGLETRANSLATE(B621,""en"",""ja"")"),"利得")</f>
        <v>利得</v>
      </c>
    </row>
    <row r="623" spans="1:3" ht="18" customHeight="1" x14ac:dyDescent="0.3">
      <c r="A623" s="1">
        <v>37</v>
      </c>
      <c r="B623" s="1" t="s">
        <v>534</v>
      </c>
      <c r="C623" s="1" t="str">
        <f ca="1">IFERROR(__xludf.DUMMYFUNCTION("GOOGLETRANSLATE(B622,""en"",""ja"")"),"外部の")</f>
        <v>外部の</v>
      </c>
    </row>
    <row r="624" spans="1:3" ht="18" customHeight="1" x14ac:dyDescent="0.3">
      <c r="A624" s="1">
        <v>37</v>
      </c>
      <c r="B624" s="1" t="s">
        <v>535</v>
      </c>
      <c r="C624" s="1" t="str">
        <f ca="1">IFERROR(__xludf.DUMMYFUNCTION("GOOGLETRANSLATE(B624,""en"",""ja"")"),"コントラスト")</f>
        <v>コントラスト</v>
      </c>
    </row>
    <row r="625" spans="1:3" ht="18" customHeight="1" x14ac:dyDescent="0.3">
      <c r="A625" s="1">
        <v>37</v>
      </c>
      <c r="B625" s="1" t="s">
        <v>536</v>
      </c>
      <c r="C625" s="1" t="str">
        <f ca="1">IFERROR(__xludf.DUMMYFUNCTION("GOOGLETRANSLATE(B625,""en"",""ja"")"),"接続")</f>
        <v>接続</v>
      </c>
    </row>
    <row r="626" spans="1:3" ht="18" customHeight="1" x14ac:dyDescent="0.3">
      <c r="A626" s="1">
        <v>37</v>
      </c>
      <c r="B626" s="1" t="s">
        <v>537</v>
      </c>
      <c r="C626" s="1" t="str">
        <f ca="1">IFERROR(__xludf.DUMMYFUNCTION("GOOGLETRANSLATE(B626,""en"",""ja"")"),"試み")</f>
        <v>試み</v>
      </c>
    </row>
    <row r="627" spans="1:3" ht="18" customHeight="1" x14ac:dyDescent="0.3">
      <c r="A627" s="1">
        <v>37</v>
      </c>
      <c r="B627" s="1" t="s">
        <v>392</v>
      </c>
      <c r="C627" s="1" t="str">
        <f ca="1">IFERROR(__xludf.DUMMYFUNCTION("GOOGLETRANSLATE(B627,""en"",""ja"")"),"雰囲気")</f>
        <v>雰囲気</v>
      </c>
    </row>
    <row r="628" spans="1:3" ht="18" customHeight="1" x14ac:dyDescent="0.3">
      <c r="A628" s="1">
        <v>37</v>
      </c>
      <c r="B628" s="1" t="s">
        <v>538</v>
      </c>
      <c r="C628" s="1" t="str">
        <f ca="1">IFERROR(__xludf.DUMMYFUNCTION("GOOGLETRANSLATE(B628,""en"",""ja"")"),"関連しました")</f>
        <v>関連しました</v>
      </c>
    </row>
    <row r="629" spans="1:3" ht="18" customHeight="1" x14ac:dyDescent="0.3">
      <c r="A629" s="1">
        <v>37</v>
      </c>
      <c r="B629" s="1" t="s">
        <v>539</v>
      </c>
      <c r="C629" s="1" t="str">
        <f ca="1">IFERROR(__xludf.DUMMYFUNCTION("GOOGLETRANSLATE(B629,""en"",""ja"")"),"分析")</f>
        <v>分析</v>
      </c>
    </row>
    <row r="630" spans="1:3" ht="18" customHeight="1" x14ac:dyDescent="0.3">
      <c r="A630" s="1">
        <v>37</v>
      </c>
      <c r="B630" s="1" t="s">
        <v>540</v>
      </c>
      <c r="C630" s="1" t="str">
        <f ca="1">IFERROR(__xludf.DUMMYFUNCTION("GOOGLETRANSLATE(B630,""en"",""ja"")"),"横切って")</f>
        <v>横切って</v>
      </c>
    </row>
    <row r="631" spans="1:3" ht="18" customHeight="1" x14ac:dyDescent="0.3">
      <c r="A631" s="1">
        <v>37</v>
      </c>
      <c r="B631" s="1" t="s">
        <v>541</v>
      </c>
      <c r="C631" s="1" t="str">
        <f ca="1">IFERROR(__xludf.DUMMYFUNCTION("GOOGLETRANSLATE(B631,""en"",""ja"")"),"能力")</f>
        <v>能力</v>
      </c>
    </row>
    <row r="632" spans="1:3" ht="18" customHeight="1" x14ac:dyDescent="0.3">
      <c r="A632" s="1">
        <v>36</v>
      </c>
      <c r="B632" s="1" t="s">
        <v>542</v>
      </c>
      <c r="C632" s="1" t="str">
        <f ca="1">IFERROR(__xludf.DUMMYFUNCTION("GOOGLETRANSLATE(B632,""en"",""ja"")"),"方法")</f>
        <v>方法</v>
      </c>
    </row>
    <row r="633" spans="1:3" ht="18" customHeight="1" x14ac:dyDescent="0.3">
      <c r="A633" s="1">
        <v>36</v>
      </c>
      <c r="B633" s="1" t="s">
        <v>543</v>
      </c>
      <c r="C633" s="1" t="str">
        <f ca="1">IFERROR(__xludf.DUMMYFUNCTION("GOOGLETRANSLATE(B633,""en"",""ja"")"),"理解")</f>
        <v>理解</v>
      </c>
    </row>
    <row r="634" spans="1:3" ht="18" customHeight="1" x14ac:dyDescent="0.3">
      <c r="A634" s="1">
        <v>36</v>
      </c>
      <c r="B634" s="1" t="s">
        <v>544</v>
      </c>
      <c r="C634" s="1" t="str">
        <f ca="1">IFERROR(__xludf.DUMMYFUNCTION("GOOGLETRANSLATE(B634,""en"",""ja"")"),"一緒")</f>
        <v>一緒</v>
      </c>
    </row>
    <row r="635" spans="1:3" ht="18" customHeight="1" x14ac:dyDescent="0.3">
      <c r="A635" s="1">
        <v>36</v>
      </c>
      <c r="B635" s="1" t="s">
        <v>545</v>
      </c>
      <c r="C635" s="1" t="str">
        <f ca="1">IFERROR(__xludf.DUMMYFUNCTION("GOOGLETRANSLATE(B635,""en"",""ja"")"),"持続可能な")</f>
        <v>持続可能な</v>
      </c>
    </row>
    <row r="636" spans="1:3" ht="18" customHeight="1" x14ac:dyDescent="0.3">
      <c r="A636" s="1">
        <v>36</v>
      </c>
      <c r="B636" s="1" t="s">
        <v>546</v>
      </c>
      <c r="C636" s="1" t="str">
        <f ca="1">IFERROR(__xludf.DUMMYFUNCTION("GOOGLETRANSLATE(B636,""en"",""ja"")"),"資源")</f>
        <v>資源</v>
      </c>
    </row>
    <row r="637" spans="1:3" ht="18" customHeight="1" x14ac:dyDescent="0.3">
      <c r="A637" s="1">
        <v>36</v>
      </c>
      <c r="B637" s="1" t="s">
        <v>547</v>
      </c>
      <c r="C637" s="1" t="str">
        <f ca="1">IFERROR(__xludf.DUMMYFUNCTION("GOOGLETRANSLATE(B637,""en"",""ja"")"),"宗教")</f>
        <v>宗教</v>
      </c>
    </row>
    <row r="638" spans="1:3" ht="18" customHeight="1" x14ac:dyDescent="0.3">
      <c r="A638" s="1">
        <v>36</v>
      </c>
      <c r="B638" s="1" t="s">
        <v>548</v>
      </c>
      <c r="C638" s="1" t="str">
        <f ca="1">IFERROR(__xludf.DUMMYFUNCTION("GOOGLETRANSLATE(B638,""en"",""ja"")"),"現在")</f>
        <v>現在</v>
      </c>
    </row>
    <row r="639" spans="1:3" ht="18" customHeight="1" x14ac:dyDescent="0.3">
      <c r="A639" s="1">
        <v>36</v>
      </c>
      <c r="B639" s="1" t="s">
        <v>309</v>
      </c>
      <c r="C639" s="1" t="str">
        <f ca="1">IFERROR(__xludf.DUMMYFUNCTION("GOOGLETRANSLATE(B639,""en"",""ja"")"),"惑星")</f>
        <v>惑星</v>
      </c>
    </row>
    <row r="640" spans="1:3" ht="18" customHeight="1" x14ac:dyDescent="0.3">
      <c r="A640" s="1">
        <v>36</v>
      </c>
      <c r="B640" s="1" t="s">
        <v>549</v>
      </c>
      <c r="C640" s="1" t="str">
        <f ca="1">IFERROR(__xludf.DUMMYFUNCTION("GOOGLETRANSLATE(B640,""en"",""ja"")"),"人")</f>
        <v>人</v>
      </c>
    </row>
    <row r="641" spans="1:3" ht="18" customHeight="1" x14ac:dyDescent="0.3">
      <c r="A641" s="1">
        <v>36</v>
      </c>
      <c r="B641" s="1" t="s">
        <v>81</v>
      </c>
      <c r="C641" s="1" t="str">
        <f ca="1">IFERROR(__xludf.DUMMYFUNCTION("GOOGLETRANSLATE(B641,""en"",""ja"")"),"オーバー")</f>
        <v>オーバー</v>
      </c>
    </row>
    <row r="642" spans="1:3" ht="18" customHeight="1" x14ac:dyDescent="0.3">
      <c r="A642" s="1">
        <v>36</v>
      </c>
      <c r="B642" s="1" t="s">
        <v>323</v>
      </c>
      <c r="C642" s="1" t="str">
        <f ca="1">IFERROR(__xludf.DUMMYFUNCTION("GOOGLETRANSLATE(B642,""en"",""ja"")"),"自然")</f>
        <v>自然</v>
      </c>
    </row>
    <row r="643" spans="1:3" ht="18" customHeight="1" x14ac:dyDescent="0.3">
      <c r="A643" s="1">
        <v>36</v>
      </c>
      <c r="B643" s="1" t="s">
        <v>550</v>
      </c>
      <c r="C643" s="1" t="str">
        <f ca="1">IFERROR(__xludf.DUMMYFUNCTION("GOOGLETRANSLATE(B643,""en"",""ja"")"),"メンタル")</f>
        <v>メンタル</v>
      </c>
    </row>
    <row r="644" spans="1:3" ht="18" customHeight="1" x14ac:dyDescent="0.3">
      <c r="A644" s="1">
        <v>36</v>
      </c>
      <c r="B644" s="1" t="s">
        <v>551</v>
      </c>
      <c r="C644" s="1" t="str">
        <f ca="1">IFERROR(__xludf.DUMMYFUNCTION("GOOGLETRANSLATE(B644,""en"",""ja"")"),"限られました")</f>
        <v>限られました</v>
      </c>
    </row>
    <row r="645" spans="1:3" ht="18" customHeight="1" x14ac:dyDescent="0.3">
      <c r="A645" s="1">
        <v>36</v>
      </c>
      <c r="B645" s="1" t="s">
        <v>552</v>
      </c>
      <c r="C645" s="1" t="str">
        <f ca="1">IFERROR(__xludf.DUMMYFUNCTION("GOOGLETRANSLATE(B645,""en"",""ja"")"),"インタラクション")</f>
        <v>インタラクション</v>
      </c>
    </row>
    <row r="646" spans="1:3" ht="18" customHeight="1" x14ac:dyDescent="0.3">
      <c r="A646" s="1">
        <v>36</v>
      </c>
      <c r="B646" s="1" t="s">
        <v>553</v>
      </c>
      <c r="C646" s="1" t="str">
        <f ca="1">IFERROR(__xludf.DUMMYFUNCTION("GOOGLETRANSLATE(B646,""en"",""ja"")"),"ました")</f>
        <v>ました</v>
      </c>
    </row>
    <row r="647" spans="1:3" ht="18" customHeight="1" x14ac:dyDescent="0.3">
      <c r="A647" s="1">
        <v>36</v>
      </c>
      <c r="B647" s="1" t="s">
        <v>554</v>
      </c>
      <c r="C647" s="1" t="str">
        <f ca="1">IFERROR(__xludf.DUMMYFUNCTION("GOOGLETRANSLATE(B647,""en"",""ja"")"),"取得")</f>
        <v>取得</v>
      </c>
    </row>
    <row r="648" spans="1:3" ht="18" customHeight="1" x14ac:dyDescent="0.3">
      <c r="A648" s="1">
        <v>36</v>
      </c>
      <c r="B648" s="1" t="s">
        <v>555</v>
      </c>
      <c r="C648" s="1" t="str">
        <f ca="1">IFERROR(__xludf.DUMMYFUNCTION("GOOGLETRANSLATE(B648,""en"",""ja"")"),"四")</f>
        <v>四</v>
      </c>
    </row>
    <row r="649" spans="1:3" ht="18" customHeight="1" x14ac:dyDescent="0.3">
      <c r="A649" s="1">
        <v>36</v>
      </c>
      <c r="B649" s="1" t="s">
        <v>556</v>
      </c>
      <c r="C649" s="1" t="str">
        <f ca="1">IFERROR(__xludf.DUMMYFUNCTION("GOOGLETRANSLATE(B649,""en"",""ja"")"),"外国の")</f>
        <v>外国の</v>
      </c>
    </row>
    <row r="650" spans="1:3" ht="18" customHeight="1" x14ac:dyDescent="0.3">
      <c r="A650" s="1">
        <v>36</v>
      </c>
      <c r="B650" s="1" t="s">
        <v>557</v>
      </c>
      <c r="C650" s="1" t="str">
        <f ca="1">IFERROR(__xludf.DUMMYFUNCTION("GOOGLETRANSLATE(B650,""en"",""ja"")"),"要因")</f>
        <v>要因</v>
      </c>
    </row>
    <row r="651" spans="1:3" ht="18" customHeight="1" x14ac:dyDescent="0.3">
      <c r="A651" s="1">
        <v>36</v>
      </c>
      <c r="B651" s="1" t="s">
        <v>558</v>
      </c>
      <c r="C651" s="1" t="str">
        <f ca="1">IFERROR(__xludf.DUMMYFUNCTION("GOOGLETRANSLATE(B651,""en"",""ja"")"),"フェイスブック")</f>
        <v>フェイスブック</v>
      </c>
    </row>
    <row r="652" spans="1:3" ht="18" customHeight="1" x14ac:dyDescent="0.3">
      <c r="A652" s="1">
        <v>36</v>
      </c>
      <c r="B652" s="1" t="s">
        <v>559</v>
      </c>
      <c r="C652" s="1" t="str">
        <f ca="1">IFERROR(__xludf.DUMMYFUNCTION("GOOGLETRANSLATE(B652,""en"",""ja"")"),"実験")</f>
        <v>実験</v>
      </c>
    </row>
    <row r="653" spans="1:3" ht="18" customHeight="1" x14ac:dyDescent="0.3">
      <c r="A653" s="1">
        <v>36</v>
      </c>
      <c r="B653" s="1" t="s">
        <v>560</v>
      </c>
      <c r="C653" s="1" t="str">
        <f ca="1">IFERROR(__xludf.DUMMYFUNCTION("GOOGLETRANSLATE(B653,""en"",""ja"")"),"作成")</f>
        <v>作成</v>
      </c>
    </row>
    <row r="654" spans="1:3" ht="18" customHeight="1" x14ac:dyDescent="0.3">
      <c r="A654" s="1">
        <v>36</v>
      </c>
      <c r="B654" s="1" t="s">
        <v>561</v>
      </c>
      <c r="C654" s="1" t="str">
        <f ca="1">IFERROR(__xludf.DUMMYFUNCTION("GOOGLETRANSLATE(B654,""en"",""ja"")"),"心配している")</f>
        <v>心配している</v>
      </c>
    </row>
    <row r="655" spans="1:3" ht="18" customHeight="1" x14ac:dyDescent="0.3">
      <c r="A655" s="1">
        <v>36</v>
      </c>
      <c r="B655" s="1" t="s">
        <v>562</v>
      </c>
      <c r="C655" s="1" t="str">
        <f ca="1">IFERROR(__xludf.DUMMYFUNCTION("GOOGLETRANSLATE(B655,""en"",""ja"")"),"持ってきた")</f>
        <v>持ってきた</v>
      </c>
    </row>
    <row r="656" spans="1:3" ht="18" customHeight="1" x14ac:dyDescent="0.3">
      <c r="A656" s="1">
        <v>36</v>
      </c>
      <c r="B656" s="1" t="s">
        <v>563</v>
      </c>
      <c r="C656" s="1" t="str">
        <f ca="1">IFERROR(__xludf.DUMMYFUNCTION("GOOGLETRANSLATE(B656,""en"",""ja"")"),"十億")</f>
        <v>十億</v>
      </c>
    </row>
    <row r="657" spans="1:3" ht="18" customHeight="1" x14ac:dyDescent="0.3">
      <c r="A657" s="1">
        <v>36</v>
      </c>
      <c r="B657" s="1" t="s">
        <v>564</v>
      </c>
      <c r="C657" s="1" t="str">
        <f ca="1">IFERROR(__xludf.DUMMYFUNCTION("GOOGLETRANSLATE(B657,""en"",""ja"")"),"量")</f>
        <v>量</v>
      </c>
    </row>
    <row r="658" spans="1:3" ht="18" customHeight="1" x14ac:dyDescent="0.3">
      <c r="A658" s="1">
        <v>35</v>
      </c>
      <c r="B658" s="1" t="s">
        <v>565</v>
      </c>
      <c r="C658" s="1" t="str">
        <f ca="1">IFERROR(__xludf.DUMMYFUNCTION("GOOGLETRANSLATE(B658,""en"",""ja"")"),"ユニーク")</f>
        <v>ユニーク</v>
      </c>
    </row>
    <row r="659" spans="1:3" ht="18" customHeight="1" x14ac:dyDescent="0.3">
      <c r="A659" s="1">
        <v>35</v>
      </c>
      <c r="B659" s="1" t="s">
        <v>566</v>
      </c>
      <c r="C659" s="1" t="str">
        <f ca="1">IFERROR(__xludf.DUMMYFUNCTION("GOOGLETRANSLATE(B659,""en"",""ja"")"),"タイプ")</f>
        <v>タイプ</v>
      </c>
    </row>
    <row r="660" spans="1:3" ht="18" customHeight="1" x14ac:dyDescent="0.3">
      <c r="A660" s="1">
        <v>35</v>
      </c>
      <c r="B660" s="1" t="s">
        <v>567</v>
      </c>
      <c r="C660" s="1" t="str">
        <f ca="1">IFERROR(__xludf.DUMMYFUNCTION("GOOGLETRANSLATE(B660,""en"",""ja"")"),"順番")</f>
        <v>順番</v>
      </c>
    </row>
    <row r="661" spans="1:3" ht="18" customHeight="1" x14ac:dyDescent="0.3">
      <c r="A661" s="1">
        <v>35</v>
      </c>
      <c r="B661" s="1" t="s">
        <v>568</v>
      </c>
      <c r="C661" s="1" t="str">
        <f ca="1">IFERROR(__xludf.DUMMYFUNCTION("GOOGLETRANSLATE(B661,""en"",""ja"")"),"テレビ")</f>
        <v>テレビ</v>
      </c>
    </row>
    <row r="662" spans="1:3" ht="18" customHeight="1" x14ac:dyDescent="0.3">
      <c r="A662" s="1">
        <v>35</v>
      </c>
      <c r="B662" s="1" t="s">
        <v>569</v>
      </c>
      <c r="C662" s="1" t="str">
        <f ca="1">IFERROR(__xludf.DUMMYFUNCTION("GOOGLETRANSLATE(B662,""en"",""ja"")"),"誰か")</f>
        <v>誰か</v>
      </c>
    </row>
    <row r="663" spans="1:3" ht="18" customHeight="1" x14ac:dyDescent="0.3">
      <c r="A663" s="1">
        <v>35</v>
      </c>
      <c r="B663" s="1" t="s">
        <v>570</v>
      </c>
      <c r="C663" s="1" t="str">
        <f ca="1">IFERROR(__xludf.DUMMYFUNCTION("GOOGLETRANSLATE(B663,""en"",""ja"")"),"記録")</f>
        <v>記録</v>
      </c>
    </row>
    <row r="664" spans="1:3" ht="18" customHeight="1" x14ac:dyDescent="0.3">
      <c r="A664" s="1">
        <v>35</v>
      </c>
      <c r="B664" s="1" t="s">
        <v>571</v>
      </c>
      <c r="C664" s="1" t="str">
        <f ca="1">IFERROR(__xludf.DUMMYFUNCTION("GOOGLETRANSLATE(B664,""en"",""ja"")"),"自分自身")</f>
        <v>自分自身</v>
      </c>
    </row>
    <row r="665" spans="1:3" ht="18" customHeight="1" x14ac:dyDescent="0.3">
      <c r="A665" s="1">
        <v>35</v>
      </c>
      <c r="B665" s="1" t="s">
        <v>572</v>
      </c>
      <c r="C665" s="1" t="str">
        <f ca="1">IFERROR(__xludf.DUMMYFUNCTION("GOOGLETRANSLATE(B665,""en"",""ja"")"),"オフ")</f>
        <v>オフ</v>
      </c>
    </row>
    <row r="666" spans="1:3" ht="18" customHeight="1" x14ac:dyDescent="0.3">
      <c r="A666" s="1">
        <v>35</v>
      </c>
      <c r="B666" s="1" t="s">
        <v>573</v>
      </c>
      <c r="C666" s="1" t="str">
        <f ca="1">IFERROR(__xludf.DUMMYFUNCTION("GOOGLETRANSLATE(B666,""en"",""ja"")"),"おとこ")</f>
        <v>おとこ</v>
      </c>
    </row>
    <row r="667" spans="1:3" ht="18" customHeight="1" x14ac:dyDescent="0.3">
      <c r="A667" s="1">
        <v>35</v>
      </c>
      <c r="B667" s="1" t="s">
        <v>574</v>
      </c>
      <c r="C667" s="1" t="str">
        <f ca="1">IFERROR(__xludf.DUMMYFUNCTION("GOOGLETRANSLATE(B667,""en"",""ja"")"),"最終")</f>
        <v>最終</v>
      </c>
    </row>
    <row r="668" spans="1:3" ht="18" customHeight="1" x14ac:dyDescent="0.3">
      <c r="A668" s="1">
        <v>35</v>
      </c>
      <c r="B668" s="1" t="s">
        <v>575</v>
      </c>
      <c r="C668" s="1" t="str">
        <f ca="1">IFERROR(__xludf.DUMMYFUNCTION("GOOGLETRANSLATE(B668,""en"",""ja"")"),"キー")</f>
        <v>キー</v>
      </c>
    </row>
    <row r="669" spans="1:3" ht="18" customHeight="1" x14ac:dyDescent="0.3">
      <c r="A669" s="1">
        <v>35</v>
      </c>
      <c r="B669" s="1" t="s">
        <v>230</v>
      </c>
      <c r="C669" s="1" t="str">
        <f ca="1">IFERROR(__xludf.DUMMYFUNCTION("GOOGLETRANSLATE(B669,""en"",""ja"")"),"個人")</f>
        <v>個人</v>
      </c>
    </row>
    <row r="670" spans="1:3" ht="18" customHeight="1" x14ac:dyDescent="0.3">
      <c r="A670" s="1">
        <v>35</v>
      </c>
      <c r="B670" s="1" t="s">
        <v>576</v>
      </c>
      <c r="C670" s="1" t="str">
        <f ca="1">IFERROR(__xludf.DUMMYFUNCTION("GOOGLETRANSLATE(B670,""en"",""ja"")"),"識別")</f>
        <v>識別</v>
      </c>
    </row>
    <row r="671" spans="1:3" ht="18" customHeight="1" x14ac:dyDescent="0.3">
      <c r="A671" s="1">
        <v>35</v>
      </c>
      <c r="B671" s="1" t="s">
        <v>577</v>
      </c>
      <c r="C671" s="1" t="str">
        <f ca="1">IFERROR(__xludf.DUMMYFUNCTION("GOOGLETRANSLATE(B671,""en"",""ja"")"),"ホールド")</f>
        <v>ホールド</v>
      </c>
    </row>
    <row r="672" spans="1:3" ht="18" customHeight="1" x14ac:dyDescent="0.3">
      <c r="A672" s="1">
        <v>35</v>
      </c>
      <c r="B672" s="1" t="s">
        <v>578</v>
      </c>
      <c r="C672" s="1" t="str">
        <f ca="1">IFERROR(__xludf.DUMMYFUNCTION("GOOGLETRANSLATE(B672,""en"",""ja"")"),"手")</f>
        <v>手</v>
      </c>
    </row>
    <row r="673" spans="1:3" ht="18" customHeight="1" x14ac:dyDescent="0.3">
      <c r="A673" s="1">
        <v>35</v>
      </c>
      <c r="B673" s="1" t="s">
        <v>579</v>
      </c>
      <c r="C673" s="1" t="str">
        <f ca="1">IFERROR(__xludf.DUMMYFUNCTION("GOOGLETRANSLATE(B673,""en"",""ja"")"),"距離")</f>
        <v>距離</v>
      </c>
    </row>
    <row r="674" spans="1:3" ht="18" customHeight="1" x14ac:dyDescent="0.3">
      <c r="A674" s="1">
        <v>35</v>
      </c>
      <c r="B674" s="1" t="s">
        <v>580</v>
      </c>
      <c r="C674" s="1" t="str">
        <f ca="1">IFERROR(__xludf.DUMMYFUNCTION("GOOGLETRANSLATE(B674,""en"",""ja"")"),"コンプリート")</f>
        <v>コンプリート</v>
      </c>
    </row>
    <row r="675" spans="1:3" ht="18" customHeight="1" x14ac:dyDescent="0.3">
      <c r="A675" s="1">
        <v>35</v>
      </c>
      <c r="B675" s="1" t="s">
        <v>581</v>
      </c>
      <c r="C675" s="1" t="str">
        <f ca="1">IFERROR(__xludf.DUMMYFUNCTION("GOOGLETRANSLATE(B675,""en"",""ja"")"),"コンパクト")</f>
        <v>コンパクト</v>
      </c>
    </row>
    <row r="676" spans="1:3" ht="18" customHeight="1" x14ac:dyDescent="0.3">
      <c r="A676" s="1">
        <v>35</v>
      </c>
      <c r="B676" s="1" t="s">
        <v>582</v>
      </c>
      <c r="C676" s="1" t="str">
        <f ca="1">IFERROR(__xludf.DUMMYFUNCTION("GOOGLETRANSLATE(B676,""en"",""ja"")"),"ビジネス")</f>
        <v>ビジネス</v>
      </c>
    </row>
    <row r="677" spans="1:3" ht="18" customHeight="1" x14ac:dyDescent="0.3">
      <c r="A677" s="1">
        <v>35</v>
      </c>
      <c r="B677" s="1" t="s">
        <v>583</v>
      </c>
      <c r="C677" s="1" t="str">
        <f ca="1">IFERROR(__xludf.DUMMYFUNCTION("GOOGLETRANSLATE(B677,""en"",""ja"")"),"英国人")</f>
        <v>英国人</v>
      </c>
    </row>
    <row r="678" spans="1:3" ht="18" customHeight="1" x14ac:dyDescent="0.3">
      <c r="A678" s="1">
        <v>35</v>
      </c>
      <c r="B678" s="1" t="s">
        <v>584</v>
      </c>
      <c r="C678" s="1" t="str">
        <f ca="1">IFERROR(__xludf.DUMMYFUNCTION("GOOGLETRANSLATE(B678,""en"",""ja"")"),"擬人化")</f>
        <v>擬人化</v>
      </c>
    </row>
    <row r="679" spans="1:3" ht="18" customHeight="1" x14ac:dyDescent="0.3">
      <c r="A679" s="1">
        <v>35</v>
      </c>
      <c r="B679" s="1" t="s">
        <v>585</v>
      </c>
      <c r="C679" s="1" t="str">
        <f ca="1">IFERROR(__xludf.DUMMYFUNCTION("GOOGLETRANSLATE(B679,""en"",""ja"")"),"年齢")</f>
        <v>年齢</v>
      </c>
    </row>
    <row r="680" spans="1:3" ht="18" customHeight="1" x14ac:dyDescent="0.3">
      <c r="A680" s="1">
        <v>34</v>
      </c>
      <c r="B680" s="1" t="s">
        <v>586</v>
      </c>
      <c r="C680" s="1" t="str">
        <f ca="1">IFERROR(__xludf.DUMMYFUNCTION("GOOGLETRANSLATE(B680,""en"",""ja"")"),"ツール")</f>
        <v>ツール</v>
      </c>
    </row>
    <row r="681" spans="1:3" ht="18" customHeight="1" x14ac:dyDescent="0.3">
      <c r="A681" s="1">
        <v>34</v>
      </c>
      <c r="B681" s="1" t="s">
        <v>587</v>
      </c>
      <c r="C681" s="1" t="str">
        <f ca="1">IFERROR(__xludf.DUMMYFUNCTION("GOOGLETRANSLATE(B681,""en"",""ja"")"),"状態")</f>
        <v>状態</v>
      </c>
    </row>
    <row r="682" spans="1:3" ht="18" customHeight="1" x14ac:dyDescent="0.3">
      <c r="A682" s="1">
        <v>34</v>
      </c>
      <c r="B682" s="1" t="s">
        <v>588</v>
      </c>
      <c r="C682" s="1" t="str">
        <f ca="1">IFERROR(__xludf.DUMMYFUNCTION("GOOGLETRANSLATE(B682,""en"",""ja"")"),"時々")</f>
        <v>時々</v>
      </c>
    </row>
    <row r="683" spans="1:3" ht="18" customHeight="1" x14ac:dyDescent="0.3">
      <c r="A683" s="1">
        <v>34</v>
      </c>
      <c r="B683" s="1" t="s">
        <v>589</v>
      </c>
      <c r="C683" s="1" t="str">
        <f ca="1">IFERROR(__xludf.DUMMYFUNCTION("GOOGLETRANSLATE(B683,""en"",""ja"")"),"リッチ")</f>
        <v>リッチ</v>
      </c>
    </row>
    <row r="684" spans="1:3" ht="18" customHeight="1" x14ac:dyDescent="0.3">
      <c r="A684" s="1">
        <v>34</v>
      </c>
      <c r="B684" s="1" t="s">
        <v>590</v>
      </c>
      <c r="C684" s="1" t="str">
        <f ca="1">IFERROR(__xludf.DUMMYFUNCTION("GOOGLETRANSLATE(B684,""en"",""ja"")"),"意見")</f>
        <v>意見</v>
      </c>
    </row>
    <row r="685" spans="1:3" ht="18" customHeight="1" x14ac:dyDescent="0.3">
      <c r="A685" s="1">
        <v>34</v>
      </c>
      <c r="B685" s="1" t="s">
        <v>26</v>
      </c>
      <c r="C685" s="1" t="str">
        <f ca="1">IFERROR(__xludf.DUMMYFUNCTION("GOOGLETRANSLATE(B685,""en"",""ja"")"),"もっと")</f>
        <v>もっと</v>
      </c>
    </row>
    <row r="686" spans="1:3" ht="18" customHeight="1" x14ac:dyDescent="0.3">
      <c r="A686" s="1">
        <v>34</v>
      </c>
      <c r="B686" s="1" t="s">
        <v>591</v>
      </c>
      <c r="C686" s="1" t="str">
        <f ca="1">IFERROR(__xludf.DUMMYFUNCTION("GOOGLETRANSLATE(B686,""en"",""ja"")"),"見ること")</f>
        <v>見ること</v>
      </c>
    </row>
    <row r="687" spans="1:3" ht="18" customHeight="1" x14ac:dyDescent="0.3">
      <c r="A687" s="1">
        <v>34</v>
      </c>
      <c r="B687" s="1" t="s">
        <v>592</v>
      </c>
      <c r="C687" s="1" t="str">
        <f ca="1">IFERROR(__xludf.DUMMYFUNCTION("GOOGLETRANSLATE(B687,""en"",""ja"")"),"学びました")</f>
        <v>学びました</v>
      </c>
    </row>
    <row r="688" spans="1:3" ht="18" customHeight="1" x14ac:dyDescent="0.3">
      <c r="A688" s="1">
        <v>34</v>
      </c>
      <c r="B688" s="1" t="s">
        <v>593</v>
      </c>
      <c r="C688" s="1" t="str">
        <f ca="1">IFERROR(__xludf.DUMMYFUNCTION("GOOGLETRANSLATE(B688,""en"",""ja"")"),"盟主")</f>
        <v>盟主</v>
      </c>
    </row>
    <row r="689" spans="1:3" ht="18" customHeight="1" x14ac:dyDescent="0.3">
      <c r="A689" s="1">
        <v>34</v>
      </c>
      <c r="B689" s="1" t="s">
        <v>18</v>
      </c>
      <c r="C689" s="1" t="str">
        <f ca="1">IFERROR(__xludf.DUMMYFUNCTION("GOOGLETRANSLATE(B689,""en"",""ja"")"),"持ってる")</f>
        <v>持ってる</v>
      </c>
    </row>
    <row r="690" spans="1:3" ht="18" customHeight="1" x14ac:dyDescent="0.3">
      <c r="A690" s="1">
        <v>34</v>
      </c>
      <c r="B690" s="1" t="s">
        <v>594</v>
      </c>
      <c r="C690" s="1" t="str">
        <f ca="1">IFERROR(__xludf.DUMMYFUNCTION("GOOGLETRANSLATE(B690,""en"",""ja"")"),"今までに")</f>
        <v>今までに</v>
      </c>
    </row>
    <row r="691" spans="1:3" ht="18" customHeight="1" x14ac:dyDescent="0.3">
      <c r="A691" s="1">
        <v>34</v>
      </c>
      <c r="B691" s="1" t="s">
        <v>595</v>
      </c>
      <c r="C691" s="1" t="str">
        <f ca="1">IFERROR(__xludf.DUMMYFUNCTION("GOOGLETRANSLATE(B691,""en"",""ja"")"),"にもかかわらず")</f>
        <v>にもかかわらず</v>
      </c>
    </row>
    <row r="692" spans="1:3" ht="18" customHeight="1" x14ac:dyDescent="0.3">
      <c r="A692" s="1">
        <v>34</v>
      </c>
      <c r="B692" s="1" t="s">
        <v>596</v>
      </c>
      <c r="C692" s="1" t="str">
        <f ca="1">IFERROR(__xludf.DUMMYFUNCTION("GOOGLETRANSLATE(B692,""en"",""ja"")"),"説明")</f>
        <v>説明</v>
      </c>
    </row>
    <row r="693" spans="1:3" ht="18" customHeight="1" x14ac:dyDescent="0.3">
      <c r="A693" s="1">
        <v>34</v>
      </c>
      <c r="B693" s="1" t="s">
        <v>597</v>
      </c>
      <c r="C693" s="1" t="str">
        <f ca="1">IFERROR(__xludf.DUMMYFUNCTION("GOOGLETRANSLATE(B693,""en"",""ja"")"),"文化")</f>
        <v>文化</v>
      </c>
    </row>
    <row r="694" spans="1:3" ht="18" customHeight="1" x14ac:dyDescent="0.3">
      <c r="A694" s="1">
        <v>34</v>
      </c>
      <c r="B694" s="1" t="s">
        <v>598</v>
      </c>
      <c r="C694" s="1" t="str">
        <f ca="1">IFERROR(__xludf.DUMMYFUNCTION("GOOGLETRANSLATE(B694,""en"",""ja"")"),"コンテンツ")</f>
        <v>コンテンツ</v>
      </c>
    </row>
    <row r="695" spans="1:3" ht="18" customHeight="1" x14ac:dyDescent="0.3">
      <c r="A695" s="1">
        <v>34</v>
      </c>
      <c r="B695" s="1" t="s">
        <v>599</v>
      </c>
      <c r="C695" s="1" t="str">
        <f ca="1">IFERROR(__xludf.DUMMYFUNCTION("GOOGLETRANSLATE(B695,""en"",""ja"")"),"状況")</f>
        <v>状況</v>
      </c>
    </row>
    <row r="696" spans="1:3" ht="18" customHeight="1" x14ac:dyDescent="0.3">
      <c r="A696" s="1">
        <v>34</v>
      </c>
      <c r="B696" s="1" t="s">
        <v>600</v>
      </c>
      <c r="C696" s="1" t="str">
        <f ca="1">IFERROR(__xludf.DUMMYFUNCTION("GOOGLETRANSLATE(B696,""en"",""ja"")"),"C")</f>
        <v>C</v>
      </c>
    </row>
    <row r="697" spans="1:3" ht="18" customHeight="1" x14ac:dyDescent="0.3">
      <c r="A697" s="1">
        <v>34</v>
      </c>
      <c r="B697" s="1" t="s">
        <v>601</v>
      </c>
      <c r="C697" s="1" t="str">
        <f ca="1">IFERROR(__xludf.DUMMYFUNCTION("GOOGLETRANSLATE(B697,""en"",""ja"")"),"適切な")</f>
        <v>適切な</v>
      </c>
    </row>
    <row r="698" spans="1:3" ht="18" customHeight="1" x14ac:dyDescent="0.3">
      <c r="A698" s="1">
        <v>34</v>
      </c>
      <c r="B698" s="1" t="s">
        <v>602</v>
      </c>
      <c r="C698" s="1" t="str">
        <f ca="1">IFERROR(__xludf.DUMMYFUNCTION("GOOGLETRANSLATE(B698,""en"",""ja"")"),"古代")</f>
        <v>古代</v>
      </c>
    </row>
    <row r="699" spans="1:3" ht="18" customHeight="1" x14ac:dyDescent="0.3">
      <c r="A699" s="1">
        <v>33</v>
      </c>
      <c r="B699" s="1" t="s">
        <v>603</v>
      </c>
      <c r="C699" s="1" t="str">
        <f ca="1">IFERROR(__xludf.DUMMYFUNCTION("GOOGLETRANSLATE(B699,""en"",""ja"")"),"今日")</f>
        <v>今日</v>
      </c>
    </row>
    <row r="700" spans="1:3" ht="18" customHeight="1" x14ac:dyDescent="0.3">
      <c r="A700" s="1">
        <v>33</v>
      </c>
      <c r="B700" s="1" t="s">
        <v>604</v>
      </c>
      <c r="C700" s="1" t="str">
        <f ca="1">IFERROR(__xludf.DUMMYFUNCTION("GOOGLETRANSLATE(B700,""en"",""ja"")"),"シンボリック")</f>
        <v>シンボリック</v>
      </c>
    </row>
    <row r="701" spans="1:3" ht="18" customHeight="1" x14ac:dyDescent="0.3">
      <c r="A701" s="1">
        <v>33</v>
      </c>
      <c r="B701" s="1" t="s">
        <v>605</v>
      </c>
      <c r="C701" s="1" t="str">
        <f ca="1">IFERROR(__xludf.DUMMYFUNCTION("GOOGLETRANSLATE(B701,""en"",""ja"")"),"規模")</f>
        <v>規模</v>
      </c>
    </row>
    <row r="702" spans="1:3" ht="18" customHeight="1" x14ac:dyDescent="0.3">
      <c r="A702" s="1">
        <v>33</v>
      </c>
      <c r="B702" s="1" t="s">
        <v>606</v>
      </c>
      <c r="C702" s="1" t="str">
        <f ca="1">IFERROR(__xludf.DUMMYFUNCTION("GOOGLETRANSLATE(B702,""en"",""ja"")"),"理由")</f>
        <v>理由</v>
      </c>
    </row>
    <row r="703" spans="1:3" ht="18" customHeight="1" x14ac:dyDescent="0.3">
      <c r="A703" s="1">
        <v>33</v>
      </c>
      <c r="B703" s="1" t="s">
        <v>607</v>
      </c>
      <c r="C703" s="1" t="str">
        <f ca="1">IFERROR(__xludf.DUMMYFUNCTION("GOOGLETRANSLATE(B703,""en"",""ja"")"),"パーセント")</f>
        <v>パーセント</v>
      </c>
    </row>
    <row r="704" spans="1:3" ht="18" customHeight="1" x14ac:dyDescent="0.3">
      <c r="A704" s="1">
        <v>33</v>
      </c>
      <c r="B704" s="1" t="s">
        <v>608</v>
      </c>
      <c r="C704" s="1" t="str">
        <f ca="1">IFERROR(__xludf.DUMMYFUNCTION("GOOGLETRANSLATE(B704,""en"",""ja"")"),"もの")</f>
        <v>もの</v>
      </c>
    </row>
    <row r="705" spans="1:3" ht="18" customHeight="1" x14ac:dyDescent="0.3">
      <c r="A705" s="1">
        <v>33</v>
      </c>
      <c r="B705" s="1" t="s">
        <v>609</v>
      </c>
      <c r="C705" s="1" t="str">
        <f ca="1">IFERROR(__xludf.DUMMYFUNCTION("GOOGLETRANSLATE(B705,""en"",""ja"")"),"NGO")</f>
        <v>NGO</v>
      </c>
    </row>
    <row r="706" spans="1:3" ht="18" customHeight="1" x14ac:dyDescent="0.3">
      <c r="A706" s="1">
        <v>33</v>
      </c>
      <c r="B706" s="1" t="s">
        <v>610</v>
      </c>
      <c r="C706" s="1" t="str">
        <f ca="1">IFERROR(__xludf.DUMMYFUNCTION("GOOGLETRANSLATE(B706,""en"",""ja"")"),"必ずしも")</f>
        <v>必ずしも</v>
      </c>
    </row>
    <row r="707" spans="1:3" ht="18" customHeight="1" x14ac:dyDescent="0.3">
      <c r="A707" s="1">
        <v>33</v>
      </c>
      <c r="B707" s="1" t="s">
        <v>611</v>
      </c>
      <c r="C707" s="1" t="str">
        <f ca="1">IFERROR(__xludf.DUMMYFUNCTION("GOOGLETRANSLATE(B707,""en"",""ja"")"),"土地")</f>
        <v>土地</v>
      </c>
    </row>
    <row r="708" spans="1:3" ht="18" customHeight="1" x14ac:dyDescent="0.3">
      <c r="A708" s="1">
        <v>33</v>
      </c>
      <c r="B708" s="1" t="s">
        <v>612</v>
      </c>
      <c r="C708" s="1" t="str">
        <f ca="1">IFERROR(__xludf.DUMMYFUNCTION("GOOGLETRANSLATE(B708,""en"",""ja"")"),"欠如")</f>
        <v>欠如</v>
      </c>
    </row>
    <row r="709" spans="1:3" ht="18" customHeight="1" x14ac:dyDescent="0.3">
      <c r="A709" s="1">
        <v>33</v>
      </c>
      <c r="B709" s="1" t="s">
        <v>613</v>
      </c>
      <c r="C709" s="1" t="str">
        <f ca="1">IFERROR(__xludf.DUMMYFUNCTION("GOOGLETRANSLATE(B709,""en"",""ja"")"),"自体")</f>
        <v>自体</v>
      </c>
    </row>
    <row r="710" spans="1:3" ht="18" customHeight="1" x14ac:dyDescent="0.3">
      <c r="A710" s="1">
        <v>33</v>
      </c>
      <c r="B710" s="1" t="s">
        <v>614</v>
      </c>
      <c r="C710" s="1" t="str">
        <f ca="1">IFERROR(__xludf.DUMMYFUNCTION("GOOGLETRANSLATE(B710,""en"",""ja"")"),"確かに")</f>
        <v>確かに</v>
      </c>
    </row>
    <row r="711" spans="1:3" ht="18" customHeight="1" x14ac:dyDescent="0.3">
      <c r="A711" s="1">
        <v>33</v>
      </c>
      <c r="B711" s="1" t="s">
        <v>615</v>
      </c>
      <c r="C711" s="1" t="str">
        <f ca="1">IFERROR(__xludf.DUMMYFUNCTION("GOOGLETRANSLATE(B711,""en"",""ja"")"),"増加")</f>
        <v>増加</v>
      </c>
    </row>
    <row r="712" spans="1:3" ht="18" customHeight="1" x14ac:dyDescent="0.3">
      <c r="A712" s="1">
        <v>33</v>
      </c>
      <c r="B712" s="1" t="s">
        <v>616</v>
      </c>
      <c r="C712" s="1" t="str">
        <f ca="1">IFERROR(__xludf.DUMMYFUNCTION("GOOGLETRANSLATE(B712,""en"",""ja"")"),"家")</f>
        <v>家</v>
      </c>
    </row>
    <row r="713" spans="1:3" ht="18" customHeight="1" x14ac:dyDescent="0.3">
      <c r="A713" s="1">
        <v>33</v>
      </c>
      <c r="B713" s="1" t="s">
        <v>617</v>
      </c>
      <c r="C713" s="1" t="str">
        <f ca="1">IFERROR(__xludf.DUMMYFUNCTION("GOOGLETRANSLATE(B713,""en"",""ja"")"),"平等に")</f>
        <v>平等に</v>
      </c>
    </row>
    <row r="714" spans="1:3" ht="18" customHeight="1" x14ac:dyDescent="0.3">
      <c r="A714" s="1">
        <v>33</v>
      </c>
      <c r="B714" s="1" t="s">
        <v>618</v>
      </c>
      <c r="C714" s="1" t="str">
        <f ca="1">IFERROR(__xludf.DUMMYFUNCTION("GOOGLETRANSLATE(B714,""en"",""ja"")"),"エコノミスト")</f>
        <v>エコノミスト</v>
      </c>
    </row>
    <row r="715" spans="1:3" ht="18" customHeight="1" x14ac:dyDescent="0.3">
      <c r="A715" s="1">
        <v>33</v>
      </c>
      <c r="B715" s="1" t="s">
        <v>619</v>
      </c>
      <c r="C715" s="1" t="str">
        <f ca="1">IFERROR(__xludf.DUMMYFUNCTION("GOOGLETRANSLATE(B715,""en"",""ja"")"),"ドロー")</f>
        <v>ドロー</v>
      </c>
    </row>
    <row r="716" spans="1:3" ht="18" customHeight="1" x14ac:dyDescent="0.3">
      <c r="A716" s="1">
        <v>33</v>
      </c>
      <c r="B716" s="1" t="s">
        <v>620</v>
      </c>
      <c r="C716" s="1" t="str">
        <f ca="1">IFERROR(__xludf.DUMMYFUNCTION("GOOGLETRANSLATE(B716,""en"",""ja"")"),"組み合わせ")</f>
        <v>組み合わせ</v>
      </c>
    </row>
    <row r="717" spans="1:3" ht="18" customHeight="1" x14ac:dyDescent="0.3">
      <c r="A717" s="1">
        <v>33</v>
      </c>
      <c r="B717" s="1" t="s">
        <v>621</v>
      </c>
      <c r="C717" s="1" t="str">
        <f ca="1">IFERROR(__xludf.DUMMYFUNCTION("GOOGLETRANSLATE(B717,""en"",""ja"")"),"原因")</f>
        <v>原因</v>
      </c>
    </row>
    <row r="718" spans="1:3" ht="18" customHeight="1" x14ac:dyDescent="0.3">
      <c r="A718" s="1">
        <v>33</v>
      </c>
      <c r="B718" s="1" t="s">
        <v>380</v>
      </c>
      <c r="C718" s="1" t="str">
        <f ca="1">IFERROR(__xludf.DUMMYFUNCTION("GOOGLETRANSLATE(B718,""en"",""ja"")"),"本")</f>
        <v>本</v>
      </c>
    </row>
    <row r="719" spans="1:3" ht="18" customHeight="1" x14ac:dyDescent="0.3">
      <c r="A719" s="1">
        <v>33</v>
      </c>
      <c r="B719" s="1" t="s">
        <v>585</v>
      </c>
      <c r="C719" s="1" t="str">
        <f ca="1">IFERROR(__xludf.DUMMYFUNCTION("GOOGLETRANSLATE(B719,""en"",""ja"")"),"年齢")</f>
        <v>年齢</v>
      </c>
    </row>
    <row r="720" spans="1:3" ht="18" customHeight="1" x14ac:dyDescent="0.3">
      <c r="A720" s="1">
        <v>32</v>
      </c>
      <c r="B720" s="1" t="s">
        <v>307</v>
      </c>
      <c r="C720" s="1" t="str">
        <f ca="1">IFERROR(__xludf.DUMMYFUNCTION("GOOGLETRANSLATE(B720,""en"",""ja"")"),"値")</f>
        <v>値</v>
      </c>
    </row>
    <row r="721" spans="1:3" ht="18" customHeight="1" x14ac:dyDescent="0.3">
      <c r="A721" s="1">
        <v>32</v>
      </c>
      <c r="B721" s="1" t="s">
        <v>622</v>
      </c>
      <c r="C721" s="1" t="str">
        <f ca="1">IFERROR(__xludf.DUMMYFUNCTION("GOOGLETRANSLATE(B721,""en"",""ja"")"),"取った")</f>
        <v>取った</v>
      </c>
    </row>
    <row r="722" spans="1:3" ht="18" customHeight="1" x14ac:dyDescent="0.3">
      <c r="A722" s="1">
        <v>32</v>
      </c>
      <c r="B722" s="1" t="s">
        <v>623</v>
      </c>
      <c r="C722" s="1" t="str">
        <f ca="1">IFERROR(__xludf.DUMMYFUNCTION("GOOGLETRANSLATE(B722,""en"",""ja"")"),"話しました")</f>
        <v>話しました</v>
      </c>
    </row>
    <row r="723" spans="1:3" ht="18" customHeight="1" x14ac:dyDescent="0.3">
      <c r="A723" s="1">
        <v>32</v>
      </c>
      <c r="B723" s="1" t="s">
        <v>14</v>
      </c>
      <c r="C723" s="1" t="str">
        <f ca="1">IFERROR(__xludf.DUMMYFUNCTION("GOOGLETRANSLATE(B723,""en"",""ja"")"),"この")</f>
        <v>この</v>
      </c>
    </row>
    <row r="724" spans="1:3" ht="18" customHeight="1" x14ac:dyDescent="0.3">
      <c r="A724" s="1">
        <v>32</v>
      </c>
      <c r="B724" s="1" t="s">
        <v>624</v>
      </c>
      <c r="C724" s="1" t="str">
        <f ca="1">IFERROR(__xludf.DUMMYFUNCTION("GOOGLETRANSLATE(B724,""en"",""ja"")"),"やがて")</f>
        <v>やがて</v>
      </c>
    </row>
    <row r="725" spans="1:3" ht="18" customHeight="1" x14ac:dyDescent="0.3">
      <c r="A725" s="1">
        <v>32</v>
      </c>
      <c r="B725" s="1" t="s">
        <v>625</v>
      </c>
      <c r="C725" s="1" t="str">
        <f ca="1">IFERROR(__xludf.DUMMYFUNCTION("GOOGLETRANSLATE(B725,""en"",""ja"")"),"上昇")</f>
        <v>上昇</v>
      </c>
    </row>
    <row r="726" spans="1:3" ht="18" customHeight="1" x14ac:dyDescent="0.3">
      <c r="A726" s="1">
        <v>32</v>
      </c>
      <c r="B726" s="1" t="s">
        <v>626</v>
      </c>
      <c r="C726" s="1" t="str">
        <f ca="1">IFERROR(__xludf.DUMMYFUNCTION("GOOGLETRANSLATE(B726,""en"",""ja"")"),"合理的")</f>
        <v>合理的</v>
      </c>
    </row>
    <row r="727" spans="1:3" ht="18" customHeight="1" x14ac:dyDescent="0.3">
      <c r="A727" s="1">
        <v>32</v>
      </c>
      <c r="B727" s="1" t="s">
        <v>627</v>
      </c>
      <c r="C727" s="1" t="str">
        <f ca="1">IFERROR(__xludf.DUMMYFUNCTION("GOOGLETRANSLATE(B727,""en"",""ja"")"),"予定")</f>
        <v>予定</v>
      </c>
    </row>
    <row r="728" spans="1:3" ht="18" customHeight="1" x14ac:dyDescent="0.3">
      <c r="A728" s="1">
        <v>32</v>
      </c>
      <c r="B728" s="1" t="s">
        <v>628</v>
      </c>
      <c r="C728" s="1" t="str">
        <f ca="1">IFERROR(__xludf.DUMMYFUNCTION("GOOGLETRANSLATE(B728,""en"",""ja"")"),"何も")</f>
        <v>何も</v>
      </c>
    </row>
    <row r="729" spans="1:3" ht="18" customHeight="1" x14ac:dyDescent="0.3">
      <c r="A729" s="1">
        <v>32</v>
      </c>
      <c r="B729" s="1" t="s">
        <v>629</v>
      </c>
      <c r="C729" s="1" t="str">
        <f ca="1">IFERROR(__xludf.DUMMYFUNCTION("GOOGLETRANSLATE(B729,""en"",""ja"")"),"種類")</f>
        <v>種類</v>
      </c>
    </row>
    <row r="730" spans="1:3" ht="18" customHeight="1" x14ac:dyDescent="0.3">
      <c r="A730" s="1">
        <v>32</v>
      </c>
      <c r="B730" s="1" t="s">
        <v>532</v>
      </c>
      <c r="C730" s="1" t="str">
        <f ca="1">IFERROR(__xludf.DUMMYFUNCTION("GOOGLETRANSLATE(B730,""en"",""ja"")"),"身元")</f>
        <v>身元</v>
      </c>
    </row>
    <row r="731" spans="1:3" ht="18" customHeight="1" x14ac:dyDescent="0.3">
      <c r="A731" s="1">
        <v>32</v>
      </c>
      <c r="B731" s="1" t="s">
        <v>630</v>
      </c>
      <c r="C731" s="1" t="str">
        <f ca="1">IFERROR(__xludf.DUMMYFUNCTION("GOOGLETRANSLATE(B731,""en"",""ja"")"),"人類")</f>
        <v>人類</v>
      </c>
    </row>
    <row r="732" spans="1:3" ht="18" customHeight="1" x14ac:dyDescent="0.3">
      <c r="A732" s="1">
        <v>32</v>
      </c>
      <c r="B732" s="1" t="s">
        <v>631</v>
      </c>
      <c r="C732" s="1" t="str">
        <f ca="1">IFERROR(__xludf.DUMMYFUNCTION("GOOGLETRANSLATE(B732,""en"",""ja"")"),"家庭")</f>
        <v>家庭</v>
      </c>
    </row>
    <row r="733" spans="1:3" ht="18" customHeight="1" x14ac:dyDescent="0.3">
      <c r="A733" s="1">
        <v>32</v>
      </c>
      <c r="B733" s="1" t="s">
        <v>632</v>
      </c>
      <c r="C733" s="1" t="str">
        <f ca="1">IFERROR(__xludf.DUMMYFUNCTION("GOOGLETRANSLATE(B733,""en"",""ja"")"),"高度に")</f>
        <v>高度に</v>
      </c>
    </row>
    <row r="734" spans="1:3" ht="18" customHeight="1" x14ac:dyDescent="0.3">
      <c r="A734" s="1">
        <v>32</v>
      </c>
      <c r="B734" s="1" t="s">
        <v>633</v>
      </c>
      <c r="C734" s="1" t="str">
        <f ca="1">IFERROR(__xludf.DUMMYFUNCTION("GOOGLETRANSLATE(B734,""en"",""ja"")"),"グーグル")</f>
        <v>グーグル</v>
      </c>
    </row>
    <row r="735" spans="1:3" ht="18" customHeight="1" x14ac:dyDescent="0.3">
      <c r="A735" s="1">
        <v>32</v>
      </c>
      <c r="B735" s="1" t="s">
        <v>634</v>
      </c>
      <c r="C735" s="1" t="str">
        <f ca="1">IFERROR(__xludf.DUMMYFUNCTION("GOOGLETRANSLATE(B735,""en"",""ja"")"),"すべて")</f>
        <v>すべて</v>
      </c>
    </row>
    <row r="736" spans="1:3" ht="18" customHeight="1" x14ac:dyDescent="0.3">
      <c r="A736" s="1">
        <v>32</v>
      </c>
      <c r="B736" s="1" t="s">
        <v>635</v>
      </c>
      <c r="C736" s="1" t="str">
        <f ca="1">IFERROR(__xludf.DUMMYFUNCTION("GOOGLETRANSLATE(B736,""en"",""ja"")"),"原因")</f>
        <v>原因</v>
      </c>
    </row>
    <row r="737" spans="1:3" ht="18" customHeight="1" x14ac:dyDescent="0.3">
      <c r="A737" s="1">
        <v>32</v>
      </c>
      <c r="B737" s="1" t="s">
        <v>636</v>
      </c>
      <c r="C737" s="1" t="str">
        <f ca="1">IFERROR(__xludf.DUMMYFUNCTION("GOOGLETRANSLATE(B737,""en"",""ja"")"),"違い")</f>
        <v>違い</v>
      </c>
    </row>
    <row r="738" spans="1:3" ht="18" customHeight="1" x14ac:dyDescent="0.3">
      <c r="A738" s="1">
        <v>32</v>
      </c>
      <c r="B738" s="1" t="s">
        <v>16</v>
      </c>
      <c r="C738" s="1" t="str">
        <f ca="1">IFERROR(__xludf.DUMMYFUNCTION("GOOGLETRANSLATE(B738,""en"",""ja"")"),"沿って")</f>
        <v>沿って</v>
      </c>
    </row>
    <row r="739" spans="1:3" ht="18" customHeight="1" x14ac:dyDescent="0.3">
      <c r="A739" s="1">
        <v>32</v>
      </c>
      <c r="B739" s="1" t="s">
        <v>67</v>
      </c>
      <c r="C739" s="1" t="str">
        <f ca="1">IFERROR(__xludf.DUMMYFUNCTION("GOOGLETRANSLATE(B739,""en"",""ja"")"),"なぜなら")</f>
        <v>なぜなら</v>
      </c>
    </row>
    <row r="740" spans="1:3" ht="18" customHeight="1" x14ac:dyDescent="0.3">
      <c r="A740" s="1">
        <v>32</v>
      </c>
      <c r="B740" s="1" t="s">
        <v>637</v>
      </c>
      <c r="C740" s="1" t="str">
        <f ca="1">IFERROR(__xludf.DUMMYFUNCTION("GOOGLETRANSLATE(B740,""en"",""ja"")"),"避ける")</f>
        <v>避ける</v>
      </c>
    </row>
    <row r="741" spans="1:3" ht="18" customHeight="1" x14ac:dyDescent="0.3">
      <c r="A741" s="1">
        <v>32</v>
      </c>
      <c r="B741" s="1" t="s">
        <v>638</v>
      </c>
      <c r="C741" s="1" t="str">
        <f ca="1">IFERROR(__xludf.DUMMYFUNCTION("GOOGLETRANSLATE(B741,""en"",""ja"")"),"砒素")</f>
        <v>砒素</v>
      </c>
    </row>
    <row r="742" spans="1:3" ht="18" customHeight="1" x14ac:dyDescent="0.3">
      <c r="A742" s="1">
        <v>32</v>
      </c>
      <c r="B742" s="1" t="s">
        <v>639</v>
      </c>
      <c r="C742" s="1" t="str">
        <f ca="1">IFERROR(__xludf.DUMMYFUNCTION("GOOGLETRANSLATE(B742,""en"",""ja"")"),"獲得しました")</f>
        <v>獲得しました</v>
      </c>
    </row>
    <row r="743" spans="1:3" ht="18" customHeight="1" x14ac:dyDescent="0.3">
      <c r="A743" s="1">
        <v>31</v>
      </c>
      <c r="B743" s="1" t="s">
        <v>640</v>
      </c>
      <c r="C743" s="1" t="str">
        <f ca="1">IFERROR(__xludf.DUMMYFUNCTION("GOOGLETRANSLATE(B743,""en"",""ja"")"),"言葉")</f>
        <v>言葉</v>
      </c>
    </row>
    <row r="744" spans="1:3" ht="18" customHeight="1" x14ac:dyDescent="0.3">
      <c r="A744" s="1">
        <v>31</v>
      </c>
      <c r="B744" s="1" t="s">
        <v>102</v>
      </c>
      <c r="C744" s="1" t="str">
        <f ca="1">IFERROR(__xludf.DUMMYFUNCTION("GOOGLETRANSLATE(B744,""en"",""ja"")"),"アップ")</f>
        <v>アップ</v>
      </c>
    </row>
    <row r="745" spans="1:3" ht="18" customHeight="1" x14ac:dyDescent="0.3">
      <c r="A745" s="1">
        <v>31</v>
      </c>
      <c r="B745" s="1" t="s">
        <v>641</v>
      </c>
      <c r="C745" s="1" t="str">
        <f ca="1">IFERROR(__xludf.DUMMYFUNCTION("GOOGLETRANSLATE(B745,""en"",""ja"")"),"トラベル")</f>
        <v>トラベル</v>
      </c>
    </row>
    <row r="746" spans="1:3" ht="18" customHeight="1" x14ac:dyDescent="0.3">
      <c r="A746" s="1">
        <v>31</v>
      </c>
      <c r="B746" s="1" t="s">
        <v>642</v>
      </c>
      <c r="C746" s="1" t="str">
        <f ca="1">IFERROR(__xludf.DUMMYFUNCTION("GOOGLETRANSLATE(B746,""en"",""ja"")"),"特徴")</f>
        <v>特徴</v>
      </c>
    </row>
    <row r="747" spans="1:3" ht="18" customHeight="1" x14ac:dyDescent="0.3">
      <c r="A747" s="1">
        <v>31</v>
      </c>
      <c r="B747" s="1" t="s">
        <v>603</v>
      </c>
      <c r="C747" s="1" t="str">
        <f ca="1">IFERROR(__xludf.DUMMYFUNCTION("GOOGLETRANSLATE(B747,""en"",""ja"")"),"今日")</f>
        <v>今日</v>
      </c>
    </row>
    <row r="748" spans="1:3" ht="18" customHeight="1" x14ac:dyDescent="0.3">
      <c r="A748" s="1">
        <v>31</v>
      </c>
      <c r="B748" s="1" t="s">
        <v>187</v>
      </c>
      <c r="C748" s="1" t="str">
        <f ca="1">IFERROR(__xludf.DUMMYFUNCTION("GOOGLETRANSLATE(B748,""en"",""ja"")"),"考えます")</f>
        <v>考えます</v>
      </c>
    </row>
    <row r="749" spans="1:3" ht="18" customHeight="1" x14ac:dyDescent="0.3">
      <c r="A749" s="1">
        <v>31</v>
      </c>
      <c r="B749" s="1" t="s">
        <v>291</v>
      </c>
      <c r="C749" s="1" t="str">
        <f ca="1">IFERROR(__xludf.DUMMYFUNCTION("GOOGLETRANSLATE(B749,""en"",""ja"")"),"自分自身")</f>
        <v>自分自身</v>
      </c>
    </row>
    <row r="750" spans="1:3" ht="18" customHeight="1" x14ac:dyDescent="0.3">
      <c r="A750" s="1">
        <v>31</v>
      </c>
      <c r="B750" s="1" t="s">
        <v>643</v>
      </c>
      <c r="C750" s="1" t="str">
        <f ca="1">IFERROR(__xludf.DUMMYFUNCTION("GOOGLETRANSLATE(B750,""en"",""ja"")"),"仕事")</f>
        <v>仕事</v>
      </c>
    </row>
    <row r="751" spans="1:3" ht="18" customHeight="1" x14ac:dyDescent="0.3">
      <c r="A751" s="1">
        <v>31</v>
      </c>
      <c r="B751" s="1" t="s">
        <v>644</v>
      </c>
      <c r="C751" s="1" t="str">
        <f ca="1">IFERROR(__xludf.DUMMYFUNCTION("GOOGLETRANSLATE(B751,""en"",""ja"")"),"明確な")</f>
        <v>明確な</v>
      </c>
    </row>
    <row r="752" spans="1:3" ht="18" customHeight="1" x14ac:dyDescent="0.3">
      <c r="A752" s="1">
        <v>31</v>
      </c>
      <c r="B752" s="1" t="s">
        <v>645</v>
      </c>
      <c r="C752" s="1" t="str">
        <f ca="1">IFERROR(__xludf.DUMMYFUNCTION("GOOGLETRANSLATE(B752,""en"",""ja"")"),"状況")</f>
        <v>状況</v>
      </c>
    </row>
    <row r="753" spans="1:3" ht="18" customHeight="1" x14ac:dyDescent="0.3">
      <c r="A753" s="1">
        <v>31</v>
      </c>
      <c r="B753" s="1" t="s">
        <v>646</v>
      </c>
      <c r="C753" s="1" t="str">
        <f ca="1">IFERROR(__xludf.DUMMYFUNCTION("GOOGLETRANSLATE(B753,""en"",""ja"")"),"急速")</f>
        <v>急速</v>
      </c>
    </row>
    <row r="754" spans="1:3" ht="18" customHeight="1" x14ac:dyDescent="0.3">
      <c r="A754" s="1">
        <v>31</v>
      </c>
      <c r="B754" s="1" t="s">
        <v>164</v>
      </c>
      <c r="C754" s="1" t="str">
        <f ca="1">IFERROR(__xludf.DUMMYFUNCTION("GOOGLETRANSLATE(B754,""en"",""ja"")"),"パワー")</f>
        <v>パワー</v>
      </c>
    </row>
    <row r="755" spans="1:3" ht="18" customHeight="1" x14ac:dyDescent="0.3">
      <c r="A755" s="1">
        <v>31</v>
      </c>
      <c r="B755" s="1" t="s">
        <v>148</v>
      </c>
      <c r="C755" s="1" t="str">
        <f ca="1">IFERROR(__xludf.DUMMYFUNCTION("GOOGLETRANSLATE(B755,""en"",""ja"")"),"人口")</f>
        <v>人口</v>
      </c>
    </row>
    <row r="756" spans="1:3" ht="18" customHeight="1" x14ac:dyDescent="0.3">
      <c r="A756" s="1">
        <v>31</v>
      </c>
      <c r="B756" s="1" t="s">
        <v>647</v>
      </c>
      <c r="C756" s="1" t="str">
        <f ca="1">IFERROR(__xludf.DUMMYFUNCTION("GOOGLETRANSLATE(B756,""en"",""ja"")"),"パシフィック")</f>
        <v>パシフィック</v>
      </c>
    </row>
    <row r="757" spans="1:3" ht="18" customHeight="1" x14ac:dyDescent="0.3">
      <c r="A757" s="1">
        <v>31</v>
      </c>
      <c r="B757" s="1" t="s">
        <v>648</v>
      </c>
      <c r="C757" s="1" t="str">
        <f ca="1">IFERROR(__xludf.DUMMYFUNCTION("GOOGLETRANSLATE(B757,""en"",""ja"")"),"移動")</f>
        <v>移動</v>
      </c>
    </row>
    <row r="758" spans="1:3" ht="18" customHeight="1" x14ac:dyDescent="0.3">
      <c r="A758" s="1">
        <v>31</v>
      </c>
      <c r="B758" s="1" t="s">
        <v>649</v>
      </c>
      <c r="C758" s="1" t="str">
        <f ca="1">IFERROR(__xludf.DUMMYFUNCTION("GOOGLETRANSLATE(B758,""en"",""ja"")"),"私に")</f>
        <v>私に</v>
      </c>
    </row>
    <row r="759" spans="1:3" ht="18" customHeight="1" x14ac:dyDescent="0.3">
      <c r="A759" s="1">
        <v>31</v>
      </c>
      <c r="B759" s="1" t="s">
        <v>395</v>
      </c>
      <c r="C759" s="1" t="str">
        <f ca="1">IFERROR(__xludf.DUMMYFUNCTION("GOOGLETRANSLATE(B759,""en"",""ja"")"),"ランドマーク")</f>
        <v>ランドマーク</v>
      </c>
    </row>
    <row r="760" spans="1:3" ht="18" customHeight="1" x14ac:dyDescent="0.3">
      <c r="A760" s="1">
        <v>31</v>
      </c>
      <c r="B760" s="1" t="s">
        <v>650</v>
      </c>
      <c r="C760" s="1" t="str">
        <f ca="1">IFERROR(__xludf.DUMMYFUNCTION("GOOGLETRANSLATE(B760,""en"",""ja"")"),"知っていました")</f>
        <v>知っていました</v>
      </c>
    </row>
    <row r="761" spans="1:3" ht="18" customHeight="1" x14ac:dyDescent="0.3">
      <c r="A761" s="1">
        <v>31</v>
      </c>
      <c r="B761" s="1" t="s">
        <v>260</v>
      </c>
      <c r="C761" s="1" t="str">
        <f ca="1">IFERROR(__xludf.DUMMYFUNCTION("GOOGLETRANSLATE(B761,""en"",""ja"")"),"歴史")</f>
        <v>歴史</v>
      </c>
    </row>
    <row r="762" spans="1:3" ht="18" customHeight="1" x14ac:dyDescent="0.3">
      <c r="A762" s="1">
        <v>31</v>
      </c>
      <c r="B762" s="1" t="s">
        <v>651</v>
      </c>
      <c r="C762" s="1" t="str">
        <f ca="1">IFERROR(__xludf.DUMMYFUNCTION("GOOGLETRANSLATE(B762,""en"",""ja"")"),"熱")</f>
        <v>熱</v>
      </c>
    </row>
    <row r="763" spans="1:3" ht="18" customHeight="1" x14ac:dyDescent="0.3">
      <c r="A763" s="1">
        <v>31</v>
      </c>
      <c r="B763" s="1" t="s">
        <v>652</v>
      </c>
      <c r="C763" s="1" t="str">
        <f ca="1">IFERROR(__xludf.DUMMYFUNCTION("GOOGLETRANSLATE(B763,""en"",""ja"")"),"実験")</f>
        <v>実験</v>
      </c>
    </row>
    <row r="764" spans="1:3" ht="18" customHeight="1" x14ac:dyDescent="0.3">
      <c r="A764" s="1">
        <v>31</v>
      </c>
      <c r="B764" s="1" t="s">
        <v>653</v>
      </c>
      <c r="C764" s="1" t="str">
        <f ca="1">IFERROR(__xludf.DUMMYFUNCTION("GOOGLETRANSLATE(B764,""en"",""ja"")"),"感情")</f>
        <v>感情</v>
      </c>
    </row>
    <row r="765" spans="1:3" ht="18" customHeight="1" x14ac:dyDescent="0.3">
      <c r="A765" s="1">
        <v>31</v>
      </c>
      <c r="B765" s="1" t="s">
        <v>654</v>
      </c>
      <c r="C765" s="1" t="str">
        <f ca="1">IFERROR(__xludf.DUMMYFUNCTION("GOOGLETRANSLATE(B765,""en"",""ja"")"),"原因")</f>
        <v>原因</v>
      </c>
    </row>
    <row r="766" spans="1:3" ht="18" customHeight="1" x14ac:dyDescent="0.3">
      <c r="A766" s="1">
        <v>31</v>
      </c>
      <c r="B766" s="1" t="s">
        <v>655</v>
      </c>
      <c r="C766" s="1" t="str">
        <f ca="1">IFERROR(__xludf.DUMMYFUNCTION("GOOGLETRANSLATE(B766,""en"",""ja"")"),"コール")</f>
        <v>コール</v>
      </c>
    </row>
    <row r="767" spans="1:3" ht="18" customHeight="1" x14ac:dyDescent="0.3">
      <c r="A767" s="1">
        <v>31</v>
      </c>
      <c r="B767" s="1" t="s">
        <v>499</v>
      </c>
      <c r="C767" s="1" t="str">
        <f ca="1">IFERROR(__xludf.DUMMYFUNCTION("GOOGLETRANSLATE(B767,""en"",""ja"")"),"脳")</f>
        <v>脳</v>
      </c>
    </row>
    <row r="768" spans="1:3" ht="18" customHeight="1" x14ac:dyDescent="0.3">
      <c r="A768" s="1">
        <v>31</v>
      </c>
      <c r="B768" s="1" t="s">
        <v>656</v>
      </c>
      <c r="C768" s="1" t="str">
        <f ca="1">IFERROR(__xludf.DUMMYFUNCTION("GOOGLETRANSLATE(B768,""en"",""ja"")"),"範囲")</f>
        <v>範囲</v>
      </c>
    </row>
    <row r="769" spans="1:3" ht="18" customHeight="1" x14ac:dyDescent="0.3">
      <c r="A769" s="1">
        <v>31</v>
      </c>
      <c r="B769" s="1" t="s">
        <v>657</v>
      </c>
      <c r="C769" s="1" t="str">
        <f ca="1">IFERROR(__xludf.DUMMYFUNCTION("GOOGLETRANSLATE(B769,""en"",""ja"")"),"農業")</f>
        <v>農業</v>
      </c>
    </row>
    <row r="770" spans="1:3" ht="18" customHeight="1" x14ac:dyDescent="0.3">
      <c r="A770" s="1">
        <v>31</v>
      </c>
      <c r="B770" s="1" t="s">
        <v>658</v>
      </c>
      <c r="C770" s="1" t="str">
        <f ca="1">IFERROR(__xludf.DUMMYFUNCTION("GOOGLETRANSLATE(B770,""en"",""ja"")"),"実際")</f>
        <v>実際</v>
      </c>
    </row>
    <row r="771" spans="1:3" ht="18" customHeight="1" x14ac:dyDescent="0.3">
      <c r="A771" s="1">
        <v>30</v>
      </c>
      <c r="B771" s="1" t="s">
        <v>659</v>
      </c>
      <c r="C771" s="1" t="str">
        <f ca="1">IFERROR(__xludf.DUMMYFUNCTION("GOOGLETRANSLATE(B771,""en"",""ja"")"),"ワーキング")</f>
        <v>ワーキング</v>
      </c>
    </row>
    <row r="772" spans="1:3" ht="18" customHeight="1" x14ac:dyDescent="0.3">
      <c r="A772" s="1">
        <v>30</v>
      </c>
      <c r="B772" s="1" t="s">
        <v>23</v>
      </c>
      <c r="C772" s="1" t="str">
        <f ca="1">IFERROR(__xludf.DUMMYFUNCTION("GOOGLETRANSLATE(B772,""en"",""ja"")"),"これ")</f>
        <v>これ</v>
      </c>
    </row>
    <row r="773" spans="1:3" ht="18" customHeight="1" x14ac:dyDescent="0.3">
      <c r="A773" s="1">
        <v>30</v>
      </c>
      <c r="B773" s="1" t="s">
        <v>660</v>
      </c>
      <c r="C773" s="1" t="str">
        <f ca="1">IFERROR(__xludf.DUMMYFUNCTION("GOOGLETRANSLATE(B773,""en"",""ja"")"),"ツール")</f>
        <v>ツール</v>
      </c>
    </row>
    <row r="774" spans="1:3" ht="18" customHeight="1" x14ac:dyDescent="0.3">
      <c r="A774" s="1">
        <v>30</v>
      </c>
      <c r="B774" s="1" t="s">
        <v>661</v>
      </c>
      <c r="C774" s="1" t="str">
        <f ca="1">IFERROR(__xludf.DUMMYFUNCTION("GOOGLETRANSLATE(B774,""en"",""ja"")"),"とり")</f>
        <v>とり</v>
      </c>
    </row>
    <row r="775" spans="1:3" ht="18" customHeight="1" x14ac:dyDescent="0.3">
      <c r="A775" s="1">
        <v>30</v>
      </c>
      <c r="B775" s="1" t="s">
        <v>662</v>
      </c>
      <c r="C775" s="1" t="str">
        <f ca="1">IFERROR(__xludf.DUMMYFUNCTION("GOOGLETRANSLATE(B775,""en"",""ja"")"),"苦しみ")</f>
        <v>苦しみ</v>
      </c>
    </row>
    <row r="776" spans="1:3" ht="18" customHeight="1" x14ac:dyDescent="0.3">
      <c r="A776" s="1">
        <v>30</v>
      </c>
      <c r="B776" s="1" t="s">
        <v>663</v>
      </c>
      <c r="C776" s="1" t="str">
        <f ca="1">IFERROR(__xludf.DUMMYFUNCTION("GOOGLETRANSLATE(B776,""en"",""ja"")"),"闘い")</f>
        <v>闘い</v>
      </c>
    </row>
    <row r="777" spans="1:3" ht="18" customHeight="1" x14ac:dyDescent="0.3">
      <c r="A777" s="1">
        <v>30</v>
      </c>
      <c r="B777" s="1" t="s">
        <v>664</v>
      </c>
      <c r="C777" s="1" t="str">
        <f ca="1">IFERROR(__xludf.DUMMYFUNCTION("GOOGLETRANSLATE(B777,""en"",""ja"")"),"力")</f>
        <v>力</v>
      </c>
    </row>
    <row r="778" spans="1:3" ht="18" customHeight="1" x14ac:dyDescent="0.3">
      <c r="A778" s="1">
        <v>30</v>
      </c>
      <c r="B778" s="1" t="s">
        <v>665</v>
      </c>
      <c r="C778" s="1" t="str">
        <f ca="1">IFERROR(__xludf.DUMMYFUNCTION("GOOGLETRANSLATE(B778,""en"",""ja"")"),"危険")</f>
        <v>危険</v>
      </c>
    </row>
    <row r="779" spans="1:3" ht="18" customHeight="1" x14ac:dyDescent="0.3">
      <c r="A779" s="1">
        <v>30</v>
      </c>
      <c r="B779" s="1" t="s">
        <v>666</v>
      </c>
      <c r="C779" s="1" t="str">
        <f ca="1">IFERROR(__xludf.DUMMYFUNCTION("GOOGLETRANSLATE(B779,""en"",""ja"")"),"遺体")</f>
        <v>遺体</v>
      </c>
    </row>
    <row r="780" spans="1:3" ht="18" customHeight="1" x14ac:dyDescent="0.3">
      <c r="A780" s="1">
        <v>30</v>
      </c>
      <c r="B780" s="1" t="s">
        <v>667</v>
      </c>
      <c r="C780" s="1" t="str">
        <f ca="1">IFERROR(__xludf.DUMMYFUNCTION("GOOGLETRANSLATE(B780,""en"",""ja"")"),"認めます")</f>
        <v>認めます</v>
      </c>
    </row>
    <row r="781" spans="1:3" ht="18" customHeight="1" x14ac:dyDescent="0.3">
      <c r="A781" s="1">
        <v>30</v>
      </c>
      <c r="B781" s="1" t="s">
        <v>668</v>
      </c>
      <c r="C781" s="1" t="str">
        <f ca="1">IFERROR(__xludf.DUMMYFUNCTION("GOOGLETRANSLATE(B781,""en"",""ja"")"),"製造")</f>
        <v>製造</v>
      </c>
    </row>
    <row r="782" spans="1:3" ht="18" customHeight="1" x14ac:dyDescent="0.3">
      <c r="A782" s="1">
        <v>30</v>
      </c>
      <c r="B782" s="1" t="s">
        <v>196</v>
      </c>
      <c r="C782" s="1" t="str">
        <f ca="1">IFERROR(__xludf.DUMMYFUNCTION("GOOGLETRANSLATE(B782,""en"",""ja"")"),"処理する")</f>
        <v>処理する</v>
      </c>
    </row>
    <row r="783" spans="1:3" ht="18" customHeight="1" x14ac:dyDescent="0.3">
      <c r="A783" s="1">
        <v>30</v>
      </c>
      <c r="B783" s="1" t="s">
        <v>669</v>
      </c>
      <c r="C783" s="1" t="str">
        <f ca="1">IFERROR(__xludf.DUMMYFUNCTION("GOOGLETRANSLATE(B783,""en"",""ja"")"),"お金")</f>
        <v>お金</v>
      </c>
    </row>
    <row r="784" spans="1:3" ht="18" customHeight="1" x14ac:dyDescent="0.3">
      <c r="A784" s="1">
        <v>30</v>
      </c>
      <c r="B784" s="1" t="s">
        <v>670</v>
      </c>
      <c r="C784" s="1" t="str">
        <f ca="1">IFERROR(__xludf.DUMMYFUNCTION("GOOGLETRANSLATE(B784,""en"",""ja"")"),"意味")</f>
        <v>意味</v>
      </c>
    </row>
    <row r="785" spans="1:3" ht="18" customHeight="1" x14ac:dyDescent="0.3">
      <c r="A785" s="1">
        <v>30</v>
      </c>
      <c r="B785" s="1" t="s">
        <v>671</v>
      </c>
      <c r="C785" s="1" t="str">
        <f ca="1">IFERROR(__xludf.DUMMYFUNCTION("GOOGLETRANSLATE(B785,""en"",""ja"")"),"キング")</f>
        <v>キング</v>
      </c>
    </row>
    <row r="786" spans="1:3" ht="18" customHeight="1" x14ac:dyDescent="0.3">
      <c r="A786" s="1">
        <v>30</v>
      </c>
      <c r="B786" s="1" t="s">
        <v>672</v>
      </c>
      <c r="C786" s="1" t="str">
        <f ca="1">IFERROR(__xludf.DUMMYFUNCTION("GOOGLETRANSLATE(B786,""en"",""ja"")"),"考え")</f>
        <v>考え</v>
      </c>
    </row>
    <row r="787" spans="1:3" ht="18" customHeight="1" x14ac:dyDescent="0.3">
      <c r="A787" s="1">
        <v>30</v>
      </c>
      <c r="B787" s="1" t="s">
        <v>673</v>
      </c>
      <c r="C787" s="1" t="str">
        <f ca="1">IFERROR(__xludf.DUMMYFUNCTION("GOOGLETRANSLATE(B787,""en"",""ja"")"),"起こります")</f>
        <v>起こります</v>
      </c>
    </row>
    <row r="788" spans="1:3" ht="18" customHeight="1" x14ac:dyDescent="0.3">
      <c r="A788" s="1">
        <v>30</v>
      </c>
      <c r="B788" s="1" t="s">
        <v>674</v>
      </c>
      <c r="C788" s="1" t="str">
        <f ca="1">IFERROR(__xludf.DUMMYFUNCTION("GOOGLETRANSLATE(B788,""en"",""ja"")"),"行き")</f>
        <v>行き</v>
      </c>
    </row>
    <row r="789" spans="1:3" ht="18" customHeight="1" x14ac:dyDescent="0.3">
      <c r="A789" s="1">
        <v>30</v>
      </c>
      <c r="B789" s="1" t="s">
        <v>675</v>
      </c>
      <c r="C789" s="1" t="str">
        <f ca="1">IFERROR(__xludf.DUMMYFUNCTION("GOOGLETRANSLATE(B789,""en"",""ja"")"),"行きます")</f>
        <v>行きます</v>
      </c>
    </row>
    <row r="790" spans="1:3" ht="18" customHeight="1" x14ac:dyDescent="0.3">
      <c r="A790" s="1">
        <v>30</v>
      </c>
      <c r="B790" s="1" t="s">
        <v>677</v>
      </c>
      <c r="C790" s="1" t="str">
        <f ca="1">IFERROR(__xludf.DUMMYFUNCTION("GOOGLETRANSLATE(B792,""en"",""ja"")"),"従います")</f>
        <v>従います</v>
      </c>
    </row>
    <row r="791" spans="1:3" ht="18" customHeight="1" x14ac:dyDescent="0.3">
      <c r="A791" s="1">
        <v>30</v>
      </c>
      <c r="B791" s="1" t="s">
        <v>470</v>
      </c>
      <c r="C791" s="1" t="str">
        <f ca="1">IFERROR(__xludf.DUMMYFUNCTION("GOOGLETRANSLATE(B793,""en"",""ja"")"),"面")</f>
        <v>面</v>
      </c>
    </row>
    <row r="792" spans="1:3" ht="18" customHeight="1" x14ac:dyDescent="0.3">
      <c r="A792" s="1">
        <v>30</v>
      </c>
      <c r="B792" s="1" t="s">
        <v>678</v>
      </c>
      <c r="C792" s="1" t="str">
        <f ca="1">IFERROR(__xludf.DUMMYFUNCTION("GOOGLETRANSLATE(B794,""en"",""ja"")"),"欧州の")</f>
        <v>欧州の</v>
      </c>
    </row>
    <row r="793" spans="1:3" ht="18" customHeight="1" x14ac:dyDescent="0.3">
      <c r="A793" s="1">
        <v>30</v>
      </c>
      <c r="B793" s="1" t="s">
        <v>679</v>
      </c>
      <c r="C793" s="1" t="str">
        <f ca="1">IFERROR(__xludf.DUMMYFUNCTION("GOOGLETRANSLATE(B795,""en"",""ja"")"),"エラー")</f>
        <v>エラー</v>
      </c>
    </row>
    <row r="794" spans="1:3" ht="18" customHeight="1" x14ac:dyDescent="0.3">
      <c r="A794" s="1">
        <v>30</v>
      </c>
      <c r="B794" s="1" t="s">
        <v>680</v>
      </c>
      <c r="C794" s="1" t="str">
        <f ca="1">IFERROR(__xludf.DUMMYFUNCTION("GOOGLETRANSLATE(B796,""en"",""ja"")"),"デバイス")</f>
        <v>デバイス</v>
      </c>
    </row>
    <row r="795" spans="1:3" ht="18" customHeight="1" x14ac:dyDescent="0.3">
      <c r="A795" s="1">
        <v>30</v>
      </c>
      <c r="B795" s="1" t="s">
        <v>681</v>
      </c>
      <c r="C795" s="1" t="str">
        <f ca="1">IFERROR(__xludf.DUMMYFUNCTION("GOOGLETRANSLATE(B797,""en"",""ja"")"),"認知")</f>
        <v>認知</v>
      </c>
    </row>
    <row r="796" spans="1:3" ht="18" customHeight="1" x14ac:dyDescent="0.3">
      <c r="A796" s="1">
        <v>30</v>
      </c>
      <c r="B796" s="1" t="s">
        <v>682</v>
      </c>
      <c r="C796" s="1" t="str">
        <f ca="1">IFERROR(__xludf.DUMMYFUNCTION("GOOGLETRANSLATE(B798,""en"",""ja"")"),"はっきり")</f>
        <v>はっきり</v>
      </c>
    </row>
    <row r="797" spans="1:3" ht="18" customHeight="1" x14ac:dyDescent="0.3">
      <c r="A797" s="1">
        <v>30</v>
      </c>
      <c r="B797" s="1" t="s">
        <v>683</v>
      </c>
      <c r="C797" s="1" t="str">
        <f ca="1">IFERROR(__xludf.DUMMYFUNCTION("GOOGLETRANSLATE(B799,""en"",""ja"")"),"ケミカル")</f>
        <v>ケミカル</v>
      </c>
    </row>
    <row r="798" spans="1:3" ht="18" customHeight="1" x14ac:dyDescent="0.3">
      <c r="A798" s="1">
        <v>30</v>
      </c>
      <c r="B798" s="1" t="s">
        <v>684</v>
      </c>
      <c r="C798" s="1" t="str">
        <f ca="1">IFERROR(__xludf.DUMMYFUNCTION("GOOGLETRANSLATE(B800,""en"",""ja"")"),"利点")</f>
        <v>利点</v>
      </c>
    </row>
    <row r="799" spans="1:3" ht="18" customHeight="1" x14ac:dyDescent="0.3">
      <c r="A799" s="1">
        <v>30</v>
      </c>
      <c r="B799" s="1" t="s">
        <v>685</v>
      </c>
      <c r="C799" s="1" t="str">
        <f ca="1">IFERROR(__xludf.DUMMYFUNCTION("GOOGLETRANSLATE(B801,""en"",""ja"")"),"基礎")</f>
        <v>基礎</v>
      </c>
    </row>
    <row r="800" spans="1:3" ht="18" customHeight="1" x14ac:dyDescent="0.3">
      <c r="A800" s="1">
        <v>30</v>
      </c>
      <c r="B800" s="1" t="s">
        <v>686</v>
      </c>
      <c r="C800" s="1" t="str">
        <f ca="1">IFERROR(__xludf.DUMMYFUNCTION("GOOGLETRANSLATE(B802,""en"",""ja"")"),"権限")</f>
        <v>権限</v>
      </c>
    </row>
    <row r="801" spans="1:3" ht="18" customHeight="1" x14ac:dyDescent="0.3">
      <c r="A801" s="1">
        <v>30</v>
      </c>
      <c r="B801" s="1" t="s">
        <v>687</v>
      </c>
      <c r="C801" s="1" t="str">
        <f ca="1">IFERROR(__xludf.DUMMYFUNCTION("GOOGLETRANSLATE(B803,""en"",""ja"")"),"大気の")</f>
        <v>大気の</v>
      </c>
    </row>
    <row r="802" spans="1:3" ht="18" customHeight="1" x14ac:dyDescent="0.3">
      <c r="A802" s="1">
        <v>30</v>
      </c>
      <c r="B802" s="1" t="s">
        <v>688</v>
      </c>
      <c r="C802" s="1" t="str">
        <f ca="1">IFERROR(__xludf.DUMMYFUNCTION("GOOGLETRANSLATE(B804,""en"",""ja"")"),"回答")</f>
        <v>回答</v>
      </c>
    </row>
    <row r="803" spans="1:3" ht="18" customHeight="1" x14ac:dyDescent="0.3">
      <c r="A803" s="1">
        <v>30</v>
      </c>
      <c r="B803" s="1" t="s">
        <v>689</v>
      </c>
      <c r="C803" s="1" t="str">
        <f ca="1">IFERROR(__xludf.DUMMYFUNCTION("GOOGLETRANSLATE(B805,""en"",""ja"")"),"許します")</f>
        <v>許します</v>
      </c>
    </row>
    <row r="804" spans="1:3" ht="18" customHeight="1" x14ac:dyDescent="0.3">
      <c r="A804" s="1">
        <v>30</v>
      </c>
      <c r="B804" s="1" t="s">
        <v>690</v>
      </c>
      <c r="C804" s="1" t="str">
        <f ca="1">IFERROR(__xludf.DUMMYFUNCTION("GOOGLETRANSLATE(B806,""en"",""ja"")"),"一致します")</f>
        <v>一致します</v>
      </c>
    </row>
    <row r="805" spans="1:3" ht="18" customHeight="1" x14ac:dyDescent="0.3">
      <c r="A805" s="1">
        <v>30</v>
      </c>
      <c r="B805" s="1" t="s">
        <v>691</v>
      </c>
      <c r="C805" s="1" t="str">
        <f ca="1">IFERROR(__xludf.DUMMYFUNCTION("GOOGLETRANSLATE(B807,""en"",""ja"")"),"アカウント")</f>
        <v>アカウント</v>
      </c>
    </row>
    <row r="806" spans="1:3" ht="18" customHeight="1" x14ac:dyDescent="0.3">
      <c r="A806" s="1">
        <v>29</v>
      </c>
      <c r="B806" s="1" t="s">
        <v>692</v>
      </c>
      <c r="C806" s="1" t="str">
        <f ca="1">IFERROR(__xludf.DUMMYFUNCTION("GOOGLETRANSLATE(B808,""en"",""ja"")"),"トロピカル")</f>
        <v>トロピカル</v>
      </c>
    </row>
    <row r="807" spans="1:3" ht="18" customHeight="1" x14ac:dyDescent="0.3">
      <c r="A807" s="1">
        <v>29</v>
      </c>
      <c r="B807" s="1" t="s">
        <v>693</v>
      </c>
      <c r="C807" s="1" t="str">
        <f ca="1">IFERROR(__xludf.DUMMYFUNCTION("GOOGLETRANSLATE(B809,""en"",""ja"")"),"示唆")</f>
        <v>示唆</v>
      </c>
    </row>
    <row r="808" spans="1:3" ht="18" customHeight="1" x14ac:dyDescent="0.3">
      <c r="A808" s="1">
        <v>29</v>
      </c>
      <c r="B808" s="1" t="s">
        <v>694</v>
      </c>
      <c r="C808" s="1" t="str">
        <f ca="1">IFERROR(__xludf.DUMMYFUNCTION("GOOGLETRANSLATE(B810,""en"",""ja"")"),"成功")</f>
        <v>成功</v>
      </c>
    </row>
    <row r="809" spans="1:3" ht="18" customHeight="1" x14ac:dyDescent="0.3">
      <c r="A809" s="1">
        <v>29</v>
      </c>
      <c r="B809" s="1" t="s">
        <v>695</v>
      </c>
      <c r="C809" s="1" t="str">
        <f ca="1">IFERROR(__xludf.DUMMYFUNCTION("GOOGLETRANSLATE(B811,""en"",""ja"")"),"六")</f>
        <v>六</v>
      </c>
    </row>
    <row r="810" spans="1:3" ht="18" customHeight="1" x14ac:dyDescent="0.3">
      <c r="A810" s="1">
        <v>29</v>
      </c>
      <c r="B810" s="1" t="s">
        <v>696</v>
      </c>
      <c r="C810" s="1" t="str">
        <f ca="1">IFERROR(__xludf.DUMMYFUNCTION("GOOGLETRANSLATE(B812,""en"",""ja"")"),"深刻")</f>
        <v>深刻</v>
      </c>
    </row>
    <row r="811" spans="1:3" ht="18" customHeight="1" x14ac:dyDescent="0.3">
      <c r="A811" s="1">
        <v>29</v>
      </c>
      <c r="B811" s="1" t="s">
        <v>697</v>
      </c>
      <c r="C811" s="1" t="str">
        <f ca="1">IFERROR(__xludf.DUMMYFUNCTION("GOOGLETRANSLATE(B813,""en"",""ja"")"),"ルーム")</f>
        <v>ルーム</v>
      </c>
    </row>
    <row r="812" spans="1:3" ht="18" customHeight="1" x14ac:dyDescent="0.3">
      <c r="A812" s="1">
        <v>29</v>
      </c>
      <c r="B812" s="1" t="s">
        <v>698</v>
      </c>
      <c r="C812" s="1" t="str">
        <f ca="1">IFERROR(__xludf.DUMMYFUNCTION("GOOGLETRANSLATE(B814,""en"",""ja"")"),"準備ができて")</f>
        <v>準備ができて</v>
      </c>
    </row>
    <row r="813" spans="1:3" ht="18" customHeight="1" x14ac:dyDescent="0.3">
      <c r="A813" s="1">
        <v>29</v>
      </c>
      <c r="B813" s="1" t="s">
        <v>699</v>
      </c>
      <c r="C813" s="1" t="str">
        <f ca="1">IFERROR(__xludf.DUMMYFUNCTION("GOOGLETRANSLATE(B815,""en"",""ja"")"),"生産")</f>
        <v>生産</v>
      </c>
    </row>
    <row r="814" spans="1:3" ht="18" customHeight="1" x14ac:dyDescent="0.3">
      <c r="A814" s="1">
        <v>29</v>
      </c>
      <c r="B814" s="1" t="s">
        <v>700</v>
      </c>
      <c r="C814" s="1" t="str">
        <f ca="1">IFERROR(__xludf.DUMMYFUNCTION("GOOGLETRANSLATE(B816,""en"",""ja"")"),"作物")</f>
        <v>作物</v>
      </c>
    </row>
    <row r="815" spans="1:3" ht="18" customHeight="1" x14ac:dyDescent="0.3">
      <c r="A815" s="1">
        <v>29</v>
      </c>
      <c r="B815" s="1" t="s">
        <v>701</v>
      </c>
      <c r="C815" s="1" t="str">
        <f ca="1">IFERROR(__xludf.DUMMYFUNCTION("GOOGLETRANSLATE(B817,""en"",""ja"")"),"限目")</f>
        <v>限目</v>
      </c>
    </row>
    <row r="816" spans="1:3" ht="18" customHeight="1" x14ac:dyDescent="0.3">
      <c r="A816" s="1">
        <v>29</v>
      </c>
      <c r="B816" s="1" t="s">
        <v>647</v>
      </c>
      <c r="C816" s="1" t="str">
        <f ca="1">IFERROR(__xludf.DUMMYFUNCTION("GOOGLETRANSLATE(B818,""en"",""ja"")"),"パシフィック")</f>
        <v>パシフィック</v>
      </c>
    </row>
    <row r="817" spans="1:3" ht="18" customHeight="1" x14ac:dyDescent="0.3">
      <c r="A817" s="1">
        <v>29</v>
      </c>
      <c r="B817" s="1" t="s">
        <v>702</v>
      </c>
      <c r="C817" s="1" t="str">
        <f ca="1">IFERROR(__xludf.DUMMYFUNCTION("GOOGLETRANSLATE(B819,""en"",""ja"")"),"提供")</f>
        <v>提供</v>
      </c>
    </row>
    <row r="818" spans="1:3" ht="18" customHeight="1" x14ac:dyDescent="0.3">
      <c r="A818" s="1">
        <v>29</v>
      </c>
      <c r="B818" s="1" t="s">
        <v>419</v>
      </c>
      <c r="C818" s="1" t="str">
        <f ca="1">IFERROR(__xludf.DUMMYFUNCTION("GOOGLETRANSLATE(B820,""en"",""ja"")"),"発生する")</f>
        <v>発生する</v>
      </c>
    </row>
    <row r="819" spans="1:3" ht="18" customHeight="1" x14ac:dyDescent="0.3">
      <c r="A819" s="1">
        <v>29</v>
      </c>
      <c r="B819" s="1" t="s">
        <v>703</v>
      </c>
      <c r="C819" s="1" t="str">
        <f ca="1">IFERROR(__xludf.DUMMYFUNCTION("GOOGLETRANSLATE(B821,""en"",""ja"")"),"国家")</f>
        <v>国家</v>
      </c>
    </row>
    <row r="820" spans="1:3" ht="18" customHeight="1" x14ac:dyDescent="0.3">
      <c r="A820" s="1">
        <v>29</v>
      </c>
      <c r="B820" s="1" t="s">
        <v>704</v>
      </c>
      <c r="C820" s="1" t="str">
        <f ca="1">IFERROR(__xludf.DUMMYFUNCTION("GOOGLETRANSLATE(B822,""en"",""ja"")"),"牧師")</f>
        <v>牧師</v>
      </c>
    </row>
    <row r="821" spans="1:3" ht="18" customHeight="1" x14ac:dyDescent="0.3">
      <c r="A821" s="1">
        <v>29</v>
      </c>
      <c r="B821" s="1" t="s">
        <v>468</v>
      </c>
      <c r="C821" s="1" t="str">
        <f ca="1">IFERROR(__xludf.DUMMYFUNCTION("GOOGLETRANSLATE(B823,""en"",""ja"")"),"平均")</f>
        <v>平均</v>
      </c>
    </row>
    <row r="822" spans="1:3" ht="18" customHeight="1" x14ac:dyDescent="0.3">
      <c r="A822" s="1">
        <v>29</v>
      </c>
      <c r="B822" s="1" t="s">
        <v>705</v>
      </c>
      <c r="C822" s="1" t="str">
        <f ca="1">IFERROR(__xludf.DUMMYFUNCTION("GOOGLETRANSLATE(B824,""en"",""ja"")"),"管理")</f>
        <v>管理</v>
      </c>
    </row>
    <row r="823" spans="1:3" ht="18" customHeight="1" x14ac:dyDescent="0.3">
      <c r="A823" s="1">
        <v>29</v>
      </c>
      <c r="B823" s="1" t="s">
        <v>706</v>
      </c>
      <c r="C823" s="1" t="str">
        <f ca="1">IFERROR(__xludf.DUMMYFUNCTION("GOOGLETRANSLATE(B825,""en"",""ja"")"),"下")</f>
        <v>下</v>
      </c>
    </row>
    <row r="824" spans="1:3" ht="18" customHeight="1" x14ac:dyDescent="0.3">
      <c r="A824" s="1">
        <v>29</v>
      </c>
      <c r="B824" s="1" t="s">
        <v>707</v>
      </c>
      <c r="C824" s="1" t="str">
        <f ca="1">IFERROR(__xludf.DUMMYFUNCTION("GOOGLETRANSLATE(B826,""en"",""ja"")"),"研究室")</f>
        <v>研究室</v>
      </c>
    </row>
    <row r="825" spans="1:3" ht="18" customHeight="1" x14ac:dyDescent="0.3">
      <c r="A825" s="1">
        <v>29</v>
      </c>
      <c r="B825" s="1" t="s">
        <v>708</v>
      </c>
      <c r="C825" s="1" t="str">
        <f ca="1">IFERROR(__xludf.DUMMYFUNCTION("GOOGLETRANSLATE(B827,""en"",""ja"")"),"ラ")</f>
        <v>ラ</v>
      </c>
    </row>
    <row r="826" spans="1:3" ht="18" customHeight="1" x14ac:dyDescent="0.3">
      <c r="A826" s="1">
        <v>29</v>
      </c>
      <c r="B826" s="1" t="s">
        <v>709</v>
      </c>
      <c r="C826" s="1" t="str">
        <f ca="1">IFERROR(__xludf.DUMMYFUNCTION("GOOGLETRANSLATE(B828,""en"",""ja"")"),"相互作用")</f>
        <v>相互作用</v>
      </c>
    </row>
    <row r="827" spans="1:3" ht="18" customHeight="1" x14ac:dyDescent="0.3">
      <c r="A827" s="1">
        <v>29</v>
      </c>
      <c r="B827" s="1" t="s">
        <v>710</v>
      </c>
      <c r="C827" s="1" t="str">
        <f ca="1">IFERROR(__xludf.DUMMYFUNCTION("GOOGLETRANSLATE(B829,""en"",""ja"")"),"生息地")</f>
        <v>生息地</v>
      </c>
    </row>
    <row r="828" spans="1:3" ht="18" customHeight="1" x14ac:dyDescent="0.3">
      <c r="A828" s="1">
        <v>29</v>
      </c>
      <c r="B828" s="1" t="s">
        <v>711</v>
      </c>
      <c r="C828" s="1" t="str">
        <f ca="1">IFERROR(__xludf.DUMMYFUNCTION("GOOGLETRANSLATE(B830,""en"",""ja"")"),"基本的な")</f>
        <v>基本的な</v>
      </c>
    </row>
    <row r="829" spans="1:3" ht="18" customHeight="1" x14ac:dyDescent="0.3">
      <c r="A829" s="1">
        <v>29</v>
      </c>
      <c r="B829" s="1" t="s">
        <v>235</v>
      </c>
      <c r="C829" s="1" t="str">
        <f ca="1">IFERROR(__xludf.DUMMYFUNCTION("GOOGLETRANSLATE(B831,""en"",""ja"")"),"見つけます")</f>
        <v>見つけます</v>
      </c>
    </row>
    <row r="830" spans="1:3" ht="18" customHeight="1" x14ac:dyDescent="0.3">
      <c r="A830" s="1">
        <v>29</v>
      </c>
      <c r="B830" s="1" t="s">
        <v>712</v>
      </c>
      <c r="C830" s="1" t="str">
        <f ca="1">IFERROR(__xludf.DUMMYFUNCTION("GOOGLETRANSLATE(B832,""en"",""ja"")"),"説明します")</f>
        <v>説明します</v>
      </c>
    </row>
    <row r="831" spans="1:3" ht="18" customHeight="1" x14ac:dyDescent="0.3">
      <c r="A831" s="1">
        <v>29</v>
      </c>
      <c r="B831" s="1" t="s">
        <v>713</v>
      </c>
      <c r="C831" s="1" t="str">
        <f ca="1">IFERROR(__xludf.DUMMYFUNCTION("GOOGLETRANSLATE(B833,""en"",""ja"")"),"イージー")</f>
        <v>イージー</v>
      </c>
    </row>
    <row r="832" spans="1:3" ht="18" customHeight="1" x14ac:dyDescent="0.3">
      <c r="A832" s="1">
        <v>29</v>
      </c>
      <c r="B832" s="1" t="s">
        <v>714</v>
      </c>
      <c r="C832" s="1" t="str">
        <f ca="1">IFERROR(__xludf.DUMMYFUNCTION("GOOGLETRANSLATE(B834,""en"",""ja"")"),"設計")</f>
        <v>設計</v>
      </c>
    </row>
    <row r="833" spans="1:3" ht="18" customHeight="1" x14ac:dyDescent="0.3">
      <c r="A833" s="1">
        <v>29</v>
      </c>
      <c r="B833" s="1" t="s">
        <v>715</v>
      </c>
      <c r="C833" s="1" t="str">
        <f ca="1">IFERROR(__xludf.DUMMYFUNCTION("GOOGLETRANSLATE(B835,""en"",""ja"")"),"消費")</f>
        <v>消費</v>
      </c>
    </row>
    <row r="834" spans="1:3" ht="18" customHeight="1" x14ac:dyDescent="0.3">
      <c r="A834" s="1">
        <v>29</v>
      </c>
      <c r="B834" s="1" t="s">
        <v>716</v>
      </c>
      <c r="C834" s="1" t="str">
        <f ca="1">IFERROR(__xludf.DUMMYFUNCTION("GOOGLETRANSLATE(B836,""en"",""ja"")"),"同僚")</f>
        <v>同僚</v>
      </c>
    </row>
    <row r="835" spans="1:3" ht="18" customHeight="1" x14ac:dyDescent="0.3">
      <c r="A835" s="1">
        <v>29</v>
      </c>
      <c r="B835" s="1" t="s">
        <v>717</v>
      </c>
      <c r="C835" s="1" t="str">
        <f ca="1">IFERROR(__xludf.DUMMYFUNCTION("GOOGLETRANSLATE(B837,""en"",""ja"")"),"なってきて")</f>
        <v>なってきて</v>
      </c>
    </row>
    <row r="836" spans="1:3" ht="18" customHeight="1" x14ac:dyDescent="0.3">
      <c r="A836" s="1">
        <v>29</v>
      </c>
      <c r="B836" s="1" t="s">
        <v>718</v>
      </c>
      <c r="C836" s="1" t="str">
        <f ca="1">IFERROR(__xludf.DUMMYFUNCTION("GOOGLETRANSLATE(B838,""en"",""ja"")"),"祖先")</f>
        <v>祖先</v>
      </c>
    </row>
    <row r="837" spans="1:3" ht="18" customHeight="1" x14ac:dyDescent="0.3">
      <c r="A837" s="1">
        <v>29</v>
      </c>
      <c r="B837" s="1" t="s">
        <v>719</v>
      </c>
      <c r="C837" s="1" t="str">
        <f ca="1">IFERROR(__xludf.DUMMYFUNCTION("GOOGLETRANSLATE(B839,""en"",""ja"")"),"許可")</f>
        <v>許可</v>
      </c>
    </row>
    <row r="838" spans="1:3" ht="18" customHeight="1" x14ac:dyDescent="0.3">
      <c r="A838" s="1">
        <v>29</v>
      </c>
      <c r="B838" s="1" t="s">
        <v>720</v>
      </c>
      <c r="C838" s="1" t="str">
        <f ca="1">IFERROR(__xludf.DUMMYFUNCTION("GOOGLETRANSLATE(B840,""en"",""ja"")"),"大人")</f>
        <v>大人</v>
      </c>
    </row>
    <row r="839" spans="1:3" ht="18" customHeight="1" x14ac:dyDescent="0.3">
      <c r="A839" s="1">
        <v>28</v>
      </c>
      <c r="B839" s="1" t="s">
        <v>233</v>
      </c>
      <c r="C839" s="1" t="str">
        <f ca="1">IFERROR(__xludf.DUMMYFUNCTION("GOOGLETRANSLATE(B841,""en"",""ja"")"),"水")</f>
        <v>水</v>
      </c>
    </row>
    <row r="840" spans="1:3" ht="18" customHeight="1" x14ac:dyDescent="0.3">
      <c r="A840" s="1">
        <v>28</v>
      </c>
      <c r="B840" s="1" t="s">
        <v>78</v>
      </c>
      <c r="C840" s="1" t="str">
        <f ca="1">IFERROR(__xludf.DUMMYFUNCTION("GOOGLETRANSLATE(B842,""en"",""ja"")"),"使用する")</f>
        <v>使用する</v>
      </c>
    </row>
    <row r="841" spans="1:3" ht="18" customHeight="1" x14ac:dyDescent="0.3">
      <c r="A841" s="1">
        <v>28</v>
      </c>
      <c r="B841" s="1" t="s">
        <v>208</v>
      </c>
      <c r="C841" s="1" t="str">
        <f ca="1">IFERROR(__xludf.DUMMYFUNCTION("GOOGLETRANSLATE(B843,""en"",""ja"")"),"期間")</f>
        <v>期間</v>
      </c>
    </row>
    <row r="842" spans="1:3" ht="18" customHeight="1" x14ac:dyDescent="0.3">
      <c r="A842" s="1">
        <v>28</v>
      </c>
      <c r="B842" s="1" t="s">
        <v>721</v>
      </c>
      <c r="C842" s="1" t="str">
        <f ca="1">IFERROR(__xludf.DUMMYFUNCTION("GOOGLETRANSLATE(B844,""en"",""ja"")"),"温度")</f>
        <v>温度</v>
      </c>
    </row>
    <row r="843" spans="1:3" ht="18" customHeight="1" x14ac:dyDescent="0.3">
      <c r="A843" s="1">
        <v>28</v>
      </c>
      <c r="B843" s="1" t="s">
        <v>722</v>
      </c>
      <c r="C843" s="1" t="str">
        <f ca="1">IFERROR(__xludf.DUMMYFUNCTION("GOOGLETRANSLATE(B845,""en"",""ja"")"),"テクニカル")</f>
        <v>テクニカル</v>
      </c>
    </row>
    <row r="844" spans="1:3" ht="18" customHeight="1" x14ac:dyDescent="0.3">
      <c r="A844" s="1">
        <v>28</v>
      </c>
      <c r="B844" s="1" t="s">
        <v>723</v>
      </c>
      <c r="C844" s="1" t="str">
        <f ca="1">IFERROR(__xludf.DUMMYFUNCTION("GOOGLETRANSLATE(B846,""en"",""ja"")"),"システム")</f>
        <v>システム</v>
      </c>
    </row>
    <row r="845" spans="1:3" ht="18" customHeight="1" x14ac:dyDescent="0.3">
      <c r="A845" s="1">
        <v>28</v>
      </c>
      <c r="B845" s="1" t="s">
        <v>724</v>
      </c>
      <c r="C845" s="1" t="str">
        <f ca="1">IFERROR(__xludf.DUMMYFUNCTION("GOOGLETRANSLATE(B847,""en"",""ja"")"),"必要とする")</f>
        <v>必要とする</v>
      </c>
    </row>
    <row r="846" spans="1:3" ht="18" customHeight="1" x14ac:dyDescent="0.3">
      <c r="A846" s="1">
        <v>28</v>
      </c>
      <c r="B846" s="1" t="s">
        <v>725</v>
      </c>
      <c r="C846" s="1" t="str">
        <f ca="1">IFERROR(__xludf.DUMMYFUNCTION("GOOGLETRANSLATE(B848,""en"",""ja"")"),"減らします")</f>
        <v>減らします</v>
      </c>
    </row>
    <row r="847" spans="1:3" ht="18" customHeight="1" x14ac:dyDescent="0.3">
      <c r="A847" s="1">
        <v>28</v>
      </c>
      <c r="B847" s="1" t="s">
        <v>726</v>
      </c>
      <c r="C847" s="1" t="str">
        <f ca="1">IFERROR(__xludf.DUMMYFUNCTION("GOOGLETRANSLATE(B849,""en"",""ja"")"),"心理学者")</f>
        <v>心理学者</v>
      </c>
    </row>
    <row r="848" spans="1:3" ht="18" customHeight="1" x14ac:dyDescent="0.3">
      <c r="A848" s="1">
        <v>28</v>
      </c>
      <c r="B848" s="1" t="s">
        <v>727</v>
      </c>
      <c r="C848" s="1" t="str">
        <f ca="1">IFERROR(__xludf.DUMMYFUNCTION("GOOGLETRANSLATE(B850,""en"",""ja"")"),"提供")</f>
        <v>提供</v>
      </c>
    </row>
    <row r="849" spans="1:3" ht="18" customHeight="1" x14ac:dyDescent="0.3">
      <c r="A849" s="1">
        <v>28</v>
      </c>
      <c r="B849" s="1" t="s">
        <v>728</v>
      </c>
      <c r="C849" s="1" t="str">
        <f ca="1">IFERROR(__xludf.DUMMYFUNCTION("GOOGLETRANSLATE(B851,""en"",""ja"")"),"主要")</f>
        <v>主要</v>
      </c>
    </row>
    <row r="850" spans="1:3" ht="18" customHeight="1" x14ac:dyDescent="0.3">
      <c r="A850" s="1">
        <v>28</v>
      </c>
      <c r="B850" s="1" t="s">
        <v>729</v>
      </c>
      <c r="C850" s="1" t="str">
        <f ca="1">IFERROR(__xludf.DUMMYFUNCTION("GOOGLETRANSLATE(B852,""en"",""ja"")"),"ニーズ")</f>
        <v>ニーズ</v>
      </c>
    </row>
    <row r="851" spans="1:3" ht="18" customHeight="1" x14ac:dyDescent="0.3">
      <c r="A851" s="1">
        <v>28</v>
      </c>
      <c r="B851" s="1" t="s">
        <v>649</v>
      </c>
      <c r="C851" s="1" t="str">
        <f ca="1">IFERROR(__xludf.DUMMYFUNCTION("GOOGLETRANSLATE(B853,""en"",""ja"")"),"私に")</f>
        <v>私に</v>
      </c>
    </row>
    <row r="852" spans="1:3" ht="18" customHeight="1" x14ac:dyDescent="0.3">
      <c r="A852" s="1">
        <v>28</v>
      </c>
      <c r="B852" s="1" t="s">
        <v>730</v>
      </c>
      <c r="C852" s="1" t="str">
        <f ca="1">IFERROR(__xludf.DUMMYFUNCTION("GOOGLETRANSLATE(B854,""en"",""ja"")"),"案件")</f>
        <v>案件</v>
      </c>
    </row>
    <row r="853" spans="1:3" ht="18" customHeight="1" x14ac:dyDescent="0.3">
      <c r="A853" s="1">
        <v>28</v>
      </c>
      <c r="B853" s="1" t="s">
        <v>731</v>
      </c>
      <c r="C853" s="1" t="str">
        <f ca="1">IFERROR(__xludf.DUMMYFUNCTION("GOOGLETRANSLATE(B855,""en"",""ja"")"),"失う")</f>
        <v>失う</v>
      </c>
    </row>
    <row r="854" spans="1:3" ht="18" customHeight="1" x14ac:dyDescent="0.3">
      <c r="A854" s="1">
        <v>28</v>
      </c>
      <c r="B854" s="1" t="s">
        <v>732</v>
      </c>
      <c r="C854" s="1" t="str">
        <f ca="1">IFERROR(__xludf.DUMMYFUNCTION("GOOGLETRANSLATE(B856,""en"",""ja"")"),"リンク")</f>
        <v>リンク</v>
      </c>
    </row>
    <row r="855" spans="1:3" ht="18" customHeight="1" x14ac:dyDescent="0.3">
      <c r="A855" s="1">
        <v>28</v>
      </c>
      <c r="B855" s="1" t="s">
        <v>180</v>
      </c>
      <c r="C855" s="1" t="str">
        <f ca="1">IFERROR(__xludf.DUMMYFUNCTION("GOOGLETRANSLATE(B857,""en"",""ja"")"),"学びます")</f>
        <v>学びます</v>
      </c>
    </row>
    <row r="856" spans="1:3" ht="18" customHeight="1" x14ac:dyDescent="0.3">
      <c r="A856" s="1">
        <v>28</v>
      </c>
      <c r="B856" s="1" t="s">
        <v>733</v>
      </c>
      <c r="C856" s="1" t="str">
        <f ca="1">IFERROR(__xludf.DUMMYFUNCTION("GOOGLETRANSLATE(B858,""en"",""ja"")"),"内部")</f>
        <v>内部</v>
      </c>
    </row>
    <row r="857" spans="1:3" ht="18" customHeight="1" x14ac:dyDescent="0.3">
      <c r="A857" s="1">
        <v>28</v>
      </c>
      <c r="B857" s="1" t="s">
        <v>734</v>
      </c>
      <c r="C857" s="1" t="str">
        <f ca="1">IFERROR(__xludf.DUMMYFUNCTION("GOOGLETRANSLATE(B859,""en"",""ja"")"),"革新")</f>
        <v>革新</v>
      </c>
    </row>
    <row r="858" spans="1:3" ht="18" customHeight="1" x14ac:dyDescent="0.3">
      <c r="A858" s="1">
        <v>28</v>
      </c>
      <c r="B858" s="1" t="s">
        <v>735</v>
      </c>
      <c r="C858" s="1" t="str">
        <f ca="1">IFERROR(__xludf.DUMMYFUNCTION("GOOGLETRANSLATE(B860,""en"",""ja"")"),"増加する")</f>
        <v>増加する</v>
      </c>
    </row>
    <row r="859" spans="1:3" ht="18" customHeight="1" x14ac:dyDescent="0.3">
      <c r="A859" s="1">
        <v>28</v>
      </c>
      <c r="B859" s="1" t="s">
        <v>736</v>
      </c>
      <c r="C859" s="1" t="str">
        <f ca="1">IFERROR(__xludf.DUMMYFUNCTION("GOOGLETRANSLATE(B861,""en"",""ja"")"),"想像します")</f>
        <v>想像します</v>
      </c>
    </row>
    <row r="860" spans="1:3" ht="18" customHeight="1" x14ac:dyDescent="0.3">
      <c r="A860" s="1">
        <v>28</v>
      </c>
      <c r="B860" s="1" t="s">
        <v>737</v>
      </c>
      <c r="C860" s="1" t="str">
        <f ca="1">IFERROR(__xludf.DUMMYFUNCTION("GOOGLETRANSLATE(B862,""en"",""ja"")"),"家")</f>
        <v>家</v>
      </c>
    </row>
    <row r="861" spans="1:3" ht="18" customHeight="1" x14ac:dyDescent="0.3">
      <c r="A861" s="1">
        <v>28</v>
      </c>
      <c r="B861" s="1" t="s">
        <v>738</v>
      </c>
      <c r="C861" s="1" t="str">
        <f ca="1">IFERROR(__xludf.DUMMYFUNCTION("GOOGLETRANSLATE(B863,""en"",""ja"")"),"教育")</f>
        <v>教育</v>
      </c>
    </row>
    <row r="862" spans="1:3" ht="18" customHeight="1" x14ac:dyDescent="0.3">
      <c r="A862" s="1">
        <v>28</v>
      </c>
      <c r="B862" s="1" t="s">
        <v>519</v>
      </c>
      <c r="C862" s="1" t="str">
        <f ca="1">IFERROR(__xludf.DUMMYFUNCTION("GOOGLETRANSLATE(B864,""en"",""ja"")"),"資料")</f>
        <v>資料</v>
      </c>
    </row>
    <row r="863" spans="1:3" ht="18" customHeight="1" x14ac:dyDescent="0.3">
      <c r="A863" s="1">
        <v>28</v>
      </c>
      <c r="B863" s="1" t="s">
        <v>739</v>
      </c>
      <c r="C863" s="1" t="str">
        <f ca="1">IFERROR(__xludf.DUMMYFUNCTION("GOOGLETRANSLATE(B865,""en"",""ja"")"),"決定")</f>
        <v>決定</v>
      </c>
    </row>
    <row r="864" spans="1:3" ht="18" customHeight="1" x14ac:dyDescent="0.3">
      <c r="A864" s="1">
        <v>28</v>
      </c>
      <c r="B864" s="1" t="s">
        <v>740</v>
      </c>
      <c r="C864" s="1" t="str">
        <f ca="1">IFERROR(__xludf.DUMMYFUNCTION("GOOGLETRANSLATE(B866,""en"",""ja"")"),"電流")</f>
        <v>電流</v>
      </c>
    </row>
    <row r="865" spans="1:3" ht="18" customHeight="1" x14ac:dyDescent="0.3">
      <c r="A865" s="1">
        <v>28</v>
      </c>
      <c r="B865" s="1" t="s">
        <v>741</v>
      </c>
      <c r="C865" s="1" t="str">
        <f ca="1">IFERROR(__xludf.DUMMYFUNCTION("GOOGLETRANSLATE(B867,""en"",""ja"")"),"作成")</f>
        <v>作成</v>
      </c>
    </row>
    <row r="866" spans="1:3" ht="18" customHeight="1" x14ac:dyDescent="0.3">
      <c r="A866" s="1">
        <v>28</v>
      </c>
      <c r="B866" s="1" t="s">
        <v>397</v>
      </c>
      <c r="C866" s="1" t="str">
        <f ca="1">IFERROR(__xludf.DUMMYFUNCTION("GOOGLETRANSLATE(B868,""en"",""ja"")"),"懸念")</f>
        <v>懸念</v>
      </c>
    </row>
    <row r="867" spans="1:3" ht="18" customHeight="1" x14ac:dyDescent="0.3">
      <c r="A867" s="1">
        <v>28</v>
      </c>
      <c r="B867" s="1" t="s">
        <v>742</v>
      </c>
      <c r="C867" s="1" t="str">
        <f ca="1">IFERROR(__xludf.DUMMYFUNCTION("GOOGLETRANSLATE(B869,""en"",""ja"")"),"信念")</f>
        <v>信念</v>
      </c>
    </row>
    <row r="868" spans="1:3" ht="18" customHeight="1" x14ac:dyDescent="0.3">
      <c r="A868" s="1">
        <v>28</v>
      </c>
      <c r="B868" s="1" t="s">
        <v>743</v>
      </c>
      <c r="C868" s="1" t="str">
        <f ca="1">IFERROR(__xludf.DUMMYFUNCTION("GOOGLETRANSLATE(B870,""en"",""ja"")"),"動作")</f>
        <v>動作</v>
      </c>
    </row>
    <row r="869" spans="1:3" ht="18" customHeight="1" x14ac:dyDescent="0.3">
      <c r="A869" s="1">
        <v>28</v>
      </c>
      <c r="B869" s="1" t="s">
        <v>686</v>
      </c>
      <c r="C869" s="1" t="str">
        <f ca="1">IFERROR(__xludf.DUMMYFUNCTION("GOOGLETRANSLATE(B871,""en"",""ja"")"),"権限")</f>
        <v>権限</v>
      </c>
    </row>
    <row r="870" spans="1:3" ht="18" customHeight="1" x14ac:dyDescent="0.3">
      <c r="A870" s="1">
        <v>28</v>
      </c>
      <c r="B870" s="1" t="s">
        <v>744</v>
      </c>
      <c r="C870" s="1" t="str">
        <f ca="1">IFERROR(__xludf.DUMMYFUNCTION("GOOGLETRANSLATE(B872,""en"",""ja"")"),"協会")</f>
        <v>協会</v>
      </c>
    </row>
    <row r="871" spans="1:3" ht="18" customHeight="1" x14ac:dyDescent="0.3">
      <c r="A871" s="1">
        <v>28</v>
      </c>
      <c r="B871" s="1" t="s">
        <v>745</v>
      </c>
      <c r="C871" s="1" t="str">
        <f ca="1">IFERROR(__xludf.DUMMYFUNCTION("GOOGLETRANSLATE(B873,""en"",""ja"")"),"何でも")</f>
        <v>何でも</v>
      </c>
    </row>
    <row r="872" spans="1:3" ht="18" customHeight="1" x14ac:dyDescent="0.3">
      <c r="A872" s="1">
        <v>28</v>
      </c>
      <c r="B872" s="1" t="s">
        <v>746</v>
      </c>
      <c r="C872" s="1" t="str">
        <f ca="1">IFERROR(__xludf.DUMMYFUNCTION("GOOGLETRANSLATE(B874,""en"",""ja"")"),"取得")</f>
        <v>取得</v>
      </c>
    </row>
    <row r="873" spans="1:3" ht="18" customHeight="1" x14ac:dyDescent="0.3">
      <c r="A873" s="1">
        <v>28</v>
      </c>
      <c r="B873" s="1" t="s">
        <v>747</v>
      </c>
      <c r="C873" s="1" t="str">
        <f ca="1">IFERROR(__xludf.DUMMYFUNCTION("GOOGLETRANSLATE(B875,""en"",""ja"")"),"絶対の")</f>
        <v>絶対の</v>
      </c>
    </row>
    <row r="874" spans="1:3" ht="18" customHeight="1" x14ac:dyDescent="0.3">
      <c r="A874" s="1">
        <v>27</v>
      </c>
      <c r="B874" s="1" t="s">
        <v>748</v>
      </c>
      <c r="C874" s="1" t="str">
        <f ca="1">IFERROR(__xludf.DUMMYFUNCTION("GOOGLETRANSLATE(B876,""en"",""ja"")"),"ビデオ")</f>
        <v>ビデオ</v>
      </c>
    </row>
    <row r="875" spans="1:3" ht="18" customHeight="1" x14ac:dyDescent="0.3">
      <c r="A875" s="1">
        <v>27</v>
      </c>
      <c r="B875" s="1" t="s">
        <v>749</v>
      </c>
      <c r="C875" s="1" t="str">
        <f ca="1">IFERROR(__xludf.DUMMYFUNCTION("GOOGLETRANSLATE(B877,""en"",""ja"")"),"数千")</f>
        <v>数千</v>
      </c>
    </row>
    <row r="876" spans="1:3" ht="18" customHeight="1" x14ac:dyDescent="0.3">
      <c r="A876" s="1">
        <v>27</v>
      </c>
      <c r="B876" s="1" t="s">
        <v>750</v>
      </c>
      <c r="C876" s="1" t="str">
        <f ca="1">IFERROR(__xludf.DUMMYFUNCTION("GOOGLETRANSLATE(B878,""en"",""ja"")"),"故に")</f>
        <v>故に</v>
      </c>
    </row>
    <row r="877" spans="1:3" ht="18" customHeight="1" x14ac:dyDescent="0.3">
      <c r="A877" s="1">
        <v>27</v>
      </c>
      <c r="B877" s="1" t="s">
        <v>65</v>
      </c>
      <c r="C877" s="1" t="str">
        <f ca="1">IFERROR(__xludf.DUMMYFUNCTION("GOOGLETRANSLATE(B879,""en"",""ja"")"),"そこ")</f>
        <v>そこ</v>
      </c>
    </row>
    <row r="878" spans="1:3" ht="18" customHeight="1" x14ac:dyDescent="0.3">
      <c r="A878" s="1">
        <v>27</v>
      </c>
      <c r="B878" s="1" t="s">
        <v>413</v>
      </c>
      <c r="C878" s="1" t="str">
        <f ca="1">IFERROR(__xludf.DUMMYFUNCTION("GOOGLETRANSLATE(B880,""en"",""ja"")"),"サポート")</f>
        <v>サポート</v>
      </c>
    </row>
    <row r="879" spans="1:3" ht="18" customHeight="1" x14ac:dyDescent="0.3">
      <c r="A879" s="1">
        <v>27</v>
      </c>
      <c r="B879" s="1" t="s">
        <v>751</v>
      </c>
      <c r="C879" s="1" t="str">
        <f ca="1">IFERROR(__xludf.DUMMYFUNCTION("GOOGLETRANSLATE(B881,""en"",""ja"")"),"求め")</f>
        <v>求め</v>
      </c>
    </row>
    <row r="880" spans="1:3" ht="18" customHeight="1" x14ac:dyDescent="0.3">
      <c r="A880" s="1">
        <v>27</v>
      </c>
      <c r="B880" s="1" t="s">
        <v>282</v>
      </c>
      <c r="C880" s="1" t="str">
        <f ca="1">IFERROR(__xludf.DUMMYFUNCTION("GOOGLETRANSLATE(B882,""en"",""ja"")"),"ソフトウェア")</f>
        <v>ソフトウェア</v>
      </c>
    </row>
    <row r="881" spans="1:3" ht="18" customHeight="1" x14ac:dyDescent="0.3">
      <c r="A881" s="1">
        <v>27</v>
      </c>
      <c r="B881" s="1" t="s">
        <v>752</v>
      </c>
      <c r="C881" s="1" t="str">
        <f ca="1">IFERROR(__xludf.DUMMYFUNCTION("GOOGLETRANSLATE(B883,""en"",""ja"")"),"シリーズ")</f>
        <v>シリーズ</v>
      </c>
    </row>
    <row r="882" spans="1:3" ht="18" customHeight="1" x14ac:dyDescent="0.3">
      <c r="A882" s="1">
        <v>27</v>
      </c>
      <c r="B882" s="1" t="s">
        <v>753</v>
      </c>
      <c r="C882" s="1" t="str">
        <f ca="1">IFERROR(__xludf.DUMMYFUNCTION("GOOGLETRANSLATE(B884,""en"",""ja"")"),"農村")</f>
        <v>農村</v>
      </c>
    </row>
    <row r="883" spans="1:3" ht="18" customHeight="1" x14ac:dyDescent="0.3">
      <c r="A883" s="1">
        <v>27</v>
      </c>
      <c r="B883" s="1" t="s">
        <v>754</v>
      </c>
      <c r="C883" s="1" t="str">
        <f ca="1">IFERROR(__xludf.DUMMYFUNCTION("GOOGLETRANSLATE(B885,""en"",""ja"")"),"ルート")</f>
        <v>ルート</v>
      </c>
    </row>
    <row r="884" spans="1:3" ht="18" customHeight="1" x14ac:dyDescent="0.3">
      <c r="A884" s="1">
        <v>27</v>
      </c>
      <c r="B884" s="1" t="s">
        <v>755</v>
      </c>
      <c r="C884" s="1" t="str">
        <f ca="1">IFERROR(__xludf.DUMMYFUNCTION("GOOGLETRANSLATE(B886,""en"",""ja"")"),"関係")</f>
        <v>関係</v>
      </c>
    </row>
    <row r="885" spans="1:3" ht="18" customHeight="1" x14ac:dyDescent="0.3">
      <c r="A885" s="1">
        <v>27</v>
      </c>
      <c r="B885" s="1" t="s">
        <v>756</v>
      </c>
      <c r="C885" s="1" t="str">
        <f ca="1">IFERROR(__xludf.DUMMYFUNCTION("GOOGLETRANSLATE(B887,""en"",""ja"")"),"現実")</f>
        <v>現実</v>
      </c>
    </row>
    <row r="886" spans="1:3" ht="18" customHeight="1" x14ac:dyDescent="0.3">
      <c r="A886" s="1">
        <v>27</v>
      </c>
      <c r="B886" s="1" t="s">
        <v>757</v>
      </c>
      <c r="C886" s="1" t="str">
        <f ca="1">IFERROR(__xludf.DUMMYFUNCTION("GOOGLETRANSLATE(B888,""en"",""ja"")"),"読んだ")</f>
        <v>読んだ</v>
      </c>
    </row>
    <row r="887" spans="1:3" ht="18" customHeight="1" x14ac:dyDescent="0.3">
      <c r="A887" s="1">
        <v>27</v>
      </c>
      <c r="B887" s="1" t="s">
        <v>758</v>
      </c>
      <c r="C887" s="1" t="str">
        <f ca="1">IFERROR(__xludf.DUMMYFUNCTION("GOOGLETRANSLATE(B889,""en"",""ja"")"),"政治")</f>
        <v>政治</v>
      </c>
    </row>
    <row r="888" spans="1:3" ht="18" customHeight="1" x14ac:dyDescent="0.3">
      <c r="A888" s="1">
        <v>27</v>
      </c>
      <c r="B888" s="1" t="s">
        <v>759</v>
      </c>
      <c r="C888" s="1" t="str">
        <f ca="1">IFERROR(__xludf.DUMMYFUNCTION("GOOGLETRANSLATE(B890,""en"",""ja"")"),"パーティー")</f>
        <v>パーティー</v>
      </c>
    </row>
    <row r="889" spans="1:3" ht="18" customHeight="1" x14ac:dyDescent="0.3">
      <c r="A889" s="1">
        <v>27</v>
      </c>
      <c r="B889" s="1" t="s">
        <v>760</v>
      </c>
      <c r="C889" s="1" t="str">
        <f ca="1">IFERROR(__xludf.DUMMYFUNCTION("GOOGLETRANSLATE(B891,""en"",""ja"")"),"組織")</f>
        <v>組織</v>
      </c>
    </row>
    <row r="890" spans="1:3" ht="18" customHeight="1" x14ac:dyDescent="0.3">
      <c r="A890" s="1">
        <v>27</v>
      </c>
      <c r="B890" s="1" t="s">
        <v>572</v>
      </c>
      <c r="C890" s="1" t="str">
        <f ca="1">IFERROR(__xludf.DUMMYFUNCTION("GOOGLETRANSLATE(B892,""en"",""ja"")"),"オフ")</f>
        <v>オフ</v>
      </c>
    </row>
    <row r="891" spans="1:3" ht="18" customHeight="1" x14ac:dyDescent="0.3">
      <c r="A891" s="1">
        <v>27</v>
      </c>
      <c r="B891" s="1" t="s">
        <v>761</v>
      </c>
      <c r="C891" s="1" t="str">
        <f ca="1">IFERROR(__xludf.DUMMYFUNCTION("GOOGLETRANSLATE(B893,""en"",""ja"")"),"も")</f>
        <v>も</v>
      </c>
    </row>
    <row r="892" spans="1:3" ht="18" customHeight="1" x14ac:dyDescent="0.3">
      <c r="A892" s="1">
        <v>27</v>
      </c>
      <c r="B892" s="1" t="s">
        <v>762</v>
      </c>
      <c r="C892" s="1" t="str">
        <f ca="1">IFERROR(__xludf.DUMMYFUNCTION("GOOGLETRANSLATE(B894,""en"",""ja"")"),"マインド")</f>
        <v>マインド</v>
      </c>
    </row>
    <row r="893" spans="1:3" ht="18" customHeight="1" x14ac:dyDescent="0.3">
      <c r="A893" s="1">
        <v>27</v>
      </c>
      <c r="B893" s="1" t="s">
        <v>763</v>
      </c>
      <c r="C893" s="1" t="str">
        <f ca="1">IFERROR(__xludf.DUMMYFUNCTION("GOOGLETRANSLATE(B895,""en"",""ja"")"),"火星")</f>
        <v>火星</v>
      </c>
    </row>
    <row r="894" spans="1:3" ht="18" customHeight="1" x14ac:dyDescent="0.3">
      <c r="A894" s="1">
        <v>27</v>
      </c>
      <c r="B894" s="1" t="s">
        <v>764</v>
      </c>
      <c r="C894" s="1" t="str">
        <f ca="1">IFERROR(__xludf.DUMMYFUNCTION("GOOGLETRANSLATE(B896,""en"",""ja"")"),"地図")</f>
        <v>地図</v>
      </c>
    </row>
    <row r="895" spans="1:3" ht="18" customHeight="1" x14ac:dyDescent="0.3">
      <c r="A895" s="1">
        <v>27</v>
      </c>
      <c r="B895" s="1" t="s">
        <v>765</v>
      </c>
      <c r="C895" s="1" t="str">
        <f ca="1">IFERROR(__xludf.DUMMYFUNCTION("GOOGLETRANSLATE(B897,""en"",""ja"")"),"メイン")</f>
        <v>メイン</v>
      </c>
    </row>
    <row r="896" spans="1:3" ht="18" customHeight="1" x14ac:dyDescent="0.3">
      <c r="A896" s="1">
        <v>27</v>
      </c>
      <c r="B896" s="1" t="s">
        <v>766</v>
      </c>
      <c r="C896" s="1" t="str">
        <f ca="1">IFERROR(__xludf.DUMMYFUNCTION("GOOGLETRANSLATE(B898,""en"",""ja"")"),"問題")</f>
        <v>問題</v>
      </c>
    </row>
    <row r="897" spans="1:3" ht="18" customHeight="1" x14ac:dyDescent="0.3">
      <c r="A897" s="1">
        <v>27</v>
      </c>
      <c r="B897" s="1" t="s">
        <v>767</v>
      </c>
      <c r="C897" s="1" t="str">
        <f ca="1">IFERROR(__xludf.DUMMYFUNCTION("GOOGLETRANSLATE(B899,""en"",""ja"")"),"彼自身")</f>
        <v>彼自身</v>
      </c>
    </row>
    <row r="898" spans="1:3" ht="18" customHeight="1" x14ac:dyDescent="0.3">
      <c r="A898" s="1">
        <v>27</v>
      </c>
      <c r="B898" s="1" t="s">
        <v>768</v>
      </c>
      <c r="C898" s="1" t="str">
        <f ca="1">IFERROR(__xludf.DUMMYFUNCTION("GOOGLETRANSLATE(B900,""en"",""ja"")"),"ここに")</f>
        <v>ここに</v>
      </c>
    </row>
    <row r="899" spans="1:3" ht="18" customHeight="1" x14ac:dyDescent="0.3">
      <c r="A899" s="1">
        <v>27</v>
      </c>
      <c r="B899" s="1" t="s">
        <v>769</v>
      </c>
      <c r="C899" s="1" t="str">
        <f ca="1">IFERROR(__xludf.DUMMYFUNCTION("GOOGLETRANSLATE(B901,""en"",""ja"")"),"健康")</f>
        <v>健康</v>
      </c>
    </row>
    <row r="900" spans="1:3" ht="18" customHeight="1" x14ac:dyDescent="0.3">
      <c r="A900" s="1">
        <v>27</v>
      </c>
      <c r="B900" s="1" t="s">
        <v>770</v>
      </c>
      <c r="C900" s="1" t="str">
        <f ca="1">IFERROR(__xludf.DUMMYFUNCTION("GOOGLETRANSLATE(B902,""en"",""ja"")"),"ハード")</f>
        <v>ハード</v>
      </c>
    </row>
    <row r="901" spans="1:3" ht="18" customHeight="1" x14ac:dyDescent="0.3">
      <c r="A901" s="1">
        <v>27</v>
      </c>
      <c r="B901" s="1" t="s">
        <v>771</v>
      </c>
      <c r="C901" s="1" t="str">
        <f ca="1">IFERROR(__xludf.DUMMYFUNCTION("GOOGLETRANSLATE(B903,""en"",""ja"")"),"時間")</f>
        <v>時間</v>
      </c>
    </row>
    <row r="902" spans="1:3" ht="18" customHeight="1" x14ac:dyDescent="0.3">
      <c r="A902" s="1">
        <v>27</v>
      </c>
      <c r="B902" s="1" t="s">
        <v>772</v>
      </c>
      <c r="C902" s="1" t="str">
        <f ca="1">IFERROR(__xludf.DUMMYFUNCTION("GOOGLETRANSLATE(B904,""en"",""ja"")"),"提供します")</f>
        <v>提供します</v>
      </c>
    </row>
    <row r="903" spans="1:3" ht="18" customHeight="1" x14ac:dyDescent="0.3">
      <c r="A903" s="1">
        <v>27</v>
      </c>
      <c r="B903" s="1" t="s">
        <v>773</v>
      </c>
      <c r="C903" s="1" t="str">
        <f ca="1">IFERROR(__xludf.DUMMYFUNCTION("GOOGLETRANSLATE(B905,""en"",""ja"")"),"与えました")</f>
        <v>与えました</v>
      </c>
    </row>
    <row r="904" spans="1:3" ht="18" customHeight="1" x14ac:dyDescent="0.3">
      <c r="A904" s="1">
        <v>27</v>
      </c>
      <c r="B904" s="1" t="s">
        <v>774</v>
      </c>
      <c r="C904" s="1" t="str">
        <f ca="1">IFERROR(__xludf.DUMMYFUNCTION("GOOGLETRANSLATE(B906,""en"",""ja"")"),"フィールド")</f>
        <v>フィールド</v>
      </c>
    </row>
    <row r="905" spans="1:3" ht="18" customHeight="1" x14ac:dyDescent="0.3">
      <c r="A905" s="1">
        <v>27</v>
      </c>
      <c r="B905" s="1" t="s">
        <v>775</v>
      </c>
      <c r="C905" s="1" t="str">
        <f ca="1">IFERROR(__xludf.DUMMYFUNCTION("GOOGLETRANSLATE(B907,""en"",""ja"")"),"思い")</f>
        <v>思い</v>
      </c>
    </row>
    <row r="906" spans="1:3" ht="18" customHeight="1" x14ac:dyDescent="0.3">
      <c r="A906" s="1">
        <v>27</v>
      </c>
      <c r="B906" s="1" t="s">
        <v>776</v>
      </c>
      <c r="C906" s="1" t="str">
        <f ca="1">IFERROR(__xludf.DUMMYFUNCTION("GOOGLETRANSLATE(B908,""en"",""ja"")"),"感じ")</f>
        <v>感じ</v>
      </c>
    </row>
    <row r="907" spans="1:3" ht="18" customHeight="1" x14ac:dyDescent="0.3">
      <c r="A907" s="1">
        <v>27</v>
      </c>
      <c r="B907" s="1" t="s">
        <v>777</v>
      </c>
      <c r="C907" s="1" t="str">
        <f ca="1">IFERROR(__xludf.DUMMYFUNCTION("GOOGLETRANSLATE(B909,""en"",""ja"")"),"好意")</f>
        <v>好意</v>
      </c>
    </row>
    <row r="908" spans="1:3" ht="18" customHeight="1" x14ac:dyDescent="0.3">
      <c r="A908" s="1">
        <v>27</v>
      </c>
      <c r="B908" s="1" t="s">
        <v>778</v>
      </c>
      <c r="C908" s="1" t="str">
        <f ca="1">IFERROR(__xludf.DUMMYFUNCTION("GOOGLETRANSLATE(B910,""en"",""ja"")"),"ヨーロッパ")</f>
        <v>ヨーロッパ</v>
      </c>
    </row>
    <row r="909" spans="1:3" ht="18" customHeight="1" x14ac:dyDescent="0.3">
      <c r="A909" s="1">
        <v>27</v>
      </c>
      <c r="B909" s="1" t="s">
        <v>779</v>
      </c>
      <c r="C909" s="1" t="str">
        <f ca="1">IFERROR(__xludf.DUMMYFUNCTION("GOOGLETRANSLATE(B911,""en"",""ja"")"),"努力")</f>
        <v>努力</v>
      </c>
    </row>
    <row r="910" spans="1:3" ht="18" customHeight="1" x14ac:dyDescent="0.3">
      <c r="A910" s="1">
        <v>27</v>
      </c>
      <c r="B910" s="1" t="s">
        <v>579</v>
      </c>
      <c r="C910" s="1" t="str">
        <f ca="1">IFERROR(__xludf.DUMMYFUNCTION("GOOGLETRANSLATE(B912,""en"",""ja"")"),"距離")</f>
        <v>距離</v>
      </c>
    </row>
    <row r="911" spans="1:3" ht="18" customHeight="1" x14ac:dyDescent="0.3">
      <c r="A911" s="1">
        <v>27</v>
      </c>
      <c r="B911" s="1" t="s">
        <v>433</v>
      </c>
      <c r="C911" s="1" t="str">
        <f ca="1">IFERROR(__xludf.DUMMYFUNCTION("GOOGLETRANSLATE(B913,""en"",""ja"")"),"表示")</f>
        <v>表示</v>
      </c>
    </row>
    <row r="912" spans="1:3" ht="18" customHeight="1" x14ac:dyDescent="0.3">
      <c r="A912" s="1">
        <v>27</v>
      </c>
      <c r="B912" s="1" t="s">
        <v>780</v>
      </c>
      <c r="C912" s="1" t="str">
        <f ca="1">IFERROR(__xludf.DUMMYFUNCTION("GOOGLETRANSLATE(B914,""en"",""ja"")"),"日")</f>
        <v>日</v>
      </c>
    </row>
    <row r="913" spans="1:3" ht="18" customHeight="1" x14ac:dyDescent="0.3">
      <c r="A913" s="1">
        <v>27</v>
      </c>
      <c r="B913" s="1" t="s">
        <v>781</v>
      </c>
      <c r="C913" s="1" t="str">
        <f ca="1">IFERROR(__xludf.DUMMYFUNCTION("GOOGLETRANSLATE(B915,""en"",""ja"")"),"継続する")</f>
        <v>継続する</v>
      </c>
    </row>
    <row r="914" spans="1:3" ht="18" customHeight="1" x14ac:dyDescent="0.3">
      <c r="A914" s="1">
        <v>27</v>
      </c>
      <c r="B914" s="1" t="s">
        <v>782</v>
      </c>
      <c r="C914" s="1" t="str">
        <f ca="1">IFERROR(__xludf.DUMMYFUNCTION("GOOGLETRANSLATE(B916,""en"",""ja"")"),"合成")</f>
        <v>合成</v>
      </c>
    </row>
    <row r="915" spans="1:3" ht="18" customHeight="1" x14ac:dyDescent="0.3">
      <c r="A915" s="1">
        <v>27</v>
      </c>
      <c r="B915" s="1" t="s">
        <v>783</v>
      </c>
      <c r="C915" s="1" t="str">
        <f ca="1">IFERROR(__xludf.DUMMYFUNCTION("GOOGLETRANSLATE(B917,""en"",""ja"")"),"気候")</f>
        <v>気候</v>
      </c>
    </row>
    <row r="916" spans="1:3" ht="18" customHeight="1" x14ac:dyDescent="0.3">
      <c r="A916" s="1">
        <v>27</v>
      </c>
      <c r="B916" s="1" t="s">
        <v>784</v>
      </c>
      <c r="C916" s="1" t="str">
        <f ca="1">IFERROR(__xludf.DUMMYFUNCTION("GOOGLETRANSLATE(B918,""en"",""ja"")"),"クラシカル")</f>
        <v>クラシカル</v>
      </c>
    </row>
    <row r="917" spans="1:3" ht="18" customHeight="1" x14ac:dyDescent="0.3">
      <c r="A917" s="1">
        <v>27</v>
      </c>
      <c r="B917" s="1" t="s">
        <v>785</v>
      </c>
      <c r="C917" s="1" t="str">
        <f ca="1">IFERROR(__xludf.DUMMYFUNCTION("GOOGLETRANSLATE(B919,""en"",""ja"")"),"クラス")</f>
        <v>クラス</v>
      </c>
    </row>
    <row r="918" spans="1:3" ht="18" customHeight="1" x14ac:dyDescent="0.3">
      <c r="A918" s="1">
        <v>27</v>
      </c>
      <c r="B918" s="1" t="s">
        <v>786</v>
      </c>
      <c r="C918" s="1" t="str">
        <f ca="1">IFERROR(__xludf.DUMMYFUNCTION("GOOGLETRANSLATE(B920,""en"",""ja"")"),"利用できます")</f>
        <v>利用できます</v>
      </c>
    </row>
    <row r="919" spans="1:3" ht="18" customHeight="1" x14ac:dyDescent="0.3">
      <c r="A919" s="1">
        <v>26</v>
      </c>
      <c r="B919" s="1" t="s">
        <v>787</v>
      </c>
      <c r="C919" s="1" t="str">
        <f ca="1">IFERROR(__xludf.DUMMYFUNCTION("GOOGLETRANSLATE(B921,""en"",""ja"")"),"天気")</f>
        <v>天気</v>
      </c>
    </row>
    <row r="920" spans="1:3" ht="18" customHeight="1" x14ac:dyDescent="0.3">
      <c r="A920" s="1">
        <v>26</v>
      </c>
      <c r="B920" s="1" t="s">
        <v>33</v>
      </c>
      <c r="C920" s="1" t="str">
        <f ca="1">IFERROR(__xludf.DUMMYFUNCTION("GOOGLETRANSLATE(B922,""en"",""ja"")"),"より")</f>
        <v>より</v>
      </c>
    </row>
    <row r="921" spans="1:3" ht="18" customHeight="1" x14ac:dyDescent="0.3">
      <c r="A921" s="1">
        <v>26</v>
      </c>
      <c r="B921" s="1" t="s">
        <v>788</v>
      </c>
      <c r="C921" s="1" t="str">
        <f ca="1">IFERROR(__xludf.DUMMYFUNCTION("GOOGLETRANSLATE(B923,""en"",""ja"")"),"撮影")</f>
        <v>撮影</v>
      </c>
    </row>
    <row r="922" spans="1:3" ht="18" customHeight="1" x14ac:dyDescent="0.3">
      <c r="A922" s="1">
        <v>26</v>
      </c>
      <c r="B922" s="1" t="s">
        <v>127</v>
      </c>
      <c r="C922" s="1" t="str">
        <f ca="1">IFERROR(__xludf.DUMMYFUNCTION("GOOGLETRANSLATE(B924,""en"",""ja"")"),"取る")</f>
        <v>取る</v>
      </c>
    </row>
    <row r="923" spans="1:3" ht="18" customHeight="1" x14ac:dyDescent="0.3">
      <c r="A923" s="1">
        <v>26</v>
      </c>
      <c r="B923" s="1" t="s">
        <v>789</v>
      </c>
      <c r="C923" s="1" t="str">
        <f ca="1">IFERROR(__xludf.DUMMYFUNCTION("GOOGLETRANSLATE(B925,""en"",""ja"")"),"主観的")</f>
        <v>主観的</v>
      </c>
    </row>
    <row r="924" spans="1:3" ht="18" customHeight="1" x14ac:dyDescent="0.3">
      <c r="A924" s="1">
        <v>26</v>
      </c>
      <c r="B924" s="1" t="s">
        <v>790</v>
      </c>
      <c r="C924" s="1" t="str">
        <f ca="1">IFERROR(__xludf.DUMMYFUNCTION("GOOGLETRANSLATE(B926,""en"",""ja"")"),"研究")</f>
        <v>研究</v>
      </c>
    </row>
    <row r="925" spans="1:3" ht="18" customHeight="1" x14ac:dyDescent="0.3">
      <c r="A925" s="1">
        <v>26</v>
      </c>
      <c r="B925" s="1" t="s">
        <v>791</v>
      </c>
      <c r="C925" s="1" t="str">
        <f ca="1">IFERROR(__xludf.DUMMYFUNCTION("GOOGLETRANSLATE(B927,""en"",""ja"")"),"重要")</f>
        <v>重要</v>
      </c>
    </row>
    <row r="926" spans="1:3" ht="18" customHeight="1" x14ac:dyDescent="0.3">
      <c r="A926" s="1">
        <v>26</v>
      </c>
      <c r="B926" s="1" t="s">
        <v>792</v>
      </c>
      <c r="C926" s="1" t="str">
        <f ca="1">IFERROR(__xludf.DUMMYFUNCTION("GOOGLETRANSLATE(B928,""en"",""ja"")"),"明らかにする")</f>
        <v>明らかにする</v>
      </c>
    </row>
    <row r="927" spans="1:3" ht="18" customHeight="1" x14ac:dyDescent="0.3">
      <c r="A927" s="1">
        <v>26</v>
      </c>
      <c r="B927" s="1" t="s">
        <v>793</v>
      </c>
      <c r="C927" s="1" t="str">
        <f ca="1">IFERROR(__xludf.DUMMYFUNCTION("GOOGLETRANSLATE(B929,""en"",""ja"")"),"尊敬")</f>
        <v>尊敬</v>
      </c>
    </row>
    <row r="928" spans="1:3" ht="18" customHeight="1" x14ac:dyDescent="0.3">
      <c r="A928" s="1">
        <v>26</v>
      </c>
      <c r="B928" s="1" t="s">
        <v>794</v>
      </c>
      <c r="C928" s="1" t="str">
        <f ca="1">IFERROR(__xludf.DUMMYFUNCTION("GOOGLETRANSLATE(B930,""en"",""ja"")"),"残ります")</f>
        <v>残ります</v>
      </c>
    </row>
    <row r="929" spans="1:3" ht="18" customHeight="1" x14ac:dyDescent="0.3">
      <c r="A929" s="1">
        <v>26</v>
      </c>
      <c r="B929" s="1" t="s">
        <v>795</v>
      </c>
      <c r="C929" s="1" t="str">
        <f ca="1">IFERROR(__xludf.DUMMYFUNCTION("GOOGLETRANSLATE(B931,""en"",""ja"")"),"再")</f>
        <v>再</v>
      </c>
    </row>
    <row r="930" spans="1:3" ht="18" customHeight="1" x14ac:dyDescent="0.3">
      <c r="A930" s="1">
        <v>26</v>
      </c>
      <c r="B930" s="1" t="s">
        <v>796</v>
      </c>
      <c r="C930" s="1" t="str">
        <f ca="1">IFERROR(__xludf.DUMMYFUNCTION("GOOGLETRANSLATE(B932,""en"",""ja"")"),"置きます")</f>
        <v>置きます</v>
      </c>
    </row>
    <row r="931" spans="1:3" ht="18" customHeight="1" x14ac:dyDescent="0.3">
      <c r="A931" s="1">
        <v>26</v>
      </c>
      <c r="B931" s="1" t="s">
        <v>797</v>
      </c>
      <c r="C931" s="1" t="str">
        <f ca="1">IFERROR(__xludf.DUMMYFUNCTION("GOOGLETRANSLATE(B933,""en"",""ja"")"),"ポリシー")</f>
        <v>ポリシー</v>
      </c>
    </row>
    <row r="932" spans="1:3" ht="18" customHeight="1" x14ac:dyDescent="0.3">
      <c r="A932" s="1">
        <v>26</v>
      </c>
      <c r="B932" s="1" t="s">
        <v>798</v>
      </c>
      <c r="C932" s="1" t="str">
        <f ca="1">IFERROR(__xludf.DUMMYFUNCTION("GOOGLETRANSLATE(B934,""en"",""ja"")"),"写真")</f>
        <v>写真</v>
      </c>
    </row>
    <row r="933" spans="1:3" ht="18" customHeight="1" x14ac:dyDescent="0.3">
      <c r="A933" s="1">
        <v>26</v>
      </c>
      <c r="B933" s="1" t="s">
        <v>799</v>
      </c>
      <c r="C933" s="1" t="str">
        <f ca="1">IFERROR(__xludf.DUMMYFUNCTION("GOOGLETRANSLATE(B935,""en"",""ja"")"),"パターン")</f>
        <v>パターン</v>
      </c>
    </row>
    <row r="934" spans="1:3" ht="18" customHeight="1" x14ac:dyDescent="0.3">
      <c r="A934" s="1">
        <v>26</v>
      </c>
      <c r="B934" s="1" t="s">
        <v>800</v>
      </c>
      <c r="C934" s="1" t="str">
        <f ca="1">IFERROR(__xludf.DUMMYFUNCTION("GOOGLETRANSLATE(B936,""en"",""ja"")"),"参加者")</f>
        <v>参加者</v>
      </c>
    </row>
    <row r="935" spans="1:3" ht="18" customHeight="1" x14ac:dyDescent="0.3">
      <c r="A935" s="1">
        <v>26</v>
      </c>
      <c r="B935" s="1" t="s">
        <v>285</v>
      </c>
      <c r="C935" s="1" t="str">
        <f ca="1">IFERROR(__xludf.DUMMYFUNCTION("GOOGLETRANSLATE(B937,""en"",""ja"")"),"モデル")</f>
        <v>モデル</v>
      </c>
    </row>
    <row r="936" spans="1:3" ht="18" customHeight="1" x14ac:dyDescent="0.3">
      <c r="A936" s="1">
        <v>26</v>
      </c>
      <c r="B936" s="1" t="s">
        <v>801</v>
      </c>
      <c r="C936" s="1" t="str">
        <f ca="1">IFERROR(__xludf.DUMMYFUNCTION("GOOGLETRANSLATE(B938,""en"",""ja"")"),"維持します")</f>
        <v>維持します</v>
      </c>
    </row>
    <row r="937" spans="1:3" ht="18" customHeight="1" x14ac:dyDescent="0.3">
      <c r="A937" s="1">
        <v>26</v>
      </c>
      <c r="B937" s="1" t="s">
        <v>593</v>
      </c>
      <c r="C937" s="1" t="str">
        <f ca="1">IFERROR(__xludf.DUMMYFUNCTION("GOOGLETRANSLATE(B939,""en"",""ja"")"),"盟主")</f>
        <v>盟主</v>
      </c>
    </row>
    <row r="938" spans="1:3" ht="18" customHeight="1" x14ac:dyDescent="0.3">
      <c r="A938" s="1">
        <v>26</v>
      </c>
      <c r="B938" s="1" t="s">
        <v>802</v>
      </c>
      <c r="C938" s="1" t="str">
        <f ca="1">IFERROR(__xludf.DUMMYFUNCTION("GOOGLETRANSLATE(B940,""en"",""ja"")"),"後")</f>
        <v>後</v>
      </c>
    </row>
    <row r="939" spans="1:3" ht="18" customHeight="1" x14ac:dyDescent="0.3">
      <c r="A939" s="1">
        <v>26</v>
      </c>
      <c r="B939" s="1" t="s">
        <v>803</v>
      </c>
      <c r="C939" s="1" t="str">
        <f ca="1">IFERROR(__xludf.DUMMYFUNCTION("GOOGLETRANSLATE(B941,""en"",""ja"")"),"遅く")</f>
        <v>遅く</v>
      </c>
    </row>
    <row r="940" spans="1:3" ht="18" customHeight="1" x14ac:dyDescent="0.3">
      <c r="A940" s="1">
        <v>26</v>
      </c>
      <c r="B940" s="1" t="s">
        <v>804</v>
      </c>
      <c r="C940" s="1" t="str">
        <f ca="1">IFERROR(__xludf.DUMMYFUNCTION("GOOGLETRANSLATE(B942,""en"",""ja"")"),"それはです")</f>
        <v>それはです</v>
      </c>
    </row>
    <row r="941" spans="1:3" ht="18" customHeight="1" x14ac:dyDescent="0.3">
      <c r="A941" s="1">
        <v>26</v>
      </c>
      <c r="B941" s="1" t="s">
        <v>614</v>
      </c>
      <c r="C941" s="1" t="str">
        <f ca="1">IFERROR(__xludf.DUMMYFUNCTION("GOOGLETRANSLATE(B943,""en"",""ja"")"),"確かに")</f>
        <v>確かに</v>
      </c>
    </row>
    <row r="942" spans="1:3" ht="18" customHeight="1" x14ac:dyDescent="0.3">
      <c r="A942" s="1">
        <v>26</v>
      </c>
      <c r="B942" s="1" t="s">
        <v>735</v>
      </c>
      <c r="C942" s="1" t="str">
        <f ca="1">IFERROR(__xludf.DUMMYFUNCTION("GOOGLETRANSLATE(B944,""en"",""ja"")"),"増加する")</f>
        <v>増加する</v>
      </c>
    </row>
    <row r="943" spans="1:3" ht="18" customHeight="1" x14ac:dyDescent="0.3">
      <c r="A943" s="1">
        <v>26</v>
      </c>
      <c r="B943" s="1" t="s">
        <v>268</v>
      </c>
      <c r="C943" s="1" t="str">
        <f ca="1">IFERROR(__xludf.DUMMYFUNCTION("GOOGLETRANSLATE(B945,""en"",""ja"")"),"事実")</f>
        <v>事実</v>
      </c>
    </row>
    <row r="944" spans="1:3" ht="18" customHeight="1" x14ac:dyDescent="0.3">
      <c r="A944" s="1">
        <v>26</v>
      </c>
      <c r="B944" s="1" t="s">
        <v>805</v>
      </c>
      <c r="C944" s="1" t="str">
        <f ca="1">IFERROR(__xludf.DUMMYFUNCTION("GOOGLETRANSLATE(B946,""en"",""ja"")"),"極めて")</f>
        <v>極めて</v>
      </c>
    </row>
    <row r="945" spans="1:3" ht="18" customHeight="1" x14ac:dyDescent="0.3">
      <c r="A945" s="1">
        <v>26</v>
      </c>
      <c r="B945" s="1" t="s">
        <v>806</v>
      </c>
      <c r="C945" s="1" t="str">
        <f ca="1">IFERROR(__xludf.DUMMYFUNCTION("GOOGLETRANSLATE(B947,""en"",""ja"")"),"教育の")</f>
        <v>教育の</v>
      </c>
    </row>
    <row r="946" spans="1:3" ht="18" customHeight="1" x14ac:dyDescent="0.3">
      <c r="A946" s="1">
        <v>26</v>
      </c>
      <c r="B946" s="1" t="s">
        <v>807</v>
      </c>
      <c r="C946" s="1" t="str">
        <f ca="1">IFERROR(__xludf.DUMMYFUNCTION("GOOGLETRANSLATE(B948,""en"",""ja"")"),"程度")</f>
        <v>程度</v>
      </c>
    </row>
    <row r="947" spans="1:3" ht="18" customHeight="1" x14ac:dyDescent="0.3">
      <c r="A947" s="1">
        <v>26</v>
      </c>
      <c r="B947" s="1" t="s">
        <v>780</v>
      </c>
      <c r="C947" s="1" t="str">
        <f ca="1">IFERROR(__xludf.DUMMYFUNCTION("GOOGLETRANSLATE(B949,""en"",""ja"")"),"日")</f>
        <v>日</v>
      </c>
    </row>
    <row r="948" spans="1:3" ht="18" customHeight="1" x14ac:dyDescent="0.3">
      <c r="A948" s="1">
        <v>26</v>
      </c>
      <c r="B948" s="1" t="s">
        <v>345</v>
      </c>
      <c r="C948" s="1" t="str">
        <f ca="1">IFERROR(__xludf.DUMMYFUNCTION("GOOGLETRANSLATE(B950,""en"",""ja"")"),"データ")</f>
        <v>データ</v>
      </c>
    </row>
    <row r="949" spans="1:3" ht="18" customHeight="1" x14ac:dyDescent="0.3">
      <c r="A949" s="1">
        <v>26</v>
      </c>
      <c r="B949" s="1" t="s">
        <v>808</v>
      </c>
      <c r="C949" s="1" t="str">
        <f ca="1">IFERROR(__xludf.DUMMYFUNCTION("GOOGLETRANSLATE(B951,""en"",""ja"")"),"調子")</f>
        <v>調子</v>
      </c>
    </row>
    <row r="950" spans="1:3" ht="18" customHeight="1" x14ac:dyDescent="0.3">
      <c r="A950" s="1">
        <v>26</v>
      </c>
      <c r="B950" s="1" t="s">
        <v>809</v>
      </c>
      <c r="C950" s="1" t="str">
        <f ca="1">IFERROR(__xludf.DUMMYFUNCTION("GOOGLETRANSLATE(B952,""en"",""ja"")"),"密接に")</f>
        <v>密接に</v>
      </c>
    </row>
    <row r="951" spans="1:3" ht="18" customHeight="1" x14ac:dyDescent="0.3">
      <c r="A951" s="1">
        <v>26</v>
      </c>
      <c r="B951" s="1" t="s">
        <v>810</v>
      </c>
      <c r="C951" s="1" t="str">
        <f ca="1">IFERROR(__xludf.DUMMYFUNCTION("GOOGLETRANSLATE(B953,""en"",""ja"")"),"仮定")</f>
        <v>仮定</v>
      </c>
    </row>
    <row r="952" spans="1:3" ht="18" customHeight="1" x14ac:dyDescent="0.3">
      <c r="A952" s="1">
        <v>26</v>
      </c>
      <c r="B952" s="1" t="s">
        <v>140</v>
      </c>
      <c r="C952" s="1" t="str">
        <f ca="1">IFERROR(__xludf.DUMMYFUNCTION("GOOGLETRANSLATE(B954,""en"",""ja"")"),"別の")</f>
        <v>別の</v>
      </c>
    </row>
    <row r="953" spans="1:3" ht="18" customHeight="1" x14ac:dyDescent="0.3">
      <c r="A953" s="1">
        <v>26</v>
      </c>
      <c r="B953" s="1" t="s">
        <v>811</v>
      </c>
      <c r="C953" s="1" t="str">
        <f ca="1">IFERROR(__xludf.DUMMYFUNCTION("GOOGLETRANSLATE(B955,""en"",""ja"")"),"ことができます")</f>
        <v>ことができます</v>
      </c>
    </row>
    <row r="954" spans="1:3" ht="18" customHeight="1" x14ac:dyDescent="0.3">
      <c r="A954" s="1">
        <v>25</v>
      </c>
      <c r="B954" s="1" t="s">
        <v>812</v>
      </c>
      <c r="C954" s="1" t="str">
        <f ca="1">IFERROR(__xludf.DUMMYFUNCTION("GOOGLETRANSLATE(B956,""en"",""ja"")"),"行ってきました")</f>
        <v>行ってきました</v>
      </c>
    </row>
    <row r="955" spans="1:3" ht="18" customHeight="1" x14ac:dyDescent="0.3">
      <c r="A955" s="1">
        <v>25</v>
      </c>
      <c r="B955" s="1" t="s">
        <v>813</v>
      </c>
      <c r="C955" s="1" t="str">
        <f ca="1">IFERROR(__xludf.DUMMYFUNCTION("GOOGLETRANSLATE(B957,""en"",""ja"")"),"景色")</f>
        <v>景色</v>
      </c>
    </row>
    <row r="956" spans="1:3" ht="18" customHeight="1" x14ac:dyDescent="0.3">
      <c r="A956" s="1">
        <v>25</v>
      </c>
      <c r="B956" s="1" t="s">
        <v>814</v>
      </c>
      <c r="C956" s="1" t="str">
        <f ca="1">IFERROR(__xludf.DUMMYFUNCTION("GOOGLETRANSLATE(B958,""en"",""ja"")"),"テレビ")</f>
        <v>テレビ</v>
      </c>
    </row>
    <row r="957" spans="1:3" ht="18" customHeight="1" x14ac:dyDescent="0.3">
      <c r="A957" s="1">
        <v>25</v>
      </c>
      <c r="B957" s="1" t="s">
        <v>815</v>
      </c>
      <c r="C957" s="1" t="str">
        <f ca="1">IFERROR(__xludf.DUMMYFUNCTION("GOOGLETRANSLATE(B959,""en"",""ja"")"),"木")</f>
        <v>木</v>
      </c>
    </row>
    <row r="958" spans="1:3" ht="18" customHeight="1" x14ac:dyDescent="0.3">
      <c r="A958" s="1">
        <v>25</v>
      </c>
      <c r="B958" s="1" t="s">
        <v>816</v>
      </c>
      <c r="C958" s="1" t="str">
        <f ca="1">IFERROR(__xludf.DUMMYFUNCTION("GOOGLETRANSLATE(B960,""en"",""ja"")"),"上")</f>
        <v>上</v>
      </c>
    </row>
    <row r="959" spans="1:3" ht="18" customHeight="1" x14ac:dyDescent="0.3">
      <c r="A959" s="1">
        <v>25</v>
      </c>
      <c r="B959" s="1" t="s">
        <v>414</v>
      </c>
      <c r="C959" s="1" t="str">
        <f ca="1">IFERROR(__xludf.DUMMYFUNCTION("GOOGLETRANSLATE(B961,""en"",""ja"")"),"構造")</f>
        <v>構造</v>
      </c>
    </row>
    <row r="960" spans="1:3" ht="18" customHeight="1" x14ac:dyDescent="0.3">
      <c r="A960" s="1">
        <v>25</v>
      </c>
      <c r="B960" s="1" t="s">
        <v>817</v>
      </c>
      <c r="C960" s="1" t="str">
        <f ca="1">IFERROR(__xludf.DUMMYFUNCTION("GOOGLETRANSLATE(B962,""en"",""ja"")"),"悪意")</f>
        <v>悪意</v>
      </c>
    </row>
    <row r="961" spans="1:3" ht="18" customHeight="1" x14ac:dyDescent="0.3">
      <c r="A961" s="1">
        <v>25</v>
      </c>
      <c r="B961" s="1" t="s">
        <v>818</v>
      </c>
      <c r="C961" s="1" t="str">
        <f ca="1">IFERROR(__xludf.DUMMYFUNCTION("GOOGLETRANSLATE(B963,""en"",""ja"")"),"費やす")</f>
        <v>費やす</v>
      </c>
    </row>
    <row r="962" spans="1:3" ht="18" customHeight="1" x14ac:dyDescent="0.3">
      <c r="A962" s="1">
        <v>25</v>
      </c>
      <c r="B962" s="1" t="s">
        <v>175</v>
      </c>
      <c r="C962" s="1" t="str">
        <f ca="1">IFERROR(__xludf.DUMMYFUNCTION("GOOGLETRANSLATE(B964,""en"",""ja"")"),"ソース")</f>
        <v>ソース</v>
      </c>
    </row>
    <row r="963" spans="1:3" ht="18" customHeight="1" x14ac:dyDescent="0.3">
      <c r="A963" s="1">
        <v>25</v>
      </c>
      <c r="B963" s="1" t="s">
        <v>239</v>
      </c>
      <c r="C963" s="1" t="str">
        <f ca="1">IFERROR(__xludf.DUMMYFUNCTION("GOOGLETRANSLATE(B965,""en"",""ja"")"),"結果")</f>
        <v>結果</v>
      </c>
    </row>
    <row r="964" spans="1:3" ht="18" customHeight="1" x14ac:dyDescent="0.3">
      <c r="A964" s="1">
        <v>25</v>
      </c>
      <c r="B964" s="1" t="s">
        <v>819</v>
      </c>
      <c r="C964" s="1" t="str">
        <f ca="1">IFERROR(__xludf.DUMMYFUNCTION("GOOGLETRANSLATE(B966,""en"",""ja"")"),"表し")</f>
        <v>表し</v>
      </c>
    </row>
    <row r="965" spans="1:3" ht="18" customHeight="1" x14ac:dyDescent="0.3">
      <c r="A965" s="1">
        <v>25</v>
      </c>
      <c r="B965" s="1" t="s">
        <v>820</v>
      </c>
      <c r="C965" s="1" t="str">
        <f ca="1">IFERROR(__xludf.DUMMYFUNCTION("GOOGLETRANSLATE(B967,""en"",""ja"")"),"おそらく")</f>
        <v>おそらく</v>
      </c>
    </row>
    <row r="966" spans="1:3" ht="18" customHeight="1" x14ac:dyDescent="0.3">
      <c r="A966" s="1">
        <v>25</v>
      </c>
      <c r="B966" s="1" t="s">
        <v>821</v>
      </c>
      <c r="C966" s="1" t="str">
        <f ca="1">IFERROR(__xludf.DUMMYFUNCTION("GOOGLETRANSLATE(B968,""en"",""ja"")"),"人")</f>
        <v>人</v>
      </c>
    </row>
    <row r="967" spans="1:3" ht="18" customHeight="1" x14ac:dyDescent="0.3">
      <c r="A967" s="1">
        <v>25</v>
      </c>
      <c r="B967" s="1" t="s">
        <v>178</v>
      </c>
      <c r="C967" s="1" t="str">
        <f ca="1">IFERROR(__xludf.DUMMYFUNCTION("GOOGLETRANSLATE(B969,""en"",""ja"")"),"段落")</f>
        <v>段落</v>
      </c>
    </row>
    <row r="968" spans="1:3" ht="18" customHeight="1" x14ac:dyDescent="0.3">
      <c r="A968" s="1">
        <v>25</v>
      </c>
      <c r="B968" s="1" t="s">
        <v>353</v>
      </c>
      <c r="C968" s="1" t="str">
        <f ca="1">IFERROR(__xludf.DUMMYFUNCTION("GOOGLETRANSLATE(B970,""en"",""ja"")"),"開いた")</f>
        <v>開いた</v>
      </c>
    </row>
    <row r="969" spans="1:3" ht="18" customHeight="1" x14ac:dyDescent="0.3">
      <c r="A969" s="1">
        <v>25</v>
      </c>
      <c r="B969" s="1" t="s">
        <v>822</v>
      </c>
      <c r="C969" s="1" t="str">
        <f ca="1">IFERROR(__xludf.DUMMYFUNCTION("GOOGLETRANSLATE(B971,""en"",""ja"")"),"新聞")</f>
        <v>新聞</v>
      </c>
    </row>
    <row r="970" spans="1:3" ht="18" customHeight="1" x14ac:dyDescent="0.3">
      <c r="A970" s="1">
        <v>25</v>
      </c>
      <c r="B970" s="1" t="s">
        <v>823</v>
      </c>
      <c r="C970" s="1" t="str">
        <f ca="1">IFERROR(__xludf.DUMMYFUNCTION("GOOGLETRANSLATE(B972,""en"",""ja"")"),"関心")</f>
        <v>関心</v>
      </c>
    </row>
    <row r="971" spans="1:3" ht="18" customHeight="1" x14ac:dyDescent="0.3">
      <c r="A971" s="1">
        <v>25</v>
      </c>
      <c r="B971" s="1" t="s">
        <v>824</v>
      </c>
      <c r="C971" s="1" t="str">
        <f ca="1">IFERROR(__xludf.DUMMYFUNCTION("GOOGLETRANSLATE(B973,""en"",""ja"")"),"改善します")</f>
        <v>改善します</v>
      </c>
    </row>
    <row r="972" spans="1:3" ht="18" customHeight="1" x14ac:dyDescent="0.3">
      <c r="A972" s="1">
        <v>25</v>
      </c>
      <c r="B972" s="1" t="s">
        <v>56</v>
      </c>
      <c r="C972" s="1" t="str">
        <f ca="1">IFERROR(__xludf.DUMMYFUNCTION("GOOGLETRANSLATE(B974,""en"",""ja"")"),"もし")</f>
        <v>もし</v>
      </c>
    </row>
    <row r="973" spans="1:3" ht="18" customHeight="1" x14ac:dyDescent="0.3">
      <c r="A973" s="1">
        <v>25</v>
      </c>
      <c r="B973" s="1" t="s">
        <v>825</v>
      </c>
      <c r="C973" s="1" t="str">
        <f ca="1">IFERROR(__xludf.DUMMYFUNCTION("GOOGLETRANSLATE(B975,""en"",""ja"")"),"最高の")</f>
        <v>最高の</v>
      </c>
    </row>
    <row r="974" spans="1:3" ht="18" customHeight="1" x14ac:dyDescent="0.3">
      <c r="A974" s="1">
        <v>25</v>
      </c>
      <c r="B974" s="1" t="s">
        <v>826</v>
      </c>
      <c r="C974" s="1" t="str">
        <f ca="1">IFERROR(__xludf.DUMMYFUNCTION("GOOGLETRANSLATE(B976,""en"",""ja"")"),"世代")</f>
        <v>世代</v>
      </c>
    </row>
    <row r="975" spans="1:3" ht="18" customHeight="1" x14ac:dyDescent="0.3">
      <c r="A975" s="1">
        <v>25</v>
      </c>
      <c r="B975" s="1" t="s">
        <v>432</v>
      </c>
      <c r="C975" s="1" t="str">
        <f ca="1">IFERROR(__xludf.DUMMYFUNCTION("GOOGLETRANSLATE(B977,""en"",""ja"")"),"さらに")</f>
        <v>さらに</v>
      </c>
    </row>
    <row r="976" spans="1:3" ht="18" customHeight="1" x14ac:dyDescent="0.3">
      <c r="A976" s="1">
        <v>25</v>
      </c>
      <c r="B976" s="1" t="s">
        <v>827</v>
      </c>
      <c r="C976" s="1" t="str">
        <f ca="1">IFERROR(__xludf.DUMMYFUNCTION("GOOGLETRANSLATE(B978,""en"",""ja"")"),"フェルト")</f>
        <v>フェルト</v>
      </c>
    </row>
    <row r="977" spans="1:3" ht="18" customHeight="1" x14ac:dyDescent="0.3">
      <c r="A977" s="1">
        <v>25</v>
      </c>
      <c r="B977" s="1" t="s">
        <v>828</v>
      </c>
      <c r="C977" s="1" t="str">
        <f ca="1">IFERROR(__xludf.DUMMYFUNCTION("GOOGLETRANSLATE(B979,""en"",""ja"")"),"が存在")</f>
        <v>が存在</v>
      </c>
    </row>
    <row r="978" spans="1:3" ht="18" customHeight="1" x14ac:dyDescent="0.3">
      <c r="A978" s="1">
        <v>25</v>
      </c>
      <c r="B978" s="1" t="s">
        <v>829</v>
      </c>
      <c r="C978" s="1" t="str">
        <f ca="1">IFERROR(__xludf.DUMMYFUNCTION("GOOGLETRANSLATE(B980,""en"",""ja"")"),"深い")</f>
        <v>深い</v>
      </c>
    </row>
    <row r="979" spans="1:3" ht="18" customHeight="1" x14ac:dyDescent="0.3">
      <c r="A979" s="1">
        <v>25</v>
      </c>
      <c r="B979" s="1" t="s">
        <v>830</v>
      </c>
      <c r="C979" s="1" t="str">
        <f ca="1">IFERROR(__xludf.DUMMYFUNCTION("GOOGLETRANSLATE(B981,""en"",""ja"")"),"チャールズ")</f>
        <v>チャールズ</v>
      </c>
    </row>
    <row r="980" spans="1:3" ht="18" customHeight="1" x14ac:dyDescent="0.3">
      <c r="A980" s="1">
        <v>25</v>
      </c>
      <c r="B980" s="1" t="s">
        <v>474</v>
      </c>
      <c r="C980" s="1" t="str">
        <f ca="1">IFERROR(__xludf.DUMMYFUNCTION("GOOGLETRANSLATE(B982,""en"",""ja"")"),"ベギン")</f>
        <v>ベギン</v>
      </c>
    </row>
    <row r="981" spans="1:3" ht="18" customHeight="1" x14ac:dyDescent="0.3">
      <c r="A981" s="1">
        <v>25</v>
      </c>
      <c r="B981" s="1" t="s">
        <v>220</v>
      </c>
      <c r="C981" s="1" t="str">
        <f ca="1">IFERROR(__xludf.DUMMYFUNCTION("GOOGLETRANSLATE(B983,""en"",""ja"")"),"著者")</f>
        <v>著者</v>
      </c>
    </row>
    <row r="982" spans="1:3" ht="18" customHeight="1" x14ac:dyDescent="0.3">
      <c r="A982" s="1">
        <v>25</v>
      </c>
      <c r="B982" s="1" t="s">
        <v>831</v>
      </c>
      <c r="C982" s="1" t="str">
        <f ca="1">IFERROR(__xludf.DUMMYFUNCTION("GOOGLETRANSLATE(B984,""en"",""ja"")"),"側面")</f>
        <v>側面</v>
      </c>
    </row>
    <row r="983" spans="1:3" ht="18" customHeight="1" x14ac:dyDescent="0.3">
      <c r="A983" s="1">
        <v>25</v>
      </c>
      <c r="B983" s="1" t="s">
        <v>584</v>
      </c>
      <c r="C983" s="1" t="str">
        <f ca="1">IFERROR(__xludf.DUMMYFUNCTION("GOOGLETRANSLATE(B985,""en"",""ja"")"),"擬人化")</f>
        <v>擬人化</v>
      </c>
    </row>
    <row r="984" spans="1:3" ht="18" customHeight="1" x14ac:dyDescent="0.3">
      <c r="A984" s="1">
        <v>25</v>
      </c>
      <c r="B984" s="1" t="s">
        <v>832</v>
      </c>
      <c r="C984" s="1" t="str">
        <f ca="1">IFERROR(__xludf.DUMMYFUNCTION("GOOGLETRANSLATE(B986,""en"",""ja"")"),"祖先")</f>
        <v>祖先</v>
      </c>
    </row>
    <row r="985" spans="1:3" ht="18" customHeight="1" x14ac:dyDescent="0.3">
      <c r="A985" s="1">
        <v>24</v>
      </c>
      <c r="B985" s="1" t="s">
        <v>833</v>
      </c>
      <c r="C985" s="1" t="str">
        <f ca="1">IFERROR(__xludf.DUMMYFUNCTION("GOOGLETRANSLATE(B987,""en"",""ja"")"),"無駄")</f>
        <v>無駄</v>
      </c>
    </row>
    <row r="986" spans="1:3" ht="18" customHeight="1" x14ac:dyDescent="0.3">
      <c r="A986" s="1">
        <v>24</v>
      </c>
      <c r="B986" s="1" t="s">
        <v>316</v>
      </c>
      <c r="C986" s="1" t="str">
        <f ca="1">IFERROR(__xludf.DUMMYFUNCTION("GOOGLETRANSLATE(B988,""en"",""ja"")"),"暖かいです")</f>
        <v>暖かいです</v>
      </c>
    </row>
    <row r="987" spans="1:3" ht="18" customHeight="1" x14ac:dyDescent="0.3">
      <c r="A987" s="1">
        <v>24</v>
      </c>
      <c r="B987" s="1" t="s">
        <v>834</v>
      </c>
      <c r="C987" s="1" t="str">
        <f ca="1">IFERROR(__xludf.DUMMYFUNCTION("GOOGLETRANSLATE(B989,""en"",""ja"")"),"多様")</f>
        <v>多様</v>
      </c>
    </row>
    <row r="988" spans="1:3" ht="18" customHeight="1" x14ac:dyDescent="0.3">
      <c r="A988" s="1">
        <v>24</v>
      </c>
      <c r="B988" s="1" t="s">
        <v>835</v>
      </c>
      <c r="C988" s="1" t="str">
        <f ca="1">IFERROR(__xludf.DUMMYFUNCTION("GOOGLETRANSLATE(B990,""en"",""ja"")"),"第三")</f>
        <v>第三</v>
      </c>
    </row>
    <row r="989" spans="1:3" ht="18" customHeight="1" x14ac:dyDescent="0.3">
      <c r="A989" s="1">
        <v>24</v>
      </c>
      <c r="B989" s="1" t="s">
        <v>836</v>
      </c>
      <c r="C989" s="1" t="str">
        <f ca="1">IFERROR(__xludf.DUMMYFUNCTION("GOOGLETRANSLATE(B991,""en"",""ja"")"),"教える")</f>
        <v>教える</v>
      </c>
    </row>
    <row r="990" spans="1:3" ht="18" customHeight="1" x14ac:dyDescent="0.3">
      <c r="A990" s="1">
        <v>24</v>
      </c>
      <c r="B990" s="1" t="s">
        <v>838</v>
      </c>
      <c r="C990" s="1" t="str">
        <f ca="1">IFERROR(__xludf.DUMMYFUNCTION("GOOGLETRANSLATE(B994,""en"",""ja"")"),"画面")</f>
        <v>画面</v>
      </c>
    </row>
    <row r="991" spans="1:3" ht="18" customHeight="1" x14ac:dyDescent="0.3">
      <c r="A991" s="1">
        <v>24</v>
      </c>
      <c r="B991" s="1" t="s">
        <v>839</v>
      </c>
      <c r="C991" s="1" t="str">
        <f ca="1">IFERROR(__xludf.DUMMYFUNCTION("GOOGLETRANSLATE(B995,""en"",""ja"")"),"責任者")</f>
        <v>責任者</v>
      </c>
    </row>
    <row r="992" spans="1:3" ht="18" customHeight="1" x14ac:dyDescent="0.3">
      <c r="A992" s="1">
        <v>24</v>
      </c>
      <c r="B992" s="1" t="s">
        <v>840</v>
      </c>
      <c r="C992" s="1" t="str">
        <f ca="1">IFERROR(__xludf.DUMMYFUNCTION("GOOGLETRANSLATE(B996,""en"",""ja"")"),"指し、")</f>
        <v>指し、</v>
      </c>
    </row>
    <row r="993" spans="1:3" ht="18" customHeight="1" x14ac:dyDescent="0.3">
      <c r="A993" s="1">
        <v>24</v>
      </c>
      <c r="B993" s="1" t="s">
        <v>841</v>
      </c>
      <c r="C993" s="1" t="str">
        <f ca="1">IFERROR(__xludf.DUMMYFUNCTION("GOOGLETRANSLATE(B997,""en"",""ja"")"),"心理学的")</f>
        <v>心理学的</v>
      </c>
    </row>
    <row r="994" spans="1:3" ht="18" customHeight="1" x14ac:dyDescent="0.3">
      <c r="A994" s="1">
        <v>24</v>
      </c>
      <c r="B994" s="1" t="s">
        <v>842</v>
      </c>
      <c r="C994" s="1" t="str">
        <f ca="1">IFERROR(__xludf.DUMMYFUNCTION("GOOGLETRANSLATE(B998,""en"",""ja"")"),"潜在的な")</f>
        <v>潜在的な</v>
      </c>
    </row>
    <row r="995" spans="1:3" ht="18" customHeight="1" x14ac:dyDescent="0.3">
      <c r="A995" s="1">
        <v>24</v>
      </c>
      <c r="B995" s="1" t="s">
        <v>843</v>
      </c>
      <c r="C995" s="1" t="str">
        <f ca="1">IFERROR(__xludf.DUMMYFUNCTION("GOOGLETRANSLATE(B999,""en"",""ja"")"),"あたり")</f>
        <v>あたり</v>
      </c>
    </row>
    <row r="996" spans="1:3" ht="18" customHeight="1" x14ac:dyDescent="0.3">
      <c r="A996" s="1">
        <v>24</v>
      </c>
      <c r="B996" s="1" t="s">
        <v>844</v>
      </c>
      <c r="C996" s="1" t="str">
        <f ca="1">IFERROR(__xludf.DUMMYFUNCTION("GOOGLETRANSLATE(B1000,""en"",""ja"")"),"オーガニック")</f>
        <v>オーガニック</v>
      </c>
    </row>
    <row r="997" spans="1:3" ht="18" customHeight="1" x14ac:dyDescent="0.3">
      <c r="A997" s="1">
        <v>24</v>
      </c>
      <c r="B997" s="1" t="s">
        <v>845</v>
      </c>
      <c r="C997" s="1" t="str">
        <f ca="1">IFERROR(__xludf.DUMMYFUNCTION("GOOGLETRANSLATE(B1001,""en"",""ja"")"),"一般")</f>
        <v>一般</v>
      </c>
    </row>
    <row r="998" spans="1:3" ht="18" customHeight="1" x14ac:dyDescent="0.3">
      <c r="A998" s="1">
        <v>24</v>
      </c>
      <c r="B998" s="1" t="s">
        <v>846</v>
      </c>
      <c r="C998" s="1" t="str">
        <f ca="1">IFERROR(__xludf.DUMMYFUNCTION("GOOGLETRANSLATE(B1002,""en"",""ja"")"),"目的")</f>
        <v>目的</v>
      </c>
    </row>
    <row r="999" spans="1:3" ht="18" customHeight="1" x14ac:dyDescent="0.3">
      <c r="A999" s="1">
        <v>24</v>
      </c>
      <c r="B999" s="1" t="s">
        <v>669</v>
      </c>
      <c r="C999" s="1" t="str">
        <f ca="1">IFERROR(__xludf.DUMMYFUNCTION("GOOGLETRANSLATE(B1003,""en"",""ja"")"),"お金")</f>
        <v>お金</v>
      </c>
    </row>
    <row r="1000" spans="1:3" ht="18" customHeight="1" x14ac:dyDescent="0.3">
      <c r="A1000" s="1">
        <v>24</v>
      </c>
      <c r="B1000" s="1" t="s">
        <v>847</v>
      </c>
      <c r="C1000" s="1" t="str">
        <f ca="1">IFERROR(__xludf.DUMMYFUNCTION("GOOGLETRANSLATE(B1004,""en"",""ja"")"),"中間")</f>
        <v>中間</v>
      </c>
    </row>
    <row r="1001" spans="1:3" ht="18" customHeight="1" x14ac:dyDescent="0.3">
      <c r="A1001" s="1">
        <v>24</v>
      </c>
      <c r="B1001" s="1" t="s">
        <v>848</v>
      </c>
      <c r="C1001" s="1" t="str">
        <f ca="1">IFERROR(__xludf.DUMMYFUNCTION("GOOGLETRANSLATE(B1005,""en"",""ja"")"),"単に")</f>
        <v>単に</v>
      </c>
    </row>
    <row r="1002" spans="1:3" ht="18" customHeight="1" x14ac:dyDescent="0.3">
      <c r="A1002" s="1">
        <v>24</v>
      </c>
      <c r="B1002" s="1" t="s">
        <v>849</v>
      </c>
      <c r="C1002" s="1" t="str">
        <f ca="1">IFERROR(__xludf.DUMMYFUNCTION("GOOGLETRANSLATE(B1006,""en"",""ja"")"),"種類")</f>
        <v>種類</v>
      </c>
    </row>
    <row r="1003" spans="1:3" ht="18" customHeight="1" x14ac:dyDescent="0.3">
      <c r="A1003" s="1">
        <v>24</v>
      </c>
      <c r="B1003" s="1" t="s">
        <v>850</v>
      </c>
      <c r="C1003" s="1" t="str">
        <f ca="1">IFERROR(__xludf.DUMMYFUNCTION("GOOGLETRANSLATE(B1007,""en"",""ja"")"),"関与")</f>
        <v>関与</v>
      </c>
    </row>
    <row r="1004" spans="1:3" ht="18" customHeight="1" x14ac:dyDescent="0.3">
      <c r="A1004" s="1">
        <v>24</v>
      </c>
      <c r="B1004" s="1" t="s">
        <v>823</v>
      </c>
      <c r="C1004" s="1" t="str">
        <f ca="1">IFERROR(__xludf.DUMMYFUNCTION("GOOGLETRANSLATE(B1008,""en"",""ja"")"),"関心")</f>
        <v>関心</v>
      </c>
    </row>
    <row r="1005" spans="1:3" ht="18" customHeight="1" x14ac:dyDescent="0.3">
      <c r="A1005" s="1">
        <v>24</v>
      </c>
      <c r="B1005" s="1" t="s">
        <v>851</v>
      </c>
      <c r="C1005" s="1" t="str">
        <f ca="1">IFERROR(__xludf.DUMMYFUNCTION("GOOGLETRANSLATE(B1009,""en"",""ja"")"),"示す")</f>
        <v>示す</v>
      </c>
    </row>
    <row r="1006" spans="1:3" ht="18" customHeight="1" x14ac:dyDescent="0.3">
      <c r="A1006" s="1">
        <v>24</v>
      </c>
      <c r="B1006" s="1" t="s">
        <v>852</v>
      </c>
      <c r="C1006" s="1" t="str">
        <f ca="1">IFERROR(__xludf.DUMMYFUNCTION("GOOGLETRANSLATE(B1010,""en"",""ja"")"),"影響")</f>
        <v>影響</v>
      </c>
    </row>
    <row r="1007" spans="1:3" ht="18" customHeight="1" x14ac:dyDescent="0.3">
      <c r="A1007" s="1">
        <v>24</v>
      </c>
      <c r="B1007" s="1" t="s">
        <v>853</v>
      </c>
      <c r="C1007" s="1" t="str">
        <f ca="1">IFERROR(__xludf.DUMMYFUNCTION("GOOGLETRANSLATE(B1011,""en"",""ja"")"),"即座")</f>
        <v>即座</v>
      </c>
    </row>
    <row r="1008" spans="1:3" ht="18" customHeight="1" x14ac:dyDescent="0.3">
      <c r="A1008" s="1">
        <v>24</v>
      </c>
      <c r="B1008" s="1" t="s">
        <v>854</v>
      </c>
      <c r="C1008" s="1" t="str">
        <f ca="1">IFERROR(__xludf.DUMMYFUNCTION("GOOGLETRANSLATE(B1012,""en"",""ja"")"),"ホルモン")</f>
        <v>ホルモン</v>
      </c>
    </row>
    <row r="1009" spans="1:3" ht="18" customHeight="1" x14ac:dyDescent="0.3">
      <c r="A1009" s="1">
        <v>24</v>
      </c>
      <c r="B1009" s="1" t="s">
        <v>277</v>
      </c>
      <c r="C1009" s="1" t="str">
        <f ca="1">IFERROR(__xludf.DUMMYFUNCTION("GOOGLETRANSLATE(B1013,""en"",""ja"")"),"グループ")</f>
        <v>グループ</v>
      </c>
    </row>
    <row r="1010" spans="1:3" ht="18" customHeight="1" x14ac:dyDescent="0.3">
      <c r="A1010" s="1">
        <v>24</v>
      </c>
      <c r="B1010" s="1" t="s">
        <v>192</v>
      </c>
      <c r="C1010" s="1" t="str">
        <f ca="1">IFERROR(__xludf.DUMMYFUNCTION("GOOGLETRANSLATE(B1014,""en"",""ja"")"),"祭り")</f>
        <v>祭り</v>
      </c>
    </row>
    <row r="1011" spans="1:3" ht="18" customHeight="1" x14ac:dyDescent="0.3">
      <c r="A1011" s="1">
        <v>24</v>
      </c>
      <c r="B1011" s="1" t="s">
        <v>855</v>
      </c>
      <c r="C1011" s="1" t="str">
        <f ca="1">IFERROR(__xludf.DUMMYFUNCTION("GOOGLETRANSLATE(B1015,""en"",""ja"")"),"エネルギー")</f>
        <v>エネルギー</v>
      </c>
    </row>
    <row r="1012" spans="1:3" ht="18" customHeight="1" x14ac:dyDescent="0.3">
      <c r="A1012" s="1">
        <v>24</v>
      </c>
      <c r="B1012" s="1" t="s">
        <v>856</v>
      </c>
      <c r="C1012" s="1" t="str">
        <f ca="1">IFERROR(__xludf.DUMMYFUNCTION("GOOGLETRANSLATE(B1016,""en"",""ja"")"),"要素")</f>
        <v>要素</v>
      </c>
    </row>
    <row r="1013" spans="1:3" ht="18" customHeight="1" x14ac:dyDescent="0.3">
      <c r="A1013" s="1">
        <v>24</v>
      </c>
      <c r="B1013" s="1" t="s">
        <v>857</v>
      </c>
      <c r="C1013" s="1" t="str">
        <f ca="1">IFERROR(__xludf.DUMMYFUNCTION("GOOGLETRANSLATE(B1017,""en"",""ja"")"),"効果")</f>
        <v>効果</v>
      </c>
    </row>
    <row r="1014" spans="1:3" ht="18" customHeight="1" x14ac:dyDescent="0.3">
      <c r="A1014" s="1">
        <v>24</v>
      </c>
      <c r="B1014" s="1" t="s">
        <v>858</v>
      </c>
      <c r="C1014" s="1" t="str">
        <f ca="1">IFERROR(__xludf.DUMMYFUNCTION("GOOGLETRANSLATE(B1018,""en"",""ja"")"),"効果")</f>
        <v>効果</v>
      </c>
    </row>
    <row r="1015" spans="1:3" ht="18" customHeight="1" x14ac:dyDescent="0.3">
      <c r="A1015" s="1">
        <v>24</v>
      </c>
      <c r="B1015" s="1" t="s">
        <v>859</v>
      </c>
      <c r="C1015" s="1" t="str">
        <f ca="1">IFERROR(__xludf.DUMMYFUNCTION("GOOGLETRANSLATE(B1019,""en"",""ja"")"),"より簡単に")</f>
        <v>より簡単に</v>
      </c>
    </row>
    <row r="1016" spans="1:3" ht="18" customHeight="1" x14ac:dyDescent="0.3">
      <c r="A1016" s="1">
        <v>24</v>
      </c>
      <c r="B1016" s="1" t="s">
        <v>860</v>
      </c>
      <c r="C1016" s="1" t="str">
        <f ca="1">IFERROR(__xludf.DUMMYFUNCTION("GOOGLETRANSLATE(B1020,""en"",""ja"")"),"直接")</f>
        <v>直接</v>
      </c>
    </row>
    <row r="1017" spans="1:3" ht="18" customHeight="1" x14ac:dyDescent="0.3">
      <c r="A1017" s="1">
        <v>24</v>
      </c>
      <c r="B1017" s="1" t="s">
        <v>861</v>
      </c>
      <c r="C1017" s="1" t="str">
        <f ca="1">IFERROR(__xludf.DUMMYFUNCTION("GOOGLETRANSLATE(B1021,""en"",""ja"")"),"破壊")</f>
        <v>破壊</v>
      </c>
    </row>
    <row r="1018" spans="1:3" ht="18" customHeight="1" x14ac:dyDescent="0.3">
      <c r="A1018" s="1">
        <v>24</v>
      </c>
      <c r="B1018" s="1" t="s">
        <v>862</v>
      </c>
      <c r="C1018" s="1" t="str">
        <f ca="1">IFERROR(__xludf.DUMMYFUNCTION("GOOGLETRANSLATE(B1022,""en"",""ja"")"),"述べます")</f>
        <v>述べます</v>
      </c>
    </row>
    <row r="1019" spans="1:3" ht="18" customHeight="1" x14ac:dyDescent="0.3">
      <c r="A1019" s="1">
        <v>24</v>
      </c>
      <c r="B1019" s="1" t="s">
        <v>863</v>
      </c>
      <c r="C1019" s="1" t="str">
        <f ca="1">IFERROR(__xludf.DUMMYFUNCTION("GOOGLETRANSLATE(B1023,""en"",""ja"")"),"続け")</f>
        <v>続け</v>
      </c>
    </row>
    <row r="1020" spans="1:3" ht="18" customHeight="1" x14ac:dyDescent="0.3">
      <c r="A1020" s="1">
        <v>24</v>
      </c>
      <c r="B1020" s="1" t="s">
        <v>864</v>
      </c>
      <c r="C1020" s="1" t="str">
        <f ca="1">IFERROR(__xludf.DUMMYFUNCTION("GOOGLETRANSLATE(B1024,""en"",""ja"")"),"コード")</f>
        <v>コード</v>
      </c>
    </row>
    <row r="1021" spans="1:3" ht="18" customHeight="1" x14ac:dyDescent="0.3">
      <c r="A1021" s="1">
        <v>24</v>
      </c>
      <c r="B1021" s="1" t="s">
        <v>865</v>
      </c>
      <c r="C1021" s="1" t="str">
        <f ca="1">IFERROR(__xludf.DUMMYFUNCTION("GOOGLETRANSLATE(B1025,""en"",""ja"")"),"教会")</f>
        <v>教会</v>
      </c>
    </row>
    <row r="1022" spans="1:3" ht="18" customHeight="1" x14ac:dyDescent="0.3">
      <c r="A1022" s="1">
        <v>24</v>
      </c>
      <c r="B1022" s="1" t="s">
        <v>866</v>
      </c>
      <c r="C1022" s="1" t="str">
        <f ca="1">IFERROR(__xludf.DUMMYFUNCTION("GOOGLETRANSLATE(B1026,""en"",""ja"")"),"買い取り")</f>
        <v>買い取り</v>
      </c>
    </row>
    <row r="1023" spans="1:3" ht="18" customHeight="1" x14ac:dyDescent="0.3">
      <c r="A1023" s="1">
        <v>24</v>
      </c>
      <c r="B1023" s="1" t="s">
        <v>867</v>
      </c>
      <c r="C1023" s="1" t="str">
        <f ca="1">IFERROR(__xludf.DUMMYFUNCTION("GOOGLETRANSLATE(B1027,""en"",""ja"")"),"育種")</f>
        <v>育種</v>
      </c>
    </row>
    <row r="1024" spans="1:3" ht="18" customHeight="1" x14ac:dyDescent="0.3">
      <c r="A1024" s="1">
        <v>24</v>
      </c>
      <c r="B1024" s="1" t="s">
        <v>868</v>
      </c>
      <c r="C1024" s="1" t="str">
        <f ca="1">IFERROR(__xludf.DUMMYFUNCTION("GOOGLETRANSLATE(B1028,""en"",""ja"")"),"体")</f>
        <v>体</v>
      </c>
    </row>
    <row r="1025" spans="1:3" ht="18" customHeight="1" x14ac:dyDescent="0.3">
      <c r="A1025" s="1">
        <v>24</v>
      </c>
      <c r="B1025" s="1" t="s">
        <v>100</v>
      </c>
      <c r="C1025" s="1" t="str">
        <f ca="1">IFERROR(__xludf.DUMMYFUNCTION("GOOGLETRANSLATE(B1029,""en"",""ja"")"),"B")</f>
        <v>B</v>
      </c>
    </row>
    <row r="1026" spans="1:3" ht="18" customHeight="1" x14ac:dyDescent="0.3">
      <c r="A1026" s="1">
        <v>24</v>
      </c>
      <c r="B1026" s="1" t="s">
        <v>869</v>
      </c>
      <c r="C1026" s="1" t="str">
        <f ca="1">IFERROR(__xludf.DUMMYFUNCTION("GOOGLETRANSLATE(B1030,""en"",""ja"")"),"試み")</f>
        <v>試み</v>
      </c>
    </row>
    <row r="1027" spans="1:3" ht="18" customHeight="1" x14ac:dyDescent="0.3">
      <c r="A1027" s="1">
        <v>24</v>
      </c>
      <c r="B1027" s="1" t="s">
        <v>870</v>
      </c>
      <c r="C1027" s="1" t="str">
        <f ca="1">IFERROR(__xludf.DUMMYFUNCTION("GOOGLETRANSLATE(B1031,""en"",""ja"")"),"仲間")</f>
        <v>仲間</v>
      </c>
    </row>
    <row r="1028" spans="1:3" ht="18" customHeight="1" x14ac:dyDescent="0.3">
      <c r="A1028" s="1">
        <v>24</v>
      </c>
      <c r="B1028" s="1" t="s">
        <v>871</v>
      </c>
      <c r="C1028" s="1" t="str">
        <f ca="1">IFERROR(__xludf.DUMMYFUNCTION("GOOGLETRANSLATE(B1032,""en"",""ja"")"),"アート")</f>
        <v>アート</v>
      </c>
    </row>
    <row r="1029" spans="1:3" ht="18" customHeight="1" x14ac:dyDescent="0.3">
      <c r="A1029" s="1">
        <v>24</v>
      </c>
      <c r="B1029" s="1" t="s">
        <v>872</v>
      </c>
      <c r="C1029" s="1" t="str">
        <f ca="1">IFERROR(__xludf.DUMMYFUNCTION("GOOGLETRANSLATE(B1033,""en"",""ja"")"),"アグレッシブ")</f>
        <v>アグレッシブ</v>
      </c>
    </row>
    <row r="1030" spans="1:3" ht="18" customHeight="1" x14ac:dyDescent="0.3">
      <c r="A1030" s="1">
        <v>23</v>
      </c>
      <c r="B1030" s="1" t="s">
        <v>873</v>
      </c>
      <c r="C1030" s="1" t="str">
        <f ca="1">IFERROR(__xludf.DUMMYFUNCTION("GOOGLETRANSLATE(B1034,""en"",""ja"")"),"自分自身")</f>
        <v>自分自身</v>
      </c>
    </row>
    <row r="1031" spans="1:3" ht="18" customHeight="1" x14ac:dyDescent="0.3">
      <c r="A1031" s="1">
        <v>23</v>
      </c>
      <c r="B1031" s="1" t="s">
        <v>874</v>
      </c>
      <c r="C1031" s="1" t="str">
        <f ca="1">IFERROR(__xludf.DUMMYFUNCTION("GOOGLETRANSLATE(B1035,""en"",""ja"")"),"ワークス")</f>
        <v>ワークス</v>
      </c>
    </row>
    <row r="1032" spans="1:3" ht="18" customHeight="1" x14ac:dyDescent="0.3">
      <c r="A1032" s="1">
        <v>23</v>
      </c>
      <c r="B1032" s="1" t="s">
        <v>875</v>
      </c>
      <c r="C1032" s="1" t="str">
        <f ca="1">IFERROR(__xludf.DUMMYFUNCTION("GOOGLETRANSLATE(B1036,""en"",""ja"")"),"ウェブ")</f>
        <v>ウェブ</v>
      </c>
    </row>
    <row r="1033" spans="1:3" ht="18" customHeight="1" x14ac:dyDescent="0.3">
      <c r="A1033" s="1">
        <v>23</v>
      </c>
      <c r="B1033" s="1" t="s">
        <v>876</v>
      </c>
      <c r="C1033" s="1" t="str">
        <f ca="1">IFERROR(__xludf.DUMMYFUNCTION("GOOGLETRANSLATE(B1037,""en"",""ja"")"),"戦争")</f>
        <v>戦争</v>
      </c>
    </row>
    <row r="1034" spans="1:3" ht="18" customHeight="1" x14ac:dyDescent="0.3">
      <c r="A1034" s="1">
        <v>23</v>
      </c>
      <c r="B1034" s="1" t="s">
        <v>877</v>
      </c>
      <c r="C1034" s="1" t="str">
        <f ca="1">IFERROR(__xludf.DUMMYFUNCTION("GOOGLETRANSLATE(B1038,""en"",""ja"")"),"欲求")</f>
        <v>欲求</v>
      </c>
    </row>
    <row r="1035" spans="1:3" ht="18" customHeight="1" x14ac:dyDescent="0.3">
      <c r="A1035" s="1">
        <v>23</v>
      </c>
      <c r="B1035" s="1" t="s">
        <v>878</v>
      </c>
      <c r="C1035" s="1" t="str">
        <f ca="1">IFERROR(__xludf.DUMMYFUNCTION("GOOGLETRANSLATE(B1039,""en"",""ja"")"),"トレイト")</f>
        <v>トレイト</v>
      </c>
    </row>
    <row r="1036" spans="1:3" ht="18" customHeight="1" x14ac:dyDescent="0.3">
      <c r="A1036" s="1">
        <v>23</v>
      </c>
      <c r="B1036" s="1" t="s">
        <v>879</v>
      </c>
      <c r="C1036" s="1" t="str">
        <f ca="1">IFERROR(__xludf.DUMMYFUNCTION("GOOGLETRANSLATE(B1040,""en"",""ja"")"),"千")</f>
        <v>千</v>
      </c>
    </row>
    <row r="1037" spans="1:3" ht="18" customHeight="1" x14ac:dyDescent="0.3">
      <c r="A1037" s="1">
        <v>23</v>
      </c>
      <c r="B1037" s="1" t="s">
        <v>835</v>
      </c>
      <c r="C1037" s="1" t="str">
        <f ca="1">IFERROR(__xludf.DUMMYFUNCTION("GOOGLETRANSLATE(B1041,""en"",""ja"")"),"第三")</f>
        <v>第三</v>
      </c>
    </row>
    <row r="1038" spans="1:3" ht="18" customHeight="1" x14ac:dyDescent="0.3">
      <c r="A1038" s="1">
        <v>23</v>
      </c>
      <c r="B1038" s="1" t="s">
        <v>155</v>
      </c>
      <c r="C1038" s="1" t="str">
        <f ca="1">IFERROR(__xludf.DUMMYFUNCTION("GOOGLETRANSLATE(B1042,""en"",""ja"")"),"理論")</f>
        <v>理論</v>
      </c>
    </row>
    <row r="1039" spans="1:3" ht="18" customHeight="1" x14ac:dyDescent="0.3">
      <c r="A1039" s="1">
        <v>23</v>
      </c>
      <c r="B1039" s="1" t="s">
        <v>6</v>
      </c>
      <c r="C1039" s="1" t="str">
        <f ca="1">IFERROR(__xludf.DUMMYFUNCTION("GOOGLETRANSLATE(B1043,""en"",""ja"")"),"それ")</f>
        <v>それ</v>
      </c>
    </row>
    <row r="1040" spans="1:3" ht="18" customHeight="1" x14ac:dyDescent="0.3">
      <c r="A1040" s="1">
        <v>23</v>
      </c>
      <c r="B1040" s="1" t="s">
        <v>880</v>
      </c>
      <c r="C1040" s="1" t="str">
        <f ca="1">IFERROR(__xludf.DUMMYFUNCTION("GOOGLETRANSLATE(B1044,""en"",""ja"")"),"傾向が見られました")</f>
        <v>傾向が見られました</v>
      </c>
    </row>
    <row r="1041" spans="1:3" ht="18" customHeight="1" x14ac:dyDescent="0.3">
      <c r="A1041" s="1">
        <v>23</v>
      </c>
      <c r="B1041" s="1" t="s">
        <v>643</v>
      </c>
      <c r="C1041" s="1" t="str">
        <f ca="1">IFERROR(__xludf.DUMMYFUNCTION("GOOGLETRANSLATE(B1045,""en"",""ja"")"),"仕事")</f>
        <v>仕事</v>
      </c>
    </row>
    <row r="1042" spans="1:3" ht="18" customHeight="1" x14ac:dyDescent="0.3">
      <c r="A1042" s="1">
        <v>23</v>
      </c>
      <c r="B1042" s="1" t="s">
        <v>605</v>
      </c>
      <c r="C1042" s="1" t="str">
        <f ca="1">IFERROR(__xludf.DUMMYFUNCTION("GOOGLETRANSLATE(B1046,""en"",""ja"")"),"規模")</f>
        <v>規模</v>
      </c>
    </row>
    <row r="1043" spans="1:3" ht="18" customHeight="1" x14ac:dyDescent="0.3">
      <c r="A1043" s="1">
        <v>23</v>
      </c>
      <c r="B1043" s="1" t="s">
        <v>881</v>
      </c>
      <c r="C1043" s="1" t="str">
        <f ca="1">IFERROR(__xludf.DUMMYFUNCTION("GOOGLETRANSLATE(B1047,""en"",""ja"")"),"ルート")</f>
        <v>ルート</v>
      </c>
    </row>
    <row r="1044" spans="1:3" ht="18" customHeight="1" x14ac:dyDescent="0.3">
      <c r="A1044" s="1">
        <v>23</v>
      </c>
      <c r="B1044" s="1" t="s">
        <v>882</v>
      </c>
      <c r="C1044" s="1" t="str">
        <f ca="1">IFERROR(__xludf.DUMMYFUNCTION("GOOGLETRANSLATE(B1048,""en"",""ja"")"),"上昇")</f>
        <v>上昇</v>
      </c>
    </row>
    <row r="1045" spans="1:3" ht="18" customHeight="1" x14ac:dyDescent="0.3">
      <c r="A1045" s="1">
        <v>23</v>
      </c>
      <c r="B1045" s="1" t="s">
        <v>883</v>
      </c>
      <c r="C1045" s="1" t="str">
        <f ca="1">IFERROR(__xludf.DUMMYFUNCTION("GOOGLETRANSLATE(B1049,""en"",""ja"")"),"レポート")</f>
        <v>レポート</v>
      </c>
    </row>
    <row r="1046" spans="1:3" ht="18" customHeight="1" x14ac:dyDescent="0.3">
      <c r="A1046" s="1">
        <v>23</v>
      </c>
      <c r="B1046" s="1" t="s">
        <v>884</v>
      </c>
      <c r="C1046" s="1" t="str">
        <f ca="1">IFERROR(__xludf.DUMMYFUNCTION("GOOGLETRANSLATE(B1050,""en"",""ja"")"),"関係")</f>
        <v>関係</v>
      </c>
    </row>
    <row r="1047" spans="1:3" ht="18" customHeight="1" x14ac:dyDescent="0.3">
      <c r="A1047" s="1">
        <v>23</v>
      </c>
      <c r="B1047" s="1" t="s">
        <v>885</v>
      </c>
      <c r="C1047" s="1" t="str">
        <f ca="1">IFERROR(__xludf.DUMMYFUNCTION("GOOGLETRANSLATE(B1051,""en"",""ja"")"),"かなり")</f>
        <v>かなり</v>
      </c>
    </row>
    <row r="1048" spans="1:3" ht="18" customHeight="1" x14ac:dyDescent="0.3">
      <c r="A1048" s="1">
        <v>23</v>
      </c>
      <c r="B1048" s="1" t="s">
        <v>886</v>
      </c>
      <c r="C1048" s="1" t="str">
        <f ca="1">IFERROR(__xludf.DUMMYFUNCTION("GOOGLETRANSLATE(B1052,""en"",""ja"")"),"原理")</f>
        <v>原理</v>
      </c>
    </row>
    <row r="1049" spans="1:3" ht="18" customHeight="1" x14ac:dyDescent="0.3">
      <c r="A1049" s="1">
        <v>23</v>
      </c>
      <c r="B1049" s="1" t="s">
        <v>887</v>
      </c>
      <c r="C1049" s="1" t="str">
        <f ca="1">IFERROR(__xludf.DUMMYFUNCTION("GOOGLETRANSLATE(B1053,""en"",""ja"")"),"展望")</f>
        <v>展望</v>
      </c>
    </row>
    <row r="1050" spans="1:3" ht="18" customHeight="1" x14ac:dyDescent="0.3">
      <c r="A1050" s="1">
        <v>23</v>
      </c>
      <c r="B1050" s="1" t="s">
        <v>888</v>
      </c>
      <c r="C1050" s="1" t="str">
        <f ca="1">IFERROR(__xludf.DUMMYFUNCTION("GOOGLETRANSLATE(B1054,""en"",""ja"")"),"演奏")</f>
        <v>演奏</v>
      </c>
    </row>
    <row r="1051" spans="1:3" ht="18" customHeight="1" x14ac:dyDescent="0.3">
      <c r="A1051" s="1">
        <v>23</v>
      </c>
      <c r="B1051" s="1" t="s">
        <v>889</v>
      </c>
      <c r="C1051" s="1" t="str">
        <f ca="1">IFERROR(__xludf.DUMMYFUNCTION("GOOGLETRANSLATE(B1055,""en"",""ja"")"),"人々の")</f>
        <v>人々の</v>
      </c>
    </row>
    <row r="1052" spans="1:3" ht="18" customHeight="1" x14ac:dyDescent="0.3">
      <c r="A1052" s="1">
        <v>23</v>
      </c>
      <c r="B1052" s="1" t="s">
        <v>890</v>
      </c>
      <c r="C1052" s="1" t="str">
        <f ca="1">IFERROR(__xludf.DUMMYFUNCTION("GOOGLETRANSLATE(B1056,""en"",""ja"")"),"親")</f>
        <v>親</v>
      </c>
    </row>
    <row r="1053" spans="1:3" ht="18" customHeight="1" x14ac:dyDescent="0.3">
      <c r="A1053" s="1">
        <v>23</v>
      </c>
      <c r="B1053" s="1" t="s">
        <v>891</v>
      </c>
      <c r="C1053" s="1" t="str">
        <f ca="1">IFERROR(__xludf.DUMMYFUNCTION("GOOGLETRANSLATE(B1057,""en"",""ja"")"),"反対")</f>
        <v>反対</v>
      </c>
    </row>
    <row r="1054" spans="1:3" ht="18" customHeight="1" x14ac:dyDescent="0.3">
      <c r="A1054" s="1">
        <v>23</v>
      </c>
      <c r="B1054" s="1" t="s">
        <v>892</v>
      </c>
      <c r="C1054" s="1" t="str">
        <f ca="1">IFERROR(__xludf.DUMMYFUNCTION("GOOGLETRANSLATE(B1058,""en"",""ja"")"),"海洋")</f>
        <v>海洋</v>
      </c>
    </row>
    <row r="1055" spans="1:3" ht="18" customHeight="1" x14ac:dyDescent="0.3">
      <c r="A1055" s="1">
        <v>23</v>
      </c>
      <c r="B1055" s="1" t="s">
        <v>648</v>
      </c>
      <c r="C1055" s="1" t="str">
        <f ca="1">IFERROR(__xludf.DUMMYFUNCTION("GOOGLETRANSLATE(B1059,""en"",""ja"")"),"移動")</f>
        <v>移動</v>
      </c>
    </row>
    <row r="1056" spans="1:3" ht="18" customHeight="1" x14ac:dyDescent="0.3">
      <c r="A1056" s="1">
        <v>23</v>
      </c>
      <c r="B1056" s="1" t="s">
        <v>764</v>
      </c>
      <c r="C1056" s="1" t="str">
        <f ca="1">IFERROR(__xludf.DUMMYFUNCTION("GOOGLETRANSLATE(B1060,""en"",""ja"")"),"地図")</f>
        <v>地図</v>
      </c>
    </row>
    <row r="1057" spans="1:3" ht="18" customHeight="1" x14ac:dyDescent="0.3">
      <c r="A1057" s="1">
        <v>23</v>
      </c>
      <c r="B1057" s="1" t="s">
        <v>893</v>
      </c>
      <c r="C1057" s="1" t="str">
        <f ca="1">IFERROR(__xludf.DUMMYFUNCTION("GOOGLETRANSLATE(B1061,""en"",""ja"")"),"やり方")</f>
        <v>やり方</v>
      </c>
    </row>
    <row r="1058" spans="1:3" ht="18" customHeight="1" x14ac:dyDescent="0.3">
      <c r="A1058" s="1">
        <v>23</v>
      </c>
      <c r="B1058" s="1" t="s">
        <v>894</v>
      </c>
      <c r="C1058" s="1" t="str">
        <f ca="1">IFERROR(__xludf.DUMMYFUNCTION("GOOGLETRANSLATE(B1062,""en"",""ja"")"),"メンテナンス")</f>
        <v>メンテナンス</v>
      </c>
    </row>
    <row r="1059" spans="1:3" ht="18" customHeight="1" x14ac:dyDescent="0.3">
      <c r="A1059" s="1">
        <v>23</v>
      </c>
      <c r="B1059" s="1" t="s">
        <v>895</v>
      </c>
      <c r="C1059" s="1" t="str">
        <f ca="1">IFERROR(__xludf.DUMMYFUNCTION("GOOGLETRANSLATE(B1063,""en"",""ja"")"),"リベラル")</f>
        <v>リベラル</v>
      </c>
    </row>
    <row r="1060" spans="1:3" ht="18" customHeight="1" x14ac:dyDescent="0.3">
      <c r="A1060" s="1">
        <v>23</v>
      </c>
      <c r="B1060" s="1" t="s">
        <v>896</v>
      </c>
      <c r="C1060" s="1" t="str">
        <f ca="1">IFERROR(__xludf.DUMMYFUNCTION("GOOGLETRANSLATE(B1064,""en"",""ja"")"),"キープ")</f>
        <v>キープ</v>
      </c>
    </row>
    <row r="1061" spans="1:3" ht="18" customHeight="1" x14ac:dyDescent="0.3">
      <c r="A1061" s="1">
        <v>23</v>
      </c>
      <c r="B1061" s="1" t="s">
        <v>897</v>
      </c>
      <c r="C1061" s="1" t="str">
        <f ca="1">IFERROR(__xludf.DUMMYFUNCTION("GOOGLETRANSLATE(B1065,""en"",""ja"")"),"異文化")</f>
        <v>異文化</v>
      </c>
    </row>
    <row r="1062" spans="1:3" ht="18" customHeight="1" x14ac:dyDescent="0.3">
      <c r="A1062" s="1">
        <v>23</v>
      </c>
      <c r="B1062" s="1" t="s">
        <v>898</v>
      </c>
      <c r="C1062" s="1" t="str">
        <f ca="1">IFERROR(__xludf.DUMMYFUNCTION("GOOGLETRANSLATE(B1066,""en"",""ja"")"),"その代わり")</f>
        <v>その代わり</v>
      </c>
    </row>
    <row r="1063" spans="1:3" ht="18" customHeight="1" x14ac:dyDescent="0.3">
      <c r="A1063" s="1">
        <v>23</v>
      </c>
      <c r="B1063" s="1" t="s">
        <v>899</v>
      </c>
      <c r="C1063" s="1" t="str">
        <f ca="1">IFERROR(__xludf.DUMMYFUNCTION("GOOGLETRANSLATE(B1067,""en"",""ja"")"),"インスタンス")</f>
        <v>インスタンス</v>
      </c>
    </row>
    <row r="1064" spans="1:3" ht="18" customHeight="1" x14ac:dyDescent="0.3">
      <c r="A1064" s="1">
        <v>23</v>
      </c>
      <c r="B1064" s="1" t="s">
        <v>900</v>
      </c>
      <c r="C1064" s="1" t="str">
        <f ca="1">IFERROR(__xludf.DUMMYFUNCTION("GOOGLETRANSLATE(B1068,""en"",""ja"")"),"理想的")</f>
        <v>理想的</v>
      </c>
    </row>
    <row r="1065" spans="1:3" ht="18" customHeight="1" x14ac:dyDescent="0.3">
      <c r="A1065" s="1">
        <v>23</v>
      </c>
      <c r="B1065" s="1" t="s">
        <v>737</v>
      </c>
      <c r="C1065" s="1" t="str">
        <f ca="1">IFERROR(__xludf.DUMMYFUNCTION("GOOGLETRANSLATE(B1069,""en"",""ja"")"),"家")</f>
        <v>家</v>
      </c>
    </row>
    <row r="1066" spans="1:3" ht="18" customHeight="1" x14ac:dyDescent="0.3">
      <c r="A1066" s="1">
        <v>23</v>
      </c>
      <c r="B1066" s="1" t="s">
        <v>901</v>
      </c>
      <c r="C1066" s="1" t="str">
        <f ca="1">IFERROR(__xludf.DUMMYFUNCTION("GOOGLETRANSLATE(B1070,""en"",""ja"")"),"保持しています")</f>
        <v>保持しています</v>
      </c>
    </row>
    <row r="1067" spans="1:3" ht="18" customHeight="1" x14ac:dyDescent="0.3">
      <c r="A1067" s="1">
        <v>23</v>
      </c>
      <c r="B1067" s="1" t="s">
        <v>902</v>
      </c>
      <c r="C1067" s="1" t="str">
        <f ca="1">IFERROR(__xludf.DUMMYFUNCTION("GOOGLETRANSLATE(B1071,""en"",""ja"")"),"起こりました")</f>
        <v>起こりました</v>
      </c>
    </row>
    <row r="1068" spans="1:3" ht="18" customHeight="1" x14ac:dyDescent="0.3">
      <c r="A1068" s="1">
        <v>23</v>
      </c>
      <c r="B1068" s="1" t="s">
        <v>903</v>
      </c>
      <c r="C1068" s="1" t="str">
        <f ca="1">IFERROR(__xludf.DUMMYFUNCTION("GOOGLETRANSLATE(B1072,""en"",""ja"")"),"フレーム")</f>
        <v>フレーム</v>
      </c>
    </row>
    <row r="1069" spans="1:3" ht="18" customHeight="1" x14ac:dyDescent="0.3">
      <c r="A1069" s="1">
        <v>23</v>
      </c>
      <c r="B1069" s="1" t="s">
        <v>286</v>
      </c>
      <c r="C1069" s="1" t="str">
        <f ca="1">IFERROR(__xludf.DUMMYFUNCTION("GOOGLETRANSLATE(B1073,""en"",""ja"")"),"家族")</f>
        <v>家族</v>
      </c>
    </row>
    <row r="1070" spans="1:3" ht="18" customHeight="1" x14ac:dyDescent="0.3">
      <c r="A1070" s="1">
        <v>23</v>
      </c>
      <c r="B1070" s="1" t="s">
        <v>904</v>
      </c>
      <c r="C1070" s="1" t="str">
        <f ca="1">IFERROR(__xludf.DUMMYFUNCTION("GOOGLETRANSLATE(B1074,""en"",""ja"")"),"予想")</f>
        <v>予想</v>
      </c>
    </row>
    <row r="1071" spans="1:3" ht="18" customHeight="1" x14ac:dyDescent="0.3">
      <c r="A1071" s="1">
        <v>23</v>
      </c>
      <c r="B1071" s="1" t="s">
        <v>905</v>
      </c>
      <c r="C1071" s="1" t="str">
        <f ca="1">IFERROR(__xludf.DUMMYFUNCTION("GOOGLETRANSLATE(B1075,""en"",""ja"")"),"イベント")</f>
        <v>イベント</v>
      </c>
    </row>
    <row r="1072" spans="1:3" ht="18" customHeight="1" x14ac:dyDescent="0.3">
      <c r="A1072" s="1">
        <v>23</v>
      </c>
      <c r="B1072" s="1" t="s">
        <v>906</v>
      </c>
      <c r="C1072" s="1" t="str">
        <f ca="1">IFERROR(__xludf.DUMMYFUNCTION("GOOGLETRANSLATE(B1076,""en"",""ja"")"),"エラスムス")</f>
        <v>エラスムス</v>
      </c>
    </row>
    <row r="1073" spans="1:3" ht="18" customHeight="1" x14ac:dyDescent="0.3">
      <c r="A1073" s="1">
        <v>23</v>
      </c>
      <c r="B1073" s="1" t="s">
        <v>907</v>
      </c>
      <c r="C1073" s="1" t="str">
        <f ca="1">IFERROR(__xludf.DUMMYFUNCTION("GOOGLETRANSLATE(B1077,""en"",""ja"")"),"出てきます")</f>
        <v>出てきます</v>
      </c>
    </row>
    <row r="1074" spans="1:3" ht="18" customHeight="1" x14ac:dyDescent="0.3">
      <c r="A1074" s="1">
        <v>23</v>
      </c>
      <c r="B1074" s="1" t="s">
        <v>779</v>
      </c>
      <c r="C1074" s="1" t="str">
        <f ca="1">IFERROR(__xludf.DUMMYFUNCTION("GOOGLETRANSLATE(B1078,""en"",""ja"")"),"努力")</f>
        <v>努力</v>
      </c>
    </row>
    <row r="1075" spans="1:3" ht="18" customHeight="1" x14ac:dyDescent="0.3">
      <c r="A1075" s="1">
        <v>23</v>
      </c>
      <c r="B1075" s="1" t="s">
        <v>908</v>
      </c>
      <c r="C1075" s="1" t="str">
        <f ca="1">IFERROR(__xludf.DUMMYFUNCTION("GOOGLETRANSLATE(B1079,""en"",""ja"")"),"効率的")</f>
        <v>効率的</v>
      </c>
    </row>
    <row r="1076" spans="1:3" ht="18" customHeight="1" x14ac:dyDescent="0.3">
      <c r="A1076" s="1">
        <v>23</v>
      </c>
      <c r="B1076" s="1" t="s">
        <v>909</v>
      </c>
      <c r="C1076" s="1" t="str">
        <f ca="1">IFERROR(__xludf.DUMMYFUNCTION("GOOGLETRANSLATE(B1080,""en"",""ja"")"),"効果的な")</f>
        <v>効果的な</v>
      </c>
    </row>
    <row r="1077" spans="1:3" ht="18" customHeight="1" x14ac:dyDescent="0.3">
      <c r="A1077" s="1">
        <v>23</v>
      </c>
      <c r="B1077" s="1" t="s">
        <v>910</v>
      </c>
      <c r="C1077" s="1" t="str">
        <f ca="1">IFERROR(__xludf.DUMMYFUNCTION("GOOGLETRANSLATE(B1081,""en"",""ja"")"),"エコノミスト")</f>
        <v>エコノミスト</v>
      </c>
    </row>
    <row r="1078" spans="1:3" ht="18" customHeight="1" x14ac:dyDescent="0.3">
      <c r="A1078" s="1">
        <v>23</v>
      </c>
      <c r="B1078" s="1" t="s">
        <v>911</v>
      </c>
      <c r="C1078" s="1" t="str">
        <f ca="1">IFERROR(__xludf.DUMMYFUNCTION("GOOGLETRANSLATE(B1082,""en"",""ja"")"),"DNA")</f>
        <v>DNA</v>
      </c>
    </row>
    <row r="1079" spans="1:3" ht="18" customHeight="1" x14ac:dyDescent="0.3">
      <c r="A1079" s="1">
        <v>23</v>
      </c>
      <c r="B1079" s="1" t="s">
        <v>912</v>
      </c>
      <c r="C1079" s="1" t="str">
        <f ca="1">IFERROR(__xludf.DUMMYFUNCTION("GOOGLETRANSLATE(B1083,""en"",""ja"")"),"疾患")</f>
        <v>疾患</v>
      </c>
    </row>
    <row r="1080" spans="1:3" ht="18" customHeight="1" x14ac:dyDescent="0.3">
      <c r="A1080" s="1">
        <v>23</v>
      </c>
      <c r="B1080" s="1" t="s">
        <v>913</v>
      </c>
      <c r="C1080" s="1" t="str">
        <f ca="1">IFERROR(__xludf.DUMMYFUNCTION("GOOGLETRANSLATE(B1084,""en"",""ja"")"),"方向")</f>
        <v>方向</v>
      </c>
    </row>
    <row r="1081" spans="1:3" ht="18" customHeight="1" x14ac:dyDescent="0.3">
      <c r="A1081" s="1">
        <v>23</v>
      </c>
      <c r="B1081" s="1" t="s">
        <v>914</v>
      </c>
      <c r="C1081" s="1" t="str">
        <f ca="1">IFERROR(__xludf.DUMMYFUNCTION("GOOGLETRANSLATE(B1085,""en"",""ja"")"),"設計")</f>
        <v>設計</v>
      </c>
    </row>
    <row r="1082" spans="1:3" ht="18" customHeight="1" x14ac:dyDescent="0.3">
      <c r="A1082" s="1">
        <v>23</v>
      </c>
      <c r="B1082" s="1" t="s">
        <v>915</v>
      </c>
      <c r="C1082" s="1" t="str">
        <f ca="1">IFERROR(__xludf.DUMMYFUNCTION("GOOGLETRANSLATE(B1086,""en"",""ja"")"),"依存")</f>
        <v>依存</v>
      </c>
    </row>
    <row r="1083" spans="1:3" ht="18" customHeight="1" x14ac:dyDescent="0.3">
      <c r="A1083" s="1">
        <v>23</v>
      </c>
      <c r="B1083" s="1" t="s">
        <v>916</v>
      </c>
      <c r="C1083" s="1" t="str">
        <f ca="1">IFERROR(__xludf.DUMMYFUNCTION("GOOGLETRANSLATE(B1087,""en"",""ja"")"),"ディベート")</f>
        <v>ディベート</v>
      </c>
    </row>
    <row r="1084" spans="1:3" ht="18" customHeight="1" x14ac:dyDescent="0.3">
      <c r="A1084" s="1">
        <v>23</v>
      </c>
      <c r="B1084" s="1" t="s">
        <v>473</v>
      </c>
      <c r="C1084" s="1" t="str">
        <f ca="1">IFERROR(__xludf.DUMMYFUNCTION("GOOGLETRANSLATE(B1088,""en"",""ja"")"),"コントロール")</f>
        <v>コントロール</v>
      </c>
    </row>
    <row r="1085" spans="1:3" ht="18" customHeight="1" x14ac:dyDescent="0.3">
      <c r="A1085" s="1">
        <v>23</v>
      </c>
      <c r="B1085" s="1" t="s">
        <v>917</v>
      </c>
      <c r="C1085" s="1" t="str">
        <f ca="1">IFERROR(__xludf.DUMMYFUNCTION("GOOGLETRANSLATE(B1089,""en"",""ja"")"),"カレッジ")</f>
        <v>カレッジ</v>
      </c>
    </row>
    <row r="1086" spans="1:3" ht="18" customHeight="1" x14ac:dyDescent="0.3">
      <c r="A1086" s="1">
        <v>23</v>
      </c>
      <c r="B1086" s="1" t="s">
        <v>918</v>
      </c>
      <c r="C1086" s="1" t="str">
        <f ca="1">IFERROR(__xludf.DUMMYFUNCTION("GOOGLETRANSLATE(B1090,""en"",""ja"")"),"事情")</f>
        <v>事情</v>
      </c>
    </row>
    <row r="1087" spans="1:3" ht="18" customHeight="1" x14ac:dyDescent="0.3">
      <c r="A1087" s="1">
        <v>23</v>
      </c>
      <c r="B1087" s="1" t="s">
        <v>390</v>
      </c>
      <c r="C1087" s="1" t="str">
        <f ca="1">IFERROR(__xludf.DUMMYFUNCTION("GOOGLETRANSLATE(B1091,""en"",""ja"")"),"チョムスキー")</f>
        <v>チョムスキー</v>
      </c>
    </row>
    <row r="1088" spans="1:3" ht="18" customHeight="1" x14ac:dyDescent="0.3">
      <c r="A1088" s="1">
        <v>23</v>
      </c>
      <c r="B1088" s="1" t="s">
        <v>409</v>
      </c>
      <c r="C1088" s="1" t="str">
        <f ca="1">IFERROR(__xludf.DUMMYFUNCTION("GOOGLETRANSLATE(B1092,""en"",""ja"")"),"場合")</f>
        <v>場合</v>
      </c>
    </row>
    <row r="1089" spans="1:3" ht="18" customHeight="1" x14ac:dyDescent="0.3">
      <c r="A1089" s="1">
        <v>23</v>
      </c>
      <c r="B1089" s="1" t="s">
        <v>919</v>
      </c>
      <c r="C1089" s="1" t="str">
        <f ca="1">IFERROR(__xludf.DUMMYFUNCTION("GOOGLETRANSLATE(B1093,""en"",""ja"")"),"実施")</f>
        <v>実施</v>
      </c>
    </row>
    <row r="1090" spans="1:3" ht="18" customHeight="1" x14ac:dyDescent="0.3">
      <c r="A1090" s="1">
        <v>23</v>
      </c>
      <c r="B1090" s="1" t="s">
        <v>920</v>
      </c>
      <c r="C1090" s="1" t="str">
        <f ca="1">IFERROR(__xludf.DUMMYFUNCTION("GOOGLETRANSLATE(B1094,""en"",""ja"")"),"誕生")</f>
        <v>誕生</v>
      </c>
    </row>
    <row r="1091" spans="1:3" ht="18" customHeight="1" x14ac:dyDescent="0.3">
      <c r="A1091" s="1">
        <v>23</v>
      </c>
      <c r="B1091" s="1" t="s">
        <v>742</v>
      </c>
      <c r="C1091" s="1" t="str">
        <f ca="1">IFERROR(__xludf.DUMMYFUNCTION("GOOGLETRANSLATE(B1095,""en"",""ja"")"),"信念")</f>
        <v>信念</v>
      </c>
    </row>
    <row r="1092" spans="1:3" ht="18" customHeight="1" x14ac:dyDescent="0.3">
      <c r="A1092" s="1">
        <v>23</v>
      </c>
      <c r="B1092" s="1" t="s">
        <v>921</v>
      </c>
      <c r="C1092" s="1" t="str">
        <f ca="1">IFERROR(__xludf.DUMMYFUNCTION("GOOGLETRANSLATE(B1096,""en"",""ja"")"),"人間")</f>
        <v>人間</v>
      </c>
    </row>
    <row r="1093" spans="1:3" ht="18" customHeight="1" x14ac:dyDescent="0.3">
      <c r="A1093" s="1">
        <v>23</v>
      </c>
      <c r="B1093" s="1" t="s">
        <v>922</v>
      </c>
      <c r="C1093" s="1" t="str">
        <f ca="1">IFERROR(__xludf.DUMMYFUNCTION("GOOGLETRANSLATE(B1097,""en"",""ja"")"),"帰せ")</f>
        <v>帰せ</v>
      </c>
    </row>
    <row r="1094" spans="1:3" ht="18" customHeight="1" x14ac:dyDescent="0.3">
      <c r="A1094" s="1">
        <v>23</v>
      </c>
      <c r="B1094" s="1" t="s">
        <v>923</v>
      </c>
      <c r="C1094" s="1" t="str">
        <f ca="1">IFERROR(__xludf.DUMMYFUNCTION("GOOGLETRANSLATE(B1098,""en"",""ja"")"),"頼みます")</f>
        <v>頼みます</v>
      </c>
    </row>
    <row r="1095" spans="1:3" ht="18" customHeight="1" x14ac:dyDescent="0.3">
      <c r="A1095" s="1">
        <v>23</v>
      </c>
      <c r="B1095" s="1" t="s">
        <v>924</v>
      </c>
      <c r="C1095" s="1" t="str">
        <f ca="1">IFERROR(__xludf.DUMMYFUNCTION("GOOGLETRANSLATE(B1099,""en"",""ja"")"),"前進")</f>
        <v>前進</v>
      </c>
    </row>
    <row r="1096" spans="1:3" ht="18" customHeight="1" x14ac:dyDescent="0.3">
      <c r="A1096" s="1">
        <v>22</v>
      </c>
      <c r="B1096" s="1" t="s">
        <v>35</v>
      </c>
      <c r="C1096" s="1" t="str">
        <f ca="1">IFERROR(__xludf.DUMMYFUNCTION("GOOGLETRANSLATE(B1100,""en"",""ja"")"),"WHO")</f>
        <v>WHO</v>
      </c>
    </row>
    <row r="1097" spans="1:3" ht="18" customHeight="1" x14ac:dyDescent="0.3">
      <c r="A1097" s="1">
        <v>22</v>
      </c>
      <c r="B1097" s="1" t="s">
        <v>48</v>
      </c>
      <c r="C1097" s="1" t="str">
        <f ca="1">IFERROR(__xludf.DUMMYFUNCTION("GOOGLETRANSLATE(B1101,""en"",""ja"")"),"いつ")</f>
        <v>いつ</v>
      </c>
    </row>
    <row r="1098" spans="1:3" ht="18" customHeight="1" x14ac:dyDescent="0.3">
      <c r="A1098" s="1">
        <v>22</v>
      </c>
      <c r="B1098" s="1" t="s">
        <v>925</v>
      </c>
      <c r="C1098" s="1" t="str">
        <f ca="1">IFERROR(__xludf.DUMMYFUNCTION("GOOGLETRANSLATE(B1102,""en"",""ja"")"),"異なり、")</f>
        <v>異なり、</v>
      </c>
    </row>
    <row r="1099" spans="1:3" ht="18" customHeight="1" x14ac:dyDescent="0.3">
      <c r="A1099" s="1">
        <v>22</v>
      </c>
      <c r="B1099" s="1" t="s">
        <v>926</v>
      </c>
      <c r="C1099" s="1" t="str">
        <f ca="1">IFERROR(__xludf.DUMMYFUNCTION("GOOGLETRANSLATE(B1103,""en"",""ja"")"),"最終的には")</f>
        <v>最終的には</v>
      </c>
    </row>
    <row r="1100" spans="1:3" ht="18" customHeight="1" x14ac:dyDescent="0.3">
      <c r="A1100" s="1">
        <v>22</v>
      </c>
      <c r="B1100" s="1" t="s">
        <v>927</v>
      </c>
      <c r="C1100" s="1" t="str">
        <f ca="1">IFERROR(__xludf.DUMMYFUNCTION("GOOGLETRANSLATE(B1104,""en"",""ja"")"),"考え")</f>
        <v>考え</v>
      </c>
    </row>
    <row r="1101" spans="1:3" ht="18" customHeight="1" x14ac:dyDescent="0.3">
      <c r="A1101" s="1">
        <v>22</v>
      </c>
      <c r="B1101" s="1" t="s">
        <v>928</v>
      </c>
      <c r="C1101" s="1" t="str">
        <f ca="1">IFERROR(__xludf.DUMMYFUNCTION("GOOGLETRANSLATE(B1105,""en"",""ja"")"),"十")</f>
        <v>十</v>
      </c>
    </row>
    <row r="1102" spans="1:3" ht="18" customHeight="1" x14ac:dyDescent="0.3">
      <c r="A1102" s="1">
        <v>22</v>
      </c>
      <c r="B1102" s="1" t="s">
        <v>929</v>
      </c>
      <c r="C1102" s="1" t="str">
        <f ca="1">IFERROR(__xludf.DUMMYFUNCTION("GOOGLETRANSLATE(B1106,""en"",""ja"")"),"シンボル")</f>
        <v>シンボル</v>
      </c>
    </row>
    <row r="1103" spans="1:3" ht="18" customHeight="1" x14ac:dyDescent="0.3">
      <c r="A1103" s="1">
        <v>22</v>
      </c>
      <c r="B1103" s="1" t="s">
        <v>326</v>
      </c>
      <c r="C1103" s="1" t="str">
        <f ca="1">IFERROR(__xludf.DUMMYFUNCTION("GOOGLETRANSLATE(B1107,""en"",""ja"")"),"監視")</f>
        <v>監視</v>
      </c>
    </row>
    <row r="1104" spans="1:3" ht="18" customHeight="1" x14ac:dyDescent="0.3">
      <c r="A1104" s="1">
        <v>22</v>
      </c>
      <c r="B1104" s="1" t="s">
        <v>930</v>
      </c>
      <c r="C1104" s="1" t="str">
        <f ca="1">IFERROR(__xludf.DUMMYFUNCTION("GOOGLETRANSLATE(B1108,""en"",""ja"")"),"成功します")</f>
        <v>成功します</v>
      </c>
    </row>
    <row r="1105" spans="1:3" ht="18" customHeight="1" x14ac:dyDescent="0.3">
      <c r="A1105" s="1">
        <v>22</v>
      </c>
      <c r="B1105" s="1" t="s">
        <v>931</v>
      </c>
      <c r="C1105" s="1" t="str">
        <f ca="1">IFERROR(__xludf.DUMMYFUNCTION("GOOGLETRANSLATE(B1109,""en"",""ja"")"),"標準")</f>
        <v>標準</v>
      </c>
    </row>
    <row r="1106" spans="1:3" ht="18" customHeight="1" x14ac:dyDescent="0.3">
      <c r="A1106" s="1">
        <v>22</v>
      </c>
      <c r="B1106" s="1" t="s">
        <v>932</v>
      </c>
      <c r="C1106" s="1" t="str">
        <f ca="1">IFERROR(__xludf.DUMMYFUNCTION("GOOGLETRANSLATE(B1110,""en"",""ja"")"),"わずかに")</f>
        <v>わずかに</v>
      </c>
    </row>
    <row r="1107" spans="1:3" ht="18" customHeight="1" x14ac:dyDescent="0.3">
      <c r="A1107" s="1">
        <v>22</v>
      </c>
      <c r="B1107" s="1" t="s">
        <v>933</v>
      </c>
      <c r="C1107" s="1" t="str">
        <f ca="1">IFERROR(__xludf.DUMMYFUNCTION("GOOGLETRANSLATE(B1111,""en"",""ja"")"),"サーブ")</f>
        <v>サーブ</v>
      </c>
    </row>
    <row r="1108" spans="1:3" ht="18" customHeight="1" x14ac:dyDescent="0.3">
      <c r="A1108" s="1">
        <v>22</v>
      </c>
      <c r="B1108" s="1" t="s">
        <v>934</v>
      </c>
      <c r="C1108" s="1" t="str">
        <f ca="1">IFERROR(__xludf.DUMMYFUNCTION("GOOGLETRANSLATE(B1112,""en"",""ja"")"),"見えました")</f>
        <v>見えました</v>
      </c>
    </row>
    <row r="1109" spans="1:3" ht="18" customHeight="1" x14ac:dyDescent="0.3">
      <c r="A1109" s="1">
        <v>22</v>
      </c>
      <c r="B1109" s="1" t="s">
        <v>935</v>
      </c>
      <c r="C1109" s="1" t="str">
        <f ca="1">IFERROR(__xludf.DUMMYFUNCTION("GOOGLETRANSLATE(B1113,""en"",""ja"")"),"満足")</f>
        <v>満足</v>
      </c>
    </row>
    <row r="1110" spans="1:3" ht="18" customHeight="1" x14ac:dyDescent="0.3">
      <c r="A1110" s="1">
        <v>22</v>
      </c>
      <c r="B1110" s="1" t="s">
        <v>936</v>
      </c>
      <c r="C1110" s="1" t="str">
        <f ca="1">IFERROR(__xludf.DUMMYFUNCTION("GOOGLETRANSLATE(B1114,""en"",""ja"")"),"報告書")</f>
        <v>報告書</v>
      </c>
    </row>
    <row r="1111" spans="1:3" ht="18" customHeight="1" x14ac:dyDescent="0.3">
      <c r="A1111" s="1">
        <v>22</v>
      </c>
      <c r="B1111" s="1" t="s">
        <v>937</v>
      </c>
      <c r="C1111" s="1" t="str">
        <f ca="1">IFERROR(__xludf.DUMMYFUNCTION("GOOGLETRANSLATE(B1115,""en"",""ja"")"),"関係")</f>
        <v>関係</v>
      </c>
    </row>
    <row r="1112" spans="1:3" ht="18" customHeight="1" x14ac:dyDescent="0.3">
      <c r="A1112" s="1">
        <v>22</v>
      </c>
      <c r="B1112" s="1" t="s">
        <v>938</v>
      </c>
      <c r="C1112" s="1" t="str">
        <f ca="1">IFERROR(__xludf.DUMMYFUNCTION("GOOGLETRANSLATE(B1116,""en"",""ja"")"),"最近")</f>
        <v>最近</v>
      </c>
    </row>
    <row r="1113" spans="1:3" ht="18" customHeight="1" x14ac:dyDescent="0.3">
      <c r="A1113" s="1">
        <v>22</v>
      </c>
      <c r="B1113" s="1" t="s">
        <v>939</v>
      </c>
      <c r="C1113" s="1" t="str">
        <f ca="1">IFERROR(__xludf.DUMMYFUNCTION("GOOGLETRANSLATE(B1117,""en"",""ja"")"),"読書")</f>
        <v>読書</v>
      </c>
    </row>
    <row r="1114" spans="1:3" ht="18" customHeight="1" x14ac:dyDescent="0.3">
      <c r="A1114" s="1">
        <v>22</v>
      </c>
      <c r="B1114" s="1" t="s">
        <v>940</v>
      </c>
      <c r="C1114" s="1" t="str">
        <f ca="1">IFERROR(__xludf.DUMMYFUNCTION("GOOGLETRANSLATE(B1118,""en"",""ja"")"),"範囲")</f>
        <v>範囲</v>
      </c>
    </row>
    <row r="1115" spans="1:3" ht="18" customHeight="1" x14ac:dyDescent="0.3">
      <c r="A1115" s="1">
        <v>22</v>
      </c>
      <c r="B1115" s="1" t="s">
        <v>941</v>
      </c>
      <c r="C1115" s="1" t="str">
        <f ca="1">IFERROR(__xludf.DUMMYFUNCTION("GOOGLETRANSLATE(B1119,""en"",""ja"")"),"製品")</f>
        <v>製品</v>
      </c>
    </row>
    <row r="1116" spans="1:3" ht="18" customHeight="1" x14ac:dyDescent="0.3">
      <c r="A1116" s="1">
        <v>22</v>
      </c>
      <c r="B1116" s="1" t="s">
        <v>942</v>
      </c>
      <c r="C1116" s="1" t="str">
        <f ca="1">IFERROR(__xludf.DUMMYFUNCTION("GOOGLETRANSLATE(B1120,""en"",""ja"")"),"さもないと")</f>
        <v>さもないと</v>
      </c>
    </row>
    <row r="1117" spans="1:3" ht="18" customHeight="1" x14ac:dyDescent="0.3">
      <c r="A1117" s="1">
        <v>22</v>
      </c>
      <c r="B1117" s="1" t="s">
        <v>943</v>
      </c>
      <c r="C1117" s="1" t="str">
        <f ca="1">IFERROR(__xludf.DUMMYFUNCTION("GOOGLETRANSLATE(B1121,""en"",""ja"")"),"次")</f>
        <v>次</v>
      </c>
    </row>
    <row r="1118" spans="1:3" ht="18" customHeight="1" x14ac:dyDescent="0.3">
      <c r="A1118" s="1">
        <v>22</v>
      </c>
      <c r="B1118" s="1" t="s">
        <v>944</v>
      </c>
      <c r="C1118" s="1" t="str">
        <f ca="1">IFERROR(__xludf.DUMMYFUNCTION("GOOGLETRANSLATE(B1122,""en"",""ja"")"),"国")</f>
        <v>国</v>
      </c>
    </row>
    <row r="1119" spans="1:3" ht="18" customHeight="1" x14ac:dyDescent="0.3">
      <c r="A1119" s="1">
        <v>22</v>
      </c>
      <c r="B1119" s="1" t="s">
        <v>945</v>
      </c>
      <c r="C1119" s="1" t="str">
        <f ca="1">IFERROR(__xludf.DUMMYFUNCTION("GOOGLETRANSLATE(B1123,""en"",""ja"")"),"米航空宇宙局（NASA）")</f>
        <v>米航空宇宙局（NASA）</v>
      </c>
    </row>
    <row r="1120" spans="1:3" ht="18" customHeight="1" x14ac:dyDescent="0.3">
      <c r="A1120" s="1">
        <v>22</v>
      </c>
      <c r="B1120" s="1" t="s">
        <v>946</v>
      </c>
      <c r="C1120" s="1" t="str">
        <f ca="1">IFERROR(__xludf.DUMMYFUNCTION("GOOGLETRANSLATE(B1124,""en"",""ja"")"),"光")</f>
        <v>光</v>
      </c>
    </row>
    <row r="1121" spans="1:3" ht="18" customHeight="1" x14ac:dyDescent="0.3">
      <c r="A1121" s="1">
        <v>22</v>
      </c>
      <c r="B1121" s="1" t="s">
        <v>275</v>
      </c>
      <c r="C1121" s="1" t="str">
        <f ca="1">IFERROR(__xludf.DUMMYFUNCTION("GOOGLETRANSLATE(B1125,""en"",""ja"")"),"インターネット")</f>
        <v>インターネット</v>
      </c>
    </row>
    <row r="1122" spans="1:3" ht="18" customHeight="1" x14ac:dyDescent="0.3">
      <c r="A1122" s="1">
        <v>22</v>
      </c>
      <c r="B1122" s="1" t="s">
        <v>947</v>
      </c>
      <c r="C1122" s="1" t="str">
        <f ca="1">IFERROR(__xludf.DUMMYFUNCTION("GOOGLETRANSLATE(B1126,""en"",""ja"")"),"面白い")</f>
        <v>面白い</v>
      </c>
    </row>
    <row r="1123" spans="1:3" ht="18" customHeight="1" x14ac:dyDescent="0.3">
      <c r="A1123" s="1">
        <v>22</v>
      </c>
      <c r="B1123" s="1" t="s">
        <v>948</v>
      </c>
      <c r="C1123" s="1" t="str">
        <f ca="1">IFERROR(__xludf.DUMMYFUNCTION("GOOGLETRANSLATE(B1127,""en"",""ja"")"),"学院")</f>
        <v>学院</v>
      </c>
    </row>
    <row r="1124" spans="1:3" ht="18" customHeight="1" x14ac:dyDescent="0.3">
      <c r="A1124" s="1">
        <v>22</v>
      </c>
      <c r="B1124" s="1" t="s">
        <v>949</v>
      </c>
      <c r="C1124" s="1" t="str">
        <f ca="1">IFERROR(__xludf.DUMMYFUNCTION("GOOGLETRANSLATE(B1128,""en"",""ja"")"),"影響")</f>
        <v>影響</v>
      </c>
    </row>
    <row r="1125" spans="1:3" ht="18" customHeight="1" x14ac:dyDescent="0.3">
      <c r="A1125" s="1">
        <v>22</v>
      </c>
      <c r="B1125" s="1" t="s">
        <v>950</v>
      </c>
      <c r="C1125" s="1" t="str">
        <f ca="1">IFERROR(__xludf.DUMMYFUNCTION("GOOGLETRANSLATE(B1129,""en"",""ja"")"),"不可能")</f>
        <v>不可能</v>
      </c>
    </row>
    <row r="1126" spans="1:3" ht="18" customHeight="1" x14ac:dyDescent="0.3">
      <c r="A1126" s="1">
        <v>22</v>
      </c>
      <c r="B1126" s="1" t="s">
        <v>531</v>
      </c>
      <c r="C1126" s="1" t="str">
        <f ca="1">IFERROR(__xludf.DUMMYFUNCTION("GOOGLETRANSLATE(B1130,""en"",""ja"")"),"画像")</f>
        <v>画像</v>
      </c>
    </row>
    <row r="1127" spans="1:3" ht="18" customHeight="1" x14ac:dyDescent="0.3">
      <c r="A1127" s="1">
        <v>22</v>
      </c>
      <c r="B1127" s="1" t="s">
        <v>951</v>
      </c>
      <c r="C1127" s="1" t="str">
        <f ca="1">IFERROR(__xludf.DUMMYFUNCTION("GOOGLETRANSLATE(B1131,""en"",""ja"")"),"何百")</f>
        <v>何百</v>
      </c>
    </row>
    <row r="1128" spans="1:3" ht="18" customHeight="1" x14ac:dyDescent="0.3">
      <c r="A1128" s="1">
        <v>22</v>
      </c>
      <c r="B1128" s="1" t="s">
        <v>952</v>
      </c>
      <c r="C1128" s="1" t="str">
        <f ca="1">IFERROR(__xludf.DUMMYFUNCTION("GOOGLETRANSLATE(B1132,""en"",""ja"")"),"神")</f>
        <v>神</v>
      </c>
    </row>
    <row r="1129" spans="1:3" ht="18" customHeight="1" x14ac:dyDescent="0.3">
      <c r="A1129" s="1">
        <v>22</v>
      </c>
      <c r="B1129" s="1" t="s">
        <v>953</v>
      </c>
      <c r="C1129" s="1" t="str">
        <f ca="1">IFERROR(__xludf.DUMMYFUNCTION("GOOGLETRANSLATE(B1133,""en"",""ja"")"),"力")</f>
        <v>力</v>
      </c>
    </row>
    <row r="1130" spans="1:3" ht="18" customHeight="1" x14ac:dyDescent="0.3">
      <c r="A1130" s="1">
        <v>22</v>
      </c>
      <c r="B1130" s="1" t="s">
        <v>954</v>
      </c>
      <c r="C1130" s="1" t="str">
        <f ca="1">IFERROR(__xludf.DUMMYFUNCTION("GOOGLETRANSLATE(B1134,""en"",""ja"")"),"最後に")</f>
        <v>最後に</v>
      </c>
    </row>
    <row r="1131" spans="1:3" ht="18" customHeight="1" x14ac:dyDescent="0.3">
      <c r="A1131" s="1">
        <v>22</v>
      </c>
      <c r="B1131" s="1" t="s">
        <v>955</v>
      </c>
      <c r="C1131" s="1" t="str">
        <f ca="1">IFERROR(__xludf.DUMMYFUNCTION("GOOGLETRANSLATE(B1135,""en"",""ja"")"),"よく知られています")</f>
        <v>よく知られています</v>
      </c>
    </row>
    <row r="1132" spans="1:3" ht="18" customHeight="1" x14ac:dyDescent="0.3">
      <c r="A1132" s="1">
        <v>22</v>
      </c>
      <c r="B1132" s="1" t="s">
        <v>956</v>
      </c>
      <c r="C1132" s="1" t="str">
        <f ca="1">IFERROR(__xludf.DUMMYFUNCTION("GOOGLETRANSLATE(B1136,""en"",""ja"")"),"表現")</f>
        <v>表現</v>
      </c>
    </row>
    <row r="1133" spans="1:3" ht="18" customHeight="1" x14ac:dyDescent="0.3">
      <c r="A1133" s="1">
        <v>22</v>
      </c>
      <c r="B1133" s="1" t="s">
        <v>957</v>
      </c>
      <c r="C1133" s="1" t="str">
        <f ca="1">IFERROR(__xludf.DUMMYFUNCTION("GOOGLETRANSLATE(B1137,""en"",""ja"")"),"存在")</f>
        <v>存在</v>
      </c>
    </row>
    <row r="1134" spans="1:3" ht="18" customHeight="1" x14ac:dyDescent="0.3">
      <c r="A1134" s="1">
        <v>22</v>
      </c>
      <c r="B1134" s="1" t="s">
        <v>958</v>
      </c>
      <c r="C1134" s="1" t="str">
        <f ca="1">IFERROR(__xludf.DUMMYFUNCTION("GOOGLETRANSLATE(B1138,""en"",""ja"")"),"エッセンス")</f>
        <v>エッセンス</v>
      </c>
    </row>
    <row r="1135" spans="1:3" ht="18" customHeight="1" x14ac:dyDescent="0.3">
      <c r="A1135" s="1">
        <v>22</v>
      </c>
      <c r="B1135" s="1" t="s">
        <v>959</v>
      </c>
      <c r="C1135" s="1" t="str">
        <f ca="1">IFERROR(__xludf.DUMMYFUNCTION("GOOGLETRANSLATE(B1139,""en"",""ja"")"),"楽しい")</f>
        <v>楽しい</v>
      </c>
    </row>
    <row r="1136" spans="1:3" ht="18" customHeight="1" x14ac:dyDescent="0.3">
      <c r="A1136" s="1">
        <v>22</v>
      </c>
      <c r="B1136" s="1" t="s">
        <v>960</v>
      </c>
      <c r="C1136" s="1" t="str">
        <f ca="1">IFERROR(__xludf.DUMMYFUNCTION("GOOGLETRANSLATE(B1140,""en"",""ja"")"),"ドリブン")</f>
        <v>ドリブン</v>
      </c>
    </row>
    <row r="1137" spans="1:3" ht="18" customHeight="1" x14ac:dyDescent="0.3">
      <c r="A1137" s="1">
        <v>22</v>
      </c>
      <c r="B1137" s="1" t="s">
        <v>961</v>
      </c>
      <c r="C1137" s="1" t="str">
        <f ca="1">IFERROR(__xludf.DUMMYFUNCTION("GOOGLETRANSLATE(B1141,""en"",""ja"")"),"多様")</f>
        <v>多様</v>
      </c>
    </row>
    <row r="1138" spans="1:3" ht="18" customHeight="1" x14ac:dyDescent="0.3">
      <c r="A1138" s="1">
        <v>22</v>
      </c>
      <c r="B1138" s="1" t="s">
        <v>962</v>
      </c>
      <c r="C1138" s="1" t="str">
        <f ca="1">IFERROR(__xludf.DUMMYFUNCTION("GOOGLETRANSLATE(B1142,""en"",""ja"")"),"方言")</f>
        <v>方言</v>
      </c>
    </row>
    <row r="1139" spans="1:3" ht="18" customHeight="1" x14ac:dyDescent="0.3">
      <c r="A1139" s="1">
        <v>22</v>
      </c>
      <c r="B1139" s="1" t="s">
        <v>224</v>
      </c>
      <c r="C1139" s="1" t="str">
        <f ca="1">IFERROR(__xludf.DUMMYFUNCTION("GOOGLETRANSLATE(B1143,""en"",""ja"")"),"開発")</f>
        <v>開発</v>
      </c>
    </row>
    <row r="1140" spans="1:3" ht="18" customHeight="1" x14ac:dyDescent="0.3">
      <c r="A1140" s="1">
        <v>22</v>
      </c>
      <c r="B1140" s="1" t="s">
        <v>963</v>
      </c>
      <c r="C1140" s="1" t="str">
        <f ca="1">IFERROR(__xludf.DUMMYFUNCTION("GOOGLETRANSLATE(B1144,""en"",""ja"")"),"決定")</f>
        <v>決定</v>
      </c>
    </row>
    <row r="1141" spans="1:3" ht="18" customHeight="1" x14ac:dyDescent="0.3">
      <c r="A1141" s="1">
        <v>22</v>
      </c>
      <c r="B1141" s="1" t="s">
        <v>964</v>
      </c>
      <c r="C1141" s="1" t="str">
        <f ca="1">IFERROR(__xludf.DUMMYFUNCTION("GOOGLETRANSLATE(B1145,""en"",""ja"")"),"対処")</f>
        <v>対処</v>
      </c>
    </row>
    <row r="1142" spans="1:3" ht="18" customHeight="1" x14ac:dyDescent="0.3">
      <c r="A1142" s="1">
        <v>22</v>
      </c>
      <c r="B1142" s="1" t="s">
        <v>965</v>
      </c>
      <c r="C1142" s="1" t="str">
        <f ca="1">IFERROR(__xludf.DUMMYFUNCTION("GOOGLETRANSLATE(B1146,""en"",""ja"")"),"危険")</f>
        <v>危険</v>
      </c>
    </row>
    <row r="1143" spans="1:3" ht="18" customHeight="1" x14ac:dyDescent="0.3">
      <c r="A1143" s="1">
        <v>22</v>
      </c>
      <c r="B1143" s="1" t="s">
        <v>483</v>
      </c>
      <c r="C1143" s="1" t="str">
        <f ca="1">IFERROR(__xludf.DUMMYFUNCTION("GOOGLETRANSLATE(B1147,""en"",""ja"")"),"契約する")</f>
        <v>契約する</v>
      </c>
    </row>
    <row r="1144" spans="1:3" ht="18" customHeight="1" x14ac:dyDescent="0.3">
      <c r="A1144" s="1">
        <v>22</v>
      </c>
      <c r="B1144" s="1" t="s">
        <v>966</v>
      </c>
      <c r="C1144" s="1" t="str">
        <f ca="1">IFERROR(__xludf.DUMMYFUNCTION("GOOGLETRANSLATE(B1148,""en"",""ja"")"),"コンペ")</f>
        <v>コンペ</v>
      </c>
    </row>
    <row r="1145" spans="1:3" ht="18" customHeight="1" x14ac:dyDescent="0.3">
      <c r="A1145" s="1">
        <v>22</v>
      </c>
      <c r="B1145" s="1" t="s">
        <v>967</v>
      </c>
      <c r="C1145" s="1" t="str">
        <f ca="1">IFERROR(__xludf.DUMMYFUNCTION("GOOGLETRANSLATE(B1149,""en"",""ja"")"),"会社")</f>
        <v>会社</v>
      </c>
    </row>
    <row r="1146" spans="1:3" ht="18" customHeight="1" x14ac:dyDescent="0.3">
      <c r="A1146" s="1">
        <v>22</v>
      </c>
      <c r="B1146" s="1" t="s">
        <v>968</v>
      </c>
      <c r="C1146" s="1" t="str">
        <f ca="1">IFERROR(__xludf.DUMMYFUNCTION("GOOGLETRANSLATE(B1150,""en"",""ja"")"),"コミュニケート")</f>
        <v>コミュニケート</v>
      </c>
    </row>
    <row r="1147" spans="1:3" ht="18" customHeight="1" x14ac:dyDescent="0.3">
      <c r="A1147" s="1">
        <v>22</v>
      </c>
      <c r="B1147" s="1" t="s">
        <v>969</v>
      </c>
      <c r="C1147" s="1" t="str">
        <f ca="1">IFERROR(__xludf.DUMMYFUNCTION("GOOGLETRANSLATE(B1151,""en"",""ja"")"),"チンパンジー")</f>
        <v>チンパンジー</v>
      </c>
    </row>
    <row r="1148" spans="1:3" ht="18" customHeight="1" x14ac:dyDescent="0.3">
      <c r="A1148" s="1">
        <v>22</v>
      </c>
      <c r="B1148" s="1" t="s">
        <v>970</v>
      </c>
      <c r="C1148" s="1" t="str">
        <f ca="1">IFERROR(__xludf.DUMMYFUNCTION("GOOGLETRANSLATE(B1152,""en"",""ja"")"),"特徴づけ")</f>
        <v>特徴づけ</v>
      </c>
    </row>
    <row r="1149" spans="1:3" ht="18" customHeight="1" x14ac:dyDescent="0.3">
      <c r="A1149" s="1">
        <v>22</v>
      </c>
      <c r="B1149" s="1" t="s">
        <v>971</v>
      </c>
      <c r="C1149" s="1" t="str">
        <f ca="1">IFERROR(__xludf.DUMMYFUNCTION("GOOGLETRANSLATE(B1153,""en"",""ja"")"),"特性")</f>
        <v>特性</v>
      </c>
    </row>
    <row r="1150" spans="1:3" ht="18" customHeight="1" x14ac:dyDescent="0.3">
      <c r="A1150" s="1">
        <v>22</v>
      </c>
      <c r="B1150" s="1" t="s">
        <v>972</v>
      </c>
      <c r="C1150" s="1" t="str">
        <f ca="1">IFERROR(__xludf.DUMMYFUNCTION("GOOGLETRANSLATE(B1154,""en"",""ja"")"),"キャラクター")</f>
        <v>キャラクター</v>
      </c>
    </row>
    <row r="1151" spans="1:3" ht="18" customHeight="1" x14ac:dyDescent="0.3">
      <c r="A1151" s="1">
        <v>22</v>
      </c>
      <c r="B1151" s="1" t="s">
        <v>973</v>
      </c>
      <c r="C1151" s="1" t="str">
        <f ca="1">IFERROR(__xludf.DUMMYFUNCTION("GOOGLETRANSLATE(B1155,""en"",""ja"")"),"CD")</f>
        <v>CD</v>
      </c>
    </row>
    <row r="1152" spans="1:3" ht="18" customHeight="1" x14ac:dyDescent="0.3">
      <c r="A1152" s="1">
        <v>22</v>
      </c>
      <c r="B1152" s="1" t="s">
        <v>974</v>
      </c>
      <c r="C1152" s="1" t="str">
        <f ca="1">IFERROR(__xludf.DUMMYFUNCTION("GOOGLETRANSLATE(B1156,""en"",""ja"")"),"生まれ")</f>
        <v>生まれ</v>
      </c>
    </row>
    <row r="1153" spans="1:3" ht="18" customHeight="1" x14ac:dyDescent="0.3">
      <c r="A1153" s="1">
        <v>22</v>
      </c>
      <c r="B1153" s="1" t="s">
        <v>227</v>
      </c>
      <c r="C1153" s="1" t="str">
        <f ca="1">IFERROR(__xludf.DUMMYFUNCTION("GOOGLETRANSLATE(B1157,""en"",""ja"")"),"前")</f>
        <v>前</v>
      </c>
    </row>
    <row r="1154" spans="1:3" ht="18" customHeight="1" x14ac:dyDescent="0.3">
      <c r="A1154" s="1">
        <v>22</v>
      </c>
      <c r="B1154" s="1" t="s">
        <v>975</v>
      </c>
      <c r="C1154" s="1" t="str">
        <f ca="1">IFERROR(__xludf.DUMMYFUNCTION("GOOGLETRANSLATE(B1158,""en"",""ja"")"),"悪い")</f>
        <v>悪い</v>
      </c>
    </row>
    <row r="1155" spans="1:3" ht="18" customHeight="1" x14ac:dyDescent="0.3">
      <c r="A1155" s="1">
        <v>22</v>
      </c>
      <c r="B1155" s="1" t="s">
        <v>976</v>
      </c>
      <c r="C1155" s="1" t="str">
        <f ca="1">IFERROR(__xludf.DUMMYFUNCTION("GOOGLETRANSLATE(B1159,""en"",""ja"")"),"尻")</f>
        <v>尻</v>
      </c>
    </row>
    <row r="1156" spans="1:3" ht="18" customHeight="1" x14ac:dyDescent="0.3">
      <c r="A1156" s="1">
        <v>22</v>
      </c>
      <c r="B1156" s="1" t="s">
        <v>977</v>
      </c>
      <c r="C1156" s="1" t="str">
        <f ca="1">IFERROR(__xludf.DUMMYFUNCTION("GOOGLETRANSLATE(B1160,""en"",""ja"")"),"側面")</f>
        <v>側面</v>
      </c>
    </row>
    <row r="1157" spans="1:3" ht="18" customHeight="1" x14ac:dyDescent="0.3">
      <c r="A1157" s="1">
        <v>22</v>
      </c>
      <c r="B1157" s="1" t="s">
        <v>436</v>
      </c>
      <c r="C1157" s="1" t="str">
        <f ca="1">IFERROR(__xludf.DUMMYFUNCTION("GOOGLETRANSLATE(B1161,""en"",""ja"")"),"再び")</f>
        <v>再び</v>
      </c>
    </row>
    <row r="1158" spans="1:3" ht="18" customHeight="1" x14ac:dyDescent="0.3">
      <c r="A1158" s="1">
        <v>22</v>
      </c>
      <c r="B1158" s="1" t="s">
        <v>978</v>
      </c>
      <c r="C1158" s="1" t="str">
        <f ca="1">IFERROR(__xludf.DUMMYFUNCTION("GOOGLETRANSLATE(B1162,""en"",""ja"")"),"業務")</f>
        <v>業務</v>
      </c>
    </row>
    <row r="1159" spans="1:3" ht="18" customHeight="1" x14ac:dyDescent="0.3">
      <c r="A1159" s="1">
        <v>21</v>
      </c>
      <c r="B1159" s="1" t="s">
        <v>979</v>
      </c>
      <c r="C1159" s="1" t="str">
        <f ca="1">IFERROR(__xludf.DUMMYFUNCTION("GOOGLETRANSLATE(B1163,""en"",""ja"")"),"願い")</f>
        <v>願い</v>
      </c>
    </row>
    <row r="1160" spans="1:3" ht="18" customHeight="1" x14ac:dyDescent="0.3">
      <c r="A1160" s="1">
        <v>21</v>
      </c>
      <c r="B1160" s="1" t="s">
        <v>980</v>
      </c>
      <c r="C1160" s="1" t="str">
        <f ca="1">IFERROR(__xludf.DUMMYFUNCTION("GOOGLETRANSLATE(B1164,""en"",""ja"")"),"誰")</f>
        <v>誰</v>
      </c>
    </row>
    <row r="1161" spans="1:3" ht="18" customHeight="1" x14ac:dyDescent="0.3">
      <c r="A1161" s="1">
        <v>21</v>
      </c>
      <c r="B1161" s="1" t="s">
        <v>981</v>
      </c>
      <c r="C1161" s="1" t="str">
        <f ca="1">IFERROR(__xludf.DUMMYFUNCTION("GOOGLETRANSLATE(B1165,""en"",""ja"")"),"井戸")</f>
        <v>井戸</v>
      </c>
    </row>
    <row r="1162" spans="1:3" ht="18" customHeight="1" x14ac:dyDescent="0.3">
      <c r="A1162" s="1">
        <v>21</v>
      </c>
      <c r="B1162" s="1" t="s">
        <v>325</v>
      </c>
      <c r="C1162" s="1" t="str">
        <f ca="1">IFERROR(__xludf.DUMMYFUNCTION("GOOGLETRANSLATE(B1166,""en"",""ja"")"),"欲しいです")</f>
        <v>欲しいです</v>
      </c>
    </row>
    <row r="1163" spans="1:3" ht="18" customHeight="1" x14ac:dyDescent="0.3">
      <c r="A1163" s="1">
        <v>21</v>
      </c>
      <c r="B1163" s="1" t="s">
        <v>982</v>
      </c>
      <c r="C1163" s="1" t="str">
        <f ca="1">IFERROR(__xludf.DUMMYFUNCTION("GOOGLETRANSLATE(B1167,""en"",""ja"")"),"対")</f>
        <v>対</v>
      </c>
    </row>
    <row r="1164" spans="1:3" ht="18" customHeight="1" x14ac:dyDescent="0.3">
      <c r="A1164" s="1">
        <v>21</v>
      </c>
      <c r="B1164" s="1" t="s">
        <v>983</v>
      </c>
      <c r="C1164" s="1" t="str">
        <f ca="1">IFERROR(__xludf.DUMMYFUNCTION("GOOGLETRANSLATE(B1168,""en"",""ja"")"),"バージョン")</f>
        <v>バージョン</v>
      </c>
    </row>
    <row r="1165" spans="1:3" ht="18" customHeight="1" x14ac:dyDescent="0.3">
      <c r="A1165" s="1">
        <v>21</v>
      </c>
      <c r="B1165" s="1" t="s">
        <v>750</v>
      </c>
      <c r="C1165" s="1" t="str">
        <f ca="1">IFERROR(__xludf.DUMMYFUNCTION("GOOGLETRANSLATE(B1169,""en"",""ja"")"),"故に")</f>
        <v>故に</v>
      </c>
    </row>
    <row r="1166" spans="1:3" ht="18" customHeight="1" x14ac:dyDescent="0.3">
      <c r="A1166" s="1">
        <v>21</v>
      </c>
      <c r="B1166" s="1" t="s">
        <v>984</v>
      </c>
      <c r="C1166" s="1" t="str">
        <f ca="1">IFERROR(__xludf.DUMMYFUNCTION("GOOGLETRANSLATE(B1170,""en"",""ja"")"),"傾向")</f>
        <v>傾向</v>
      </c>
    </row>
    <row r="1167" spans="1:3" ht="18" customHeight="1" x14ac:dyDescent="0.3">
      <c r="A1167" s="1">
        <v>21</v>
      </c>
      <c r="B1167" s="1" t="s">
        <v>985</v>
      </c>
      <c r="C1167" s="1" t="str">
        <f ca="1">IFERROR(__xludf.DUMMYFUNCTION("GOOGLETRANSLATE(B1171,""en"",""ja"")"),"苦しみます")</f>
        <v>苦しみます</v>
      </c>
    </row>
    <row r="1168" spans="1:3" ht="18" customHeight="1" x14ac:dyDescent="0.3">
      <c r="A1168" s="1">
        <v>21</v>
      </c>
      <c r="B1168" s="1" t="s">
        <v>986</v>
      </c>
      <c r="C1168" s="1" t="str">
        <f ca="1">IFERROR(__xludf.DUMMYFUNCTION("GOOGLETRANSLATE(B1172,""en"",""ja"")"),"科目")</f>
        <v>科目</v>
      </c>
    </row>
    <row r="1169" spans="1:3" ht="18" customHeight="1" x14ac:dyDescent="0.3">
      <c r="A1169" s="1">
        <v>21</v>
      </c>
      <c r="B1169" s="1" t="s">
        <v>987</v>
      </c>
      <c r="C1169" s="1" t="str">
        <f ca="1">IFERROR(__xludf.DUMMYFUNCTION("GOOGLETRANSLATE(B1173,""en"",""ja"")"),"学生")</f>
        <v>学生</v>
      </c>
    </row>
    <row r="1170" spans="1:3" ht="18" customHeight="1" x14ac:dyDescent="0.3">
      <c r="A1170" s="1">
        <v>21</v>
      </c>
      <c r="B1170" s="1" t="s">
        <v>988</v>
      </c>
      <c r="C1170" s="1" t="str">
        <f ca="1">IFERROR(__xludf.DUMMYFUNCTION("GOOGLETRANSLATE(B1174,""en"",""ja"")"),"展開する")</f>
        <v>展開する</v>
      </c>
    </row>
    <row r="1171" spans="1:3" ht="18" customHeight="1" x14ac:dyDescent="0.3">
      <c r="A1171" s="1">
        <v>21</v>
      </c>
      <c r="B1171" s="1" t="s">
        <v>243</v>
      </c>
      <c r="C1171" s="1" t="str">
        <f ca="1">IFERROR(__xludf.DUMMYFUNCTION("GOOGLETRANSLATE(B1175,""en"",""ja"")"),"から")</f>
        <v>から</v>
      </c>
    </row>
    <row r="1172" spans="1:3" ht="18" customHeight="1" x14ac:dyDescent="0.3">
      <c r="A1172" s="1">
        <v>21</v>
      </c>
      <c r="B1172" s="1" t="s">
        <v>724</v>
      </c>
      <c r="C1172" s="1" t="str">
        <f ca="1">IFERROR(__xludf.DUMMYFUNCTION("GOOGLETRANSLATE(B1178,""en"",""ja"")"),"必要とする")</f>
        <v>必要とする</v>
      </c>
    </row>
    <row r="1173" spans="1:3" ht="18" customHeight="1" x14ac:dyDescent="0.3">
      <c r="A1173" s="1">
        <v>21</v>
      </c>
      <c r="B1173" s="1" t="s">
        <v>990</v>
      </c>
      <c r="C1173" s="1" t="str">
        <f ca="1">IFERROR(__xludf.DUMMYFUNCTION("GOOGLETRANSLATE(B1179,""en"",""ja"")"),"代表します")</f>
        <v>代表します</v>
      </c>
    </row>
    <row r="1174" spans="1:3" ht="18" customHeight="1" x14ac:dyDescent="0.3">
      <c r="A1174" s="1">
        <v>21</v>
      </c>
      <c r="B1174" s="1" t="s">
        <v>991</v>
      </c>
      <c r="C1174" s="1" t="str">
        <f ca="1">IFERROR(__xludf.DUMMYFUNCTION("GOOGLETRANSLATE(B1180,""en"",""ja"")"),"赤")</f>
        <v>赤</v>
      </c>
    </row>
    <row r="1175" spans="1:3" ht="18" customHeight="1" x14ac:dyDescent="0.3">
      <c r="A1175" s="1">
        <v>21</v>
      </c>
      <c r="B1175" s="1" t="s">
        <v>992</v>
      </c>
      <c r="C1175" s="1" t="str">
        <f ca="1">IFERROR(__xludf.DUMMYFUNCTION("GOOGLETRANSLATE(B1181,""en"",""ja"")"),"証明")</f>
        <v>証明</v>
      </c>
    </row>
    <row r="1176" spans="1:3" ht="18" customHeight="1" x14ac:dyDescent="0.3">
      <c r="A1176" s="1">
        <v>21</v>
      </c>
      <c r="B1176" s="1" t="s">
        <v>993</v>
      </c>
      <c r="C1176" s="1" t="str">
        <f ca="1">IFERROR(__xludf.DUMMYFUNCTION("GOOGLETRANSLATE(B1182,""en"",""ja"")"),"割合")</f>
        <v>割合</v>
      </c>
    </row>
    <row r="1177" spans="1:3" ht="18" customHeight="1" x14ac:dyDescent="0.3">
      <c r="A1177" s="1">
        <v>21</v>
      </c>
      <c r="B1177" s="1" t="s">
        <v>994</v>
      </c>
      <c r="C1177" s="1" t="str">
        <f ca="1">IFERROR(__xludf.DUMMYFUNCTION("GOOGLETRANSLATE(B1183,""en"",""ja"")"),"進捗")</f>
        <v>進捗</v>
      </c>
    </row>
    <row r="1178" spans="1:3" ht="18" customHeight="1" x14ac:dyDescent="0.3">
      <c r="A1178" s="1">
        <v>21</v>
      </c>
      <c r="B1178" s="1" t="s">
        <v>995</v>
      </c>
      <c r="C1178" s="1" t="str">
        <f ca="1">IFERROR(__xludf.DUMMYFUNCTION("GOOGLETRANSLATE(B1184,""en"",""ja"")"),"生産")</f>
        <v>生産</v>
      </c>
    </row>
    <row r="1179" spans="1:3" ht="18" customHeight="1" x14ac:dyDescent="0.3">
      <c r="A1179" s="1">
        <v>21</v>
      </c>
      <c r="B1179" s="1" t="s">
        <v>996</v>
      </c>
      <c r="C1179" s="1" t="str">
        <f ca="1">IFERROR(__xludf.DUMMYFUNCTION("GOOGLETRANSLATE(B1185,""en"",""ja"")"),"予測")</f>
        <v>予測</v>
      </c>
    </row>
    <row r="1180" spans="1:3" ht="18" customHeight="1" x14ac:dyDescent="0.3">
      <c r="A1180" s="1">
        <v>21</v>
      </c>
      <c r="B1180" s="1" t="s">
        <v>214</v>
      </c>
      <c r="C1180" s="1" t="str">
        <f ca="1">IFERROR(__xludf.DUMMYFUNCTION("GOOGLETRANSLATE(B1186,""en"",""ja"")"),"ポイント")</f>
        <v>ポイント</v>
      </c>
    </row>
    <row r="1181" spans="1:3" ht="18" customHeight="1" x14ac:dyDescent="0.3">
      <c r="A1181" s="1">
        <v>21</v>
      </c>
      <c r="B1181" s="1" t="s">
        <v>997</v>
      </c>
      <c r="C1181" s="1" t="str">
        <f ca="1">IFERROR(__xludf.DUMMYFUNCTION("GOOGLETRANSLATE(B1187,""en"",""ja"")"),"パーティー")</f>
        <v>パーティー</v>
      </c>
    </row>
    <row r="1182" spans="1:3" ht="18" customHeight="1" x14ac:dyDescent="0.3">
      <c r="A1182" s="1">
        <v>21</v>
      </c>
      <c r="B1182" s="1" t="s">
        <v>998</v>
      </c>
      <c r="C1182" s="1" t="str">
        <f ca="1">IFERROR(__xludf.DUMMYFUNCTION("GOOGLETRANSLATE(B1188,""en"",""ja"")"),"打ち勝ちます")</f>
        <v>打ち勝ちます</v>
      </c>
    </row>
    <row r="1183" spans="1:3" ht="18" customHeight="1" x14ac:dyDescent="0.3">
      <c r="A1183" s="1">
        <v>21</v>
      </c>
      <c r="B1183" s="1" t="s">
        <v>760</v>
      </c>
      <c r="C1183" s="1" t="str">
        <f ca="1">IFERROR(__xludf.DUMMYFUNCTION("GOOGLETRANSLATE(B1189,""en"",""ja"")"),"組織")</f>
        <v>組織</v>
      </c>
    </row>
    <row r="1184" spans="1:3" ht="18" customHeight="1" x14ac:dyDescent="0.3">
      <c r="A1184" s="1">
        <v>21</v>
      </c>
      <c r="B1184" s="1" t="s">
        <v>999</v>
      </c>
      <c r="C1184" s="1" t="str">
        <f ca="1">IFERROR(__xludf.DUMMYFUNCTION("GOOGLETRANSLATE(B1190,""en"",""ja"")"),"発生")</f>
        <v>発生</v>
      </c>
    </row>
    <row r="1185" spans="1:3" ht="18" customHeight="1" x14ac:dyDescent="0.3">
      <c r="A1185" s="1">
        <v>21</v>
      </c>
      <c r="B1185" s="1" t="s">
        <v>1000</v>
      </c>
      <c r="C1185" s="1" t="str">
        <f ca="1">IFERROR(__xludf.DUMMYFUNCTION("GOOGLETRANSLATE(B1191,""en"",""ja"")"),"ネットワーキング")</f>
        <v>ネットワーキング</v>
      </c>
    </row>
    <row r="1186" spans="1:3" ht="18" customHeight="1" x14ac:dyDescent="0.3">
      <c r="A1186" s="1">
        <v>21</v>
      </c>
      <c r="B1186" s="1" t="s">
        <v>1001</v>
      </c>
      <c r="C1186" s="1" t="str">
        <f ca="1">IFERROR(__xludf.DUMMYFUNCTION("GOOGLETRANSLATE(B1192,""en"",""ja"")"),"擦り傷")</f>
        <v>擦り傷</v>
      </c>
    </row>
    <row r="1187" spans="1:3" ht="18" customHeight="1" x14ac:dyDescent="0.3">
      <c r="A1187" s="1">
        <v>21</v>
      </c>
      <c r="B1187" s="1" t="s">
        <v>1002</v>
      </c>
      <c r="C1187" s="1" t="str">
        <f ca="1">IFERROR(__xludf.DUMMYFUNCTION("GOOGLETRANSLATE(B1193,""en"",""ja"")"),"マガジン")</f>
        <v>マガジン</v>
      </c>
    </row>
    <row r="1188" spans="1:3" ht="18" customHeight="1" x14ac:dyDescent="0.3">
      <c r="A1188" s="1">
        <v>21</v>
      </c>
      <c r="B1188" s="1" t="s">
        <v>1003</v>
      </c>
      <c r="C1188" s="1" t="str">
        <f ca="1">IFERROR(__xludf.DUMMYFUNCTION("GOOGLETRANSLATE(B1194,""en"",""ja"")"),"見えました")</f>
        <v>見えました</v>
      </c>
    </row>
    <row r="1189" spans="1:3" ht="18" customHeight="1" x14ac:dyDescent="0.3">
      <c r="A1189" s="1">
        <v>21</v>
      </c>
      <c r="B1189" s="1" t="s">
        <v>1004</v>
      </c>
      <c r="C1189" s="1" t="str">
        <f ca="1">IFERROR(__xludf.DUMMYFUNCTION("GOOGLETRANSLATE(B1195,""en"",""ja"")"),"裁判官")</f>
        <v>裁判官</v>
      </c>
    </row>
    <row r="1190" spans="1:3" ht="18" customHeight="1" x14ac:dyDescent="0.3">
      <c r="A1190" s="1">
        <v>21</v>
      </c>
      <c r="B1190" s="1" t="s">
        <v>1005</v>
      </c>
      <c r="C1190" s="1" t="str">
        <f ca="1">IFERROR(__xludf.DUMMYFUNCTION("GOOGLETRANSLATE(B1196,""en"",""ja"")"),"問題")</f>
        <v>問題</v>
      </c>
    </row>
    <row r="1191" spans="1:3" ht="18" customHeight="1" x14ac:dyDescent="0.3">
      <c r="A1191" s="1">
        <v>21</v>
      </c>
      <c r="B1191" s="1" t="s">
        <v>766</v>
      </c>
      <c r="C1191" s="1" t="str">
        <f ca="1">IFERROR(__xludf.DUMMYFUNCTION("GOOGLETRANSLATE(B1197,""en"",""ja"")"),"問題")</f>
        <v>問題</v>
      </c>
    </row>
    <row r="1192" spans="1:3" ht="18" customHeight="1" x14ac:dyDescent="0.3">
      <c r="A1192" s="1">
        <v>21</v>
      </c>
      <c r="B1192" s="1" t="s">
        <v>1006</v>
      </c>
      <c r="C1192" s="1" t="str">
        <f ca="1">IFERROR(__xludf.DUMMYFUNCTION("GOOGLETRANSLATE(B1198,""en"",""ja"")"),"ますます")</f>
        <v>ますます</v>
      </c>
    </row>
    <row r="1193" spans="1:3" ht="18" customHeight="1" x14ac:dyDescent="0.3">
      <c r="A1193" s="1">
        <v>21</v>
      </c>
      <c r="B1193" s="1" t="s">
        <v>1007</v>
      </c>
      <c r="C1193" s="1" t="str">
        <f ca="1">IFERROR(__xludf.DUMMYFUNCTION("GOOGLETRANSLATE(B1199,""en"",""ja"")"),"増加")</f>
        <v>増加</v>
      </c>
    </row>
    <row r="1194" spans="1:3" ht="18" customHeight="1" x14ac:dyDescent="0.3">
      <c r="A1194" s="1">
        <v>21</v>
      </c>
      <c r="B1194" s="1" t="s">
        <v>170</v>
      </c>
      <c r="C1194" s="1" t="str">
        <f ca="1">IFERROR(__xludf.DUMMYFUNCTION("GOOGLETRANSLATE(B1200,""en"",""ja"")"),"考え")</f>
        <v>考え</v>
      </c>
    </row>
    <row r="1195" spans="1:3" ht="18" customHeight="1" x14ac:dyDescent="0.3">
      <c r="A1195" s="1">
        <v>21</v>
      </c>
      <c r="B1195" s="1" t="s">
        <v>1008</v>
      </c>
      <c r="C1195" s="1" t="str">
        <f ca="1">IFERROR(__xludf.DUMMYFUNCTION("GOOGLETRANSLATE(B1201,""en"",""ja"")"),"頭")</f>
        <v>頭</v>
      </c>
    </row>
    <row r="1196" spans="1:3" ht="18" customHeight="1" x14ac:dyDescent="0.3">
      <c r="A1196" s="1">
        <v>21</v>
      </c>
      <c r="B1196" s="1" t="s">
        <v>1009</v>
      </c>
      <c r="C1196" s="1" t="str">
        <f ca="1">IFERROR(__xludf.DUMMYFUNCTION("GOOGLETRANSLATE(B1202,""en"",""ja"")"),"幸せ")</f>
        <v>幸せ</v>
      </c>
    </row>
    <row r="1197" spans="1:3" ht="18" customHeight="1" x14ac:dyDescent="0.3">
      <c r="A1197" s="1">
        <v>21</v>
      </c>
      <c r="B1197" s="1" t="s">
        <v>1010</v>
      </c>
      <c r="C1197" s="1" t="str">
        <f ca="1">IFERROR(__xludf.DUMMYFUNCTION("GOOGLETRANSLATE(B1203,""en"",""ja"")"),"育った")</f>
        <v>育った</v>
      </c>
    </row>
    <row r="1198" spans="1:3" ht="18" customHeight="1" x14ac:dyDescent="0.3">
      <c r="A1198" s="1">
        <v>21</v>
      </c>
      <c r="B1198" s="1" t="s">
        <v>229</v>
      </c>
      <c r="C1198" s="1" t="str">
        <f ca="1">IFERROR(__xludf.DUMMYFUNCTION("GOOGLETRANSLATE(B1204,""en"",""ja"")"),"行きます")</f>
        <v>行きます</v>
      </c>
    </row>
    <row r="1199" spans="1:3" ht="18" customHeight="1" x14ac:dyDescent="0.3">
      <c r="A1199" s="1">
        <v>21</v>
      </c>
      <c r="B1199" s="1" t="s">
        <v>1011</v>
      </c>
      <c r="C1199" s="1" t="str">
        <f ca="1">IFERROR(__xludf.DUMMYFUNCTION("GOOGLETRANSLATE(B1205,""en"",""ja"")"),"与え")</f>
        <v>与え</v>
      </c>
    </row>
    <row r="1200" spans="1:3" ht="18" customHeight="1" x14ac:dyDescent="0.3">
      <c r="A1200" s="1">
        <v>21</v>
      </c>
      <c r="B1200" s="1" t="s">
        <v>294</v>
      </c>
      <c r="C1200" s="1" t="str">
        <f ca="1">IFERROR(__xludf.DUMMYFUNCTION("GOOGLETRANSLATE(B1206,""en"",""ja"")"),"与える")</f>
        <v>与える</v>
      </c>
    </row>
    <row r="1201" spans="1:3" ht="18" customHeight="1" x14ac:dyDescent="0.3">
      <c r="A1201" s="1">
        <v>21</v>
      </c>
      <c r="B1201" s="1" t="s">
        <v>1012</v>
      </c>
      <c r="C1201" s="1" t="str">
        <f ca="1">IFERROR(__xludf.DUMMYFUNCTION("GOOGLETRANSLATE(B1207,""en"",""ja"")"),"遺伝的に")</f>
        <v>遺伝的に</v>
      </c>
    </row>
    <row r="1202" spans="1:3" ht="18" customHeight="1" x14ac:dyDescent="0.3">
      <c r="A1202" s="1">
        <v>21</v>
      </c>
      <c r="B1202" s="1" t="s">
        <v>1013</v>
      </c>
      <c r="C1202" s="1" t="str">
        <f ca="1">IFERROR(__xludf.DUMMYFUNCTION("GOOGLETRANSLATE(B1208,""en"",""ja"")"),"ニンニク")</f>
        <v>ニンニク</v>
      </c>
    </row>
    <row r="1203" spans="1:3" ht="18" customHeight="1" x14ac:dyDescent="0.3">
      <c r="A1203" s="1">
        <v>21</v>
      </c>
      <c r="B1203" s="1" t="s">
        <v>9</v>
      </c>
      <c r="C1203" s="1" t="str">
        <f ca="1">IFERROR(__xludf.DUMMYFUNCTION("GOOGLETRANSLATE(B1209,""en"",""ja"")"),"にとって")</f>
        <v>にとって</v>
      </c>
    </row>
    <row r="1204" spans="1:3" ht="18" customHeight="1" x14ac:dyDescent="0.3">
      <c r="A1204" s="1">
        <v>21</v>
      </c>
      <c r="B1204" s="1" t="s">
        <v>1014</v>
      </c>
      <c r="C1204" s="1" t="str">
        <f ca="1">IFERROR(__xludf.DUMMYFUNCTION("GOOGLETRANSLATE(B1210,""en"",""ja"")"),"失敗しました")</f>
        <v>失敗しました</v>
      </c>
    </row>
    <row r="1205" spans="1:3" ht="18" customHeight="1" x14ac:dyDescent="0.3">
      <c r="A1205" s="1">
        <v>21</v>
      </c>
      <c r="B1205" s="1" t="s">
        <v>1015</v>
      </c>
      <c r="C1205" s="1" t="str">
        <f ca="1">IFERROR(__xludf.DUMMYFUNCTION("GOOGLETRANSLATE(B1211,""en"",""ja"")"),"拡張")</f>
        <v>拡張</v>
      </c>
    </row>
    <row r="1206" spans="1:3" ht="18" customHeight="1" x14ac:dyDescent="0.3">
      <c r="A1206" s="1">
        <v>21</v>
      </c>
      <c r="B1206" s="1" t="s">
        <v>1016</v>
      </c>
      <c r="C1206" s="1" t="str">
        <f ca="1">IFERROR(__xludf.DUMMYFUNCTION("GOOGLETRANSLATE(B1212,""en"",""ja"")"),"期待します")</f>
        <v>期待します</v>
      </c>
    </row>
    <row r="1207" spans="1:3" ht="18" customHeight="1" x14ac:dyDescent="0.3">
      <c r="A1207" s="1">
        <v>21</v>
      </c>
      <c r="B1207" s="1" t="s">
        <v>1017</v>
      </c>
      <c r="C1207" s="1" t="str">
        <f ca="1">IFERROR(__xludf.DUMMYFUNCTION("GOOGLETRANSLATE(B1213,""en"",""ja"")"),"評価します")</f>
        <v>評価します</v>
      </c>
    </row>
    <row r="1208" spans="1:3" ht="18" customHeight="1" x14ac:dyDescent="0.3">
      <c r="A1208" s="1">
        <v>21</v>
      </c>
      <c r="B1208" s="1" t="s">
        <v>738</v>
      </c>
      <c r="C1208" s="1" t="str">
        <f ca="1">IFERROR(__xludf.DUMMYFUNCTION("GOOGLETRANSLATE(B1214,""en"",""ja"")"),"教育")</f>
        <v>教育</v>
      </c>
    </row>
    <row r="1209" spans="1:3" ht="18" customHeight="1" x14ac:dyDescent="0.3">
      <c r="A1209" s="1">
        <v>21</v>
      </c>
      <c r="B1209" s="1" t="s">
        <v>1018</v>
      </c>
      <c r="C1209" s="1" t="str">
        <f ca="1">IFERROR(__xludf.DUMMYFUNCTION("GOOGLETRANSLATE(B1215,""en"",""ja"")"),"経済")</f>
        <v>経済</v>
      </c>
    </row>
    <row r="1210" spans="1:3" ht="18" customHeight="1" x14ac:dyDescent="0.3">
      <c r="A1210" s="1">
        <v>21</v>
      </c>
      <c r="B1210" s="1" t="s">
        <v>1019</v>
      </c>
      <c r="C1210" s="1" t="str">
        <f ca="1">IFERROR(__xludf.DUMMYFUNCTION("GOOGLETRANSLATE(B1216,""en"",""ja"")"),"発見")</f>
        <v>発見</v>
      </c>
    </row>
    <row r="1211" spans="1:3" ht="18" customHeight="1" x14ac:dyDescent="0.3">
      <c r="A1211" s="1">
        <v>21</v>
      </c>
      <c r="B1211" s="1" t="s">
        <v>1020</v>
      </c>
      <c r="C1211" s="1" t="str">
        <f ca="1">IFERROR(__xludf.DUMMYFUNCTION("GOOGLETRANSLATE(B1217,""en"",""ja"")"),"差")</f>
        <v>差</v>
      </c>
    </row>
    <row r="1212" spans="1:3" ht="18" customHeight="1" x14ac:dyDescent="0.3">
      <c r="A1212" s="1">
        <v>21</v>
      </c>
      <c r="B1212" s="1" t="s">
        <v>1021</v>
      </c>
      <c r="C1212" s="1" t="str">
        <f ca="1">IFERROR(__xludf.DUMMYFUNCTION("GOOGLETRANSLATE(B1218,""en"",""ja"")"),"一昔")</f>
        <v>一昔</v>
      </c>
    </row>
    <row r="1213" spans="1:3" ht="18" customHeight="1" x14ac:dyDescent="0.3">
      <c r="A1213" s="1">
        <v>21</v>
      </c>
      <c r="B1213" s="1" t="s">
        <v>1022</v>
      </c>
      <c r="C1213" s="1" t="str">
        <f ca="1">IFERROR(__xludf.DUMMYFUNCTION("GOOGLETRANSLATE(B1219,""en"",""ja"")"),"コミュニケーター")</f>
        <v>コミュニケーター</v>
      </c>
    </row>
    <row r="1214" spans="1:3" ht="18" customHeight="1" x14ac:dyDescent="0.3">
      <c r="A1214" s="1">
        <v>21</v>
      </c>
      <c r="B1214" s="1" t="s">
        <v>1023</v>
      </c>
      <c r="C1214" s="1" t="str">
        <f ca="1">IFERROR(__xludf.DUMMYFUNCTION("GOOGLETRANSLATE(B1220,""en"",""ja"")"),"集合的な")</f>
        <v>集合的な</v>
      </c>
    </row>
    <row r="1215" spans="1:3" ht="18" customHeight="1" x14ac:dyDescent="0.3">
      <c r="A1215" s="1">
        <v>21</v>
      </c>
      <c r="B1215" s="1" t="s">
        <v>1024</v>
      </c>
      <c r="C1215" s="1" t="str">
        <f ca="1">IFERROR(__xludf.DUMMYFUNCTION("GOOGLETRANSLATE(B1221,""en"",""ja"")"),"クラス")</f>
        <v>クラス</v>
      </c>
    </row>
    <row r="1216" spans="1:3" ht="18" customHeight="1" x14ac:dyDescent="0.3">
      <c r="A1216" s="1">
        <v>21</v>
      </c>
      <c r="B1216" s="1" t="s">
        <v>1025</v>
      </c>
      <c r="C1216" s="1" t="str">
        <f ca="1">IFERROR(__xludf.DUMMYFUNCTION("GOOGLETRANSLATE(B1222,""en"",""ja"")"),"混沌")</f>
        <v>混沌</v>
      </c>
    </row>
    <row r="1217" spans="1:3" ht="18" customHeight="1" x14ac:dyDescent="0.3">
      <c r="A1217" s="1">
        <v>21</v>
      </c>
      <c r="B1217" s="1" t="s">
        <v>1026</v>
      </c>
      <c r="C1217" s="1" t="str">
        <f ca="1">IFERROR(__xludf.DUMMYFUNCTION("GOOGLETRANSLATE(B1223,""en"",""ja"")"),"構築されました")</f>
        <v>構築されました</v>
      </c>
    </row>
    <row r="1218" spans="1:3" ht="18" customHeight="1" x14ac:dyDescent="0.3">
      <c r="A1218" s="1">
        <v>21</v>
      </c>
      <c r="B1218" s="1" t="s">
        <v>1027</v>
      </c>
      <c r="C1218" s="1" t="str">
        <f ca="1">IFERROR(__xludf.DUMMYFUNCTION("GOOGLETRANSLATE(B1224,""en"",""ja"")"),"持って来ます")</f>
        <v>持って来ます</v>
      </c>
    </row>
    <row r="1219" spans="1:3" ht="18" customHeight="1" x14ac:dyDescent="0.3">
      <c r="A1219" s="1">
        <v>21</v>
      </c>
      <c r="B1219" s="1" t="s">
        <v>1028</v>
      </c>
      <c r="C1219" s="1" t="str">
        <f ca="1">IFERROR(__xludf.DUMMYFUNCTION("GOOGLETRANSLATE(B1225,""en"",""ja"")"),"生物圏")</f>
        <v>生物圏</v>
      </c>
    </row>
    <row r="1220" spans="1:3" ht="18" customHeight="1" x14ac:dyDescent="0.3">
      <c r="A1220" s="1">
        <v>21</v>
      </c>
      <c r="B1220" s="1" t="s">
        <v>1029</v>
      </c>
      <c r="C1220" s="1" t="str">
        <f ca="1">IFERROR(__xludf.DUMMYFUNCTION("GOOGLETRANSLATE(B1226,""en"",""ja"")"),"行動")</f>
        <v>行動</v>
      </c>
    </row>
    <row r="1221" spans="1:3" ht="18" customHeight="1" x14ac:dyDescent="0.3">
      <c r="A1221" s="1">
        <v>21</v>
      </c>
      <c r="B1221" s="1" t="s">
        <v>1030</v>
      </c>
      <c r="C1221" s="1" t="str">
        <f ca="1">IFERROR(__xludf.DUMMYFUNCTION("GOOGLETRANSLATE(B1227,""en"",""ja"")"),"毎年の")</f>
        <v>毎年の</v>
      </c>
    </row>
    <row r="1222" spans="1:3" ht="18" customHeight="1" x14ac:dyDescent="0.3">
      <c r="A1222" s="1">
        <v>21</v>
      </c>
      <c r="B1222" s="1" t="s">
        <v>1031</v>
      </c>
      <c r="C1222" s="1" t="str">
        <f ca="1">IFERROR(__xludf.DUMMYFUNCTION("GOOGLETRANSLATE(B1228,""en"",""ja"")"),"利点")</f>
        <v>利点</v>
      </c>
    </row>
    <row r="1223" spans="1:3" ht="18" customHeight="1" x14ac:dyDescent="0.3">
      <c r="A1223" s="1">
        <v>21</v>
      </c>
      <c r="B1223" s="1" t="s">
        <v>1032</v>
      </c>
      <c r="C1223" s="1" t="str">
        <f ca="1">IFERROR(__xludf.DUMMYFUNCTION("GOOGLETRANSLATE(B1229,""en"",""ja"")"),"追加")</f>
        <v>追加</v>
      </c>
    </row>
    <row r="1224" spans="1:3" ht="18" customHeight="1" x14ac:dyDescent="0.3">
      <c r="A1224" s="1">
        <v>20</v>
      </c>
      <c r="B1224" s="1" t="s">
        <v>873</v>
      </c>
      <c r="C1224" s="1" t="str">
        <f ca="1">IFERROR(__xludf.DUMMYFUNCTION("GOOGLETRANSLATE(B1230,""en"",""ja"")"),"自分自身")</f>
        <v>自分自身</v>
      </c>
    </row>
    <row r="1225" spans="1:3" ht="18" customHeight="1" x14ac:dyDescent="0.3">
      <c r="A1225" s="1">
        <v>20</v>
      </c>
      <c r="B1225" s="1" t="s">
        <v>1033</v>
      </c>
      <c r="C1225" s="1" t="str">
        <f ca="1">IFERROR(__xludf.DUMMYFUNCTION("GOOGLETRANSLATE(B1231,""en"",""ja"")"),"働いていました")</f>
        <v>働いていました</v>
      </c>
    </row>
    <row r="1226" spans="1:3" ht="18" customHeight="1" x14ac:dyDescent="0.3">
      <c r="A1226" s="1">
        <v>20</v>
      </c>
      <c r="B1226" s="1" t="s">
        <v>1034</v>
      </c>
      <c r="C1226" s="1" t="str">
        <f ca="1">IFERROR(__xludf.DUMMYFUNCTION("GOOGLETRANSLATE(B1232,""en"",""ja"")"),"ワイド")</f>
        <v>ワイド</v>
      </c>
    </row>
    <row r="1227" spans="1:3" ht="18" customHeight="1" x14ac:dyDescent="0.3">
      <c r="A1227" s="1">
        <v>20</v>
      </c>
      <c r="B1227" s="1" t="s">
        <v>1035</v>
      </c>
      <c r="C1227" s="1" t="str">
        <f ca="1">IFERROR(__xludf.DUMMYFUNCTION("GOOGLETRANSLATE(B1233,""en"",""ja"")"),"西洋の")</f>
        <v>西洋の</v>
      </c>
    </row>
    <row r="1228" spans="1:3" ht="18" customHeight="1" x14ac:dyDescent="0.3">
      <c r="A1228" s="1">
        <v>20</v>
      </c>
      <c r="B1228" s="1" t="s">
        <v>1036</v>
      </c>
      <c r="C1228" s="1" t="str">
        <f ca="1">IFERROR(__xludf.DUMMYFUNCTION("GOOGLETRANSLATE(B1234,""en"",""ja"")"),"ワシュー")</f>
        <v>ワシュー</v>
      </c>
    </row>
    <row r="1229" spans="1:3" ht="18" customHeight="1" x14ac:dyDescent="0.3">
      <c r="A1229" s="1">
        <v>20</v>
      </c>
      <c r="B1229" s="1" t="s">
        <v>1037</v>
      </c>
      <c r="C1229" s="1" t="str">
        <f ca="1">IFERROR(__xludf.DUMMYFUNCTION("GOOGLETRANSLATE(B1235,""en"",""ja"")"),"実際に")</f>
        <v>実際に</v>
      </c>
    </row>
    <row r="1230" spans="1:3" ht="18" customHeight="1" x14ac:dyDescent="0.3">
      <c r="A1230" s="1">
        <v>20</v>
      </c>
      <c r="B1230" s="1" t="s">
        <v>1038</v>
      </c>
      <c r="C1230" s="1" t="str">
        <f ca="1">IFERROR(__xludf.DUMMYFUNCTION("GOOGLETRANSLATE(B1236,""en"",""ja"")"),"VEの")</f>
        <v>VEの</v>
      </c>
    </row>
    <row r="1231" spans="1:3" ht="18" customHeight="1" x14ac:dyDescent="0.3">
      <c r="A1231" s="1">
        <v>20</v>
      </c>
      <c r="B1231" s="1" t="s">
        <v>1039</v>
      </c>
      <c r="C1231" s="1" t="str">
        <f ca="1">IFERROR(__xludf.DUMMYFUNCTION("GOOGLETRANSLATE(B1237,""en"",""ja"")"),"ユーザー")</f>
        <v>ユーザー</v>
      </c>
    </row>
    <row r="1232" spans="1:3" ht="18" customHeight="1" x14ac:dyDescent="0.3">
      <c r="A1232" s="1">
        <v>20</v>
      </c>
      <c r="B1232" s="1" t="s">
        <v>1040</v>
      </c>
      <c r="C1232" s="1" t="str">
        <f ca="1">IFERROR(__xludf.DUMMYFUNCTION("GOOGLETRANSLATE(B1238,""en"",""ja"")"),"事")</f>
        <v>事</v>
      </c>
    </row>
    <row r="1233" spans="1:3" ht="18" customHeight="1" x14ac:dyDescent="0.3">
      <c r="A1233" s="1">
        <v>20</v>
      </c>
      <c r="B1233" s="1" t="s">
        <v>1041</v>
      </c>
      <c r="C1233" s="1" t="str">
        <f ca="1">IFERROR(__xludf.DUMMYFUNCTION("GOOGLETRANSLATE(B1239,""en"",""ja"")"),"それによって")</f>
        <v>それによって</v>
      </c>
    </row>
    <row r="1234" spans="1:3" ht="18" customHeight="1" x14ac:dyDescent="0.3">
      <c r="A1234" s="1">
        <v>20</v>
      </c>
      <c r="B1234" s="1" t="s">
        <v>1042</v>
      </c>
      <c r="C1234" s="1" t="str">
        <f ca="1">IFERROR(__xludf.DUMMYFUNCTION("GOOGLETRANSLATE(B1240,""en"",""ja"")"),"生存")</f>
        <v>生存</v>
      </c>
    </row>
    <row r="1235" spans="1:3" ht="18" customHeight="1" x14ac:dyDescent="0.3">
      <c r="A1235" s="1">
        <v>20</v>
      </c>
      <c r="B1235" s="1" t="s">
        <v>694</v>
      </c>
      <c r="C1235" s="1" t="str">
        <f ca="1">IFERROR(__xludf.DUMMYFUNCTION("GOOGLETRANSLATE(B1241,""en"",""ja"")"),"成功")</f>
        <v>成功</v>
      </c>
    </row>
    <row r="1236" spans="1:3" ht="18" customHeight="1" x14ac:dyDescent="0.3">
      <c r="A1236" s="1">
        <v>20</v>
      </c>
      <c r="B1236" s="1" t="s">
        <v>1043</v>
      </c>
      <c r="C1236" s="1" t="str">
        <f ca="1">IFERROR(__xludf.DUMMYFUNCTION("GOOGLETRANSLATE(B1242,""en"",""ja"")"),"構造の")</f>
        <v>構造の</v>
      </c>
    </row>
    <row r="1237" spans="1:3" ht="18" customHeight="1" x14ac:dyDescent="0.3">
      <c r="A1237" s="1">
        <v>20</v>
      </c>
      <c r="B1237" s="1" t="s">
        <v>1044</v>
      </c>
      <c r="C1237" s="1" t="str">
        <f ca="1">IFERROR(__xludf.DUMMYFUNCTION("GOOGLETRANSLATE(B1243,""en"",""ja"")"),"奴隷")</f>
        <v>奴隷</v>
      </c>
    </row>
    <row r="1238" spans="1:3" ht="18" customHeight="1" x14ac:dyDescent="0.3">
      <c r="A1238" s="1">
        <v>20</v>
      </c>
      <c r="B1238" s="1" t="s">
        <v>1045</v>
      </c>
      <c r="C1238" s="1" t="str">
        <f ca="1">IFERROR(__xludf.DUMMYFUNCTION("GOOGLETRANSLATE(B1244,""en"",""ja"")"),"同様に")</f>
        <v>同様に</v>
      </c>
    </row>
    <row r="1239" spans="1:3" ht="18" customHeight="1" x14ac:dyDescent="0.3">
      <c r="A1239" s="1">
        <v>20</v>
      </c>
      <c r="B1239" s="1" t="s">
        <v>1046</v>
      </c>
      <c r="C1239" s="1" t="str">
        <f ca="1">IFERROR(__xludf.DUMMYFUNCTION("GOOGLETRANSLATE(B1245,""en"",""ja"")"),"示しました")</f>
        <v>示しました</v>
      </c>
    </row>
    <row r="1240" spans="1:3" ht="18" customHeight="1" x14ac:dyDescent="0.3">
      <c r="A1240" s="1">
        <v>20</v>
      </c>
      <c r="B1240" s="1" t="s">
        <v>1047</v>
      </c>
      <c r="C1240" s="1" t="str">
        <f ca="1">IFERROR(__xludf.DUMMYFUNCTION("GOOGLETRANSLATE(B1246,""en"",""ja"")"),"農奴")</f>
        <v>農奴</v>
      </c>
    </row>
    <row r="1241" spans="1:3" ht="18" customHeight="1" x14ac:dyDescent="0.3">
      <c r="A1241" s="1">
        <v>20</v>
      </c>
      <c r="B1241" s="1" t="s">
        <v>1048</v>
      </c>
      <c r="C1241" s="1" t="str">
        <f ca="1">IFERROR(__xludf.DUMMYFUNCTION("GOOGLETRANSLATE(B1247,""en"",""ja"")"),"分ける")</f>
        <v>分ける</v>
      </c>
    </row>
    <row r="1242" spans="1:3" ht="18" customHeight="1" x14ac:dyDescent="0.3">
      <c r="A1242" s="1">
        <v>20</v>
      </c>
      <c r="B1242" s="1" t="s">
        <v>258</v>
      </c>
      <c r="C1242" s="1" t="str">
        <f ca="1">IFERROR(__xludf.DUMMYFUNCTION("GOOGLETRANSLATE(B1248,""en"",""ja"")"),"学校")</f>
        <v>学校</v>
      </c>
    </row>
    <row r="1243" spans="1:3" ht="18" customHeight="1" x14ac:dyDescent="0.3">
      <c r="A1243" s="1">
        <v>20</v>
      </c>
      <c r="B1243" s="1" t="s">
        <v>1049</v>
      </c>
      <c r="C1243" s="1" t="str">
        <f ca="1">IFERROR(__xludf.DUMMYFUNCTION("GOOGLETRANSLATE(B1249,""en"",""ja"")"),"鋸")</f>
        <v>鋸</v>
      </c>
    </row>
    <row r="1244" spans="1:3" ht="18" customHeight="1" x14ac:dyDescent="0.3">
      <c r="A1244" s="1">
        <v>20</v>
      </c>
      <c r="B1244" s="1" t="s">
        <v>1050</v>
      </c>
      <c r="C1244" s="1" t="str">
        <f ca="1">IFERROR(__xludf.DUMMYFUNCTION("GOOGLETRANSLATE(B1250,""en"",""ja"")"),"上がり")</f>
        <v>上がり</v>
      </c>
    </row>
    <row r="1245" spans="1:3" ht="18" customHeight="1" x14ac:dyDescent="0.3">
      <c r="A1245" s="1">
        <v>20</v>
      </c>
      <c r="B1245" s="1" t="s">
        <v>1051</v>
      </c>
      <c r="C1245" s="1" t="str">
        <f ca="1">IFERROR(__xludf.DUMMYFUNCTION("GOOGLETRANSLATE(B1251,""en"",""ja"")"),"解決")</f>
        <v>解決</v>
      </c>
    </row>
    <row r="1246" spans="1:3" ht="18" customHeight="1" x14ac:dyDescent="0.3">
      <c r="A1246" s="1">
        <v>20</v>
      </c>
      <c r="B1246" s="1" t="s">
        <v>1052</v>
      </c>
      <c r="C1246" s="1" t="str">
        <f ca="1">IFERROR(__xludf.DUMMYFUNCTION("GOOGLETRANSLATE(B1252,""en"",""ja"")"),"反射する")</f>
        <v>反射する</v>
      </c>
    </row>
    <row r="1247" spans="1:3" ht="18" customHeight="1" x14ac:dyDescent="0.3">
      <c r="A1247" s="1">
        <v>20</v>
      </c>
      <c r="B1247" s="1" t="s">
        <v>1053</v>
      </c>
      <c r="C1247" s="1" t="str">
        <f ca="1">IFERROR(__xludf.DUMMYFUNCTION("GOOGLETRANSLATE(B1253,""en"",""ja"")"),"提供")</f>
        <v>提供</v>
      </c>
    </row>
    <row r="1248" spans="1:3" ht="18" customHeight="1" x14ac:dyDescent="0.3">
      <c r="A1248" s="1">
        <v>20</v>
      </c>
      <c r="B1248" s="1" t="s">
        <v>1054</v>
      </c>
      <c r="C1248" s="1" t="str">
        <f ca="1">IFERROR(__xludf.DUMMYFUNCTION("GOOGLETRANSLATE(B1254,""en"",""ja"")"),"提案")</f>
        <v>提案</v>
      </c>
    </row>
    <row r="1249" spans="1:3" ht="18" customHeight="1" x14ac:dyDescent="0.3">
      <c r="A1249" s="1">
        <v>20</v>
      </c>
      <c r="B1249" s="1" t="s">
        <v>886</v>
      </c>
      <c r="C1249" s="1" t="str">
        <f ca="1">IFERROR(__xludf.DUMMYFUNCTION("GOOGLETRANSLATE(B1255,""en"",""ja"")"),"原理")</f>
        <v>原理</v>
      </c>
    </row>
    <row r="1250" spans="1:3" ht="18" customHeight="1" x14ac:dyDescent="0.3">
      <c r="A1250" s="1">
        <v>20</v>
      </c>
      <c r="B1250" s="1" t="s">
        <v>1055</v>
      </c>
      <c r="C1250" s="1" t="str">
        <f ca="1">IFERROR(__xludf.DUMMYFUNCTION("GOOGLETRANSLATE(B1256,""en"",""ja"")"),"プラクティス")</f>
        <v>プラクティス</v>
      </c>
    </row>
    <row r="1251" spans="1:3" ht="18" customHeight="1" x14ac:dyDescent="0.3">
      <c r="A1251" s="1">
        <v>20</v>
      </c>
      <c r="B1251" s="1" t="s">
        <v>416</v>
      </c>
      <c r="C1251" s="1" t="str">
        <f ca="1">IFERROR(__xludf.DUMMYFUNCTION("GOOGLETRANSLATE(B1257,""en"",""ja"")"),"過去")</f>
        <v>過去</v>
      </c>
    </row>
    <row r="1252" spans="1:3" ht="18" customHeight="1" x14ac:dyDescent="0.3">
      <c r="A1252" s="1">
        <v>20</v>
      </c>
      <c r="B1252" s="1" t="s">
        <v>19</v>
      </c>
      <c r="C1252" s="1" t="str">
        <f ca="1">IFERROR(__xludf.DUMMYFUNCTION("GOOGLETRANSLATE(B1258,""en"",""ja"")"),"若しくは")</f>
        <v>若しくは</v>
      </c>
    </row>
    <row r="1253" spans="1:3" ht="18" customHeight="1" x14ac:dyDescent="0.3">
      <c r="A1253" s="1">
        <v>20</v>
      </c>
      <c r="B1253" s="1" t="s">
        <v>1056</v>
      </c>
      <c r="C1253" s="1" t="str">
        <f ca="1">IFERROR(__xludf.DUMMYFUNCTION("GOOGLETRANSLATE(B1259,""en"",""ja"")"),"ナーバス")</f>
        <v>ナーバス</v>
      </c>
    </row>
    <row r="1254" spans="1:3" ht="18" customHeight="1" x14ac:dyDescent="0.3">
      <c r="A1254" s="1">
        <v>20</v>
      </c>
      <c r="B1254" s="1" t="s">
        <v>1057</v>
      </c>
      <c r="C1254" s="1" t="str">
        <f ca="1">IFERROR(__xludf.DUMMYFUNCTION("GOOGLETRANSLATE(B1260,""en"",""ja"")"),"どちらもありません")</f>
        <v>どちらもありません</v>
      </c>
    </row>
    <row r="1255" spans="1:3" ht="18" customHeight="1" x14ac:dyDescent="0.3">
      <c r="A1255" s="1">
        <v>20</v>
      </c>
      <c r="B1255" s="1" t="s">
        <v>1058</v>
      </c>
      <c r="C1255" s="1" t="str">
        <f ca="1">IFERROR(__xludf.DUMMYFUNCTION("GOOGLETRANSLATE(B1261,""en"",""ja"")"),"負")</f>
        <v>負</v>
      </c>
    </row>
    <row r="1256" spans="1:3" ht="18" customHeight="1" x14ac:dyDescent="0.3">
      <c r="A1256" s="1">
        <v>20</v>
      </c>
      <c r="B1256" s="1" t="s">
        <v>1059</v>
      </c>
      <c r="C1256" s="1" t="str">
        <f ca="1">IFERROR(__xludf.DUMMYFUNCTION("GOOGLETRANSLATE(B1262,""en"",""ja"")"),"分子の")</f>
        <v>分子の</v>
      </c>
    </row>
    <row r="1257" spans="1:3" ht="18" customHeight="1" x14ac:dyDescent="0.3">
      <c r="A1257" s="1">
        <v>20</v>
      </c>
      <c r="B1257" s="1" t="s">
        <v>1060</v>
      </c>
      <c r="C1257" s="1" t="str">
        <f ca="1">IFERROR(__xludf.DUMMYFUNCTION("GOOGLETRANSLATE(B1263,""en"",""ja"")"),"モデル")</f>
        <v>モデル</v>
      </c>
    </row>
    <row r="1258" spans="1:3" ht="18" customHeight="1" x14ac:dyDescent="0.3">
      <c r="A1258" s="1">
        <v>20</v>
      </c>
      <c r="B1258" s="1" t="s">
        <v>1061</v>
      </c>
      <c r="C1258" s="1" t="str">
        <f ca="1">IFERROR(__xludf.DUMMYFUNCTION("GOOGLETRANSLATE(B1264,""en"",""ja"")"),"MJO")</f>
        <v>MJO</v>
      </c>
    </row>
    <row r="1259" spans="1:3" ht="18" customHeight="1" x14ac:dyDescent="0.3">
      <c r="A1259" s="1">
        <v>20</v>
      </c>
      <c r="B1259" s="1" t="s">
        <v>1062</v>
      </c>
      <c r="C1259" s="1" t="str">
        <f ca="1">IFERROR(__xludf.DUMMYFUNCTION("GOOGLETRANSLATE(B1265,""en"",""ja"")"),"ミス")</f>
        <v>ミス</v>
      </c>
    </row>
    <row r="1260" spans="1:3" ht="18" customHeight="1" x14ac:dyDescent="0.3">
      <c r="A1260" s="1">
        <v>20</v>
      </c>
      <c r="B1260" s="1" t="s">
        <v>1063</v>
      </c>
      <c r="C1260" s="1" t="str">
        <f ca="1">IFERROR(__xludf.DUMMYFUNCTION("GOOGLETRANSLATE(B1266,""en"",""ja"")"),"愛する")</f>
        <v>愛する</v>
      </c>
    </row>
    <row r="1261" spans="1:3" ht="18" customHeight="1" x14ac:dyDescent="0.3">
      <c r="A1261" s="1">
        <v>20</v>
      </c>
      <c r="B1261" s="1" t="s">
        <v>153</v>
      </c>
      <c r="C1261" s="1" t="str">
        <f ca="1">IFERROR(__xludf.DUMMYFUNCTION("GOOGLETRANSLATE(B1267,""en"",""ja"")"),"リーダーシップ")</f>
        <v>リーダーシップ</v>
      </c>
    </row>
    <row r="1262" spans="1:3" ht="18" customHeight="1" x14ac:dyDescent="0.3">
      <c r="A1262" s="1">
        <v>20</v>
      </c>
      <c r="B1262" s="1" t="s">
        <v>1064</v>
      </c>
      <c r="C1262" s="1" t="str">
        <f ca="1">IFERROR(__xludf.DUMMYFUNCTION("GOOGLETRANSLATE(B1268,""en"",""ja"")"),"大部分")</f>
        <v>大部分</v>
      </c>
    </row>
    <row r="1263" spans="1:3" ht="18" customHeight="1" x14ac:dyDescent="0.3">
      <c r="A1263" s="1">
        <v>20</v>
      </c>
      <c r="B1263" s="1" t="s">
        <v>1065</v>
      </c>
      <c r="C1263" s="1" t="str">
        <f ca="1">IFERROR(__xludf.DUMMYFUNCTION("GOOGLETRANSLATE(B1269,""en"",""ja"")"),"言語")</f>
        <v>言語</v>
      </c>
    </row>
    <row r="1264" spans="1:3" ht="18" customHeight="1" x14ac:dyDescent="0.3">
      <c r="A1264" s="1">
        <v>20</v>
      </c>
      <c r="B1264" s="1" t="s">
        <v>259</v>
      </c>
      <c r="C1264" s="1" t="str">
        <f ca="1">IFERROR(__xludf.DUMMYFUNCTION("GOOGLETRANSLATE(B1270,""en"",""ja"")"),"知識")</f>
        <v>知識</v>
      </c>
    </row>
    <row r="1265" spans="1:3" ht="18" customHeight="1" x14ac:dyDescent="0.3">
      <c r="A1265" s="1">
        <v>20</v>
      </c>
      <c r="B1265" s="1" t="s">
        <v>1066</v>
      </c>
      <c r="C1265" s="1" t="str">
        <f ca="1">IFERROR(__xludf.DUMMYFUNCTION("GOOGLETRANSLATE(B1271,""en"",""ja"")"),"ジョン")</f>
        <v>ジョン</v>
      </c>
    </row>
    <row r="1266" spans="1:3" ht="18" customHeight="1" x14ac:dyDescent="0.3">
      <c r="A1266" s="1">
        <v>20</v>
      </c>
      <c r="B1266" s="1" t="s">
        <v>552</v>
      </c>
      <c r="C1266" s="1" t="str">
        <f ca="1">IFERROR(__xludf.DUMMYFUNCTION("GOOGLETRANSLATE(B1272,""en"",""ja"")"),"インタラクション")</f>
        <v>インタラクション</v>
      </c>
    </row>
    <row r="1267" spans="1:3" ht="18" customHeight="1" x14ac:dyDescent="0.3">
      <c r="A1267" s="1">
        <v>20</v>
      </c>
      <c r="B1267" s="1" t="s">
        <v>1067</v>
      </c>
      <c r="C1267" s="1" t="str">
        <f ca="1">IFERROR(__xludf.DUMMYFUNCTION("GOOGLETRANSLATE(B1273,""en"",""ja"")"),"インナー")</f>
        <v>インナー</v>
      </c>
    </row>
    <row r="1268" spans="1:3" ht="18" customHeight="1" x14ac:dyDescent="0.3">
      <c r="A1268" s="1">
        <v>20</v>
      </c>
      <c r="B1268" s="1" t="s">
        <v>1068</v>
      </c>
      <c r="C1268" s="1" t="str">
        <f ca="1">IFERROR(__xludf.DUMMYFUNCTION("GOOGLETRANSLATE(B1274,""en"",""ja"")"),"含めます")</f>
        <v>含めます</v>
      </c>
    </row>
    <row r="1269" spans="1:3" ht="18" customHeight="1" x14ac:dyDescent="0.3">
      <c r="A1269" s="1">
        <v>20</v>
      </c>
      <c r="B1269" s="1" t="s">
        <v>1069</v>
      </c>
      <c r="C1269" s="1" t="str">
        <f ca="1">IFERROR(__xludf.DUMMYFUNCTION("GOOGLETRANSLATE(B1275,""en"",""ja"")"),"成長")</f>
        <v>成長</v>
      </c>
    </row>
    <row r="1270" spans="1:3" ht="18" customHeight="1" x14ac:dyDescent="0.3">
      <c r="A1270" s="1">
        <v>20</v>
      </c>
      <c r="B1270" s="1" t="s">
        <v>826</v>
      </c>
      <c r="C1270" s="1" t="str">
        <f ca="1">IFERROR(__xludf.DUMMYFUNCTION("GOOGLETRANSLATE(B1276,""en"",""ja"")"),"世代")</f>
        <v>世代</v>
      </c>
    </row>
    <row r="1271" spans="1:3" ht="18" customHeight="1" x14ac:dyDescent="0.3">
      <c r="A1271" s="1">
        <v>20</v>
      </c>
      <c r="B1271" s="1" t="s">
        <v>1070</v>
      </c>
      <c r="C1271" s="1" t="str">
        <f ca="1">IFERROR(__xludf.DUMMYFUNCTION("GOOGLETRANSLATE(B1277,""en"",""ja"")"),"畑地")</f>
        <v>畑地</v>
      </c>
    </row>
    <row r="1272" spans="1:3" ht="18" customHeight="1" x14ac:dyDescent="0.3">
      <c r="A1272" s="1">
        <v>20</v>
      </c>
      <c r="B1272" s="1" t="s">
        <v>1071</v>
      </c>
      <c r="C1272" s="1" t="str">
        <f ca="1">IFERROR(__xludf.DUMMYFUNCTION("GOOGLETRANSLATE(B1278,""en"",""ja"")"),"イベント")</f>
        <v>イベント</v>
      </c>
    </row>
    <row r="1273" spans="1:3" ht="18" customHeight="1" x14ac:dyDescent="0.3">
      <c r="A1273" s="1">
        <v>20</v>
      </c>
      <c r="B1273" s="1" t="s">
        <v>1072</v>
      </c>
      <c r="C1273" s="1" t="str">
        <f ca="1">IFERROR(__xludf.DUMMYFUNCTION("GOOGLETRANSLATE(B1279,""en"",""ja"")"),"見積り")</f>
        <v>見積り</v>
      </c>
    </row>
    <row r="1274" spans="1:3" ht="18" customHeight="1" x14ac:dyDescent="0.3">
      <c r="A1274" s="1">
        <v>20</v>
      </c>
      <c r="B1274" s="1" t="s">
        <v>679</v>
      </c>
      <c r="C1274" s="1" t="str">
        <f ca="1">IFERROR(__xludf.DUMMYFUNCTION("GOOGLETRANSLATE(B1280,""en"",""ja"")"),"エラー")</f>
        <v>エラー</v>
      </c>
    </row>
    <row r="1275" spans="1:3" ht="18" customHeight="1" x14ac:dyDescent="0.3">
      <c r="A1275" s="1">
        <v>20</v>
      </c>
      <c r="B1275" s="1" t="s">
        <v>1073</v>
      </c>
      <c r="C1275" s="1" t="str">
        <f ca="1">IFERROR(__xludf.DUMMYFUNCTION("GOOGLETRANSLATE(B1281,""en"",""ja"")"),"可能")</f>
        <v>可能</v>
      </c>
    </row>
    <row r="1276" spans="1:3" ht="18" customHeight="1" x14ac:dyDescent="0.3">
      <c r="A1276" s="1">
        <v>20</v>
      </c>
      <c r="B1276" s="1" t="s">
        <v>1074</v>
      </c>
      <c r="C1276" s="1" t="str">
        <f ca="1">IFERROR(__xludf.DUMMYFUNCTION("GOOGLETRANSLATE(B1282,""en"",""ja"")"),"有効")</f>
        <v>有効</v>
      </c>
    </row>
    <row r="1277" spans="1:3" ht="18" customHeight="1" x14ac:dyDescent="0.3">
      <c r="A1277" s="1">
        <v>20</v>
      </c>
      <c r="B1277" s="1" t="s">
        <v>1075</v>
      </c>
      <c r="C1277" s="1" t="str">
        <f ca="1">IFERROR(__xludf.DUMMYFUNCTION("GOOGLETRANSLATE(B1283,""en"",""ja"")"),"電気の")</f>
        <v>電気の</v>
      </c>
    </row>
    <row r="1278" spans="1:3" ht="18" customHeight="1" x14ac:dyDescent="0.3">
      <c r="A1278" s="1">
        <v>20</v>
      </c>
      <c r="B1278" s="1" t="s">
        <v>1076</v>
      </c>
      <c r="C1278" s="1" t="str">
        <f ca="1">IFERROR(__xludf.DUMMYFUNCTION("GOOGLETRANSLATE(B1284,""en"",""ja"")"),"行われ")</f>
        <v>行われ</v>
      </c>
    </row>
    <row r="1279" spans="1:3" ht="18" customHeight="1" x14ac:dyDescent="0.3">
      <c r="A1279" s="1">
        <v>20</v>
      </c>
      <c r="B1279" s="1" t="s">
        <v>1077</v>
      </c>
      <c r="C1279" s="1" t="str">
        <f ca="1">IFERROR(__xludf.DUMMYFUNCTION("GOOGLETRANSLATE(B1285,""en"",""ja"")"),"距離")</f>
        <v>距離</v>
      </c>
    </row>
    <row r="1280" spans="1:3" ht="18" customHeight="1" x14ac:dyDescent="0.3">
      <c r="A1280" s="1">
        <v>20</v>
      </c>
      <c r="B1280" s="1" t="s">
        <v>332</v>
      </c>
      <c r="C1280" s="1" t="str">
        <f ca="1">IFERROR(__xludf.DUMMYFUNCTION("GOOGLETRANSLATE(B1286,""en"",""ja"")"),"難しいです")</f>
        <v>難しいです</v>
      </c>
    </row>
    <row r="1281" spans="1:3" ht="18" customHeight="1" x14ac:dyDescent="0.3">
      <c r="A1281" s="1">
        <v>20</v>
      </c>
      <c r="B1281" s="1" t="s">
        <v>1078</v>
      </c>
      <c r="C1281" s="1" t="str">
        <f ca="1">IFERROR(__xludf.DUMMYFUNCTION("GOOGLETRANSLATE(B1287,""en"",""ja"")"),"敗北")</f>
        <v>敗北</v>
      </c>
    </row>
    <row r="1282" spans="1:3" ht="18" customHeight="1" x14ac:dyDescent="0.3">
      <c r="A1282" s="1">
        <v>20</v>
      </c>
      <c r="B1282" s="1" t="s">
        <v>1079</v>
      </c>
      <c r="C1282" s="1" t="str">
        <f ca="1">IFERROR(__xludf.DUMMYFUNCTION("GOOGLETRANSLATE(B1288,""en"",""ja"")"),"重要")</f>
        <v>重要</v>
      </c>
    </row>
    <row r="1283" spans="1:3" ht="18" customHeight="1" x14ac:dyDescent="0.3">
      <c r="A1283" s="1">
        <v>20</v>
      </c>
      <c r="B1283" s="1" t="s">
        <v>1080</v>
      </c>
      <c r="C1283" s="1" t="str">
        <f ca="1">IFERROR(__xludf.DUMMYFUNCTION("GOOGLETRANSLATE(B1289,""en"",""ja"")"),"カバー")</f>
        <v>カバー</v>
      </c>
    </row>
    <row r="1284" spans="1:3" ht="18" customHeight="1" x14ac:dyDescent="0.3">
      <c r="A1284" s="1">
        <v>20</v>
      </c>
      <c r="B1284" s="1" t="s">
        <v>482</v>
      </c>
      <c r="C1284" s="1" t="str">
        <f ca="1">IFERROR(__xludf.DUMMYFUNCTION("GOOGLETRANSLATE(B1290,""en"",""ja"")"),"費用")</f>
        <v>費用</v>
      </c>
    </row>
    <row r="1285" spans="1:3" ht="18" customHeight="1" x14ac:dyDescent="0.3">
      <c r="A1285" s="1">
        <v>20</v>
      </c>
      <c r="B1285" s="1" t="s">
        <v>1081</v>
      </c>
      <c r="C1285" s="1" t="str">
        <f ca="1">IFERROR(__xludf.DUMMYFUNCTION("GOOGLETRANSLATE(B1291,""en"",""ja"")"),"絶え間ない")</f>
        <v>絶え間ない</v>
      </c>
    </row>
    <row r="1286" spans="1:3" ht="18" customHeight="1" x14ac:dyDescent="0.3">
      <c r="A1286" s="1">
        <v>20</v>
      </c>
      <c r="B1286" s="1" t="s">
        <v>1082</v>
      </c>
      <c r="C1286" s="1" t="str">
        <f ca="1">IFERROR(__xludf.DUMMYFUNCTION("GOOGLETRANSLATE(B1292,""en"",""ja"")"),"首尾一貫した")</f>
        <v>首尾一貫した</v>
      </c>
    </row>
    <row r="1287" spans="1:3" ht="18" customHeight="1" x14ac:dyDescent="0.3">
      <c r="A1287" s="1">
        <v>20</v>
      </c>
      <c r="B1287" s="1" t="s">
        <v>808</v>
      </c>
      <c r="C1287" s="1" t="str">
        <f ca="1">IFERROR(__xludf.DUMMYFUNCTION("GOOGLETRANSLATE(B1293,""en"",""ja"")"),"調子")</f>
        <v>調子</v>
      </c>
    </row>
    <row r="1288" spans="1:3" ht="18" customHeight="1" x14ac:dyDescent="0.3">
      <c r="A1288" s="1">
        <v>20</v>
      </c>
      <c r="B1288" s="1" t="s">
        <v>1083</v>
      </c>
      <c r="C1288" s="1" t="str">
        <f ca="1">IFERROR(__xludf.DUMMYFUNCTION("GOOGLETRANSLATE(B1294,""en"",""ja"")"),"最も近いです")</f>
        <v>最も近いです</v>
      </c>
    </row>
    <row r="1289" spans="1:3" ht="18" customHeight="1" x14ac:dyDescent="0.3">
      <c r="A1289" s="1">
        <v>20</v>
      </c>
      <c r="B1289" s="1" t="s">
        <v>1084</v>
      </c>
      <c r="C1289" s="1" t="str">
        <f ca="1">IFERROR(__xludf.DUMMYFUNCTION("GOOGLETRANSLATE(B1295,""en"",""ja"")"),"容量")</f>
        <v>容量</v>
      </c>
    </row>
    <row r="1290" spans="1:3" ht="18" customHeight="1" x14ac:dyDescent="0.3">
      <c r="A1290" s="1">
        <v>20</v>
      </c>
      <c r="B1290" s="1" t="s">
        <v>1085</v>
      </c>
      <c r="C1290" s="1" t="str">
        <f ca="1">IFERROR(__xludf.DUMMYFUNCTION("GOOGLETRANSLATE(B1296,""en"",""ja"")"),"ブレーク")</f>
        <v>ブレーク</v>
      </c>
    </row>
    <row r="1291" spans="1:3" ht="18" customHeight="1" x14ac:dyDescent="0.3">
      <c r="A1291" s="1">
        <v>20</v>
      </c>
      <c r="B1291" s="1" t="s">
        <v>1086</v>
      </c>
      <c r="C1291" s="1" t="str">
        <f ca="1">IFERROR(__xludf.DUMMYFUNCTION("GOOGLETRANSLATE(B1297,""en"",""ja"")"),"超えて")</f>
        <v>超えて</v>
      </c>
    </row>
    <row r="1292" spans="1:3" ht="18" customHeight="1" x14ac:dyDescent="0.3">
      <c r="A1292" s="1">
        <v>20</v>
      </c>
      <c r="B1292" s="1" t="s">
        <v>718</v>
      </c>
      <c r="C1292" s="1" t="str">
        <f ca="1">IFERROR(__xludf.DUMMYFUNCTION("GOOGLETRANSLATE(B1298,""en"",""ja"")"),"祖先")</f>
        <v>祖先</v>
      </c>
    </row>
    <row r="1293" spans="1:3" ht="18" customHeight="1" x14ac:dyDescent="0.3">
      <c r="A1293" s="1">
        <v>20</v>
      </c>
      <c r="B1293" s="1" t="s">
        <v>1087</v>
      </c>
      <c r="C1293" s="1" t="str">
        <f ca="1">IFERROR(__xludf.DUMMYFUNCTION("GOOGLETRANSLATE(B1299,""en"",""ja"")"),"援助")</f>
        <v>援助</v>
      </c>
    </row>
    <row r="1294" spans="1:3" ht="18" customHeight="1" x14ac:dyDescent="0.3">
      <c r="A1294" s="1">
        <v>20</v>
      </c>
      <c r="B1294" s="1" t="s">
        <v>1088</v>
      </c>
      <c r="C1294" s="1" t="str">
        <f ca="1">IFERROR(__xludf.DUMMYFUNCTION("GOOGLETRANSLATE(B1300,""en"",""ja"")"),"住所")</f>
        <v>住所</v>
      </c>
    </row>
    <row r="1295" spans="1:3" ht="18" customHeight="1" x14ac:dyDescent="0.3">
      <c r="A1295" s="1">
        <v>20</v>
      </c>
      <c r="B1295" s="1" t="s">
        <v>1089</v>
      </c>
      <c r="C1295" s="1" t="str">
        <f ca="1">IFERROR(__xludf.DUMMYFUNCTION("GOOGLETRANSLATE(B1301,""en"",""ja"")"),"添加")</f>
        <v>添加</v>
      </c>
    </row>
    <row r="1296" spans="1:3" ht="18" customHeight="1" x14ac:dyDescent="0.3">
      <c r="A1296" s="1">
        <v>20</v>
      </c>
      <c r="B1296" s="1" t="s">
        <v>1090</v>
      </c>
      <c r="C1296" s="1" t="str">
        <f ca="1">IFERROR(__xludf.DUMMYFUNCTION("GOOGLETRANSLATE(B1302,""en"",""ja"")"),"アカデミック")</f>
        <v>アカデミック</v>
      </c>
    </row>
    <row r="1297" spans="1:3" ht="18" customHeight="1" x14ac:dyDescent="0.3">
      <c r="A1297" s="1">
        <v>19</v>
      </c>
      <c r="B1297" s="1" t="s">
        <v>1091</v>
      </c>
      <c r="C1297" s="1" t="str">
        <f ca="1">IFERROR(__xludf.DUMMYFUNCTION("GOOGLETRANSLATE(B1303,""en"",""ja"")"),"さらに悪いです")</f>
        <v>さらに悪いです</v>
      </c>
    </row>
    <row r="1298" spans="1:3" ht="18" customHeight="1" x14ac:dyDescent="0.3">
      <c r="A1298" s="1">
        <v>19</v>
      </c>
      <c r="B1298" s="1" t="s">
        <v>1092</v>
      </c>
      <c r="C1298" s="1" t="str">
        <f ca="1">IFERROR(__xludf.DUMMYFUNCTION("GOOGLETRANSLATE(B1304,""en"",""ja"")"),"富")</f>
        <v>富</v>
      </c>
    </row>
    <row r="1299" spans="1:3" ht="18" customHeight="1" x14ac:dyDescent="0.3">
      <c r="A1299" s="1">
        <v>19</v>
      </c>
      <c r="B1299" s="1" t="s">
        <v>876</v>
      </c>
      <c r="C1299" s="1" t="str">
        <f ca="1">IFERROR(__xludf.DUMMYFUNCTION("GOOGLETRANSLATE(B1305,""en"",""ja"")"),"戦争")</f>
        <v>戦争</v>
      </c>
    </row>
    <row r="1300" spans="1:3" ht="18" customHeight="1" x14ac:dyDescent="0.3">
      <c r="A1300" s="1">
        <v>19</v>
      </c>
      <c r="B1300" s="1" t="s">
        <v>1093</v>
      </c>
      <c r="C1300" s="1" t="str">
        <f ca="1">IFERROR(__xludf.DUMMYFUNCTION("GOOGLETRANSLATE(B1306,""en"",""ja"")"),"理解")</f>
        <v>理解</v>
      </c>
    </row>
    <row r="1301" spans="1:3" ht="18" customHeight="1" x14ac:dyDescent="0.3">
      <c r="A1301" s="1">
        <v>19</v>
      </c>
      <c r="B1301" s="1" t="s">
        <v>1094</v>
      </c>
      <c r="C1301" s="1" t="str">
        <f ca="1">IFERROR(__xludf.DUMMYFUNCTION("GOOGLETRANSLATE(B1307,""en"",""ja"")"),"しよう")</f>
        <v>しよう</v>
      </c>
    </row>
    <row r="1302" spans="1:3" ht="18" customHeight="1" x14ac:dyDescent="0.3">
      <c r="A1302" s="1">
        <v>19</v>
      </c>
      <c r="B1302" s="1" t="s">
        <v>1095</v>
      </c>
      <c r="C1302" s="1" t="str">
        <f ca="1">IFERROR(__xludf.DUMMYFUNCTION("GOOGLETRANSLATE(B1308,""en"",""ja"")"),"向かって")</f>
        <v>向かって</v>
      </c>
    </row>
    <row r="1303" spans="1:3" ht="18" customHeight="1" x14ac:dyDescent="0.3">
      <c r="A1303" s="1">
        <v>19</v>
      </c>
      <c r="B1303" s="1" t="s">
        <v>190</v>
      </c>
      <c r="C1303" s="1" t="str">
        <f ca="1">IFERROR(__xludf.DUMMYFUNCTION("GOOGLETRANSLATE(B1309,""en"",""ja"")"),"それから")</f>
        <v>それから</v>
      </c>
    </row>
    <row r="1304" spans="1:3" ht="18" customHeight="1" x14ac:dyDescent="0.3">
      <c r="A1304" s="1">
        <v>19</v>
      </c>
      <c r="B1304" s="1" t="s">
        <v>1096</v>
      </c>
      <c r="C1304" s="1" t="str">
        <f ca="1">IFERROR(__xludf.DUMMYFUNCTION("GOOGLETRANSLATE(B1310,""en"",""ja"")"),"目標")</f>
        <v>目標</v>
      </c>
    </row>
    <row r="1305" spans="1:3" ht="18" customHeight="1" x14ac:dyDescent="0.3">
      <c r="A1305" s="1">
        <v>19</v>
      </c>
      <c r="B1305" s="1" t="s">
        <v>545</v>
      </c>
      <c r="C1305" s="1" t="str">
        <f ca="1">IFERROR(__xludf.DUMMYFUNCTION("GOOGLETRANSLATE(B1311,""en"",""ja"")"),"持続可能な")</f>
        <v>持続可能な</v>
      </c>
    </row>
    <row r="1306" spans="1:3" ht="18" customHeight="1" x14ac:dyDescent="0.3">
      <c r="A1306" s="1">
        <v>19</v>
      </c>
      <c r="B1306" s="1" t="s">
        <v>1097</v>
      </c>
      <c r="C1306" s="1" t="str">
        <f ca="1">IFERROR(__xludf.DUMMYFUNCTION("GOOGLETRANSLATE(B1312,""en"",""ja"")"),"サプライ")</f>
        <v>サプライ</v>
      </c>
    </row>
    <row r="1307" spans="1:3" ht="18" customHeight="1" x14ac:dyDescent="0.3">
      <c r="A1307" s="1">
        <v>19</v>
      </c>
      <c r="B1307" s="1" t="s">
        <v>1098</v>
      </c>
      <c r="C1307" s="1" t="str">
        <f ca="1">IFERROR(__xludf.DUMMYFUNCTION("GOOGLETRANSLATE(B1313,""en"",""ja"")"),"適当")</f>
        <v>適当</v>
      </c>
    </row>
    <row r="1308" spans="1:3" ht="18" customHeight="1" x14ac:dyDescent="0.3">
      <c r="A1308" s="1">
        <v>19</v>
      </c>
      <c r="B1308" s="1" t="s">
        <v>1099</v>
      </c>
      <c r="C1308" s="1" t="str">
        <f ca="1">IFERROR(__xludf.DUMMYFUNCTION("GOOGLETRANSLATE(B1314,""en"",""ja"")"),"ステージ")</f>
        <v>ステージ</v>
      </c>
    </row>
    <row r="1309" spans="1:3" ht="18" customHeight="1" x14ac:dyDescent="0.3">
      <c r="A1309" s="1">
        <v>19</v>
      </c>
      <c r="B1309" s="1" t="s">
        <v>525</v>
      </c>
      <c r="C1309" s="1" t="str">
        <f ca="1">IFERROR(__xludf.DUMMYFUNCTION("GOOGLETRANSLATE(B1315,""en"",""ja"")"),"スペース")</f>
        <v>スペース</v>
      </c>
    </row>
    <row r="1310" spans="1:3" ht="18" customHeight="1" x14ac:dyDescent="0.3">
      <c r="A1310" s="1">
        <v>19</v>
      </c>
      <c r="B1310" s="1" t="s">
        <v>1100</v>
      </c>
      <c r="C1310" s="1" t="str">
        <f ca="1">IFERROR(__xludf.DUMMYFUNCTION("GOOGLETRANSLATE(B1316,""en"",""ja"")"),"ショー")</f>
        <v>ショー</v>
      </c>
    </row>
    <row r="1311" spans="1:3" ht="18" customHeight="1" x14ac:dyDescent="0.3">
      <c r="A1311" s="1">
        <v>19</v>
      </c>
      <c r="B1311" s="1" t="s">
        <v>1101</v>
      </c>
      <c r="C1311" s="1" t="str">
        <f ca="1">IFERROR(__xludf.DUMMYFUNCTION("GOOGLETRANSLATE(B1317,""en"",""ja"")"),"示します")</f>
        <v>示します</v>
      </c>
    </row>
    <row r="1312" spans="1:3" ht="18" customHeight="1" x14ac:dyDescent="0.3">
      <c r="A1312" s="1">
        <v>19</v>
      </c>
      <c r="B1312" s="1" t="s">
        <v>213</v>
      </c>
      <c r="C1312" s="1" t="str">
        <f ca="1">IFERROR(__xludf.DUMMYFUNCTION("GOOGLETRANSLATE(B1318,""en"",""ja"")"),"感覚")</f>
        <v>感覚</v>
      </c>
    </row>
    <row r="1313" spans="1:3" ht="18" customHeight="1" x14ac:dyDescent="0.3">
      <c r="A1313" s="1">
        <v>19</v>
      </c>
      <c r="B1313" s="1" t="s">
        <v>1102</v>
      </c>
      <c r="C1313" s="1" t="str">
        <f ca="1">IFERROR(__xludf.DUMMYFUNCTION("GOOGLETRANSLATE(B1319,""en"",""ja"")"),"サピエンス")</f>
        <v>サピエンス</v>
      </c>
    </row>
    <row r="1314" spans="1:3" ht="18" customHeight="1" x14ac:dyDescent="0.3">
      <c r="A1314" s="1">
        <v>19</v>
      </c>
      <c r="B1314" s="1" t="s">
        <v>1050</v>
      </c>
      <c r="C1314" s="1" t="str">
        <f ca="1">IFERROR(__xludf.DUMMYFUNCTION("GOOGLETRANSLATE(B1320,""en"",""ja"")"),"上がり")</f>
        <v>上がり</v>
      </c>
    </row>
    <row r="1315" spans="1:3" ht="18" customHeight="1" x14ac:dyDescent="0.3">
      <c r="A1315" s="1">
        <v>19</v>
      </c>
      <c r="B1315" s="1" t="s">
        <v>606</v>
      </c>
      <c r="C1315" s="1" t="str">
        <f ca="1">IFERROR(__xludf.DUMMYFUNCTION("GOOGLETRANSLATE(B1321,""en"",""ja"")"),"理由")</f>
        <v>理由</v>
      </c>
    </row>
    <row r="1316" spans="1:3" ht="18" customHeight="1" x14ac:dyDescent="0.3">
      <c r="A1316" s="1">
        <v>19</v>
      </c>
      <c r="B1316" s="1" t="s">
        <v>194</v>
      </c>
      <c r="C1316" s="1" t="str">
        <f ca="1">IFERROR(__xludf.DUMMYFUNCTION("GOOGLETRANSLATE(B1322,""en"",""ja"")"),"リアル")</f>
        <v>リアル</v>
      </c>
    </row>
    <row r="1317" spans="1:3" ht="18" customHeight="1" x14ac:dyDescent="0.3">
      <c r="A1317" s="1">
        <v>19</v>
      </c>
      <c r="B1317" s="1" t="s">
        <v>1103</v>
      </c>
      <c r="C1317" s="1" t="str">
        <f ca="1">IFERROR(__xludf.DUMMYFUNCTION("GOOGLETRANSLATE(B1323,""en"",""ja"")"),"質問")</f>
        <v>質問</v>
      </c>
    </row>
    <row r="1318" spans="1:3" ht="18" customHeight="1" x14ac:dyDescent="0.3">
      <c r="A1318" s="1">
        <v>19</v>
      </c>
      <c r="B1318" s="1" t="s">
        <v>1104</v>
      </c>
      <c r="C1318" s="1" t="str">
        <f ca="1">IFERROR(__xludf.DUMMYFUNCTION("GOOGLETRANSLATE(B1324,""en"",""ja"")"),"プロダクト")</f>
        <v>プロダクト</v>
      </c>
    </row>
    <row r="1319" spans="1:3" ht="18" customHeight="1" x14ac:dyDescent="0.3">
      <c r="A1319" s="1">
        <v>19</v>
      </c>
      <c r="B1319" s="1" t="s">
        <v>403</v>
      </c>
      <c r="C1319" s="1" t="str">
        <f ca="1">IFERROR(__xludf.DUMMYFUNCTION("GOOGLETRANSLATE(B1325,""en"",""ja"")"),"ポジション")</f>
        <v>ポジション</v>
      </c>
    </row>
    <row r="1320" spans="1:3" ht="18" customHeight="1" x14ac:dyDescent="0.3">
      <c r="A1320" s="1">
        <v>19</v>
      </c>
      <c r="B1320" s="1" t="s">
        <v>1105</v>
      </c>
      <c r="C1320" s="1" t="str">
        <f ca="1">IFERROR(__xludf.DUMMYFUNCTION("GOOGLETRANSLATE(B1326,""en"",""ja"")"),"人気のあります")</f>
        <v>人気のあります</v>
      </c>
    </row>
    <row r="1321" spans="1:3" ht="18" customHeight="1" x14ac:dyDescent="0.3">
      <c r="A1321" s="1">
        <v>19</v>
      </c>
      <c r="B1321" s="1" t="s">
        <v>1106</v>
      </c>
      <c r="C1321" s="1" t="str">
        <f ca="1">IFERROR(__xludf.DUMMYFUNCTION("GOOGLETRANSLATE(B1327,""en"",""ja"")"),"演奏")</f>
        <v>演奏</v>
      </c>
    </row>
    <row r="1322" spans="1:3" ht="18" customHeight="1" x14ac:dyDescent="0.3">
      <c r="A1322" s="1">
        <v>19</v>
      </c>
      <c r="B1322" s="1" t="s">
        <v>799</v>
      </c>
      <c r="C1322" s="1" t="str">
        <f ca="1">IFERROR(__xludf.DUMMYFUNCTION("GOOGLETRANSLATE(B1328,""en"",""ja"")"),"パターン")</f>
        <v>パターン</v>
      </c>
    </row>
    <row r="1323" spans="1:3" ht="18" customHeight="1" x14ac:dyDescent="0.3">
      <c r="A1323" s="1">
        <v>19</v>
      </c>
      <c r="B1323" s="1" t="s">
        <v>1107</v>
      </c>
      <c r="C1323" s="1" t="str">
        <f ca="1">IFERROR(__xludf.DUMMYFUNCTION("GOOGLETRANSLATE(B1329,""en"",""ja"")"),"部品")</f>
        <v>部品</v>
      </c>
    </row>
    <row r="1324" spans="1:3" ht="18" customHeight="1" x14ac:dyDescent="0.3">
      <c r="A1324" s="1">
        <v>19</v>
      </c>
      <c r="B1324" s="1" t="s">
        <v>1108</v>
      </c>
      <c r="C1324" s="1" t="str">
        <f ca="1">IFERROR(__xludf.DUMMYFUNCTION("GOOGLETRANSLATE(B1330,""en"",""ja"")"),"参加")</f>
        <v>参加</v>
      </c>
    </row>
    <row r="1325" spans="1:3" ht="18" customHeight="1" x14ac:dyDescent="0.3">
      <c r="A1325" s="1">
        <v>19</v>
      </c>
      <c r="B1325" s="1" t="s">
        <v>1109</v>
      </c>
      <c r="C1325" s="1" t="str">
        <f ca="1">IFERROR(__xludf.DUMMYFUNCTION("GOOGLETRANSLATE(B1331,""en"",""ja"")"),"ページ")</f>
        <v>ページ</v>
      </c>
    </row>
    <row r="1326" spans="1:3" ht="18" customHeight="1" x14ac:dyDescent="0.3">
      <c r="A1326" s="1">
        <v>19</v>
      </c>
      <c r="B1326" s="1" t="s">
        <v>571</v>
      </c>
      <c r="C1326" s="1" t="str">
        <f ca="1">IFERROR(__xludf.DUMMYFUNCTION("GOOGLETRANSLATE(B1332,""en"",""ja"")"),"自分自身")</f>
        <v>自分自身</v>
      </c>
    </row>
    <row r="1327" spans="1:3" ht="18" customHeight="1" x14ac:dyDescent="0.3">
      <c r="A1327" s="1">
        <v>19</v>
      </c>
      <c r="B1327" s="1" t="s">
        <v>1110</v>
      </c>
      <c r="C1327" s="1" t="str">
        <f ca="1">IFERROR(__xludf.DUMMYFUNCTION("GOOGLETRANSLATE(B1333,""en"",""ja"")"),"生物")</f>
        <v>生物</v>
      </c>
    </row>
    <row r="1328" spans="1:3" ht="18" customHeight="1" x14ac:dyDescent="0.3">
      <c r="A1328" s="1">
        <v>19</v>
      </c>
      <c r="B1328" s="1" t="s">
        <v>1111</v>
      </c>
      <c r="C1328" s="1" t="str">
        <f ca="1">IFERROR(__xludf.DUMMYFUNCTION("GOOGLETRANSLATE(B1334,""en"",""ja"")"),"器官")</f>
        <v>器官</v>
      </c>
    </row>
    <row r="1329" spans="1:3" ht="18" customHeight="1" x14ac:dyDescent="0.3">
      <c r="A1329" s="1">
        <v>19</v>
      </c>
      <c r="B1329" s="1" t="s">
        <v>133</v>
      </c>
      <c r="C1329" s="1" t="str">
        <f ca="1">IFERROR(__xludf.DUMMYFUNCTION("GOOGLETRANSLATE(B1335,""en"",""ja"")"),"注文")</f>
        <v>注文</v>
      </c>
    </row>
    <row r="1330" spans="1:3" ht="18" customHeight="1" x14ac:dyDescent="0.3">
      <c r="A1330" s="1">
        <v>19</v>
      </c>
      <c r="B1330" s="1" t="s">
        <v>1112</v>
      </c>
      <c r="C1330" s="1" t="str">
        <f ca="1">IFERROR(__xludf.DUMMYFUNCTION("GOOGLETRANSLATE(B1336,""en"",""ja"")"),"年上の")</f>
        <v>年上の</v>
      </c>
    </row>
    <row r="1331" spans="1:3" ht="18" customHeight="1" x14ac:dyDescent="0.3">
      <c r="A1331" s="1">
        <v>19</v>
      </c>
      <c r="B1331" s="1" t="s">
        <v>1113</v>
      </c>
      <c r="C1331" s="1" t="str">
        <f ca="1">IFERROR(__xludf.DUMMYFUNCTION("GOOGLETRANSLATE(B1338,""en"",""ja"")"),"それにもかかわらず")</f>
        <v>それにもかかわらず</v>
      </c>
    </row>
    <row r="1332" spans="1:3" ht="18" customHeight="1" x14ac:dyDescent="0.3">
      <c r="A1332" s="1">
        <v>19</v>
      </c>
      <c r="B1332" s="1" t="s">
        <v>1114</v>
      </c>
      <c r="C1332" s="1" t="str">
        <f ca="1">IFERROR(__xludf.DUMMYFUNCTION("GOOGLETRANSLATE(B1339,""en"",""ja"")"),"ほとんど")</f>
        <v>ほとんど</v>
      </c>
    </row>
    <row r="1333" spans="1:3" ht="18" customHeight="1" x14ac:dyDescent="0.3">
      <c r="A1333" s="1">
        <v>19</v>
      </c>
      <c r="B1333" s="1" t="s">
        <v>703</v>
      </c>
      <c r="C1333" s="1" t="str">
        <f ca="1">IFERROR(__xludf.DUMMYFUNCTION("GOOGLETRANSLATE(B1340,""en"",""ja"")"),"国家")</f>
        <v>国家</v>
      </c>
    </row>
    <row r="1334" spans="1:3" ht="18" customHeight="1" x14ac:dyDescent="0.3">
      <c r="A1334" s="1">
        <v>19</v>
      </c>
      <c r="B1334" s="1" t="s">
        <v>1115</v>
      </c>
      <c r="C1334" s="1" t="str">
        <f ca="1">IFERROR(__xludf.DUMMYFUNCTION("GOOGLETRANSLATE(B1341,""en"",""ja"")"),"名前")</f>
        <v>名前</v>
      </c>
    </row>
    <row r="1335" spans="1:3" ht="18" customHeight="1" x14ac:dyDescent="0.3">
      <c r="A1335" s="1">
        <v>19</v>
      </c>
      <c r="B1335" s="1" t="s">
        <v>1116</v>
      </c>
      <c r="C1335" s="1" t="str">
        <f ca="1">IFERROR(__xludf.DUMMYFUNCTION("GOOGLETRANSLATE(B1342,""en"",""ja"")"),"マルチメディア")</f>
        <v>マルチメディア</v>
      </c>
    </row>
    <row r="1336" spans="1:3" ht="18" customHeight="1" x14ac:dyDescent="0.3">
      <c r="A1336" s="1">
        <v>19</v>
      </c>
      <c r="B1336" s="1" t="s">
        <v>1117</v>
      </c>
      <c r="C1336" s="1" t="str">
        <f ca="1">IFERROR(__xludf.DUMMYFUNCTION("GOOGLETRANSLATE(B1343,""en"",""ja"")"),"間違い")</f>
        <v>間違い</v>
      </c>
    </row>
    <row r="1337" spans="1:3" ht="18" customHeight="1" x14ac:dyDescent="0.3">
      <c r="A1337" s="1">
        <v>19</v>
      </c>
      <c r="B1337" s="1" t="s">
        <v>1118</v>
      </c>
      <c r="C1337" s="1" t="str">
        <f ca="1">IFERROR(__xludf.DUMMYFUNCTION("GOOGLETRANSLATE(B1344,""en"",""ja"")"),"最小")</f>
        <v>最小</v>
      </c>
    </row>
    <row r="1338" spans="1:3" ht="18" customHeight="1" x14ac:dyDescent="0.3">
      <c r="A1338" s="1">
        <v>19</v>
      </c>
      <c r="B1338" s="1" t="s">
        <v>1119</v>
      </c>
      <c r="C1338" s="1" t="str">
        <f ca="1">IFERROR(__xludf.DUMMYFUNCTION("GOOGLETRANSLATE(B1345,""en"",""ja"")"),"メッセージ")</f>
        <v>メッセージ</v>
      </c>
    </row>
    <row r="1339" spans="1:3" ht="18" customHeight="1" x14ac:dyDescent="0.3">
      <c r="A1339" s="1">
        <v>19</v>
      </c>
      <c r="B1339" s="1" t="s">
        <v>1120</v>
      </c>
      <c r="C1339" s="1" t="str">
        <f ca="1">IFERROR(__xludf.DUMMYFUNCTION("GOOGLETRANSLATE(B1346,""en"",""ja"")"),"ほんの")</f>
        <v>ほんの</v>
      </c>
    </row>
    <row r="1340" spans="1:3" ht="18" customHeight="1" x14ac:dyDescent="0.3">
      <c r="A1340" s="1">
        <v>19</v>
      </c>
      <c r="B1340" s="1" t="s">
        <v>1121</v>
      </c>
      <c r="C1340" s="1" t="str">
        <f ca="1">IFERROR(__xludf.DUMMYFUNCTION("GOOGLETRANSLATE(B1347,""en"",""ja"")"),"マーカー")</f>
        <v>マーカー</v>
      </c>
    </row>
    <row r="1341" spans="1:3" ht="18" customHeight="1" x14ac:dyDescent="0.3">
      <c r="A1341" s="1">
        <v>19</v>
      </c>
      <c r="B1341" s="1" t="s">
        <v>1122</v>
      </c>
      <c r="C1341" s="1" t="str">
        <f ca="1">IFERROR(__xludf.DUMMYFUNCTION("GOOGLETRANSLATE(B1348,""en"",""ja"")"),"低いです")</f>
        <v>低いです</v>
      </c>
    </row>
    <row r="1342" spans="1:3" ht="18" customHeight="1" x14ac:dyDescent="0.3">
      <c r="A1342" s="1">
        <v>19</v>
      </c>
      <c r="B1342" s="1" t="s">
        <v>513</v>
      </c>
      <c r="C1342" s="1" t="str">
        <f ca="1">IFERROR(__xludf.DUMMYFUNCTION("GOOGLETRANSLATE(B1349,""en"",""ja"")"),"ライン")</f>
        <v>ライン</v>
      </c>
    </row>
    <row r="1343" spans="1:3" ht="18" customHeight="1" x14ac:dyDescent="0.3">
      <c r="A1343" s="1">
        <v>19</v>
      </c>
      <c r="B1343" s="1" t="s">
        <v>1123</v>
      </c>
      <c r="C1343" s="1" t="str">
        <f ca="1">IFERROR(__xludf.DUMMYFUNCTION("GOOGLETRANSLATE(B1350,""en"",""ja"")"),"正義")</f>
        <v>正義</v>
      </c>
    </row>
    <row r="1344" spans="1:3" ht="18" customHeight="1" x14ac:dyDescent="0.3">
      <c r="A1344" s="1">
        <v>19</v>
      </c>
      <c r="B1344" s="1" t="s">
        <v>1124</v>
      </c>
      <c r="C1344" s="1" t="str">
        <f ca="1">IFERROR(__xludf.DUMMYFUNCTION("GOOGLETRANSLATE(B1351,""en"",""ja"")"),"示しています")</f>
        <v>示しています</v>
      </c>
    </row>
    <row r="1345" spans="1:3" ht="18" customHeight="1" x14ac:dyDescent="0.3">
      <c r="A1345" s="1">
        <v>19</v>
      </c>
      <c r="B1345" s="1" t="s">
        <v>1125</v>
      </c>
      <c r="C1345" s="1" t="str">
        <f ca="1">IFERROR(__xludf.DUMMYFUNCTION("GOOGLETRANSLATE(B1352,""en"",""ja"")"),"説明")</f>
        <v>説明</v>
      </c>
    </row>
    <row r="1346" spans="1:3" ht="18" customHeight="1" x14ac:dyDescent="0.3">
      <c r="A1346" s="1">
        <v>19</v>
      </c>
      <c r="B1346" s="1" t="s">
        <v>1126</v>
      </c>
      <c r="C1346" s="1" t="str">
        <f ca="1">IFERROR(__xludf.DUMMYFUNCTION("GOOGLETRANSLATE(B1353,""en"",""ja"")"),"仮説")</f>
        <v>仮説</v>
      </c>
    </row>
    <row r="1347" spans="1:3" ht="18" customHeight="1" x14ac:dyDescent="0.3">
      <c r="A1347" s="1">
        <v>19</v>
      </c>
      <c r="B1347" s="1" t="s">
        <v>1127</v>
      </c>
      <c r="C1347" s="1" t="str">
        <f ca="1">IFERROR(__xludf.DUMMYFUNCTION("GOOGLETRANSLATE(B1354,""en"",""ja"")"),"より高いです")</f>
        <v>より高いです</v>
      </c>
    </row>
    <row r="1348" spans="1:3" ht="18" customHeight="1" x14ac:dyDescent="0.3">
      <c r="A1348" s="1">
        <v>19</v>
      </c>
      <c r="B1348" s="1" t="s">
        <v>1128</v>
      </c>
      <c r="C1348" s="1" t="str">
        <f ca="1">IFERROR(__xludf.DUMMYFUNCTION("GOOGLETRANSLATE(B1355,""en"",""ja"")"),"有害")</f>
        <v>有害</v>
      </c>
    </row>
    <row r="1349" spans="1:3" ht="18" customHeight="1" x14ac:dyDescent="0.3">
      <c r="A1349" s="1">
        <v>19</v>
      </c>
      <c r="B1349" s="1" t="s">
        <v>1129</v>
      </c>
      <c r="C1349" s="1" t="str">
        <f ca="1">IFERROR(__xludf.DUMMYFUNCTION("GOOGLETRANSLATE(B1356,""en"",""ja"")"),"漸く")</f>
        <v>漸く</v>
      </c>
    </row>
    <row r="1350" spans="1:3" ht="18" customHeight="1" x14ac:dyDescent="0.3">
      <c r="A1350" s="1">
        <v>19</v>
      </c>
      <c r="B1350" s="1" t="s">
        <v>578</v>
      </c>
      <c r="C1350" s="1" t="str">
        <f ca="1">IFERROR(__xludf.DUMMYFUNCTION("GOOGLETRANSLATE(B1357,""en"",""ja"")"),"手")</f>
        <v>手</v>
      </c>
    </row>
    <row r="1351" spans="1:3" ht="18" customHeight="1" x14ac:dyDescent="0.3">
      <c r="A1351" s="1">
        <v>19</v>
      </c>
      <c r="B1351" s="1" t="s">
        <v>1130</v>
      </c>
      <c r="C1351" s="1" t="str">
        <f ca="1">IFERROR(__xludf.DUMMYFUNCTION("GOOGLETRANSLATE(B1358,""en"",""ja"")"),"gyllensten")</f>
        <v>gyllensten</v>
      </c>
    </row>
    <row r="1352" spans="1:3" ht="18" customHeight="1" x14ac:dyDescent="0.3">
      <c r="A1352" s="1">
        <v>19</v>
      </c>
      <c r="B1352" s="1" t="s">
        <v>1131</v>
      </c>
      <c r="C1352" s="1" t="str">
        <f ca="1">IFERROR(__xludf.DUMMYFUNCTION("GOOGLETRANSLATE(B1359,""en"",""ja"")"),"GOT")</f>
        <v>GOT</v>
      </c>
    </row>
    <row r="1353" spans="1:3" ht="18" customHeight="1" x14ac:dyDescent="0.3">
      <c r="A1353" s="1">
        <v>19</v>
      </c>
      <c r="B1353" s="1" t="s">
        <v>1132</v>
      </c>
      <c r="C1353" s="1" t="str">
        <f ca="1">IFERROR(__xludf.DUMMYFUNCTION("GOOGLETRANSLATE(B1360,""en"",""ja"")"),"友人")</f>
        <v>友人</v>
      </c>
    </row>
    <row r="1354" spans="1:3" ht="18" customHeight="1" x14ac:dyDescent="0.3">
      <c r="A1354" s="1">
        <v>19</v>
      </c>
      <c r="B1354" s="1" t="s">
        <v>1133</v>
      </c>
      <c r="C1354" s="1" t="str">
        <f ca="1">IFERROR(__xludf.DUMMYFUNCTION("GOOGLETRANSLATE(B1361,""en"",""ja"")"),"新鮮な")</f>
        <v>新鮮な</v>
      </c>
    </row>
    <row r="1355" spans="1:3" ht="18" customHeight="1" x14ac:dyDescent="0.3">
      <c r="A1355" s="1">
        <v>19</v>
      </c>
      <c r="B1355" s="1" t="s">
        <v>1134</v>
      </c>
      <c r="C1355" s="1" t="str">
        <f ca="1">IFERROR(__xludf.DUMMYFUNCTION("GOOGLETRANSLATE(B1362,""en"",""ja"")"),"強制")</f>
        <v>強制</v>
      </c>
    </row>
    <row r="1356" spans="1:3" ht="18" customHeight="1" x14ac:dyDescent="0.3">
      <c r="A1356" s="1">
        <v>19</v>
      </c>
      <c r="B1356" s="1" t="s">
        <v>1135</v>
      </c>
      <c r="C1356" s="1" t="str">
        <f ca="1">IFERROR(__xludf.DUMMYFUNCTION("GOOGLETRANSLATE(B1363,""en"",""ja"")"),"力")</f>
        <v>力</v>
      </c>
    </row>
    <row r="1357" spans="1:3" ht="18" customHeight="1" x14ac:dyDescent="0.3">
      <c r="A1357" s="1">
        <v>19</v>
      </c>
      <c r="B1357" s="1" t="s">
        <v>1136</v>
      </c>
      <c r="C1357" s="1" t="str">
        <f ca="1">IFERROR(__xludf.DUMMYFUNCTION("GOOGLETRANSLATE(B1364,""en"",""ja"")"),"映画")</f>
        <v>映画</v>
      </c>
    </row>
    <row r="1358" spans="1:3" ht="18" customHeight="1" x14ac:dyDescent="0.3">
      <c r="A1358" s="1">
        <v>19</v>
      </c>
      <c r="B1358" s="1" t="s">
        <v>1137</v>
      </c>
      <c r="C1358" s="1" t="str">
        <f ca="1">IFERROR(__xludf.DUMMYFUNCTION("GOOGLETRANSLATE(B1365,""en"",""ja"")"),"特徴")</f>
        <v>特徴</v>
      </c>
    </row>
    <row r="1359" spans="1:3" ht="18" customHeight="1" x14ac:dyDescent="0.3">
      <c r="A1359" s="1">
        <v>19</v>
      </c>
      <c r="B1359" s="1" t="s">
        <v>1138</v>
      </c>
      <c r="C1359" s="1" t="str">
        <f ca="1">IFERROR(__xludf.DUMMYFUNCTION("GOOGLETRANSLATE(B1366,""en"",""ja"")"),"エクステント")</f>
        <v>エクステント</v>
      </c>
    </row>
    <row r="1360" spans="1:3" ht="18" customHeight="1" x14ac:dyDescent="0.3">
      <c r="A1360" s="1">
        <v>19</v>
      </c>
      <c r="B1360" s="1" t="s">
        <v>1139</v>
      </c>
      <c r="C1360" s="1" t="str">
        <f ca="1">IFERROR(__xludf.DUMMYFUNCTION("GOOGLETRANSLATE(B1367,""en"",""ja"")"),"説明")</f>
        <v>説明</v>
      </c>
    </row>
    <row r="1361" spans="1:3" ht="18" customHeight="1" x14ac:dyDescent="0.3">
      <c r="A1361" s="1">
        <v>19</v>
      </c>
      <c r="B1361" s="1" t="s">
        <v>1140</v>
      </c>
      <c r="C1361" s="1" t="str">
        <f ca="1">IFERROR(__xludf.DUMMYFUNCTION("GOOGLETRANSLATE(B1368,""en"",""ja"")"),"拡張")</f>
        <v>拡張</v>
      </c>
    </row>
    <row r="1362" spans="1:3" ht="18" customHeight="1" x14ac:dyDescent="0.3">
      <c r="A1362" s="1">
        <v>19</v>
      </c>
      <c r="B1362" s="1" t="s">
        <v>443</v>
      </c>
      <c r="C1362" s="1" t="str">
        <f ca="1">IFERROR(__xludf.DUMMYFUNCTION("GOOGLETRANSLATE(B1369,""en"",""ja"")"),"証拠")</f>
        <v>証拠</v>
      </c>
    </row>
    <row r="1363" spans="1:3" ht="18" customHeight="1" x14ac:dyDescent="0.3">
      <c r="A1363" s="1">
        <v>19</v>
      </c>
      <c r="B1363" s="1" t="s">
        <v>1141</v>
      </c>
      <c r="C1363" s="1" t="str">
        <f ca="1">IFERROR(__xludf.DUMMYFUNCTION("GOOGLETRANSLATE(B1370,""en"",""ja"")"),"確立")</f>
        <v>確立</v>
      </c>
    </row>
    <row r="1364" spans="1:3" ht="18" customHeight="1" x14ac:dyDescent="0.3">
      <c r="A1364" s="1">
        <v>19</v>
      </c>
      <c r="B1364" s="1" t="s">
        <v>1142</v>
      </c>
      <c r="C1364" s="1" t="str">
        <f ca="1">IFERROR(__xludf.DUMMYFUNCTION("GOOGLETRANSLATE(B1371,""en"",""ja"")"),"従事する")</f>
        <v>従事する</v>
      </c>
    </row>
    <row r="1365" spans="1:3" ht="18" customHeight="1" x14ac:dyDescent="0.3">
      <c r="A1365" s="1">
        <v>19</v>
      </c>
      <c r="B1365" s="1" t="s">
        <v>1143</v>
      </c>
      <c r="C1365" s="1" t="str">
        <f ca="1">IFERROR(__xludf.DUMMYFUNCTION("GOOGLETRANSLATE(B1372,""en"",""ja"")"),"電子")</f>
        <v>電子</v>
      </c>
    </row>
    <row r="1366" spans="1:3" ht="18" customHeight="1" x14ac:dyDescent="0.3">
      <c r="A1366" s="1">
        <v>19</v>
      </c>
      <c r="B1366" s="1" t="s">
        <v>1144</v>
      </c>
      <c r="C1366" s="1" t="str">
        <f ca="1">IFERROR(__xludf.DUMMYFUNCTION("GOOGLETRANSLATE(B1373,""en"",""ja"")"),"どちらか")</f>
        <v>どちらか</v>
      </c>
    </row>
    <row r="1367" spans="1:3" ht="18" customHeight="1" x14ac:dyDescent="0.3">
      <c r="A1367" s="1">
        <v>19</v>
      </c>
      <c r="B1367" s="1" t="s">
        <v>1145</v>
      </c>
      <c r="C1367" s="1" t="str">
        <f ca="1">IFERROR(__xludf.DUMMYFUNCTION("GOOGLETRANSLATE(B1374,""en"",""ja"")"),"尽力")</f>
        <v>尽力</v>
      </c>
    </row>
    <row r="1368" spans="1:3" ht="18" customHeight="1" x14ac:dyDescent="0.3">
      <c r="A1368" s="1">
        <v>19</v>
      </c>
      <c r="B1368" s="1" t="s">
        <v>1018</v>
      </c>
      <c r="C1368" s="1" t="str">
        <f ca="1">IFERROR(__xludf.DUMMYFUNCTION("GOOGLETRANSLATE(B1375,""en"",""ja"")"),"経済")</f>
        <v>経済</v>
      </c>
    </row>
    <row r="1369" spans="1:3" ht="18" customHeight="1" x14ac:dyDescent="0.3">
      <c r="A1369" s="1">
        <v>19</v>
      </c>
      <c r="B1369" s="1" t="s">
        <v>1146</v>
      </c>
      <c r="C1369" s="1" t="str">
        <f ca="1">IFERROR(__xludf.DUMMYFUNCTION("GOOGLETRANSLATE(B1376,""en"",""ja"")"),"依存")</f>
        <v>依存</v>
      </c>
    </row>
    <row r="1370" spans="1:3" ht="18" customHeight="1" x14ac:dyDescent="0.3">
      <c r="A1370" s="1">
        <v>19</v>
      </c>
      <c r="B1370" s="1" t="s">
        <v>1147</v>
      </c>
      <c r="C1370" s="1" t="str">
        <f ca="1">IFERROR(__xludf.DUMMYFUNCTION("GOOGLETRANSLATE(B1377,""en"",""ja"")"),"低下")</f>
        <v>低下</v>
      </c>
    </row>
    <row r="1371" spans="1:3" ht="18" customHeight="1" x14ac:dyDescent="0.3">
      <c r="A1371" s="1">
        <v>19</v>
      </c>
      <c r="B1371" s="1" t="s">
        <v>1148</v>
      </c>
      <c r="C1371" s="1" t="str">
        <f ca="1">IFERROR(__xludf.DUMMYFUNCTION("GOOGLETRANSLATE(B1378,""en"",""ja"")"),"助ける")</f>
        <v>助ける</v>
      </c>
    </row>
    <row r="1372" spans="1:3" ht="18" customHeight="1" x14ac:dyDescent="0.3">
      <c r="A1372" s="1">
        <v>19</v>
      </c>
      <c r="B1372" s="1" t="s">
        <v>1149</v>
      </c>
      <c r="C1372" s="1" t="str">
        <f ca="1">IFERROR(__xludf.DUMMYFUNCTION("GOOGLETRANSLATE(B1379,""en"",""ja"")"),"コンポーネント")</f>
        <v>コンポーネント</v>
      </c>
    </row>
    <row r="1373" spans="1:3" ht="18" customHeight="1" x14ac:dyDescent="0.3">
      <c r="A1373" s="1">
        <v>19</v>
      </c>
      <c r="B1373" s="1" t="s">
        <v>1150</v>
      </c>
      <c r="C1373" s="1" t="str">
        <f ca="1">IFERROR(__xludf.DUMMYFUNCTION("GOOGLETRANSLATE(B1380,""en"",""ja"")"),"請求")</f>
        <v>請求</v>
      </c>
    </row>
    <row r="1374" spans="1:3" ht="18" customHeight="1" x14ac:dyDescent="0.3">
      <c r="A1374" s="1">
        <v>19</v>
      </c>
      <c r="B1374" s="1" t="s">
        <v>1151</v>
      </c>
      <c r="C1374" s="1" t="str">
        <f ca="1">IFERROR(__xludf.DUMMYFUNCTION("GOOGLETRANSLATE(B1381,""en"",""ja"")"),"何世紀")</f>
        <v>何世紀</v>
      </c>
    </row>
    <row r="1375" spans="1:3" ht="18" customHeight="1" x14ac:dyDescent="0.3">
      <c r="A1375" s="1">
        <v>19</v>
      </c>
      <c r="B1375" s="1" t="s">
        <v>1152</v>
      </c>
      <c r="C1375" s="1" t="str">
        <f ca="1">IFERROR(__xludf.DUMMYFUNCTION("GOOGLETRANSLATE(B1382,""en"",""ja"")"),"細胞")</f>
        <v>細胞</v>
      </c>
    </row>
    <row r="1376" spans="1:3" ht="18" customHeight="1" x14ac:dyDescent="0.3">
      <c r="A1376" s="1">
        <v>19</v>
      </c>
      <c r="B1376" s="1" t="s">
        <v>1153</v>
      </c>
      <c r="C1376" s="1" t="str">
        <f ca="1">IFERROR(__xludf.DUMMYFUNCTION("GOOGLETRANSLATE(B1383,""en"",""ja"")"),"細胞")</f>
        <v>細胞</v>
      </c>
    </row>
    <row r="1377" spans="1:3" ht="18" customHeight="1" x14ac:dyDescent="0.3">
      <c r="A1377" s="1">
        <v>19</v>
      </c>
      <c r="B1377" s="1" t="s">
        <v>1154</v>
      </c>
      <c r="C1377" s="1" t="str">
        <f ca="1">IFERROR(__xludf.DUMMYFUNCTION("GOOGLETRANSLATE(B1384,""en"",""ja"")"),"開始")</f>
        <v>開始</v>
      </c>
    </row>
    <row r="1378" spans="1:3" ht="18" customHeight="1" x14ac:dyDescent="0.3">
      <c r="A1378" s="1">
        <v>19</v>
      </c>
      <c r="B1378" s="1" t="s">
        <v>1155</v>
      </c>
      <c r="C1378" s="1" t="str">
        <f ca="1">IFERROR(__xludf.DUMMYFUNCTION("GOOGLETRANSLATE(B1385,""en"",""ja"")"),"気がついて")</f>
        <v>気がついて</v>
      </c>
    </row>
    <row r="1379" spans="1:3" ht="18" customHeight="1" x14ac:dyDescent="0.3">
      <c r="A1379" s="1">
        <v>19</v>
      </c>
      <c r="B1379" s="1" t="s">
        <v>1156</v>
      </c>
      <c r="C1379" s="1" t="str">
        <f ca="1">IFERROR(__xludf.DUMMYFUNCTION("GOOGLETRANSLATE(B1386,""en"",""ja"")"),"論じます")</f>
        <v>論じます</v>
      </c>
    </row>
    <row r="1380" spans="1:3" ht="18" customHeight="1" x14ac:dyDescent="0.3">
      <c r="A1380" s="1">
        <v>19</v>
      </c>
      <c r="B1380" s="1" t="s">
        <v>657</v>
      </c>
      <c r="C1380" s="1" t="str">
        <f ca="1">IFERROR(__xludf.DUMMYFUNCTION("GOOGLETRANSLATE(B1387,""en"",""ja"")"),"農業")</f>
        <v>農業</v>
      </c>
    </row>
    <row r="1381" spans="1:3" ht="18" customHeight="1" x14ac:dyDescent="0.3">
      <c r="A1381" s="1">
        <v>19</v>
      </c>
      <c r="B1381" s="1" t="s">
        <v>503</v>
      </c>
      <c r="C1381" s="1" t="str">
        <f ca="1">IFERROR(__xludf.DUMMYFUNCTION("GOOGLETRANSLATE(B1388,""en"",""ja"")"),"アフリカ")</f>
        <v>アフリカ</v>
      </c>
    </row>
    <row r="1382" spans="1:3" ht="18" customHeight="1" x14ac:dyDescent="0.3">
      <c r="A1382" s="1">
        <v>19</v>
      </c>
      <c r="B1382" s="1" t="s">
        <v>1157</v>
      </c>
      <c r="C1382" s="1" t="str">
        <f ca="1">IFERROR(__xludf.DUMMYFUNCTION("GOOGLETRANSLATE(B1389,""en"",""ja"")"),"達成")</f>
        <v>達成</v>
      </c>
    </row>
    <row r="1383" spans="1:3" ht="18" customHeight="1" x14ac:dyDescent="0.3">
      <c r="A1383" s="1">
        <v>19</v>
      </c>
      <c r="B1383" s="1" t="s">
        <v>1158</v>
      </c>
      <c r="C1383" s="1" t="str">
        <f ca="1">IFERROR(__xludf.DUMMYFUNCTION("GOOGLETRANSLATE(B1390,""en"",""ja"")"),"受け入れます")</f>
        <v>受け入れます</v>
      </c>
    </row>
    <row r="1384" spans="1:3" ht="18" customHeight="1" x14ac:dyDescent="0.3">
      <c r="A1384" s="1">
        <v>18</v>
      </c>
      <c r="B1384" s="1" t="s">
        <v>1159</v>
      </c>
      <c r="C1384" s="1" t="str">
        <f ca="1">IFERROR(__xludf.DUMMYFUNCTION("GOOGLETRANSLATE(B1391,""en"",""ja"")"),"波")</f>
        <v>波</v>
      </c>
    </row>
    <row r="1385" spans="1:3" ht="18" customHeight="1" x14ac:dyDescent="0.3">
      <c r="A1385" s="1">
        <v>18</v>
      </c>
      <c r="B1385" s="1" t="s">
        <v>1160</v>
      </c>
      <c r="C1385" s="1" t="str">
        <f ca="1">IFERROR(__xludf.DUMMYFUNCTION("GOOGLETRANSLATE(B1392,""en"",""ja"")"),"税金")</f>
        <v>税金</v>
      </c>
    </row>
    <row r="1386" spans="1:3" ht="18" customHeight="1" x14ac:dyDescent="0.3">
      <c r="A1386" s="1">
        <v>18</v>
      </c>
      <c r="B1386" s="1" t="s">
        <v>1161</v>
      </c>
      <c r="C1386" s="1" t="str">
        <f ca="1">IFERROR(__xludf.DUMMYFUNCTION("GOOGLETRANSLATE(B1393,""en"",""ja"")"),"承知しました")</f>
        <v>承知しました</v>
      </c>
    </row>
    <row r="1387" spans="1:3" ht="18" customHeight="1" x14ac:dyDescent="0.3">
      <c r="A1387" s="1">
        <v>18</v>
      </c>
      <c r="B1387" s="1" t="s">
        <v>1162</v>
      </c>
      <c r="C1387" s="1" t="str">
        <f ca="1">IFERROR(__xludf.DUMMYFUNCTION("GOOGLETRANSLATE(B1394,""en"",""ja"")"),"ソース")</f>
        <v>ソース</v>
      </c>
    </row>
    <row r="1388" spans="1:3" ht="18" customHeight="1" x14ac:dyDescent="0.3">
      <c r="A1388" s="1">
        <v>18</v>
      </c>
      <c r="B1388" s="1" t="s">
        <v>1163</v>
      </c>
      <c r="C1388" s="1" t="str">
        <f ca="1">IFERROR(__xludf.DUMMYFUNCTION("GOOGLETRANSLATE(B1395,""en"",""ja"")"),"スキル")</f>
        <v>スキル</v>
      </c>
    </row>
    <row r="1389" spans="1:3" ht="18" customHeight="1" x14ac:dyDescent="0.3">
      <c r="A1389" s="1">
        <v>18</v>
      </c>
      <c r="B1389" s="1" t="s">
        <v>1164</v>
      </c>
      <c r="C1389" s="1" t="str">
        <f ca="1">IFERROR(__xludf.DUMMYFUNCTION("GOOGLETRANSLATE(B1396,""en"",""ja"")"),"地点")</f>
        <v>地点</v>
      </c>
    </row>
    <row r="1390" spans="1:3" ht="18" customHeight="1" x14ac:dyDescent="0.3">
      <c r="A1390" s="1">
        <v>18</v>
      </c>
      <c r="B1390" s="1" t="s">
        <v>1165</v>
      </c>
      <c r="C1390" s="1" t="str">
        <f ca="1">IFERROR(__xludf.DUMMYFUNCTION("GOOGLETRANSLATE(B1397,""en"",""ja"")"),"罪")</f>
        <v>罪</v>
      </c>
    </row>
    <row r="1391" spans="1:3" ht="18" customHeight="1" x14ac:dyDescent="0.3">
      <c r="A1391" s="1">
        <v>18</v>
      </c>
      <c r="B1391" s="1" t="s">
        <v>1166</v>
      </c>
      <c r="C1391" s="1" t="str">
        <f ca="1">IFERROR(__xludf.DUMMYFUNCTION("GOOGLETRANSLATE(B1398,""en"",""ja"")"),"符号")</f>
        <v>符号</v>
      </c>
    </row>
    <row r="1392" spans="1:3" ht="18" customHeight="1" x14ac:dyDescent="0.3">
      <c r="A1392" s="1">
        <v>18</v>
      </c>
      <c r="B1392" s="1" t="s">
        <v>1167</v>
      </c>
      <c r="C1392" s="1" t="str">
        <f ca="1">IFERROR(__xludf.DUMMYFUNCTION("GOOGLETRANSLATE(B1399,""en"",""ja"")"),"シャツ")</f>
        <v>シャツ</v>
      </c>
    </row>
    <row r="1393" spans="1:3" ht="18" customHeight="1" x14ac:dyDescent="0.3">
      <c r="A1393" s="1">
        <v>18</v>
      </c>
      <c r="B1393" s="1" t="s">
        <v>1168</v>
      </c>
      <c r="C1393" s="1" t="str">
        <f ca="1">IFERROR(__xludf.DUMMYFUNCTION("GOOGLETRANSLATE(B1401,""en"",""ja"")"),"シェアード")</f>
        <v>シェアード</v>
      </c>
    </row>
    <row r="1394" spans="1:3" ht="18" customHeight="1" x14ac:dyDescent="0.3">
      <c r="A1394" s="1">
        <v>18</v>
      </c>
      <c r="B1394" s="1" t="s">
        <v>272</v>
      </c>
      <c r="C1394" s="1" t="str">
        <f ca="1">IFERROR(__xludf.DUMMYFUNCTION("GOOGLETRANSLATE(B1402,""en"",""ja"")"),"セットする")</f>
        <v>セットする</v>
      </c>
    </row>
    <row r="1395" spans="1:3" ht="18" customHeight="1" x14ac:dyDescent="0.3">
      <c r="A1395" s="1">
        <v>18</v>
      </c>
      <c r="B1395" s="1" t="s">
        <v>1169</v>
      </c>
      <c r="C1395" s="1" t="str">
        <f ca="1">IFERROR(__xludf.DUMMYFUNCTION("GOOGLETRANSLATE(B1403,""en"",""ja"")"),"選択する")</f>
        <v>選択する</v>
      </c>
    </row>
    <row r="1396" spans="1:3" ht="18" customHeight="1" x14ac:dyDescent="0.3">
      <c r="A1396" s="1">
        <v>18</v>
      </c>
      <c r="B1396" s="1" t="s">
        <v>1170</v>
      </c>
      <c r="C1396" s="1" t="str">
        <f ca="1">IFERROR(__xludf.DUMMYFUNCTION("GOOGLETRANSLATE(B1404,""en"",""ja"")"),"探す")</f>
        <v>探す</v>
      </c>
    </row>
    <row r="1397" spans="1:3" ht="18" customHeight="1" x14ac:dyDescent="0.3">
      <c r="A1397" s="1">
        <v>18</v>
      </c>
      <c r="B1397" s="1" t="s">
        <v>1171</v>
      </c>
      <c r="C1397" s="1" t="str">
        <f ca="1">IFERROR(__xludf.DUMMYFUNCTION("GOOGLETRANSLATE(B1405,""en"",""ja"")"),"学校")</f>
        <v>学校</v>
      </c>
    </row>
    <row r="1398" spans="1:3" ht="18" customHeight="1" x14ac:dyDescent="0.3">
      <c r="A1398" s="1">
        <v>18</v>
      </c>
      <c r="B1398" s="1" t="s">
        <v>1172</v>
      </c>
      <c r="C1398" s="1" t="str">
        <f ca="1">IFERROR(__xludf.DUMMYFUNCTION("GOOGLETRANSLATE(B1406,""en"",""ja"")"),"ラン")</f>
        <v>ラン</v>
      </c>
    </row>
    <row r="1399" spans="1:3" ht="18" customHeight="1" x14ac:dyDescent="0.3">
      <c r="A1399" s="1">
        <v>18</v>
      </c>
      <c r="B1399" s="1" t="s">
        <v>1173</v>
      </c>
      <c r="C1399" s="1" t="str">
        <f ca="1">IFERROR(__xludf.DUMMYFUNCTION("GOOGLETRANSLATE(B1407,""en"",""ja"")"),"ルーラー")</f>
        <v>ルーラー</v>
      </c>
    </row>
    <row r="1400" spans="1:3" ht="18" customHeight="1" x14ac:dyDescent="0.3">
      <c r="A1400" s="1">
        <v>18</v>
      </c>
      <c r="B1400" s="1" t="s">
        <v>665</v>
      </c>
      <c r="C1400" s="1" t="str">
        <f ca="1">IFERROR(__xludf.DUMMYFUNCTION("GOOGLETRANSLATE(B1408,""en"",""ja"")"),"危険")</f>
        <v>危険</v>
      </c>
    </row>
    <row r="1401" spans="1:3" ht="18" customHeight="1" x14ac:dyDescent="0.3">
      <c r="A1401" s="1">
        <v>18</v>
      </c>
      <c r="B1401" s="1" t="s">
        <v>1174</v>
      </c>
      <c r="C1401" s="1" t="str">
        <f ca="1">IFERROR(__xludf.DUMMYFUNCTION("GOOGLETRANSLATE(B1409,""en"",""ja"")"),"残り")</f>
        <v>残り</v>
      </c>
    </row>
    <row r="1402" spans="1:3" ht="18" customHeight="1" x14ac:dyDescent="0.3">
      <c r="A1402" s="1">
        <v>18</v>
      </c>
      <c r="B1402" s="1" t="s">
        <v>1175</v>
      </c>
      <c r="C1402" s="1" t="str">
        <f ca="1">IFERROR(__xludf.DUMMYFUNCTION("GOOGLETRANSLATE(B1410,""en"",""ja"")"),"改")</f>
        <v>改</v>
      </c>
    </row>
    <row r="1403" spans="1:3" ht="18" customHeight="1" x14ac:dyDescent="0.3">
      <c r="A1403" s="1">
        <v>18</v>
      </c>
      <c r="B1403" s="1" t="s">
        <v>1176</v>
      </c>
      <c r="C1403" s="1" t="str">
        <f ca="1">IFERROR(__xludf.DUMMYFUNCTION("GOOGLETRANSLATE(B1411,""en"",""ja"")"),"割合")</f>
        <v>割合</v>
      </c>
    </row>
    <row r="1404" spans="1:3" ht="18" customHeight="1" x14ac:dyDescent="0.3">
      <c r="A1404" s="1">
        <v>18</v>
      </c>
      <c r="B1404" s="1" t="s">
        <v>1177</v>
      </c>
      <c r="C1404" s="1" t="str">
        <f ca="1">IFERROR(__xludf.DUMMYFUNCTION("GOOGLETRANSLATE(B1412,""en"",""ja"")"),"すばやく")</f>
        <v>すばやく</v>
      </c>
    </row>
    <row r="1405" spans="1:3" ht="18" customHeight="1" x14ac:dyDescent="0.3">
      <c r="A1405" s="1">
        <v>18</v>
      </c>
      <c r="B1405" s="1" t="s">
        <v>668</v>
      </c>
      <c r="C1405" s="1" t="str">
        <f ca="1">IFERROR(__xludf.DUMMYFUNCTION("GOOGLETRANSLATE(B1413,""en"",""ja"")"),"製造")</f>
        <v>製造</v>
      </c>
    </row>
    <row r="1406" spans="1:3" ht="18" customHeight="1" x14ac:dyDescent="0.3">
      <c r="A1406" s="1">
        <v>18</v>
      </c>
      <c r="B1406" s="1" t="s">
        <v>1178</v>
      </c>
      <c r="C1406" s="1" t="str">
        <f ca="1">IFERROR(__xludf.DUMMYFUNCTION("GOOGLETRANSLATE(B1414,""en"",""ja"")"),"民間")</f>
        <v>民間</v>
      </c>
    </row>
    <row r="1407" spans="1:3" ht="18" customHeight="1" x14ac:dyDescent="0.3">
      <c r="A1407" s="1">
        <v>18</v>
      </c>
      <c r="B1407" s="1" t="s">
        <v>1179</v>
      </c>
      <c r="C1407" s="1" t="str">
        <f ca="1">IFERROR(__xludf.DUMMYFUNCTION("GOOGLETRANSLATE(B1415,""en"",""ja"")"),"役職")</f>
        <v>役職</v>
      </c>
    </row>
    <row r="1408" spans="1:3" ht="18" customHeight="1" x14ac:dyDescent="0.3">
      <c r="A1408" s="1">
        <v>18</v>
      </c>
      <c r="B1408" s="1" t="s">
        <v>1180</v>
      </c>
      <c r="C1408" s="1" t="str">
        <f ca="1">IFERROR(__xludf.DUMMYFUNCTION("GOOGLETRANSLATE(B1416,""en"",""ja"")"),"ポジティブ")</f>
        <v>ポジティブ</v>
      </c>
    </row>
    <row r="1409" spans="1:3" ht="18" customHeight="1" x14ac:dyDescent="0.3">
      <c r="A1409" s="1">
        <v>18</v>
      </c>
      <c r="B1409" s="1" t="s">
        <v>438</v>
      </c>
      <c r="C1409" s="1" t="str">
        <f ca="1">IFERROR(__xludf.DUMMYFUNCTION("GOOGLETRANSLATE(B1417,""en"",""ja"")"),"演奏する")</f>
        <v>演奏する</v>
      </c>
    </row>
    <row r="1410" spans="1:3" ht="18" customHeight="1" x14ac:dyDescent="0.3">
      <c r="A1410" s="1">
        <v>18</v>
      </c>
      <c r="B1410" s="1" t="s">
        <v>529</v>
      </c>
      <c r="C1410" s="1" t="str">
        <f ca="1">IFERROR(__xludf.DUMMYFUNCTION("GOOGLETRANSLATE(B1418,""en"",""ja"")"),"画像")</f>
        <v>画像</v>
      </c>
    </row>
    <row r="1411" spans="1:3" ht="18" customHeight="1" x14ac:dyDescent="0.3">
      <c r="A1411" s="1">
        <v>18</v>
      </c>
      <c r="B1411" s="1" t="s">
        <v>1181</v>
      </c>
      <c r="C1411" s="1" t="str">
        <f ca="1">IFERROR(__xludf.DUMMYFUNCTION("GOOGLETRANSLATE(B1419,""en"",""ja"")"),"パーソナライゼーション")</f>
        <v>パーソナライゼーション</v>
      </c>
    </row>
    <row r="1412" spans="1:3" ht="18" customHeight="1" x14ac:dyDescent="0.3">
      <c r="A1412" s="1">
        <v>18</v>
      </c>
      <c r="B1412" s="1" t="s">
        <v>1182</v>
      </c>
      <c r="C1412" s="1" t="str">
        <f ca="1">IFERROR(__xludf.DUMMYFUNCTION("GOOGLETRANSLATE(B1420,""en"",""ja"")"),"パーソナルコンピュータ")</f>
        <v>パーソナルコンピュータ</v>
      </c>
    </row>
    <row r="1413" spans="1:3" ht="18" customHeight="1" x14ac:dyDescent="0.3">
      <c r="A1413" s="1">
        <v>18</v>
      </c>
      <c r="B1413" s="1" t="s">
        <v>1183</v>
      </c>
      <c r="C1413" s="1" t="str">
        <f ca="1">IFERROR(__xludf.DUMMYFUNCTION("GOOGLETRANSLATE(B1421,""en"",""ja"")"),"特許")</f>
        <v>特許</v>
      </c>
    </row>
    <row r="1414" spans="1:3" ht="18" customHeight="1" x14ac:dyDescent="0.3">
      <c r="A1414" s="1">
        <v>18</v>
      </c>
      <c r="B1414" s="1" t="s">
        <v>1184</v>
      </c>
      <c r="C1414" s="1" t="str">
        <f ca="1">IFERROR(__xludf.DUMMYFUNCTION("GOOGLETRANSLATE(B1422,""en"",""ja"")"),"臓器")</f>
        <v>臓器</v>
      </c>
    </row>
    <row r="1415" spans="1:3" ht="18" customHeight="1" x14ac:dyDescent="0.3">
      <c r="A1415" s="1">
        <v>18</v>
      </c>
      <c r="B1415" s="1" t="s">
        <v>1185</v>
      </c>
      <c r="C1415" s="1" t="str">
        <f ca="1">IFERROR(__xludf.DUMMYFUNCTION("GOOGLETRANSLATE(B1423,""en"",""ja"")"),"逆の")</f>
        <v>逆の</v>
      </c>
    </row>
    <row r="1416" spans="1:3" ht="18" customHeight="1" x14ac:dyDescent="0.3">
      <c r="A1416" s="1">
        <v>18</v>
      </c>
      <c r="B1416" s="1" t="s">
        <v>1186</v>
      </c>
      <c r="C1416" s="1" t="str">
        <f ca="1">IFERROR(__xludf.DUMMYFUNCTION("GOOGLETRANSLATE(B1424,""en"",""ja"")"),"機会")</f>
        <v>機会</v>
      </c>
    </row>
    <row r="1417" spans="1:3" ht="18" customHeight="1" x14ac:dyDescent="0.3">
      <c r="A1417" s="1">
        <v>18</v>
      </c>
      <c r="B1417" s="1" t="s">
        <v>118</v>
      </c>
      <c r="C1417" s="1" t="str">
        <f ca="1">IFERROR(__xludf.DUMMYFUNCTION("GOOGLETRANSLATE(B1425,""en"",""ja"")"),"今")</f>
        <v>今</v>
      </c>
    </row>
    <row r="1418" spans="1:3" ht="18" customHeight="1" x14ac:dyDescent="0.3">
      <c r="A1418" s="1">
        <v>18</v>
      </c>
      <c r="B1418" s="1" t="s">
        <v>1187</v>
      </c>
      <c r="C1418" s="1" t="str">
        <f ca="1">IFERROR(__xludf.DUMMYFUNCTION("GOOGLETRANSLATE(B1426,""en"",""ja"")"),"近く")</f>
        <v>近く</v>
      </c>
    </row>
    <row r="1419" spans="1:3" ht="18" customHeight="1" x14ac:dyDescent="0.3">
      <c r="A1419" s="1">
        <v>18</v>
      </c>
      <c r="B1419" s="1" t="s">
        <v>1188</v>
      </c>
      <c r="C1419" s="1" t="str">
        <f ca="1">IFERROR(__xludf.DUMMYFUNCTION("GOOGLETRANSLATE(B1427,""en"",""ja"")"),"対策")</f>
        <v>対策</v>
      </c>
    </row>
    <row r="1420" spans="1:3" ht="18" customHeight="1" x14ac:dyDescent="0.3">
      <c r="A1420" s="1">
        <v>18</v>
      </c>
      <c r="B1420" s="1" t="s">
        <v>1189</v>
      </c>
      <c r="C1420" s="1" t="str">
        <f ca="1">IFERROR(__xludf.DUMMYFUNCTION("GOOGLETRANSLATE(B1428,""en"",""ja"")"),"大規模な")</f>
        <v>大規模な</v>
      </c>
    </row>
    <row r="1421" spans="1:3" ht="18" customHeight="1" x14ac:dyDescent="0.3">
      <c r="A1421" s="1">
        <v>18</v>
      </c>
      <c r="B1421" s="1" t="s">
        <v>1190</v>
      </c>
      <c r="C1421" s="1" t="str">
        <f ca="1">IFERROR(__xludf.DUMMYFUNCTION("GOOGLETRANSLATE(B1429,""en"",""ja"")"),"自由")</f>
        <v>自由</v>
      </c>
    </row>
    <row r="1422" spans="1:3" ht="18" customHeight="1" x14ac:dyDescent="0.3">
      <c r="A1422" s="1">
        <v>18</v>
      </c>
      <c r="B1422" s="1" t="s">
        <v>1191</v>
      </c>
      <c r="C1422" s="1" t="str">
        <f ca="1">IFERROR(__xludf.DUMMYFUNCTION("GOOGLETRANSLATE(B1430,""en"",""ja"")"),"正当化")</f>
        <v>正当化</v>
      </c>
    </row>
    <row r="1423" spans="1:3" ht="18" customHeight="1" x14ac:dyDescent="0.3">
      <c r="A1423" s="1">
        <v>18</v>
      </c>
      <c r="B1423" s="1" t="s">
        <v>1192</v>
      </c>
      <c r="C1423" s="1" t="str">
        <f ca="1">IFERROR(__xludf.DUMMYFUNCTION("GOOGLETRANSLATE(B1431,""en"",""ja"")"),"ジェームス")</f>
        <v>ジェームス</v>
      </c>
    </row>
    <row r="1424" spans="1:3" ht="18" customHeight="1" x14ac:dyDescent="0.3">
      <c r="A1424" s="1">
        <v>18</v>
      </c>
      <c r="B1424" s="1" t="s">
        <v>1193</v>
      </c>
      <c r="C1424" s="1" t="str">
        <f ca="1">IFERROR(__xludf.DUMMYFUNCTION("GOOGLETRANSLATE(B1432,""en"",""ja"")"),"巻き込みます")</f>
        <v>巻き込みます</v>
      </c>
    </row>
    <row r="1425" spans="1:3" ht="18" customHeight="1" x14ac:dyDescent="0.3">
      <c r="A1425" s="1">
        <v>18</v>
      </c>
      <c r="B1425" s="1" t="s">
        <v>1194</v>
      </c>
      <c r="C1425" s="1" t="str">
        <f ca="1">IFERROR(__xludf.DUMMYFUNCTION("GOOGLETRANSLATE(B1433,""en"",""ja"")"),"強化")</f>
        <v>強化</v>
      </c>
    </row>
    <row r="1426" spans="1:3" ht="18" customHeight="1" x14ac:dyDescent="0.3">
      <c r="A1426" s="1">
        <v>18</v>
      </c>
      <c r="B1426" s="1" t="s">
        <v>1195</v>
      </c>
      <c r="C1426" s="1" t="str">
        <f ca="1">IFERROR(__xludf.DUMMYFUNCTION("GOOGLETRANSLATE(B1434,""en"",""ja"")"),"内部")</f>
        <v>内部</v>
      </c>
    </row>
    <row r="1427" spans="1:3" ht="18" customHeight="1" x14ac:dyDescent="0.3">
      <c r="A1427" s="1">
        <v>18</v>
      </c>
      <c r="B1427" s="1" t="s">
        <v>734</v>
      </c>
      <c r="C1427" s="1" t="str">
        <f ca="1">IFERROR(__xludf.DUMMYFUNCTION("GOOGLETRANSLATE(B1435,""en"",""ja"")"),"革新")</f>
        <v>革新</v>
      </c>
    </row>
    <row r="1428" spans="1:3" ht="18" customHeight="1" x14ac:dyDescent="0.3">
      <c r="A1428" s="1">
        <v>18</v>
      </c>
      <c r="B1428" s="1" t="s">
        <v>1196</v>
      </c>
      <c r="C1428" s="1" t="str">
        <f ca="1">IFERROR(__xludf.DUMMYFUNCTION("GOOGLETRANSLATE(B1436,""en"",""ja"")"),"インド")</f>
        <v>インド</v>
      </c>
    </row>
    <row r="1429" spans="1:3" ht="18" customHeight="1" x14ac:dyDescent="0.3">
      <c r="A1429" s="1">
        <v>18</v>
      </c>
      <c r="B1429" s="1" t="s">
        <v>1197</v>
      </c>
      <c r="C1429" s="1" t="str">
        <f ca="1">IFERROR(__xludf.DUMMYFUNCTION("GOOGLETRANSLATE(B1437,""en"",""ja"")"),"含ま")</f>
        <v>含ま</v>
      </c>
    </row>
    <row r="1430" spans="1:3" ht="18" customHeight="1" x14ac:dyDescent="0.3">
      <c r="A1430" s="1">
        <v>18</v>
      </c>
      <c r="B1430" s="1" t="s">
        <v>1198</v>
      </c>
      <c r="C1430" s="1" t="str">
        <f ca="1">IFERROR(__xludf.DUMMYFUNCTION("GOOGLETRANSLATE(B1438,""en"",""ja"")"),"含意")</f>
        <v>含意</v>
      </c>
    </row>
    <row r="1431" spans="1:3" ht="18" customHeight="1" x14ac:dyDescent="0.3">
      <c r="A1431" s="1">
        <v>18</v>
      </c>
      <c r="B1431" s="1" t="s">
        <v>1199</v>
      </c>
      <c r="C1431" s="1" t="str">
        <f ca="1">IFERROR(__xludf.DUMMYFUNCTION("GOOGLETRANSLATE(B1439,""en"",""ja"")"),"時間")</f>
        <v>時間</v>
      </c>
    </row>
    <row r="1432" spans="1:3" ht="18" customHeight="1" x14ac:dyDescent="0.3">
      <c r="A1432" s="1">
        <v>18</v>
      </c>
      <c r="B1432" s="1" t="s">
        <v>1200</v>
      </c>
      <c r="C1432" s="1" t="str">
        <f ca="1">IFERROR(__xludf.DUMMYFUNCTION("GOOGLETRANSLATE(B1440,""en"",""ja"")"),"開催")</f>
        <v>開催</v>
      </c>
    </row>
    <row r="1433" spans="1:3" ht="18" customHeight="1" x14ac:dyDescent="0.3">
      <c r="A1433" s="1">
        <v>18</v>
      </c>
      <c r="B1433" s="1" t="s">
        <v>1201</v>
      </c>
      <c r="C1433" s="1" t="str">
        <f ca="1">IFERROR(__xludf.DUMMYFUNCTION("GOOGLETRANSLATE(B1441,""en"",""ja"")"),"GNP")</f>
        <v>GNP</v>
      </c>
    </row>
    <row r="1434" spans="1:3" ht="18" customHeight="1" x14ac:dyDescent="0.3">
      <c r="A1434" s="1">
        <v>18</v>
      </c>
      <c r="B1434" s="1" t="s">
        <v>1202</v>
      </c>
      <c r="C1434" s="1" t="str">
        <f ca="1">IFERROR(__xludf.DUMMYFUNCTION("GOOGLETRANSLATE(B1442,""en"",""ja"")"),"国民総生産")</f>
        <v>国民総生産</v>
      </c>
    </row>
    <row r="1435" spans="1:3" ht="18" customHeight="1" x14ac:dyDescent="0.3">
      <c r="A1435" s="1">
        <v>18</v>
      </c>
      <c r="B1435" s="1" t="s">
        <v>1203</v>
      </c>
      <c r="C1435" s="1" t="str">
        <f ca="1">IFERROR(__xludf.DUMMYFUNCTION("GOOGLETRANSLATE(B1443,""en"",""ja"")"),"ガス")</f>
        <v>ガス</v>
      </c>
    </row>
    <row r="1436" spans="1:3" ht="18" customHeight="1" x14ac:dyDescent="0.3">
      <c r="A1436" s="1">
        <v>18</v>
      </c>
      <c r="B1436" s="1" t="s">
        <v>1204</v>
      </c>
      <c r="C1436" s="1" t="str">
        <f ca="1">IFERROR(__xludf.DUMMYFUNCTION("GOOGLETRANSLATE(B1444,""en"",""ja"")"),"庭園")</f>
        <v>庭園</v>
      </c>
    </row>
    <row r="1437" spans="1:3" ht="18" customHeight="1" x14ac:dyDescent="0.3">
      <c r="A1437" s="1">
        <v>18</v>
      </c>
      <c r="B1437" s="1" t="s">
        <v>1205</v>
      </c>
      <c r="C1437" s="1" t="str">
        <f ca="1">IFERROR(__xludf.DUMMYFUNCTION("GOOGLETRANSLATE(B1445,""en"",""ja"")"),"罰金")</f>
        <v>罰金</v>
      </c>
    </row>
    <row r="1438" spans="1:3" ht="18" customHeight="1" x14ac:dyDescent="0.3">
      <c r="A1438" s="1">
        <v>18</v>
      </c>
      <c r="B1438" s="1" t="s">
        <v>1206</v>
      </c>
      <c r="C1438" s="1" t="str">
        <f ca="1">IFERROR(__xludf.DUMMYFUNCTION("GOOGLETRANSLATE(B1446,""en"",""ja"")"),"既存の")</f>
        <v>既存の</v>
      </c>
    </row>
    <row r="1439" spans="1:3" ht="18" customHeight="1" x14ac:dyDescent="0.3">
      <c r="A1439" s="1">
        <v>18</v>
      </c>
      <c r="B1439" s="1" t="s">
        <v>1207</v>
      </c>
      <c r="C1439" s="1" t="str">
        <f ca="1">IFERROR(__xludf.DUMMYFUNCTION("GOOGLETRANSLATE(B1447,""en"",""ja"")"),"丁度")</f>
        <v>丁度</v>
      </c>
    </row>
    <row r="1440" spans="1:3" ht="18" customHeight="1" x14ac:dyDescent="0.3">
      <c r="A1440" s="1">
        <v>18</v>
      </c>
      <c r="B1440" s="1" t="s">
        <v>1208</v>
      </c>
      <c r="C1440" s="1" t="str">
        <f ca="1">IFERROR(__xludf.DUMMYFUNCTION("GOOGLETRANSLATE(B1448,""en"",""ja"")"),"倫理的な")</f>
        <v>倫理的な</v>
      </c>
    </row>
    <row r="1441" spans="1:3" ht="18" customHeight="1" x14ac:dyDescent="0.3">
      <c r="A1441" s="1">
        <v>18</v>
      </c>
      <c r="B1441" s="1" t="s">
        <v>1209</v>
      </c>
      <c r="C1441" s="1" t="str">
        <f ca="1">IFERROR(__xludf.DUMMYFUNCTION("GOOGLETRANSLATE(B1449,""en"",""ja"")"),"設立")</f>
        <v>設立</v>
      </c>
    </row>
    <row r="1442" spans="1:3" ht="18" customHeight="1" x14ac:dyDescent="0.3">
      <c r="A1442" s="1">
        <v>18</v>
      </c>
      <c r="B1442" s="1" t="s">
        <v>1210</v>
      </c>
      <c r="C1442" s="1" t="str">
        <f ca="1">IFERROR(__xludf.DUMMYFUNCTION("GOOGLETRANSLATE(B1450,""en"",""ja"")"),"啓発")</f>
        <v>啓発</v>
      </c>
    </row>
    <row r="1443" spans="1:3" ht="18" customHeight="1" x14ac:dyDescent="0.3">
      <c r="A1443" s="1">
        <v>18</v>
      </c>
      <c r="B1443" s="1" t="s">
        <v>1211</v>
      </c>
      <c r="C1443" s="1" t="str">
        <f ca="1">IFERROR(__xludf.DUMMYFUNCTION("GOOGLETRANSLATE(B1451,""en"",""ja"")"),"象")</f>
        <v>象</v>
      </c>
    </row>
    <row r="1444" spans="1:3" ht="18" customHeight="1" x14ac:dyDescent="0.3">
      <c r="A1444" s="1">
        <v>18</v>
      </c>
      <c r="B1444" s="1" t="s">
        <v>1212</v>
      </c>
      <c r="C1444" s="1" t="str">
        <f ca="1">IFERROR(__xludf.DUMMYFUNCTION("GOOGLETRANSLATE(B1452,""en"",""ja"")"),"編集")</f>
        <v>編集</v>
      </c>
    </row>
    <row r="1445" spans="1:3" ht="18" customHeight="1" x14ac:dyDescent="0.3">
      <c r="A1445" s="1">
        <v>18</v>
      </c>
      <c r="B1445" s="1" t="s">
        <v>1213</v>
      </c>
      <c r="C1445" s="1" t="str">
        <f ca="1">IFERROR(__xludf.DUMMYFUNCTION("GOOGLETRANSLATE(B1453,""en"",""ja"")"),"ついさっき")</f>
        <v>ついさっき</v>
      </c>
    </row>
    <row r="1446" spans="1:3" ht="18" customHeight="1" x14ac:dyDescent="0.3">
      <c r="A1446" s="1">
        <v>18</v>
      </c>
      <c r="B1446" s="1" t="s">
        <v>1214</v>
      </c>
      <c r="C1446" s="1" t="str">
        <f ca="1">IFERROR(__xludf.DUMMYFUNCTION("GOOGLETRANSLATE(B1454,""en"",""ja"")"),"ドライブ")</f>
        <v>ドライブ</v>
      </c>
    </row>
    <row r="1447" spans="1:3" ht="18" customHeight="1" x14ac:dyDescent="0.3">
      <c r="A1447" s="1">
        <v>18</v>
      </c>
      <c r="B1447" s="1" t="s">
        <v>1215</v>
      </c>
      <c r="C1447" s="1" t="str">
        <f ca="1">IFERROR(__xludf.DUMMYFUNCTION("GOOGLETRANSLATE(B1455,""en"",""ja"")"),"ありません")</f>
        <v>ありません</v>
      </c>
    </row>
    <row r="1448" spans="1:3" ht="18" customHeight="1" x14ac:dyDescent="0.3">
      <c r="A1448" s="1">
        <v>18</v>
      </c>
      <c r="B1448" s="1" t="s">
        <v>1216</v>
      </c>
      <c r="C1448" s="1" t="str">
        <f ca="1">IFERROR(__xludf.DUMMYFUNCTION("GOOGLETRANSLATE(B1456,""en"",""ja"")"),"監督")</f>
        <v>監督</v>
      </c>
    </row>
    <row r="1449" spans="1:3" ht="18" customHeight="1" x14ac:dyDescent="0.3">
      <c r="A1449" s="1">
        <v>18</v>
      </c>
      <c r="B1449" s="1" t="s">
        <v>1217</v>
      </c>
      <c r="C1449" s="1" t="str">
        <f ca="1">IFERROR(__xludf.DUMMYFUNCTION("GOOGLETRANSLATE(B1457,""en"",""ja"")"),"デルタ")</f>
        <v>デルタ</v>
      </c>
    </row>
    <row r="1450" spans="1:3" ht="18" customHeight="1" x14ac:dyDescent="0.3">
      <c r="A1450" s="1">
        <v>18</v>
      </c>
      <c r="B1450" s="1" t="s">
        <v>1218</v>
      </c>
      <c r="C1450" s="1" t="str">
        <f ca="1">IFERROR(__xludf.DUMMYFUNCTION("GOOGLETRANSLATE(B1458,""en"",""ja"")"),"定義されました")</f>
        <v>定義されました</v>
      </c>
    </row>
    <row r="1451" spans="1:3" ht="18" customHeight="1" x14ac:dyDescent="0.3">
      <c r="A1451" s="1">
        <v>18</v>
      </c>
      <c r="B1451" s="1" t="s">
        <v>207</v>
      </c>
      <c r="C1451" s="1" t="str">
        <f ca="1">IFERROR(__xludf.DUMMYFUNCTION("GOOGLETRANSLATE(B1459,""en"",""ja"")"),"作ります")</f>
        <v>作ります</v>
      </c>
    </row>
    <row r="1452" spans="1:3" ht="18" customHeight="1" x14ac:dyDescent="0.3">
      <c r="A1452" s="1">
        <v>18</v>
      </c>
      <c r="B1452" s="1" t="s">
        <v>535</v>
      </c>
      <c r="C1452" s="1" t="str">
        <f ca="1">IFERROR(__xludf.DUMMYFUNCTION("GOOGLETRANSLATE(B1460,""en"",""ja"")"),"コントラスト")</f>
        <v>コントラスト</v>
      </c>
    </row>
    <row r="1453" spans="1:3" ht="18" customHeight="1" x14ac:dyDescent="0.3">
      <c r="A1453" s="1">
        <v>18</v>
      </c>
      <c r="B1453" s="1" t="s">
        <v>1219</v>
      </c>
      <c r="C1453" s="1" t="str">
        <f ca="1">IFERROR(__xludf.DUMMYFUNCTION("GOOGLETRANSLATE(B1461,""en"",""ja"")"),"絶えず")</f>
        <v>絶えず</v>
      </c>
    </row>
    <row r="1454" spans="1:3" ht="18" customHeight="1" x14ac:dyDescent="0.3">
      <c r="A1454" s="1">
        <v>18</v>
      </c>
      <c r="B1454" s="1" t="s">
        <v>1220</v>
      </c>
      <c r="C1454" s="1" t="str">
        <f ca="1">IFERROR(__xludf.DUMMYFUNCTION("GOOGLETRANSLATE(B1462,""en"",""ja"")"),"技量")</f>
        <v>技量</v>
      </c>
    </row>
    <row r="1455" spans="1:3" ht="18" customHeight="1" x14ac:dyDescent="0.3">
      <c r="A1455" s="1">
        <v>18</v>
      </c>
      <c r="B1455" s="1" t="s">
        <v>1221</v>
      </c>
      <c r="C1455" s="1" t="str">
        <f ca="1">IFERROR(__xludf.DUMMYFUNCTION("GOOGLETRANSLATE(B1463,""en"",""ja"")"),"コミュニティ")</f>
        <v>コミュニティ</v>
      </c>
    </row>
    <row r="1456" spans="1:3" ht="18" customHeight="1" x14ac:dyDescent="0.3">
      <c r="A1456" s="1">
        <v>18</v>
      </c>
      <c r="B1456" s="1" t="s">
        <v>1222</v>
      </c>
      <c r="C1456" s="1" t="str">
        <f ca="1">IFERROR(__xludf.DUMMYFUNCTION("GOOGLETRANSLATE(B1464,""en"",""ja"")"),"コミュニケーション")</f>
        <v>コミュニケーション</v>
      </c>
    </row>
    <row r="1457" spans="1:3" ht="18" customHeight="1" x14ac:dyDescent="0.3">
      <c r="A1457" s="1">
        <v>18</v>
      </c>
      <c r="B1457" s="1" t="s">
        <v>1223</v>
      </c>
      <c r="C1457" s="1" t="str">
        <f ca="1">IFERROR(__xludf.DUMMYFUNCTION("GOOGLETRANSLATE(B1465,""en"",""ja"")"),"コンバイン")</f>
        <v>コンバイン</v>
      </c>
    </row>
    <row r="1458" spans="1:3" ht="18" customHeight="1" x14ac:dyDescent="0.3">
      <c r="A1458" s="1">
        <v>18</v>
      </c>
      <c r="B1458" s="1" t="s">
        <v>1224</v>
      </c>
      <c r="C1458" s="1" t="str">
        <f ca="1">IFERROR(__xludf.DUMMYFUNCTION("GOOGLETRANSLATE(B1466,""en"",""ja"")"),"チンパンジー")</f>
        <v>チンパンジー</v>
      </c>
    </row>
    <row r="1459" spans="1:3" ht="18" customHeight="1" x14ac:dyDescent="0.3">
      <c r="A1459" s="1">
        <v>18</v>
      </c>
      <c r="B1459" s="1" t="s">
        <v>1225</v>
      </c>
      <c r="C1459" s="1" t="str">
        <f ca="1">IFERROR(__xludf.DUMMYFUNCTION("GOOGLETRANSLATE(B1467,""en"",""ja"")"),"チャンス")</f>
        <v>チャンス</v>
      </c>
    </row>
    <row r="1460" spans="1:3" ht="18" customHeight="1" x14ac:dyDescent="0.3">
      <c r="A1460" s="1">
        <v>18</v>
      </c>
      <c r="B1460" s="1" t="s">
        <v>1226</v>
      </c>
      <c r="C1460" s="1" t="str">
        <f ca="1">IFERROR(__xludf.DUMMYFUNCTION("GOOGLETRANSLATE(B1468,""en"",""ja"")"),"アジアン")</f>
        <v>アジアン</v>
      </c>
    </row>
    <row r="1461" spans="1:3" ht="18" customHeight="1" x14ac:dyDescent="0.3">
      <c r="A1461" s="1">
        <v>18</v>
      </c>
      <c r="B1461" s="1" t="s">
        <v>1227</v>
      </c>
      <c r="C1461" s="1" t="str">
        <f ca="1">IFERROR(__xludf.DUMMYFUNCTION("GOOGLETRANSLATE(B1469,""en"",""ja"")"),"引数")</f>
        <v>引数</v>
      </c>
    </row>
    <row r="1462" spans="1:3" ht="18" customHeight="1" x14ac:dyDescent="0.3">
      <c r="A1462" s="1">
        <v>18</v>
      </c>
      <c r="B1462" s="1" t="s">
        <v>1228</v>
      </c>
      <c r="C1462" s="1" t="str">
        <f ca="1">IFERROR(__xludf.DUMMYFUNCTION("GOOGLETRANSLATE(B1470,""en"",""ja"")"),"誰でも")</f>
        <v>誰でも</v>
      </c>
    </row>
    <row r="1463" spans="1:3" ht="18" customHeight="1" x14ac:dyDescent="0.3">
      <c r="A1463" s="1">
        <v>18</v>
      </c>
      <c r="B1463" s="1" t="s">
        <v>1229</v>
      </c>
      <c r="C1463" s="1" t="str">
        <f ca="1">IFERROR(__xludf.DUMMYFUNCTION("GOOGLETRANSLATE(B1471,""en"",""ja"")"),"農業の")</f>
        <v>農業の</v>
      </c>
    </row>
    <row r="1464" spans="1:3" ht="18" customHeight="1" x14ac:dyDescent="0.3">
      <c r="A1464" s="1">
        <v>18</v>
      </c>
      <c r="B1464" s="1" t="s">
        <v>1230</v>
      </c>
      <c r="C1464" s="1" t="str">
        <f ca="1">IFERROR(__xludf.DUMMYFUNCTION("GOOGLETRANSLATE(B1472,""en"",""ja"")"),"実際の")</f>
        <v>実際の</v>
      </c>
    </row>
    <row r="1465" spans="1:3" ht="18" customHeight="1" x14ac:dyDescent="0.3">
      <c r="A1465" s="1">
        <v>18</v>
      </c>
      <c r="B1465" s="1" t="s">
        <v>504</v>
      </c>
      <c r="C1465" s="1" t="str">
        <f ca="1">IFERROR(__xludf.DUMMYFUNCTION("GOOGLETRANSLATE(B1473,""en"",""ja"")"),"アクティビティ")</f>
        <v>アクティビティ</v>
      </c>
    </row>
    <row r="1466" spans="1:3" ht="18" customHeight="1" x14ac:dyDescent="0.3">
      <c r="A1466" s="1">
        <v>18</v>
      </c>
      <c r="B1466" s="1" t="s">
        <v>54</v>
      </c>
      <c r="C1466" s="1" t="str">
        <f ca="1">IFERROR(__xludf.DUMMYFUNCTION("GOOGLETRANSLATE(B1474,""en"",""ja"")"),"約")</f>
        <v>約</v>
      </c>
    </row>
    <row r="1467" spans="1:3" ht="18" customHeight="1" x14ac:dyDescent="0.3">
      <c r="A1467" s="1">
        <v>17</v>
      </c>
      <c r="B1467" s="1" t="s">
        <v>1231</v>
      </c>
      <c r="C1467" s="1" t="str">
        <f ca="1">IFERROR(__xludf.DUMMYFUNCTION("GOOGLETRANSLATE(B1475,""en"",""ja"")"),"価値")</f>
        <v>価値</v>
      </c>
    </row>
    <row r="1468" spans="1:3" ht="18" customHeight="1" x14ac:dyDescent="0.3">
      <c r="A1468" s="1">
        <v>17</v>
      </c>
      <c r="B1468" s="1" t="s">
        <v>36</v>
      </c>
      <c r="C1468" s="1" t="str">
        <f ca="1">IFERROR(__xludf.DUMMYFUNCTION("GOOGLETRANSLATE(B1476,""en"",""ja"")"),"意志")</f>
        <v>意志</v>
      </c>
    </row>
    <row r="1469" spans="1:3" ht="18" customHeight="1" x14ac:dyDescent="0.3">
      <c r="A1469" s="1">
        <v>17</v>
      </c>
      <c r="B1469" s="1" t="s">
        <v>205</v>
      </c>
      <c r="C1469" s="1" t="str">
        <f ca="1">IFERROR(__xludf.DUMMYFUNCTION("GOOGLETRANSLATE(B1477,""en"",""ja"")"),"同時に")</f>
        <v>同時に</v>
      </c>
    </row>
    <row r="1470" spans="1:3" ht="18" customHeight="1" x14ac:dyDescent="0.3">
      <c r="A1470" s="1">
        <v>17</v>
      </c>
      <c r="B1470" s="1" t="s">
        <v>1232</v>
      </c>
      <c r="C1470" s="1" t="str">
        <f ca="1">IFERROR(__xludf.DUMMYFUNCTION("GOOGLETRANSLATE(B1478,""en"",""ja"")"),"なんでも")</f>
        <v>なんでも</v>
      </c>
    </row>
    <row r="1471" spans="1:3" ht="18" customHeight="1" x14ac:dyDescent="0.3">
      <c r="A1471" s="1">
        <v>17</v>
      </c>
      <c r="B1471" s="1" t="s">
        <v>1233</v>
      </c>
      <c r="C1471" s="1" t="str">
        <f ca="1">IFERROR(__xludf.DUMMYFUNCTION("GOOGLETRANSLATE(B1479,""en"",""ja"")"),"見ます")</f>
        <v>見ます</v>
      </c>
    </row>
    <row r="1472" spans="1:3" ht="18" customHeight="1" x14ac:dyDescent="0.3">
      <c r="A1472" s="1">
        <v>17</v>
      </c>
      <c r="B1472" s="1" t="s">
        <v>567</v>
      </c>
      <c r="C1472" s="1" t="str">
        <f ca="1">IFERROR(__xludf.DUMMYFUNCTION("GOOGLETRANSLATE(B1480,""en"",""ja"")"),"順番")</f>
        <v>順番</v>
      </c>
    </row>
    <row r="1473" spans="1:3" ht="18" customHeight="1" x14ac:dyDescent="0.3">
      <c r="A1473" s="1">
        <v>17</v>
      </c>
      <c r="B1473" s="1" t="s">
        <v>1234</v>
      </c>
      <c r="C1473" s="1" t="str">
        <f ca="1">IFERROR(__xludf.DUMMYFUNCTION("GOOGLETRANSLATE(B1481,""en"",""ja"")"),"伝統")</f>
        <v>伝統</v>
      </c>
    </row>
    <row r="1474" spans="1:3" ht="18" customHeight="1" x14ac:dyDescent="0.3">
      <c r="A1474" s="1">
        <v>17</v>
      </c>
      <c r="B1474" s="1" t="s">
        <v>1235</v>
      </c>
      <c r="C1474" s="1" t="str">
        <f ca="1">IFERROR(__xludf.DUMMYFUNCTION("GOOGLETRANSLATE(B1482,""en"",""ja"")"),"トレード")</f>
        <v>トレード</v>
      </c>
    </row>
    <row r="1475" spans="1:3" ht="18" customHeight="1" x14ac:dyDescent="0.3">
      <c r="A1475" s="1">
        <v>17</v>
      </c>
      <c r="B1475" s="1" t="s">
        <v>1236</v>
      </c>
      <c r="C1475" s="1" t="str">
        <f ca="1">IFERROR(__xludf.DUMMYFUNCTION("GOOGLETRANSLATE(B1483,""en"",""ja"")"),"接する")</f>
        <v>接する</v>
      </c>
    </row>
    <row r="1476" spans="1:3" ht="18" customHeight="1" x14ac:dyDescent="0.3">
      <c r="A1476" s="1">
        <v>17</v>
      </c>
      <c r="B1476" s="1" t="s">
        <v>1237</v>
      </c>
      <c r="C1476" s="1" t="str">
        <f ca="1">IFERROR(__xludf.DUMMYFUNCTION("GOOGLETRANSLATE(B1484,""en"",""ja"")"),"題名")</f>
        <v>題名</v>
      </c>
    </row>
    <row r="1477" spans="1:3" ht="18" customHeight="1" x14ac:dyDescent="0.3">
      <c r="A1477" s="1">
        <v>17</v>
      </c>
      <c r="B1477" s="1" t="s">
        <v>721</v>
      </c>
      <c r="C1477" s="1" t="str">
        <f ca="1">IFERROR(__xludf.DUMMYFUNCTION("GOOGLETRANSLATE(B1485,""en"",""ja"")"),"温度")</f>
        <v>温度</v>
      </c>
    </row>
    <row r="1478" spans="1:3" ht="18" customHeight="1" x14ac:dyDescent="0.3">
      <c r="A1478" s="1">
        <v>17</v>
      </c>
      <c r="B1478" s="1" t="s">
        <v>476</v>
      </c>
      <c r="C1478" s="1" t="str">
        <f ca="1">IFERROR(__xludf.DUMMYFUNCTION("GOOGLETRANSLATE(B1486,""en"",""ja"")"),"先生")</f>
        <v>先生</v>
      </c>
    </row>
    <row r="1479" spans="1:3" ht="18" customHeight="1" x14ac:dyDescent="0.3">
      <c r="A1479" s="1">
        <v>17</v>
      </c>
      <c r="B1479" s="1" t="s">
        <v>1238</v>
      </c>
      <c r="C1479" s="1" t="str">
        <f ca="1">IFERROR(__xludf.DUMMYFUNCTION("GOOGLETRANSLATE(B1487,""en"",""ja"")"),"タスク")</f>
        <v>タスク</v>
      </c>
    </row>
    <row r="1480" spans="1:3" ht="18" customHeight="1" x14ac:dyDescent="0.3">
      <c r="A1480" s="1">
        <v>17</v>
      </c>
      <c r="B1480" s="1" t="s">
        <v>1239</v>
      </c>
      <c r="C1480" s="1" t="str">
        <f ca="1">IFERROR(__xludf.DUMMYFUNCTION("GOOGLETRANSLATE(B1488,""en"",""ja"")"),"調査")</f>
        <v>調査</v>
      </c>
    </row>
    <row r="1481" spans="1:3" ht="18" customHeight="1" x14ac:dyDescent="0.3">
      <c r="A1481" s="1">
        <v>17</v>
      </c>
      <c r="B1481" s="1" t="s">
        <v>1240</v>
      </c>
      <c r="C1481" s="1" t="str">
        <f ca="1">IFERROR(__xludf.DUMMYFUNCTION("GOOGLETRANSLATE(B1489,""en"",""ja"")"),"保存されました")</f>
        <v>保存されました</v>
      </c>
    </row>
    <row r="1482" spans="1:3" ht="18" customHeight="1" x14ac:dyDescent="0.3">
      <c r="A1482" s="1">
        <v>17</v>
      </c>
      <c r="B1482" s="1" t="s">
        <v>1241</v>
      </c>
      <c r="C1482" s="1" t="str">
        <f ca="1">IFERROR(__xludf.DUMMYFUNCTION("GOOGLETRANSLATE(B1490,""en"",""ja"")"),"話し中")</f>
        <v>話し中</v>
      </c>
    </row>
    <row r="1483" spans="1:3" ht="18" customHeight="1" x14ac:dyDescent="0.3">
      <c r="A1483" s="1">
        <v>17</v>
      </c>
      <c r="B1483" s="1" t="s">
        <v>1242</v>
      </c>
      <c r="C1483" s="1" t="str">
        <f ca="1">IFERROR(__xludf.DUMMYFUNCTION("GOOGLETRANSLATE(B1491,""en"",""ja"")"),"話す")</f>
        <v>話す</v>
      </c>
    </row>
    <row r="1484" spans="1:3" ht="18" customHeight="1" x14ac:dyDescent="0.3">
      <c r="A1484" s="1">
        <v>17</v>
      </c>
      <c r="B1484" s="1" t="s">
        <v>1243</v>
      </c>
      <c r="C1484" s="1" t="str">
        <f ca="1">IFERROR(__xludf.DUMMYFUNCTION("GOOGLETRANSLATE(B1492,""en"",""ja"")"),"音")</f>
        <v>音</v>
      </c>
    </row>
    <row r="1485" spans="1:3" ht="18" customHeight="1" x14ac:dyDescent="0.3">
      <c r="A1485" s="1">
        <v>17</v>
      </c>
      <c r="B1485" s="1" t="s">
        <v>1244</v>
      </c>
      <c r="C1485" s="1" t="str">
        <f ca="1">IFERROR(__xludf.DUMMYFUNCTION("GOOGLETRANSLATE(B1493,""en"",""ja"")"),"サイズ")</f>
        <v>サイズ</v>
      </c>
    </row>
    <row r="1486" spans="1:3" ht="18" customHeight="1" x14ac:dyDescent="0.3">
      <c r="A1486" s="1">
        <v>17</v>
      </c>
      <c r="B1486" s="1" t="s">
        <v>1245</v>
      </c>
      <c r="C1486" s="1" t="str">
        <f ca="1">IFERROR(__xludf.DUMMYFUNCTION("GOOGLETRANSLATE(B1494,""en"",""ja"")"),"セット")</f>
        <v>セット</v>
      </c>
    </row>
    <row r="1487" spans="1:3" ht="18" customHeight="1" x14ac:dyDescent="0.3">
      <c r="A1487" s="1">
        <v>17</v>
      </c>
      <c r="B1487" s="1" t="s">
        <v>1246</v>
      </c>
      <c r="C1487" s="1" t="str">
        <f ca="1">IFERROR(__xludf.DUMMYFUNCTION("GOOGLETRANSLATE(B1495,""en"",""ja"")"),"送信")</f>
        <v>送信</v>
      </c>
    </row>
    <row r="1488" spans="1:3" ht="18" customHeight="1" x14ac:dyDescent="0.3">
      <c r="A1488" s="1">
        <v>17</v>
      </c>
      <c r="B1488" s="1" t="s">
        <v>113</v>
      </c>
      <c r="C1488" s="1" t="str">
        <f ca="1">IFERROR(__xludf.DUMMYFUNCTION("GOOGLETRANSLATE(B1496,""en"",""ja"")"),"自己")</f>
        <v>自己</v>
      </c>
    </row>
    <row r="1489" spans="1:3" ht="18" customHeight="1" x14ac:dyDescent="0.3">
      <c r="A1489" s="1">
        <v>17</v>
      </c>
      <c r="B1489" s="1" t="s">
        <v>1247</v>
      </c>
      <c r="C1489" s="1" t="str">
        <f ca="1">IFERROR(__xludf.DUMMYFUNCTION("GOOGLETRANSLATE(B1497,""en"",""ja"")"),"求める")</f>
        <v>求める</v>
      </c>
    </row>
    <row r="1490" spans="1:3" ht="18" customHeight="1" x14ac:dyDescent="0.3">
      <c r="A1490" s="1">
        <v>17</v>
      </c>
      <c r="B1490" s="1" t="s">
        <v>1248</v>
      </c>
      <c r="C1490" s="1" t="str">
        <f ca="1">IFERROR(__xludf.DUMMYFUNCTION("GOOGLETRANSLATE(B1498,""en"",""ja"")"),"安全")</f>
        <v>安全</v>
      </c>
    </row>
    <row r="1491" spans="1:3" ht="18" customHeight="1" x14ac:dyDescent="0.3">
      <c r="A1491" s="1">
        <v>17</v>
      </c>
      <c r="B1491" s="1" t="s">
        <v>697</v>
      </c>
      <c r="C1491" s="1" t="str">
        <f ca="1">IFERROR(__xludf.DUMMYFUNCTION("GOOGLETRANSLATE(B1499,""en"",""ja"")"),"ルーム")</f>
        <v>ルーム</v>
      </c>
    </row>
    <row r="1492" spans="1:3" ht="18" customHeight="1" x14ac:dyDescent="0.3">
      <c r="A1492" s="1">
        <v>17</v>
      </c>
      <c r="B1492" s="1" t="s">
        <v>415</v>
      </c>
      <c r="C1492" s="1" t="str">
        <f ca="1">IFERROR(__xludf.DUMMYFUNCTION("GOOGLETRANSLATE(B1500,""en"",""ja"")"),"正しい")</f>
        <v>正しい</v>
      </c>
    </row>
    <row r="1493" spans="1:3" ht="18" customHeight="1" x14ac:dyDescent="0.3">
      <c r="A1493" s="1">
        <v>17</v>
      </c>
      <c r="B1493" s="1" t="s">
        <v>792</v>
      </c>
      <c r="C1493" s="1" t="str">
        <f ca="1">IFERROR(__xludf.DUMMYFUNCTION("GOOGLETRANSLATE(B1501,""en"",""ja"")"),"明らかにする")</f>
        <v>明らかにする</v>
      </c>
    </row>
    <row r="1494" spans="1:3" ht="18" customHeight="1" x14ac:dyDescent="0.3">
      <c r="A1494" s="1">
        <v>17</v>
      </c>
      <c r="B1494" s="1" t="s">
        <v>1249</v>
      </c>
      <c r="C1494" s="1" t="str">
        <f ca="1">IFERROR(__xludf.DUMMYFUNCTION("GOOGLETRANSLATE(B1502,""en"",""ja"")"),"退却")</f>
        <v>退却</v>
      </c>
    </row>
    <row r="1495" spans="1:3" ht="18" customHeight="1" x14ac:dyDescent="0.3">
      <c r="A1495" s="1">
        <v>17</v>
      </c>
      <c r="B1495" s="1" t="s">
        <v>1250</v>
      </c>
      <c r="C1495" s="1" t="str">
        <f ca="1">IFERROR(__xludf.DUMMYFUNCTION("GOOGLETRANSLATE(B1503,""en"",""ja"")"),"について")</f>
        <v>について</v>
      </c>
    </row>
    <row r="1496" spans="1:3" ht="18" customHeight="1" x14ac:dyDescent="0.3">
      <c r="A1496" s="1">
        <v>17</v>
      </c>
      <c r="B1496" s="1" t="s">
        <v>1251</v>
      </c>
      <c r="C1496" s="1" t="str">
        <f ca="1">IFERROR(__xludf.DUMMYFUNCTION("GOOGLETRANSLATE(B1504,""en"",""ja"")"),"リーチ")</f>
        <v>リーチ</v>
      </c>
    </row>
    <row r="1497" spans="1:3" ht="18" customHeight="1" x14ac:dyDescent="0.3">
      <c r="A1497" s="1">
        <v>17</v>
      </c>
      <c r="B1497" s="1" t="s">
        <v>1252</v>
      </c>
      <c r="C1497" s="1" t="str">
        <f ca="1">IFERROR(__xludf.DUMMYFUNCTION("GOOGLETRANSLATE(B1505,""en"",""ja"")"),"合理的な")</f>
        <v>合理的な</v>
      </c>
    </row>
    <row r="1498" spans="1:3" ht="18" customHeight="1" x14ac:dyDescent="0.3">
      <c r="A1498" s="1">
        <v>17</v>
      </c>
      <c r="B1498" s="1" t="s">
        <v>1253</v>
      </c>
      <c r="C1498" s="1" t="str">
        <f ca="1">IFERROR(__xludf.DUMMYFUNCTION("GOOGLETRANSLATE(B1506,""en"",""ja"")"),"提供")</f>
        <v>提供</v>
      </c>
    </row>
    <row r="1499" spans="1:3" ht="18" customHeight="1" x14ac:dyDescent="0.3">
      <c r="A1499" s="1">
        <v>17</v>
      </c>
      <c r="B1499" s="1" t="s">
        <v>1254</v>
      </c>
      <c r="C1499" s="1" t="str">
        <f ca="1">IFERROR(__xludf.DUMMYFUNCTION("GOOGLETRANSLATE(B1507,""en"",""ja"")"),"プロフェッショナル")</f>
        <v>プロフェッショナル</v>
      </c>
    </row>
    <row r="1500" spans="1:3" ht="18" customHeight="1" x14ac:dyDescent="0.3">
      <c r="A1500" s="1">
        <v>17</v>
      </c>
      <c r="B1500" s="1" t="s">
        <v>1255</v>
      </c>
      <c r="C1500" s="1" t="str">
        <f ca="1">IFERROR(__xludf.DUMMYFUNCTION("GOOGLETRANSLATE(B1508,""en"",""ja"")"),"プロセス")</f>
        <v>プロセス</v>
      </c>
    </row>
    <row r="1501" spans="1:3" ht="18" customHeight="1" x14ac:dyDescent="0.3">
      <c r="A1501" s="1">
        <v>17</v>
      </c>
      <c r="B1501" s="1" t="s">
        <v>1256</v>
      </c>
      <c r="C1501" s="1" t="str">
        <f ca="1">IFERROR(__xludf.DUMMYFUNCTION("GOOGLETRANSLATE(B1509,""en"",""ja"")"),"プライバシー")</f>
        <v>プライバシー</v>
      </c>
    </row>
    <row r="1502" spans="1:3" ht="18" customHeight="1" x14ac:dyDescent="0.3">
      <c r="A1502" s="1">
        <v>17</v>
      </c>
      <c r="B1502" s="1" t="s">
        <v>1257</v>
      </c>
      <c r="C1502" s="1" t="str">
        <f ca="1">IFERROR(__xludf.DUMMYFUNCTION("GOOGLETRANSLATE(B1510,""en"",""ja"")"),"以前に")</f>
        <v>以前に</v>
      </c>
    </row>
    <row r="1503" spans="1:3" ht="18" customHeight="1" x14ac:dyDescent="0.3">
      <c r="A1503" s="1">
        <v>17</v>
      </c>
      <c r="B1503" s="1" t="s">
        <v>1258</v>
      </c>
      <c r="C1503" s="1" t="str">
        <f ca="1">IFERROR(__xludf.DUMMYFUNCTION("GOOGLETRANSLATE(B1511,""en"",""ja"")"),"保存します")</f>
        <v>保存します</v>
      </c>
    </row>
    <row r="1504" spans="1:3" ht="18" customHeight="1" x14ac:dyDescent="0.3">
      <c r="A1504" s="1">
        <v>17</v>
      </c>
      <c r="B1504" s="1" t="s">
        <v>1259</v>
      </c>
      <c r="C1504" s="1" t="str">
        <f ca="1">IFERROR(__xludf.DUMMYFUNCTION("GOOGLETRANSLATE(B1512,""en"",""ja"")"),"偏見")</f>
        <v>偏見</v>
      </c>
    </row>
    <row r="1505" spans="1:3" ht="18" customHeight="1" x14ac:dyDescent="0.3">
      <c r="A1505" s="1">
        <v>17</v>
      </c>
      <c r="B1505" s="1" t="s">
        <v>701</v>
      </c>
      <c r="C1505" s="1" t="str">
        <f ca="1">IFERROR(__xludf.DUMMYFUNCTION("GOOGLETRANSLATE(B1513,""en"",""ja"")"),"限目")</f>
        <v>限目</v>
      </c>
    </row>
    <row r="1506" spans="1:3" ht="18" customHeight="1" x14ac:dyDescent="0.3">
      <c r="A1506" s="1">
        <v>17</v>
      </c>
      <c r="B1506" s="1" t="s">
        <v>1260</v>
      </c>
      <c r="C1506" s="1" t="str">
        <f ca="1">IFERROR(__xludf.DUMMYFUNCTION("GOOGLETRANSLATE(B1514,""en"",""ja"")"),"1さん")</f>
        <v>1さん</v>
      </c>
    </row>
    <row r="1507" spans="1:3" ht="18" customHeight="1" x14ac:dyDescent="0.3">
      <c r="A1507" s="1">
        <v>17</v>
      </c>
      <c r="B1507" s="1" t="s">
        <v>1261</v>
      </c>
      <c r="C1507" s="1" t="str">
        <f ca="1">IFERROR(__xludf.DUMMYFUNCTION("GOOGLETRANSLATE(B1515,""en"",""ja"")"),"オッズ")</f>
        <v>オッズ</v>
      </c>
    </row>
    <row r="1508" spans="1:3" ht="18" customHeight="1" x14ac:dyDescent="0.3">
      <c r="A1508" s="1">
        <v>17</v>
      </c>
      <c r="B1508" s="1" t="s">
        <v>1262</v>
      </c>
      <c r="C1508" s="1" t="str">
        <f ca="1">IFERROR(__xludf.DUMMYFUNCTION("GOOGLETRANSLATE(B1516,""en"",""ja"")"),"正常")</f>
        <v>正常</v>
      </c>
    </row>
    <row r="1509" spans="1:3" ht="18" customHeight="1" x14ac:dyDescent="0.3">
      <c r="A1509" s="1">
        <v>17</v>
      </c>
      <c r="B1509" s="1" t="s">
        <v>1263</v>
      </c>
      <c r="C1509" s="1" t="str">
        <f ca="1">IFERROR(__xludf.DUMMYFUNCTION("GOOGLETRANSLATE(B1517,""en"",""ja"")"),"無し")</f>
        <v>無し</v>
      </c>
    </row>
    <row r="1510" spans="1:3" ht="18" customHeight="1" x14ac:dyDescent="0.3">
      <c r="A1510" s="1">
        <v>17</v>
      </c>
      <c r="B1510" s="1" t="s">
        <v>1264</v>
      </c>
      <c r="C1510" s="1" t="str">
        <f ca="1">IFERROR(__xludf.DUMMYFUNCTION("GOOGLETRANSLATE(B1518,""en"",""ja"")"),"ニューロン")</f>
        <v>ニューロン</v>
      </c>
    </row>
    <row r="1511" spans="1:3" ht="18" customHeight="1" x14ac:dyDescent="0.3">
      <c r="A1511" s="1">
        <v>17</v>
      </c>
      <c r="B1511" s="1" t="s">
        <v>1265</v>
      </c>
      <c r="C1511" s="1" t="str">
        <f ca="1">IFERROR(__xludf.DUMMYFUNCTION("GOOGLETRANSLATE(B1519,""en"",""ja"")"),"通信網")</f>
        <v>通信網</v>
      </c>
    </row>
    <row r="1512" spans="1:3" ht="18" customHeight="1" x14ac:dyDescent="0.3">
      <c r="A1512" s="1">
        <v>17</v>
      </c>
      <c r="B1512" s="1" t="s">
        <v>1266</v>
      </c>
      <c r="C1512" s="1" t="str">
        <f ca="1">IFERROR(__xludf.DUMMYFUNCTION("GOOGLETRANSLATE(B1520,""en"",""ja"")"),"必要")</f>
        <v>必要</v>
      </c>
    </row>
    <row r="1513" spans="1:3" ht="18" customHeight="1" x14ac:dyDescent="0.3">
      <c r="A1513" s="1">
        <v>17</v>
      </c>
      <c r="B1513" s="1" t="s">
        <v>1267</v>
      </c>
      <c r="C1513" s="1" t="str">
        <f ca="1">IFERROR(__xludf.DUMMYFUNCTION("GOOGLETRANSLATE(B1521,""en"",""ja"")"),"音楽")</f>
        <v>音楽</v>
      </c>
    </row>
    <row r="1514" spans="1:3" ht="18" customHeight="1" x14ac:dyDescent="0.3">
      <c r="A1514" s="1">
        <v>17</v>
      </c>
      <c r="B1514" s="1" t="s">
        <v>1268</v>
      </c>
      <c r="C1514" s="1" t="str">
        <f ca="1">IFERROR(__xludf.DUMMYFUNCTION("GOOGLETRANSLATE(B1522,""en"",""ja"")"),"ミトコンドリアDNA")</f>
        <v>ミトコンドリアDNA</v>
      </c>
    </row>
    <row r="1515" spans="1:3" ht="18" customHeight="1" x14ac:dyDescent="0.3">
      <c r="A1515" s="1">
        <v>17</v>
      </c>
      <c r="B1515" s="1" t="s">
        <v>1269</v>
      </c>
      <c r="C1515" s="1" t="str">
        <f ca="1">IFERROR(__xludf.DUMMYFUNCTION("GOOGLETRANSLATE(B1523,""en"",""ja"")"),"値する")</f>
        <v>値する</v>
      </c>
    </row>
    <row r="1516" spans="1:3" ht="18" customHeight="1" x14ac:dyDescent="0.3">
      <c r="A1516" s="1">
        <v>17</v>
      </c>
      <c r="B1516" s="1" t="s">
        <v>1270</v>
      </c>
      <c r="C1516" s="1" t="str">
        <f ca="1">IFERROR(__xludf.DUMMYFUNCTION("GOOGLETRANSLATE(B1524,""en"",""ja"")"),"意味した")</f>
        <v>意味した</v>
      </c>
    </row>
    <row r="1517" spans="1:3" ht="18" customHeight="1" x14ac:dyDescent="0.3">
      <c r="A1517" s="1">
        <v>17</v>
      </c>
      <c r="B1517" s="1" t="s">
        <v>1271</v>
      </c>
      <c r="C1517" s="1" t="str">
        <f ca="1">IFERROR(__xludf.DUMMYFUNCTION("GOOGLETRANSLATE(B1525,""en"",""ja"")"),"マナー")</f>
        <v>マナー</v>
      </c>
    </row>
    <row r="1518" spans="1:3" ht="18" customHeight="1" x14ac:dyDescent="0.3">
      <c r="A1518" s="1">
        <v>17</v>
      </c>
      <c r="B1518" s="1" t="s">
        <v>1272</v>
      </c>
      <c r="C1518" s="1" t="str">
        <f ca="1">IFERROR(__xludf.DUMMYFUNCTION("GOOGLETRANSLATE(B1526,""en"",""ja"")"),"マニピュレーション")</f>
        <v>マニピュレーション</v>
      </c>
    </row>
    <row r="1519" spans="1:3" ht="18" customHeight="1" x14ac:dyDescent="0.3">
      <c r="A1519" s="1">
        <v>17</v>
      </c>
      <c r="B1519" s="1" t="s">
        <v>1273</v>
      </c>
      <c r="C1519" s="1" t="str">
        <f ca="1">IFERROR(__xludf.DUMMYFUNCTION("GOOGLETRANSLATE(B1527,""en"",""ja"")"),"管理")</f>
        <v>管理</v>
      </c>
    </row>
    <row r="1520" spans="1:3" ht="18" customHeight="1" x14ac:dyDescent="0.3">
      <c r="A1520" s="1">
        <v>17</v>
      </c>
      <c r="B1520" s="1" t="s">
        <v>1274</v>
      </c>
      <c r="C1520" s="1" t="str">
        <f ca="1">IFERROR(__xludf.DUMMYFUNCTION("GOOGLETRANSLATE(B1528,""en"",""ja"")"),"男性")</f>
        <v>男性</v>
      </c>
    </row>
    <row r="1521" spans="1:3" ht="18" customHeight="1" x14ac:dyDescent="0.3">
      <c r="A1521" s="1">
        <v>17</v>
      </c>
      <c r="B1521" s="1" t="s">
        <v>1275</v>
      </c>
      <c r="C1521" s="1" t="str">
        <f ca="1">IFERROR(__xludf.DUMMYFUNCTION("GOOGLETRANSLATE(B1529,""en"",""ja"")"),"リンク")</f>
        <v>リンク</v>
      </c>
    </row>
    <row r="1522" spans="1:3" ht="18" customHeight="1" x14ac:dyDescent="0.3">
      <c r="A1522" s="1">
        <v>17</v>
      </c>
      <c r="B1522" s="1" t="s">
        <v>1276</v>
      </c>
      <c r="C1522" s="1" t="str">
        <f ca="1">IFERROR(__xludf.DUMMYFUNCTION("GOOGLETRANSLATE(B1530,""en"",""ja"")"),"知っています")</f>
        <v>知っています</v>
      </c>
    </row>
    <row r="1523" spans="1:3" ht="18" customHeight="1" x14ac:dyDescent="0.3">
      <c r="A1523" s="1">
        <v>17</v>
      </c>
      <c r="B1523" s="1" t="s">
        <v>1277</v>
      </c>
      <c r="C1523" s="1" t="str">
        <f ca="1">IFERROR(__xludf.DUMMYFUNCTION("GOOGLETRANSLATE(B1531,""en"",""ja"")"),"解釈")</f>
        <v>解釈</v>
      </c>
    </row>
    <row r="1524" spans="1:3" ht="18" customHeight="1" x14ac:dyDescent="0.3">
      <c r="A1524" s="1">
        <v>17</v>
      </c>
      <c r="B1524" s="1" t="s">
        <v>1278</v>
      </c>
      <c r="C1524" s="1" t="str">
        <f ca="1">IFERROR(__xludf.DUMMYFUNCTION("GOOGLETRANSLATE(B1532,""en"",""ja"")"),"知的")</f>
        <v>知的</v>
      </c>
    </row>
    <row r="1525" spans="1:3" ht="18" customHeight="1" x14ac:dyDescent="0.3">
      <c r="A1525" s="1">
        <v>17</v>
      </c>
      <c r="B1525" s="1" t="s">
        <v>69</v>
      </c>
      <c r="C1525" s="1" t="str">
        <f ca="1">IFERROR(__xludf.DUMMYFUNCTION("GOOGLETRANSLATE(B1533,""en"",""ja"")"),"どうやって")</f>
        <v>どうやって</v>
      </c>
    </row>
    <row r="1526" spans="1:3" ht="18" customHeight="1" x14ac:dyDescent="0.3">
      <c r="A1526" s="1">
        <v>17</v>
      </c>
      <c r="B1526" s="1" t="s">
        <v>1279</v>
      </c>
      <c r="C1526" s="1" t="str">
        <f ca="1">IFERROR(__xludf.DUMMYFUNCTION("GOOGLETRANSLATE(B1534,""en"",""ja"")"),"ホット")</f>
        <v>ホット</v>
      </c>
    </row>
    <row r="1527" spans="1:3" ht="18" customHeight="1" x14ac:dyDescent="0.3">
      <c r="A1527" s="1">
        <v>17</v>
      </c>
      <c r="B1527" s="1" t="s">
        <v>1280</v>
      </c>
      <c r="C1527" s="1" t="str">
        <f ca="1">IFERROR(__xludf.DUMMYFUNCTION("GOOGLETRANSLATE(B1535,""en"",""ja"")"),"地下水")</f>
        <v>地下水</v>
      </c>
    </row>
    <row r="1528" spans="1:3" ht="18" customHeight="1" x14ac:dyDescent="0.3">
      <c r="A1528" s="1">
        <v>17</v>
      </c>
      <c r="B1528" s="1" t="s">
        <v>1281</v>
      </c>
      <c r="C1528" s="1" t="str">
        <f ca="1">IFERROR(__xludf.DUMMYFUNCTION("GOOGLETRANSLATE(B1536,""en"",""ja"")"),"遺伝子")</f>
        <v>遺伝子</v>
      </c>
    </row>
    <row r="1529" spans="1:3" ht="18" customHeight="1" x14ac:dyDescent="0.3">
      <c r="A1529" s="1">
        <v>17</v>
      </c>
      <c r="B1529" s="1" t="s">
        <v>1282</v>
      </c>
      <c r="C1529" s="1" t="str">
        <f ca="1">IFERROR(__xludf.DUMMYFUNCTION("GOOGLETRANSLATE(B1537,""en"",""ja"")"),"関数")</f>
        <v>関数</v>
      </c>
    </row>
    <row r="1530" spans="1:3" ht="18" customHeight="1" x14ac:dyDescent="0.3">
      <c r="A1530" s="1">
        <v>17</v>
      </c>
      <c r="B1530" s="1" t="s">
        <v>1283</v>
      </c>
      <c r="C1530" s="1" t="str">
        <f ca="1">IFERROR(__xludf.DUMMYFUNCTION("GOOGLETRANSLATE(B1538,""en"",""ja"")"),"いっぱい")</f>
        <v>いっぱい</v>
      </c>
    </row>
    <row r="1531" spans="1:3" ht="18" customHeight="1" x14ac:dyDescent="0.3">
      <c r="A1531" s="1">
        <v>17</v>
      </c>
      <c r="B1531" s="1" t="s">
        <v>1284</v>
      </c>
      <c r="C1531" s="1" t="str">
        <f ca="1">IFERROR(__xludf.DUMMYFUNCTION("GOOGLETRANSLATE(B1539,""en"",""ja"")"),"第4")</f>
        <v>第4</v>
      </c>
    </row>
    <row r="1532" spans="1:3" ht="18" customHeight="1" x14ac:dyDescent="0.3">
      <c r="A1532" s="1">
        <v>17</v>
      </c>
      <c r="B1532" s="1" t="s">
        <v>1285</v>
      </c>
      <c r="C1532" s="1" t="str">
        <f ca="1">IFERROR(__xludf.DUMMYFUNCTION("GOOGLETRANSLATE(B1540,""en"",""ja"")"),"形成され")</f>
        <v>形成され</v>
      </c>
    </row>
    <row r="1533" spans="1:3" ht="18" customHeight="1" x14ac:dyDescent="0.3">
      <c r="A1533" s="1">
        <v>17</v>
      </c>
      <c r="B1533" s="1" t="s">
        <v>1286</v>
      </c>
      <c r="C1533" s="1" t="str">
        <f ca="1">IFERROR(__xludf.DUMMYFUNCTION("GOOGLETRANSLATE(B1541,""en"",""ja"")"),"五")</f>
        <v>五</v>
      </c>
    </row>
    <row r="1534" spans="1:3" ht="18" customHeight="1" x14ac:dyDescent="0.3">
      <c r="A1534" s="1">
        <v>17</v>
      </c>
      <c r="B1534" s="1" t="s">
        <v>385</v>
      </c>
      <c r="C1534" s="1" t="str">
        <f ca="1">IFERROR(__xludf.DUMMYFUNCTION("GOOGLETRANSLATE(B1542,""en"",""ja"")"),"FDA")</f>
        <v>FDA</v>
      </c>
    </row>
    <row r="1535" spans="1:3" ht="18" customHeight="1" x14ac:dyDescent="0.3">
      <c r="A1535" s="1">
        <v>17</v>
      </c>
      <c r="B1535" s="1" t="s">
        <v>1287</v>
      </c>
      <c r="C1535" s="1" t="str">
        <f ca="1">IFERROR(__xludf.DUMMYFUNCTION("GOOGLETRANSLATE(B1543,""en"",""ja"")"),"不合格")</f>
        <v>不合格</v>
      </c>
    </row>
    <row r="1536" spans="1:3" ht="18" customHeight="1" x14ac:dyDescent="0.3">
      <c r="A1536" s="1">
        <v>17</v>
      </c>
      <c r="B1536" s="1" t="s">
        <v>1288</v>
      </c>
      <c r="C1536" s="1" t="str">
        <f ca="1">IFERROR(__xludf.DUMMYFUNCTION("GOOGLETRANSLATE(B1544,""en"",""ja"")"),"期待")</f>
        <v>期待</v>
      </c>
    </row>
    <row r="1537" spans="1:3" ht="18" customHeight="1" x14ac:dyDescent="0.3">
      <c r="A1537" s="1">
        <v>17</v>
      </c>
      <c r="B1537" s="1" t="s">
        <v>1289</v>
      </c>
      <c r="C1537" s="1" t="str">
        <f ca="1">IFERROR(__xludf.DUMMYFUNCTION("GOOGLETRANSLATE(B1545,""en"",""ja"")"),"進化")</f>
        <v>進化</v>
      </c>
    </row>
    <row r="1538" spans="1:3" ht="18" customHeight="1" x14ac:dyDescent="0.3">
      <c r="A1538" s="1">
        <v>17</v>
      </c>
      <c r="B1538" s="1" t="s">
        <v>1290</v>
      </c>
      <c r="C1538" s="1" t="str">
        <f ca="1">IFERROR(__xludf.DUMMYFUNCTION("GOOGLETRANSLATE(B1546,""en"",""ja"")"),"本来")</f>
        <v>本来</v>
      </c>
    </row>
    <row r="1539" spans="1:3" ht="18" customHeight="1" x14ac:dyDescent="0.3">
      <c r="A1539" s="1">
        <v>17</v>
      </c>
      <c r="B1539" s="1" t="s">
        <v>496</v>
      </c>
      <c r="C1539" s="1" t="str">
        <f ca="1">IFERROR(__xludf.DUMMYFUNCTION("GOOGLETRANSLATE(B1547,""en"",""ja"")"),"足りる")</f>
        <v>足りる</v>
      </c>
    </row>
    <row r="1540" spans="1:3" ht="18" customHeight="1" x14ac:dyDescent="0.3">
      <c r="A1540" s="1">
        <v>17</v>
      </c>
      <c r="B1540" s="1" t="s">
        <v>1291</v>
      </c>
      <c r="C1540" s="1" t="str">
        <f ca="1">IFERROR(__xludf.DUMMYFUNCTION("GOOGLETRANSLATE(B1548,""en"",""ja"")"),"生態")</f>
        <v>生態</v>
      </c>
    </row>
    <row r="1541" spans="1:3" ht="18" customHeight="1" x14ac:dyDescent="0.3">
      <c r="A1541" s="1">
        <v>17</v>
      </c>
      <c r="B1541" s="1" t="s">
        <v>1292</v>
      </c>
      <c r="C1541" s="1" t="str">
        <f ca="1">IFERROR(__xludf.DUMMYFUNCTION("GOOGLETRANSLATE(B1549,""en"",""ja"")"),"方言")</f>
        <v>方言</v>
      </c>
    </row>
    <row r="1542" spans="1:3" ht="18" customHeight="1" x14ac:dyDescent="0.3">
      <c r="A1542" s="1">
        <v>17</v>
      </c>
      <c r="B1542" s="1" t="s">
        <v>1293</v>
      </c>
      <c r="C1542" s="1" t="str">
        <f ca="1">IFERROR(__xludf.DUMMYFUNCTION("GOOGLETRANSLATE(B1550,""en"",""ja"")"),"運命")</f>
        <v>運命</v>
      </c>
    </row>
    <row r="1543" spans="1:3" ht="18" customHeight="1" x14ac:dyDescent="0.3">
      <c r="A1543" s="1">
        <v>17</v>
      </c>
      <c r="B1543" s="1" t="s">
        <v>1294</v>
      </c>
      <c r="C1543" s="1" t="str">
        <f ca="1">IFERROR(__xludf.DUMMYFUNCTION("GOOGLETRANSLATE(B1551,""en"",""ja"")"),"民主的な")</f>
        <v>民主的な</v>
      </c>
    </row>
    <row r="1544" spans="1:3" ht="18" customHeight="1" x14ac:dyDescent="0.3">
      <c r="A1544" s="1">
        <v>17</v>
      </c>
      <c r="B1544" s="1" t="s">
        <v>807</v>
      </c>
      <c r="C1544" s="1" t="str">
        <f ca="1">IFERROR(__xludf.DUMMYFUNCTION("GOOGLETRANSLATE(B1552,""en"",""ja"")"),"程度")</f>
        <v>程度</v>
      </c>
    </row>
    <row r="1545" spans="1:3" ht="18" customHeight="1" x14ac:dyDescent="0.3">
      <c r="A1545" s="1">
        <v>17</v>
      </c>
      <c r="B1545" s="1" t="s">
        <v>1295</v>
      </c>
      <c r="C1545" s="1" t="str">
        <f ca="1">IFERROR(__xludf.DUMMYFUNCTION("GOOGLETRANSLATE(B1553,""en"",""ja"")"),"深く")</f>
        <v>深く</v>
      </c>
    </row>
    <row r="1546" spans="1:3" ht="18" customHeight="1" x14ac:dyDescent="0.3">
      <c r="A1546" s="1">
        <v>17</v>
      </c>
      <c r="B1546" s="1" t="s">
        <v>1296</v>
      </c>
      <c r="C1546" s="1" t="str">
        <f ca="1">IFERROR(__xludf.DUMMYFUNCTION("GOOGLETRANSLATE(B1554,""en"",""ja"")"),"構成")</f>
        <v>構成</v>
      </c>
    </row>
    <row r="1547" spans="1:3" ht="18" customHeight="1" x14ac:dyDescent="0.3">
      <c r="A1547" s="1">
        <v>17</v>
      </c>
      <c r="B1547" s="1" t="s">
        <v>1297</v>
      </c>
      <c r="C1547" s="1" t="str">
        <f ca="1">IFERROR(__xludf.DUMMYFUNCTION("GOOGLETRANSLATE(B1555,""en"",""ja"")"),"実施")</f>
        <v>実施</v>
      </c>
    </row>
    <row r="1548" spans="1:3" ht="18" customHeight="1" x14ac:dyDescent="0.3">
      <c r="A1548" s="1">
        <v>17</v>
      </c>
      <c r="B1548" s="1" t="s">
        <v>1298</v>
      </c>
      <c r="C1548" s="1" t="str">
        <f ca="1">IFERROR(__xludf.DUMMYFUNCTION("GOOGLETRANSLATE(B1556,""en"",""ja"")"),"コンセプト")</f>
        <v>コンセプト</v>
      </c>
    </row>
    <row r="1549" spans="1:3" ht="18" customHeight="1" x14ac:dyDescent="0.3">
      <c r="A1549" s="1">
        <v>17</v>
      </c>
      <c r="B1549" s="1" t="s">
        <v>1299</v>
      </c>
      <c r="C1549" s="1" t="str">
        <f ca="1">IFERROR(__xludf.DUMMYFUNCTION("GOOGLETRANSLATE(B1557,""en"",""ja"")"),"完全に")</f>
        <v>完全に</v>
      </c>
    </row>
    <row r="1550" spans="1:3" ht="18" customHeight="1" x14ac:dyDescent="0.3">
      <c r="A1550" s="1">
        <v>17</v>
      </c>
      <c r="B1550" s="1" t="s">
        <v>1300</v>
      </c>
      <c r="C1550" s="1" t="str">
        <f ca="1">IFERROR(__xludf.DUMMYFUNCTION("GOOGLETRANSLATE(B1558,""en"",""ja"")"),"到来")</f>
        <v>到来</v>
      </c>
    </row>
    <row r="1551" spans="1:3" ht="18" customHeight="1" x14ac:dyDescent="0.3">
      <c r="A1551" s="1">
        <v>17</v>
      </c>
      <c r="B1551" s="1" t="s">
        <v>1301</v>
      </c>
      <c r="C1551" s="1" t="str">
        <f ca="1">IFERROR(__xludf.DUMMYFUNCTION("GOOGLETRANSLATE(B1559,""en"",""ja"")"),"請求")</f>
        <v>請求</v>
      </c>
    </row>
    <row r="1552" spans="1:3" ht="18" customHeight="1" x14ac:dyDescent="0.3">
      <c r="A1552" s="1">
        <v>17</v>
      </c>
      <c r="B1552" s="1" t="s">
        <v>1302</v>
      </c>
      <c r="C1552" s="1" t="str">
        <f ca="1">IFERROR(__xludf.DUMMYFUNCTION("GOOGLETRANSLATE(B1560,""en"",""ja"")"),"チンパンジー")</f>
        <v>チンパンジー</v>
      </c>
    </row>
    <row r="1553" spans="1:3" ht="18" customHeight="1" x14ac:dyDescent="0.3">
      <c r="A1553" s="1">
        <v>17</v>
      </c>
      <c r="B1553" s="1" t="s">
        <v>1303</v>
      </c>
      <c r="C1553" s="1" t="str">
        <f ca="1">IFERROR(__xludf.DUMMYFUNCTION("GOOGLETRANSLATE(B1561,""en"",""ja"")"),"計算")</f>
        <v>計算</v>
      </c>
    </row>
    <row r="1554" spans="1:3" ht="18" customHeight="1" x14ac:dyDescent="0.3">
      <c r="A1554" s="1">
        <v>17</v>
      </c>
      <c r="B1554" s="1" t="s">
        <v>1304</v>
      </c>
      <c r="C1554" s="1" t="str">
        <f ca="1">IFERROR(__xludf.DUMMYFUNCTION("GOOGLETRANSLATE(B1562,""en"",""ja"")"),"凶悪な")</f>
        <v>凶悪な</v>
      </c>
    </row>
    <row r="1555" spans="1:3" ht="18" customHeight="1" x14ac:dyDescent="0.3">
      <c r="A1555" s="1">
        <v>17</v>
      </c>
      <c r="B1555" s="1" t="s">
        <v>1305</v>
      </c>
      <c r="C1555" s="1" t="str">
        <f ca="1">IFERROR(__xludf.DUMMYFUNCTION("GOOGLETRANSLATE(B1563,""en"",""ja"")"),"バウンド")</f>
        <v>バウンド</v>
      </c>
    </row>
    <row r="1556" spans="1:3" ht="18" customHeight="1" x14ac:dyDescent="0.3">
      <c r="A1556" s="1">
        <v>17</v>
      </c>
      <c r="B1556" s="1" t="s">
        <v>1306</v>
      </c>
      <c r="C1556" s="1" t="str">
        <f ca="1">IFERROR(__xludf.DUMMYFUNCTION("GOOGLETRANSLATE(B1564,""en"",""ja"")"),"鳥")</f>
        <v>鳥</v>
      </c>
    </row>
    <row r="1557" spans="1:3" ht="18" customHeight="1" x14ac:dyDescent="0.3">
      <c r="A1557" s="1">
        <v>17</v>
      </c>
      <c r="B1557" s="1" t="s">
        <v>1307</v>
      </c>
      <c r="C1557" s="1" t="str">
        <f ca="1">IFERROR(__xludf.DUMMYFUNCTION("GOOGLETRANSLATE(B1565,""en"",""ja"")"),"となり")</f>
        <v>となり</v>
      </c>
    </row>
    <row r="1558" spans="1:3" ht="18" customHeight="1" x14ac:dyDescent="0.3">
      <c r="A1558" s="1">
        <v>17</v>
      </c>
      <c r="B1558" s="1" t="s">
        <v>315</v>
      </c>
      <c r="C1558" s="1" t="str">
        <f ca="1">IFERROR(__xludf.DUMMYFUNCTION("GOOGLETRANSLATE(B1566,""en"",""ja"")"),"先に")</f>
        <v>先に</v>
      </c>
    </row>
    <row r="1559" spans="1:3" ht="18" customHeight="1" x14ac:dyDescent="0.3">
      <c r="A1559" s="1">
        <v>17</v>
      </c>
      <c r="B1559" s="1" t="s">
        <v>28</v>
      </c>
      <c r="C1559" s="1" t="str">
        <f ca="1">IFERROR(__xludf.DUMMYFUNCTION("GOOGLETRANSLATE(B1567,""en"",""ja"")"),"に")</f>
        <v>に</v>
      </c>
    </row>
    <row r="1560" spans="1:3" ht="18" customHeight="1" x14ac:dyDescent="0.3">
      <c r="A1560" s="1">
        <v>17</v>
      </c>
      <c r="B1560" s="1" t="s">
        <v>1308</v>
      </c>
      <c r="C1560" s="1" t="str">
        <f ca="1">IFERROR(__xludf.DUMMYFUNCTION("GOOGLETRANSLATE(B1568,""en"",""ja"")"),"アサート")</f>
        <v>アサート</v>
      </c>
    </row>
    <row r="1561" spans="1:3" ht="18" customHeight="1" x14ac:dyDescent="0.3">
      <c r="A1561" s="1">
        <v>17</v>
      </c>
      <c r="B1561" s="1" t="s">
        <v>1309</v>
      </c>
      <c r="C1561" s="1" t="str">
        <f ca="1">IFERROR(__xludf.DUMMYFUNCTION("GOOGLETRANSLATE(B1569,""en"",""ja"")"),"現れる")</f>
        <v>現れる</v>
      </c>
    </row>
    <row r="1562" spans="1:3" ht="18" customHeight="1" x14ac:dyDescent="0.3">
      <c r="A1562" s="1">
        <v>17</v>
      </c>
      <c r="B1562" s="1" t="s">
        <v>1310</v>
      </c>
      <c r="C1562" s="1" t="str">
        <f ca="1">IFERROR(__xludf.DUMMYFUNCTION("GOOGLETRANSLATE(B1570,""en"",""ja"")"),"類人猿")</f>
        <v>類人猿</v>
      </c>
    </row>
    <row r="1563" spans="1:3" ht="18" customHeight="1" x14ac:dyDescent="0.3">
      <c r="A1563" s="1">
        <v>17</v>
      </c>
      <c r="B1563" s="1" t="s">
        <v>1311</v>
      </c>
      <c r="C1563" s="1" t="str">
        <f ca="1">IFERROR(__xludf.DUMMYFUNCTION("GOOGLETRANSLATE(B1571,""en"",""ja"")"),"アフリカ人")</f>
        <v>アフリカ人</v>
      </c>
    </row>
    <row r="1564" spans="1:3" ht="18" customHeight="1" x14ac:dyDescent="0.3">
      <c r="A1564" s="1">
        <v>17</v>
      </c>
      <c r="B1564" s="1" t="s">
        <v>401</v>
      </c>
      <c r="C1564" s="1" t="str">
        <f ca="1">IFERROR(__xludf.DUMMYFUNCTION("GOOGLETRANSLATE(B1572,""en"",""ja"")"),"アフリカの")</f>
        <v>アフリカの</v>
      </c>
    </row>
    <row r="1565" spans="1:3" ht="18" customHeight="1" x14ac:dyDescent="0.3">
      <c r="A1565" s="1">
        <v>17</v>
      </c>
      <c r="B1565" s="1" t="s">
        <v>1089</v>
      </c>
      <c r="C1565" s="1" t="str">
        <f ca="1">IFERROR(__xludf.DUMMYFUNCTION("GOOGLETRANSLATE(B1573,""en"",""ja"")"),"添加")</f>
        <v>添加</v>
      </c>
    </row>
    <row r="1566" spans="1:3" ht="18" customHeight="1" x14ac:dyDescent="0.3">
      <c r="A1566" s="1">
        <v>17</v>
      </c>
      <c r="B1566" s="1" t="s">
        <v>1312</v>
      </c>
      <c r="C1566" s="1" t="str">
        <f ca="1">IFERROR(__xludf.DUMMYFUNCTION("GOOGLETRANSLATE(B1574,""en"",""ja"")"),"活動")</f>
        <v>活動</v>
      </c>
    </row>
    <row r="1567" spans="1:3" ht="18" customHeight="1" x14ac:dyDescent="0.3">
      <c r="A1567" s="1">
        <v>17</v>
      </c>
      <c r="B1567" s="1" t="s">
        <v>1313</v>
      </c>
      <c r="C1567" s="1" t="str">
        <f ca="1">IFERROR(__xludf.DUMMYFUNCTION("GOOGLETRANSLATE(B1575,""en"",""ja"")"),"アクション")</f>
        <v>アクション</v>
      </c>
    </row>
    <row r="1568" spans="1:3" ht="18" customHeight="1" x14ac:dyDescent="0.3">
      <c r="A1568" s="1">
        <v>17</v>
      </c>
      <c r="B1568" s="1" t="s">
        <v>411</v>
      </c>
      <c r="C1568" s="1" t="str">
        <f ca="1">IFERROR(__xludf.DUMMYFUNCTION("GOOGLETRANSLATE(B1576,""en"",""ja"")"),"行為")</f>
        <v>行為</v>
      </c>
    </row>
    <row r="1569" spans="1:3" ht="18" customHeight="1" x14ac:dyDescent="0.3">
      <c r="A1569" s="1">
        <v>16</v>
      </c>
      <c r="B1569" s="1" t="s">
        <v>1314</v>
      </c>
      <c r="C1569" s="1" t="str">
        <f ca="1">IFERROR(__xludf.DUMMYFUNCTION("GOOGLETRANSLATE(B1577,""en"",""ja"")"),"全く")</f>
        <v>全く</v>
      </c>
    </row>
    <row r="1570" spans="1:3" ht="18" customHeight="1" x14ac:dyDescent="0.3">
      <c r="A1570" s="1">
        <v>16</v>
      </c>
      <c r="B1570" s="1" t="s">
        <v>1315</v>
      </c>
      <c r="C1570" s="1" t="str">
        <f ca="1">IFERROR(__xludf.DUMMYFUNCTION("GOOGLETRANSLATE(B1578,""en"",""ja"")"),"一方、")</f>
        <v>一方、</v>
      </c>
    </row>
    <row r="1571" spans="1:3" ht="18" customHeight="1" x14ac:dyDescent="0.3">
      <c r="A1571" s="1">
        <v>16</v>
      </c>
      <c r="B1571" s="1" t="s">
        <v>1316</v>
      </c>
      <c r="C1571" s="1" t="str">
        <f ca="1">IFERROR(__xludf.DUMMYFUNCTION("GOOGLETRANSLATE(B1579,""en"",""ja"")"),"ボーカル")</f>
        <v>ボーカル</v>
      </c>
    </row>
    <row r="1572" spans="1:3" ht="18" customHeight="1" x14ac:dyDescent="0.3">
      <c r="A1572" s="1">
        <v>16</v>
      </c>
      <c r="B1572" s="1" t="s">
        <v>1317</v>
      </c>
      <c r="C1572" s="1" t="str">
        <f ca="1">IFERROR(__xludf.DUMMYFUNCTION("GOOGLETRANSLATE(B1580,""en"",""ja"")"),"車両")</f>
        <v>車両</v>
      </c>
    </row>
    <row r="1573" spans="1:3" ht="18" customHeight="1" x14ac:dyDescent="0.3">
      <c r="A1573" s="1">
        <v>16</v>
      </c>
      <c r="B1573" s="1" t="s">
        <v>1318</v>
      </c>
      <c r="C1573" s="1" t="str">
        <f ca="1">IFERROR(__xludf.DUMMYFUNCTION("GOOGLETRANSLATE(B1581,""en"",""ja"")"),"莫大")</f>
        <v>莫大</v>
      </c>
    </row>
    <row r="1574" spans="1:3" ht="18" customHeight="1" x14ac:dyDescent="0.3">
      <c r="A1574" s="1">
        <v>16</v>
      </c>
      <c r="B1574" s="1" t="s">
        <v>1319</v>
      </c>
      <c r="C1574" s="1" t="str">
        <f ca="1">IFERROR(__xludf.DUMMYFUNCTION("GOOGLETRANSLATE(B1582,""en"",""ja"")"),"全く")</f>
        <v>全く</v>
      </c>
    </row>
    <row r="1575" spans="1:3" ht="18" customHeight="1" x14ac:dyDescent="0.3">
      <c r="A1575" s="1">
        <v>16</v>
      </c>
      <c r="B1575" s="1" t="s">
        <v>586</v>
      </c>
      <c r="C1575" s="1" t="str">
        <f ca="1">IFERROR(__xludf.DUMMYFUNCTION("GOOGLETRANSLATE(B1583,""en"",""ja"")"),"ツール")</f>
        <v>ツール</v>
      </c>
    </row>
    <row r="1576" spans="1:3" ht="18" customHeight="1" x14ac:dyDescent="0.3">
      <c r="A1576" s="1">
        <v>16</v>
      </c>
      <c r="B1576" s="1" t="s">
        <v>237</v>
      </c>
      <c r="C1576" s="1" t="str">
        <f ca="1">IFERROR(__xludf.DUMMYFUNCTION("GOOGLETRANSLATE(B1584,""en"",""ja"")"),"余りに")</f>
        <v>余りに</v>
      </c>
    </row>
    <row r="1577" spans="1:3" ht="18" customHeight="1" x14ac:dyDescent="0.3">
      <c r="A1577" s="1">
        <v>16</v>
      </c>
      <c r="B1577" s="1" t="s">
        <v>1320</v>
      </c>
      <c r="C1577" s="1" t="str">
        <f ca="1">IFERROR(__xludf.DUMMYFUNCTION("GOOGLETRANSLATE(B1585,""en"",""ja"")"),"電話")</f>
        <v>電話</v>
      </c>
    </row>
    <row r="1578" spans="1:3" ht="18" customHeight="1" x14ac:dyDescent="0.3">
      <c r="A1578" s="1">
        <v>16</v>
      </c>
      <c r="B1578" s="1" t="s">
        <v>1321</v>
      </c>
      <c r="C1578" s="1" t="str">
        <f ca="1">IFERROR(__xludf.DUMMYFUNCTION("GOOGLETRANSLATE(B1586,""en"",""ja"")"),"才能")</f>
        <v>才能</v>
      </c>
    </row>
    <row r="1579" spans="1:3" ht="18" customHeight="1" x14ac:dyDescent="0.3">
      <c r="A1579" s="1">
        <v>16</v>
      </c>
      <c r="B1579" s="1" t="s">
        <v>1322</v>
      </c>
      <c r="C1579" s="1" t="str">
        <f ca="1">IFERROR(__xludf.DUMMYFUNCTION("GOOGLETRANSLATE(B1587,""en"",""ja"")"),"十分")</f>
        <v>十分</v>
      </c>
    </row>
    <row r="1580" spans="1:3" ht="18" customHeight="1" x14ac:dyDescent="0.3">
      <c r="A1580" s="1">
        <v>16</v>
      </c>
      <c r="B1580" s="1" t="s">
        <v>1323</v>
      </c>
      <c r="C1580" s="1" t="str">
        <f ca="1">IFERROR(__xludf.DUMMYFUNCTION("GOOGLETRANSLATE(B1588,""en"",""ja"")"),"突然")</f>
        <v>突然</v>
      </c>
    </row>
    <row r="1581" spans="1:3" ht="18" customHeight="1" x14ac:dyDescent="0.3">
      <c r="A1581" s="1">
        <v>16</v>
      </c>
      <c r="B1581" s="1" t="s">
        <v>1324</v>
      </c>
      <c r="C1581" s="1" t="str">
        <f ca="1">IFERROR(__xludf.DUMMYFUNCTION("GOOGLETRANSLATE(B1589,""en"",""ja"")"),"成功しました")</f>
        <v>成功しました</v>
      </c>
    </row>
    <row r="1582" spans="1:3" ht="18" customHeight="1" x14ac:dyDescent="0.3">
      <c r="A1582" s="1">
        <v>16</v>
      </c>
      <c r="B1582" s="1" t="s">
        <v>1325</v>
      </c>
      <c r="C1582" s="1" t="str">
        <f ca="1">IFERROR(__xludf.DUMMYFUNCTION("GOOGLETRANSLATE(B1590,""en"",""ja"")"),"お店")</f>
        <v>お店</v>
      </c>
    </row>
    <row r="1583" spans="1:3" ht="18" customHeight="1" x14ac:dyDescent="0.3">
      <c r="A1583" s="1">
        <v>16</v>
      </c>
      <c r="B1583" s="1" t="s">
        <v>1326</v>
      </c>
      <c r="C1583" s="1" t="str">
        <f ca="1">IFERROR(__xludf.DUMMYFUNCTION("GOOGLETRANSLATE(B1591,""en"",""ja"")"),"立っ")</f>
        <v>立っ</v>
      </c>
    </row>
    <row r="1584" spans="1:3" ht="18" customHeight="1" x14ac:dyDescent="0.3">
      <c r="A1584" s="1">
        <v>16</v>
      </c>
      <c r="B1584" s="1" t="s">
        <v>1327</v>
      </c>
      <c r="C1584" s="1" t="str">
        <f ca="1">IFERROR(__xludf.DUMMYFUNCTION("GOOGLETRANSLATE(B1592,""en"",""ja"")"),"駅")</f>
        <v>駅</v>
      </c>
    </row>
    <row r="1585" spans="1:3" ht="18" customHeight="1" x14ac:dyDescent="0.3">
      <c r="A1585" s="1">
        <v>16</v>
      </c>
      <c r="B1585" s="1" t="s">
        <v>1328</v>
      </c>
      <c r="C1585" s="1" t="str">
        <f ca="1">IFERROR(__xludf.DUMMYFUNCTION("GOOGLETRANSLATE(B1593,""en"",""ja"")"),"ソート")</f>
        <v>ソート</v>
      </c>
    </row>
    <row r="1586" spans="1:3" ht="18" customHeight="1" x14ac:dyDescent="0.3">
      <c r="A1586" s="1">
        <v>16</v>
      </c>
      <c r="B1586" s="1" t="s">
        <v>1329</v>
      </c>
      <c r="C1586" s="1" t="str">
        <f ca="1">IFERROR(__xludf.DUMMYFUNCTION("GOOGLETRANSLATE(B1594,""en"",""ja"")"),"何処か")</f>
        <v>何処か</v>
      </c>
    </row>
    <row r="1587" spans="1:3" ht="18" customHeight="1" x14ac:dyDescent="0.3">
      <c r="A1587" s="1">
        <v>16</v>
      </c>
      <c r="B1587" s="1" t="s">
        <v>1330</v>
      </c>
      <c r="C1587" s="1" t="str">
        <f ca="1">IFERROR(__xludf.DUMMYFUNCTION("GOOGLETRANSLATE(B1595,""en"",""ja"")"),"スキル")</f>
        <v>スキル</v>
      </c>
    </row>
    <row r="1588" spans="1:3" ht="18" customHeight="1" x14ac:dyDescent="0.3">
      <c r="A1588" s="1">
        <v>16</v>
      </c>
      <c r="B1588" s="1" t="s">
        <v>373</v>
      </c>
      <c r="C1588" s="1" t="str">
        <f ca="1">IFERROR(__xludf.DUMMYFUNCTION("GOOGLETRANSLATE(B1596,""en"",""ja"")"),"ショート")</f>
        <v>ショート</v>
      </c>
    </row>
    <row r="1589" spans="1:3" ht="18" customHeight="1" x14ac:dyDescent="0.3">
      <c r="A1589" s="1">
        <v>16</v>
      </c>
      <c r="B1589" s="1" t="s">
        <v>1331</v>
      </c>
      <c r="C1589" s="1" t="str">
        <f ca="1">IFERROR(__xludf.DUMMYFUNCTION("GOOGLETRANSLATE(B1597,""en"",""ja"")"),"シーケンス")</f>
        <v>シーケンス</v>
      </c>
    </row>
    <row r="1590" spans="1:3" ht="18" customHeight="1" x14ac:dyDescent="0.3">
      <c r="A1590" s="1">
        <v>16</v>
      </c>
      <c r="B1590" s="1" t="s">
        <v>1332</v>
      </c>
      <c r="C1590" s="1" t="str">
        <f ca="1">IFERROR(__xludf.DUMMYFUNCTION("GOOGLETRANSLATE(B1598,""en"",""ja"")"),"海")</f>
        <v>海</v>
      </c>
    </row>
    <row r="1591" spans="1:3" ht="18" customHeight="1" x14ac:dyDescent="0.3">
      <c r="A1591" s="1">
        <v>16</v>
      </c>
      <c r="B1591" s="1" t="s">
        <v>1333</v>
      </c>
      <c r="C1591" s="1" t="str">
        <f ca="1">IFERROR(__xludf.DUMMYFUNCTION("GOOGLETRANSLATE(B1599,""en"",""ja"")"),"スキーム")</f>
        <v>スキーム</v>
      </c>
    </row>
    <row r="1592" spans="1:3" ht="18" customHeight="1" x14ac:dyDescent="0.3">
      <c r="A1592" s="1">
        <v>16</v>
      </c>
      <c r="B1592" s="1" t="s">
        <v>1334</v>
      </c>
      <c r="C1592" s="1" t="str">
        <f ca="1">IFERROR(__xludf.DUMMYFUNCTION("GOOGLETRANSLATE(B1600,""en"",""ja"")"),"スキーム")</f>
        <v>スキーム</v>
      </c>
    </row>
    <row r="1593" spans="1:3" ht="18" customHeight="1" x14ac:dyDescent="0.3">
      <c r="A1593" s="1">
        <v>16</v>
      </c>
      <c r="B1593" s="1" t="s">
        <v>1335</v>
      </c>
      <c r="C1593" s="1" t="str">
        <f ca="1">IFERROR(__xludf.DUMMYFUNCTION("GOOGLETRANSLATE(B1601,""en"",""ja"")"),"ルーツ")</f>
        <v>ルーツ</v>
      </c>
    </row>
    <row r="1594" spans="1:3" ht="18" customHeight="1" x14ac:dyDescent="0.3">
      <c r="A1594" s="1">
        <v>16</v>
      </c>
      <c r="B1594" s="1" t="s">
        <v>1336</v>
      </c>
      <c r="C1594" s="1" t="str">
        <f ca="1">IFERROR(__xludf.DUMMYFUNCTION("GOOGLETRANSLATE(B1602,""en"",""ja"")"),"表現")</f>
        <v>表現</v>
      </c>
    </row>
    <row r="1595" spans="1:3" ht="18" customHeight="1" x14ac:dyDescent="0.3">
      <c r="A1595" s="1">
        <v>16</v>
      </c>
      <c r="B1595" s="1" t="s">
        <v>1337</v>
      </c>
      <c r="C1595" s="1" t="str">
        <f ca="1">IFERROR(__xludf.DUMMYFUNCTION("GOOGLETRANSLATE(B1603,""en"",""ja"")"),"報告")</f>
        <v>報告</v>
      </c>
    </row>
    <row r="1596" spans="1:3" ht="18" customHeight="1" x14ac:dyDescent="0.3">
      <c r="A1596" s="1">
        <v>16</v>
      </c>
      <c r="B1596" s="1" t="s">
        <v>1338</v>
      </c>
      <c r="C1596" s="1" t="str">
        <f ca="1">IFERROR(__xludf.DUMMYFUNCTION("GOOGLETRANSLATE(B1604,""en"",""ja"")"),"地域")</f>
        <v>地域</v>
      </c>
    </row>
    <row r="1597" spans="1:3" ht="18" customHeight="1" x14ac:dyDescent="0.3">
      <c r="A1597" s="1">
        <v>16</v>
      </c>
      <c r="B1597" s="1" t="s">
        <v>1339</v>
      </c>
      <c r="C1597" s="1" t="str">
        <f ca="1">IFERROR(__xludf.DUMMYFUNCTION("GOOGLETRANSLATE(B1605,""en"",""ja"")"),"かかわらず、")</f>
        <v>かかわらず、</v>
      </c>
    </row>
    <row r="1598" spans="1:3" ht="18" customHeight="1" x14ac:dyDescent="0.3">
      <c r="A1598" s="1">
        <v>16</v>
      </c>
      <c r="B1598" s="1" t="s">
        <v>1340</v>
      </c>
      <c r="C1598" s="1" t="str">
        <f ca="1">IFERROR(__xludf.DUMMYFUNCTION("GOOGLETRANSLATE(B1606,""en"",""ja"")"),"反映")</f>
        <v>反映</v>
      </c>
    </row>
    <row r="1599" spans="1:3" ht="18" customHeight="1" x14ac:dyDescent="0.3">
      <c r="A1599" s="1">
        <v>16</v>
      </c>
      <c r="B1599" s="1" t="s">
        <v>1341</v>
      </c>
      <c r="C1599" s="1" t="str">
        <f ca="1">IFERROR(__xludf.DUMMYFUNCTION("GOOGLETRANSLATE(B1607,""en"",""ja"")"),"人種的")</f>
        <v>人種的</v>
      </c>
    </row>
    <row r="1600" spans="1:3" ht="18" customHeight="1" x14ac:dyDescent="0.3">
      <c r="A1600" s="1">
        <v>16</v>
      </c>
      <c r="B1600" s="1" t="s">
        <v>1342</v>
      </c>
      <c r="C1600" s="1" t="str">
        <f ca="1">IFERROR(__xludf.DUMMYFUNCTION("GOOGLETRANSLATE(B1608,""en"",""ja"")"),"早く")</f>
        <v>早く</v>
      </c>
    </row>
    <row r="1601" spans="1:3" ht="18" customHeight="1" x14ac:dyDescent="0.3">
      <c r="A1601" s="1">
        <v>16</v>
      </c>
      <c r="B1601" s="1" t="s">
        <v>1343</v>
      </c>
      <c r="C1601" s="1" t="str">
        <f ca="1">IFERROR(__xludf.DUMMYFUNCTION("GOOGLETRANSLATE(B1609,""en"",""ja"")"),"教授")</f>
        <v>教授</v>
      </c>
    </row>
    <row r="1602" spans="1:3" ht="18" customHeight="1" x14ac:dyDescent="0.3">
      <c r="A1602" s="1">
        <v>16</v>
      </c>
      <c r="B1602" s="1" t="s">
        <v>548</v>
      </c>
      <c r="C1602" s="1" t="str">
        <f ca="1">IFERROR(__xludf.DUMMYFUNCTION("GOOGLETRANSLATE(B1610,""en"",""ja"")"),"現在")</f>
        <v>現在</v>
      </c>
    </row>
    <row r="1603" spans="1:3" ht="18" customHeight="1" x14ac:dyDescent="0.3">
      <c r="A1603" s="1">
        <v>16</v>
      </c>
      <c r="B1603" s="1" t="s">
        <v>1344</v>
      </c>
      <c r="C1603" s="1" t="str">
        <f ca="1">IFERROR(__xludf.DUMMYFUNCTION("GOOGLETRANSLATE(B1611,""en"",""ja"")"),"可能性")</f>
        <v>可能性</v>
      </c>
    </row>
    <row r="1604" spans="1:3" ht="18" customHeight="1" x14ac:dyDescent="0.3">
      <c r="A1604" s="1">
        <v>16</v>
      </c>
      <c r="B1604" s="1" t="s">
        <v>1345</v>
      </c>
      <c r="C1604" s="1" t="str">
        <f ca="1">IFERROR(__xludf.DUMMYFUNCTION("GOOGLETRANSLATE(B1612,""en"",""ja"")"),"政治家")</f>
        <v>政治家</v>
      </c>
    </row>
    <row r="1605" spans="1:3" ht="18" customHeight="1" x14ac:dyDescent="0.3">
      <c r="A1605" s="1">
        <v>16</v>
      </c>
      <c r="B1605" s="1" t="s">
        <v>1346</v>
      </c>
      <c r="C1605" s="1" t="str">
        <f ca="1">IFERROR(__xludf.DUMMYFUNCTION("GOOGLETRANSLATE(B1613,""en"",""ja"")"),"点数")</f>
        <v>点数</v>
      </c>
    </row>
    <row r="1606" spans="1:3" ht="18" customHeight="1" x14ac:dyDescent="0.3">
      <c r="A1606" s="1">
        <v>16</v>
      </c>
      <c r="B1606" s="1" t="s">
        <v>1347</v>
      </c>
      <c r="C1606" s="1" t="str">
        <f ca="1">IFERROR(__xludf.DUMMYFUNCTION("GOOGLETRANSLATE(B1614,""en"",""ja"")"),"置いた")</f>
        <v>置いた</v>
      </c>
    </row>
    <row r="1607" spans="1:3" ht="18" customHeight="1" x14ac:dyDescent="0.3">
      <c r="A1607" s="1">
        <v>16</v>
      </c>
      <c r="B1607" s="1" t="s">
        <v>1348</v>
      </c>
      <c r="C1607" s="1" t="str">
        <f ca="1">IFERROR(__xludf.DUMMYFUNCTION("GOOGLETRANSLATE(B1615,""en"",""ja"")"),"作品")</f>
        <v>作品</v>
      </c>
    </row>
    <row r="1608" spans="1:3" ht="18" customHeight="1" x14ac:dyDescent="0.3">
      <c r="A1608" s="1">
        <v>16</v>
      </c>
      <c r="B1608" s="1" t="s">
        <v>888</v>
      </c>
      <c r="C1608" s="1" t="str">
        <f ca="1">IFERROR(__xludf.DUMMYFUNCTION("GOOGLETRANSLATE(B1616,""en"",""ja"")"),"演奏")</f>
        <v>演奏</v>
      </c>
    </row>
    <row r="1609" spans="1:3" ht="18" customHeight="1" x14ac:dyDescent="0.3">
      <c r="A1609" s="1">
        <v>16</v>
      </c>
      <c r="B1609" s="1" t="s">
        <v>1349</v>
      </c>
      <c r="C1609" s="1" t="str">
        <f ca="1">IFERROR(__xludf.DUMMYFUNCTION("GOOGLETRANSLATE(B1617,""en"",""ja"")"),"パール")</f>
        <v>パール</v>
      </c>
    </row>
    <row r="1610" spans="1:3" ht="18" customHeight="1" x14ac:dyDescent="0.3">
      <c r="A1610" s="1">
        <v>16</v>
      </c>
      <c r="B1610" s="1" t="s">
        <v>1350</v>
      </c>
      <c r="C1610" s="1" t="str">
        <f ca="1">IFERROR(__xludf.DUMMYFUNCTION("GOOGLETRANSLATE(B1618,""en"",""ja"")"),"起源")</f>
        <v>起源</v>
      </c>
    </row>
    <row r="1611" spans="1:3" ht="18" customHeight="1" x14ac:dyDescent="0.3">
      <c r="A1611" s="1">
        <v>16</v>
      </c>
      <c r="B1611" s="1" t="s">
        <v>1351</v>
      </c>
      <c r="C1611" s="1" t="str">
        <f ca="1">IFERROR(__xludf.DUMMYFUNCTION("GOOGLETRANSLATE(B1619,""en"",""ja"")"),"元の")</f>
        <v>元の</v>
      </c>
    </row>
    <row r="1612" spans="1:3" ht="18" customHeight="1" x14ac:dyDescent="0.3">
      <c r="A1612" s="1">
        <v>16</v>
      </c>
      <c r="B1612" s="1" t="s">
        <v>892</v>
      </c>
      <c r="C1612" s="1" t="str">
        <f ca="1">IFERROR(__xludf.DUMMYFUNCTION("GOOGLETRANSLATE(B1620,""en"",""ja"")"),"海洋")</f>
        <v>海洋</v>
      </c>
    </row>
    <row r="1613" spans="1:3" ht="18" customHeight="1" x14ac:dyDescent="0.3">
      <c r="A1613" s="1">
        <v>16</v>
      </c>
      <c r="B1613" s="1" t="s">
        <v>1352</v>
      </c>
      <c r="C1613" s="1" t="str">
        <f ca="1">IFERROR(__xludf.DUMMYFUNCTION("GOOGLETRANSLATE(B1621,""en"",""ja"")"),"それにもかかわらず")</f>
        <v>それにもかかわらず</v>
      </c>
    </row>
    <row r="1614" spans="1:3" ht="18" customHeight="1" x14ac:dyDescent="0.3">
      <c r="A1614" s="1">
        <v>16</v>
      </c>
      <c r="B1614" s="1" t="s">
        <v>1353</v>
      </c>
      <c r="C1614" s="1" t="str">
        <f ca="1">IFERROR(__xludf.DUMMYFUNCTION("GOOGLETRANSLATE(B1622,""en"",""ja"")"),"動作")</f>
        <v>動作</v>
      </c>
    </row>
    <row r="1615" spans="1:3" ht="18" customHeight="1" x14ac:dyDescent="0.3">
      <c r="A1615" s="1">
        <v>16</v>
      </c>
      <c r="B1615" s="1" t="s">
        <v>1354</v>
      </c>
      <c r="C1615" s="1" t="str">
        <f ca="1">IFERROR(__xludf.DUMMYFUNCTION("GOOGLETRANSLATE(B1623,""en"",""ja"")"),"大臣")</f>
        <v>大臣</v>
      </c>
    </row>
    <row r="1616" spans="1:3" ht="18" customHeight="1" x14ac:dyDescent="0.3">
      <c r="A1616" s="1">
        <v>16</v>
      </c>
      <c r="B1616" s="1" t="s">
        <v>704</v>
      </c>
      <c r="C1616" s="1" t="str">
        <f ca="1">IFERROR(__xludf.DUMMYFUNCTION("GOOGLETRANSLATE(B1624,""en"",""ja"")"),"牧師")</f>
        <v>牧師</v>
      </c>
    </row>
    <row r="1617" spans="1:3" ht="18" customHeight="1" x14ac:dyDescent="0.3">
      <c r="A1617" s="1">
        <v>16</v>
      </c>
      <c r="B1617" s="1" t="s">
        <v>1355</v>
      </c>
      <c r="C1617" s="1" t="str">
        <f ca="1">IFERROR(__xludf.DUMMYFUNCTION("GOOGLETRANSLATE(B1625,""en"",""ja"")"),"比喩")</f>
        <v>比喩</v>
      </c>
    </row>
    <row r="1618" spans="1:3" ht="18" customHeight="1" x14ac:dyDescent="0.3">
      <c r="A1618" s="1">
        <v>16</v>
      </c>
      <c r="B1618" s="1" t="s">
        <v>573</v>
      </c>
      <c r="C1618" s="1" t="str">
        <f ca="1">IFERROR(__xludf.DUMMYFUNCTION("GOOGLETRANSLATE(B1626,""en"",""ja"")"),"おとこ")</f>
        <v>おとこ</v>
      </c>
    </row>
    <row r="1619" spans="1:3" ht="18" customHeight="1" x14ac:dyDescent="0.3">
      <c r="A1619" s="1">
        <v>16</v>
      </c>
      <c r="B1619" s="1" t="s">
        <v>1356</v>
      </c>
      <c r="C1619" s="1" t="str">
        <f ca="1">IFERROR(__xludf.DUMMYFUNCTION("GOOGLETRANSLATE(B1627,""en"",""ja"")"),"論理的")</f>
        <v>論理的</v>
      </c>
    </row>
    <row r="1620" spans="1:3" ht="18" customHeight="1" x14ac:dyDescent="0.3">
      <c r="A1620" s="1">
        <v>16</v>
      </c>
      <c r="B1620" s="1" t="s">
        <v>1357</v>
      </c>
      <c r="C1620" s="1" t="str">
        <f ca="1">IFERROR(__xludf.DUMMYFUNCTION("GOOGLETRANSLATE(B1628,""en"",""ja"")"),"ロケーション")</f>
        <v>ロケーション</v>
      </c>
    </row>
    <row r="1621" spans="1:3" ht="18" customHeight="1" x14ac:dyDescent="0.3">
      <c r="A1621" s="1">
        <v>16</v>
      </c>
      <c r="B1621" s="1" t="s">
        <v>1358</v>
      </c>
      <c r="C1621" s="1" t="str">
        <f ca="1">IFERROR(__xludf.DUMMYFUNCTION("GOOGLETRANSLATE(B1629,""en"",""ja"")"),"嘘")</f>
        <v>嘘</v>
      </c>
    </row>
    <row r="1622" spans="1:3" ht="18" customHeight="1" x14ac:dyDescent="0.3">
      <c r="A1622" s="1">
        <v>16</v>
      </c>
      <c r="B1622" s="1" t="s">
        <v>469</v>
      </c>
      <c r="C1622" s="1" t="str">
        <f ca="1">IFERROR(__xludf.DUMMYFUNCTION("GOOGLETRANSLATE(B1630,""en"",""ja"")"),"レベル")</f>
        <v>レベル</v>
      </c>
    </row>
    <row r="1623" spans="1:3" ht="18" customHeight="1" x14ac:dyDescent="0.3">
      <c r="A1623" s="1">
        <v>16</v>
      </c>
      <c r="B1623" s="1" t="s">
        <v>1359</v>
      </c>
      <c r="C1623" s="1" t="str">
        <f ca="1">IFERROR(__xludf.DUMMYFUNCTION("GOOGLETRANSLATE(B1631,""en"",""ja"")"),"休暇")</f>
        <v>休暇</v>
      </c>
    </row>
    <row r="1624" spans="1:3" ht="18" customHeight="1" x14ac:dyDescent="0.3">
      <c r="A1624" s="1">
        <v>16</v>
      </c>
      <c r="B1624" s="1" t="s">
        <v>803</v>
      </c>
      <c r="C1624" s="1" t="str">
        <f ca="1">IFERROR(__xludf.DUMMYFUNCTION("GOOGLETRANSLATE(B1632,""en"",""ja"")"),"遅く")</f>
        <v>遅く</v>
      </c>
    </row>
    <row r="1625" spans="1:3" ht="18" customHeight="1" x14ac:dyDescent="0.3">
      <c r="A1625" s="1">
        <v>16</v>
      </c>
      <c r="B1625" s="1" t="s">
        <v>1360</v>
      </c>
      <c r="C1625" s="1" t="str">
        <f ca="1">IFERROR(__xludf.DUMMYFUNCTION("GOOGLETRANSLATE(B1633,""en"",""ja"")"),"考案")</f>
        <v>考案</v>
      </c>
    </row>
    <row r="1626" spans="1:3" ht="18" customHeight="1" x14ac:dyDescent="0.3">
      <c r="A1626" s="1">
        <v>16</v>
      </c>
      <c r="B1626" s="1" t="s">
        <v>769</v>
      </c>
      <c r="C1626" s="1" t="str">
        <f ca="1">IFERROR(__xludf.DUMMYFUNCTION("GOOGLETRANSLATE(B1634,""en"",""ja"")"),"健康")</f>
        <v>健康</v>
      </c>
    </row>
    <row r="1627" spans="1:3" ht="18" customHeight="1" x14ac:dyDescent="0.3">
      <c r="A1627" s="1">
        <v>16</v>
      </c>
      <c r="B1627" s="1" t="s">
        <v>226</v>
      </c>
      <c r="C1627" s="1" t="str">
        <f ca="1">IFERROR(__xludf.DUMMYFUNCTION("GOOGLETRANSLATE(B1635,""en"",""ja"")"),"成長")</f>
        <v>成長</v>
      </c>
    </row>
    <row r="1628" spans="1:3" ht="18" customHeight="1" x14ac:dyDescent="0.3">
      <c r="A1628" s="1">
        <v>16</v>
      </c>
      <c r="B1628" s="1" t="s">
        <v>514</v>
      </c>
      <c r="C1628" s="1" t="str">
        <f ca="1">IFERROR(__xludf.DUMMYFUNCTION("GOOGLETRANSLATE(B1636,""en"",""ja"")"),"文法")</f>
        <v>文法</v>
      </c>
    </row>
    <row r="1629" spans="1:3" ht="18" customHeight="1" x14ac:dyDescent="0.3">
      <c r="A1629" s="1">
        <v>16</v>
      </c>
      <c r="B1629" s="1" t="s">
        <v>1361</v>
      </c>
      <c r="C1629" s="1" t="str">
        <f ca="1">IFERROR(__xludf.DUMMYFUNCTION("GOOGLETRANSLATE(B1637,""en"",""ja"")"),"ジェスチャー")</f>
        <v>ジェスチャー</v>
      </c>
    </row>
    <row r="1630" spans="1:3" ht="18" customHeight="1" x14ac:dyDescent="0.3">
      <c r="A1630" s="1">
        <v>16</v>
      </c>
      <c r="B1630" s="1" t="s">
        <v>1362</v>
      </c>
      <c r="C1630" s="1" t="str">
        <f ca="1">IFERROR(__xludf.DUMMYFUNCTION("GOOGLETRANSLATE(B1638,""en"",""ja"")"),"ガス")</f>
        <v>ガス</v>
      </c>
    </row>
    <row r="1631" spans="1:3" ht="18" customHeight="1" x14ac:dyDescent="0.3">
      <c r="A1631" s="1">
        <v>16</v>
      </c>
      <c r="B1631" s="1" t="s">
        <v>1363</v>
      </c>
      <c r="C1631" s="1" t="str">
        <f ca="1">IFERROR(__xludf.DUMMYFUNCTION("GOOGLETRANSLATE(B1639,""en"",""ja"")"),"自由")</f>
        <v>自由</v>
      </c>
    </row>
    <row r="1632" spans="1:3" ht="18" customHeight="1" x14ac:dyDescent="0.3">
      <c r="A1632" s="1">
        <v>16</v>
      </c>
      <c r="B1632" s="1" t="s">
        <v>1364</v>
      </c>
      <c r="C1632" s="1" t="str">
        <f ca="1">IFERROR(__xludf.DUMMYFUNCTION("GOOGLETRANSLATE(B1640,""en"",""ja"")"),"フランス")</f>
        <v>フランス</v>
      </c>
    </row>
    <row r="1633" spans="1:3" ht="18" customHeight="1" x14ac:dyDescent="0.3">
      <c r="A1633" s="1">
        <v>16</v>
      </c>
      <c r="B1633" s="1" t="s">
        <v>1135</v>
      </c>
      <c r="C1633" s="1" t="str">
        <f ca="1">IFERROR(__xludf.DUMMYFUNCTION("GOOGLETRANSLATE(B1641,""en"",""ja"")"),"力")</f>
        <v>力</v>
      </c>
    </row>
    <row r="1634" spans="1:3" ht="18" customHeight="1" x14ac:dyDescent="0.3">
      <c r="A1634" s="1">
        <v>16</v>
      </c>
      <c r="B1634" s="1" t="s">
        <v>677</v>
      </c>
      <c r="C1634" s="1" t="str">
        <f ca="1">IFERROR(__xludf.DUMMYFUNCTION("GOOGLETRANSLATE(B1642,""en"",""ja"")"),"従います")</f>
        <v>従います</v>
      </c>
    </row>
    <row r="1635" spans="1:3" ht="18" customHeight="1" x14ac:dyDescent="0.3">
      <c r="A1635" s="1">
        <v>16</v>
      </c>
      <c r="B1635" s="1" t="s">
        <v>172</v>
      </c>
      <c r="C1635" s="1" t="str">
        <f ca="1">IFERROR(__xludf.DUMMYFUNCTION("GOOGLETRANSLATE(B1643,""en"",""ja"")"),"遥か")</f>
        <v>遥か</v>
      </c>
    </row>
    <row r="1636" spans="1:3" ht="18" customHeight="1" x14ac:dyDescent="0.3">
      <c r="A1636" s="1">
        <v>16</v>
      </c>
      <c r="B1636" s="1" t="s">
        <v>1365</v>
      </c>
      <c r="C1636" s="1" t="str">
        <f ca="1">IFERROR(__xludf.DUMMYFUNCTION("GOOGLETRANSLATE(B1644,""en"",""ja"")"),"視線")</f>
        <v>視線</v>
      </c>
    </row>
    <row r="1637" spans="1:3" ht="18" customHeight="1" x14ac:dyDescent="0.3">
      <c r="A1637" s="1">
        <v>16</v>
      </c>
      <c r="B1637" s="1" t="s">
        <v>559</v>
      </c>
      <c r="C1637" s="1" t="str">
        <f ca="1">IFERROR(__xludf.DUMMYFUNCTION("GOOGLETRANSLATE(B1645,""en"",""ja"")"),"実験")</f>
        <v>実験</v>
      </c>
    </row>
    <row r="1638" spans="1:3" ht="18" customHeight="1" x14ac:dyDescent="0.3">
      <c r="A1638" s="1">
        <v>16</v>
      </c>
      <c r="B1638" s="1" t="s">
        <v>1366</v>
      </c>
      <c r="C1638" s="1" t="str">
        <f ca="1">IFERROR(__xludf.DUMMYFUNCTION("GOOGLETRANSLATE(B1646,""en"",""ja"")"),"拡大する")</f>
        <v>拡大する</v>
      </c>
    </row>
    <row r="1639" spans="1:3" ht="18" customHeight="1" x14ac:dyDescent="0.3">
      <c r="A1639" s="1">
        <v>16</v>
      </c>
      <c r="B1639" s="1" t="s">
        <v>1367</v>
      </c>
      <c r="C1639" s="1" t="str">
        <f ca="1">IFERROR(__xludf.DUMMYFUNCTION("GOOGLETRANSLATE(B1647,""en"",""ja"")"),"過剰")</f>
        <v>過剰</v>
      </c>
    </row>
    <row r="1640" spans="1:3" ht="18" customHeight="1" x14ac:dyDescent="0.3">
      <c r="A1640" s="1">
        <v>16</v>
      </c>
      <c r="B1640" s="1" t="s">
        <v>1368</v>
      </c>
      <c r="C1640" s="1" t="str">
        <f ca="1">IFERROR(__xludf.DUMMYFUNCTION("GOOGLETRANSLATE(B1648,""en"",""ja"")"),"倫理")</f>
        <v>倫理</v>
      </c>
    </row>
    <row r="1641" spans="1:3" ht="18" customHeight="1" x14ac:dyDescent="0.3">
      <c r="A1641" s="1">
        <v>16</v>
      </c>
      <c r="B1641" s="1" t="s">
        <v>1369</v>
      </c>
      <c r="C1641" s="1" t="str">
        <f ca="1">IFERROR(__xludf.DUMMYFUNCTION("GOOGLETRANSLATE(B1649,""en"",""ja"")"),"等しい")</f>
        <v>等しい</v>
      </c>
    </row>
    <row r="1642" spans="1:3" ht="18" customHeight="1" x14ac:dyDescent="0.3">
      <c r="A1642" s="1">
        <v>16</v>
      </c>
      <c r="B1642" s="1" t="s">
        <v>1370</v>
      </c>
      <c r="C1642" s="1" t="str">
        <f ca="1">IFERROR(__xludf.DUMMYFUNCTION("GOOGLETRANSLATE(B1650,""en"",""ja"")"),"啓発")</f>
        <v>啓発</v>
      </c>
    </row>
    <row r="1643" spans="1:3" ht="18" customHeight="1" x14ac:dyDescent="0.3">
      <c r="A1643" s="1">
        <v>16</v>
      </c>
      <c r="B1643" s="1" t="s">
        <v>1371</v>
      </c>
      <c r="C1643" s="1" t="str">
        <f ca="1">IFERROR(__xludf.DUMMYFUNCTION("GOOGLETRANSLATE(B1651,""en"",""ja"")"),"敵")</f>
        <v>敵</v>
      </c>
    </row>
    <row r="1644" spans="1:3" ht="18" customHeight="1" x14ac:dyDescent="0.3">
      <c r="A1644" s="1">
        <v>16</v>
      </c>
      <c r="B1644" s="1" t="s">
        <v>1372</v>
      </c>
      <c r="C1644" s="1" t="str">
        <f ca="1">IFERROR(__xludf.DUMMYFUNCTION("GOOGLETRANSLATE(B1652,""en"",""ja"")"),"出会い")</f>
        <v>出会い</v>
      </c>
    </row>
    <row r="1645" spans="1:3" ht="18" customHeight="1" x14ac:dyDescent="0.3">
      <c r="A1645" s="1">
        <v>16</v>
      </c>
      <c r="B1645" s="1" t="s">
        <v>1373</v>
      </c>
      <c r="C1645" s="1" t="str">
        <f ca="1">IFERROR(__xludf.DUMMYFUNCTION("GOOGLETRANSLATE(B1653,""en"",""ja"")"),"そうしないと")</f>
        <v>そうしないと</v>
      </c>
    </row>
    <row r="1646" spans="1:3" ht="18" customHeight="1" x14ac:dyDescent="0.3">
      <c r="A1646" s="1">
        <v>16</v>
      </c>
      <c r="B1646" s="1" t="s">
        <v>1374</v>
      </c>
      <c r="C1646" s="1" t="str">
        <f ca="1">IFERROR(__xludf.DUMMYFUNCTION("GOOGLETRANSLATE(B1655,""en"",""ja"")"),"電気")</f>
        <v>電気</v>
      </c>
    </row>
    <row r="1647" spans="1:3" ht="18" customHeight="1" x14ac:dyDescent="0.3">
      <c r="A1647" s="1">
        <v>16</v>
      </c>
      <c r="B1647" s="1" t="s">
        <v>858</v>
      </c>
      <c r="C1647" s="1" t="str">
        <f ca="1">IFERROR(__xludf.DUMMYFUNCTION("GOOGLETRANSLATE(B1656,""en"",""ja"")"),"効果")</f>
        <v>効果</v>
      </c>
    </row>
    <row r="1648" spans="1:3" ht="18" customHeight="1" x14ac:dyDescent="0.3">
      <c r="A1648" s="1">
        <v>16</v>
      </c>
      <c r="B1648" s="1" t="s">
        <v>287</v>
      </c>
      <c r="C1648" s="1" t="str">
        <f ca="1">IFERROR(__xludf.DUMMYFUNCTION("GOOGLETRANSLATE(B1657,""en"",""ja"")"),"早いです")</f>
        <v>早いです</v>
      </c>
    </row>
    <row r="1649" spans="1:3" ht="18" customHeight="1" x14ac:dyDescent="0.3">
      <c r="A1649" s="1">
        <v>16</v>
      </c>
      <c r="B1649" s="1" t="s">
        <v>1375</v>
      </c>
      <c r="C1649" s="1" t="str">
        <f ca="1">IFERROR(__xludf.DUMMYFUNCTION("GOOGLETRANSLATE(B1658,""en"",""ja"")"),"期間")</f>
        <v>期間</v>
      </c>
    </row>
    <row r="1650" spans="1:3" ht="18" customHeight="1" x14ac:dyDescent="0.3">
      <c r="A1650" s="1">
        <v>16</v>
      </c>
      <c r="B1650" s="1" t="s">
        <v>1376</v>
      </c>
      <c r="C1650" s="1" t="str">
        <f ca="1">IFERROR(__xludf.DUMMYFUNCTION("GOOGLETRANSLATE(B1659,""en"",""ja"")"),"区別")</f>
        <v>区別</v>
      </c>
    </row>
    <row r="1651" spans="1:3" ht="18" customHeight="1" x14ac:dyDescent="0.3">
      <c r="A1651" s="1">
        <v>16</v>
      </c>
      <c r="B1651" s="1" t="s">
        <v>1377</v>
      </c>
      <c r="C1651" s="1" t="str">
        <f ca="1">IFERROR(__xludf.DUMMYFUNCTION("GOOGLETRANSLATE(B1660,""en"",""ja"")"),"遠く")</f>
        <v>遠く</v>
      </c>
    </row>
    <row r="1652" spans="1:3" ht="18" customHeight="1" x14ac:dyDescent="0.3">
      <c r="A1652" s="1">
        <v>16</v>
      </c>
      <c r="B1652" s="1" t="s">
        <v>1378</v>
      </c>
      <c r="C1652" s="1" t="str">
        <f ca="1">IFERROR(__xludf.DUMMYFUNCTION("GOOGLETRANSLATE(B1661,""en"",""ja"")"),"下降")</f>
        <v>下降</v>
      </c>
    </row>
    <row r="1653" spans="1:3" ht="18" customHeight="1" x14ac:dyDescent="0.3">
      <c r="A1653" s="1">
        <v>16</v>
      </c>
      <c r="B1653" s="1" t="s">
        <v>1379</v>
      </c>
      <c r="C1653" s="1" t="str">
        <f ca="1">IFERROR(__xludf.DUMMYFUNCTION("GOOGLETRANSLATE(B1662,""en"",""ja"")"),"民主主義")</f>
        <v>民主主義</v>
      </c>
    </row>
    <row r="1654" spans="1:3" ht="18" customHeight="1" x14ac:dyDescent="0.3">
      <c r="A1654" s="1">
        <v>16</v>
      </c>
      <c r="B1654" s="1" t="s">
        <v>1380</v>
      </c>
      <c r="C1654" s="1" t="str">
        <f ca="1">IFERROR(__xludf.DUMMYFUNCTION("GOOGLETRANSLATE(B1663,""en"",""ja"")"),"宣言")</f>
        <v>宣言</v>
      </c>
    </row>
    <row r="1655" spans="1:3" ht="18" customHeight="1" x14ac:dyDescent="0.3">
      <c r="A1655" s="1">
        <v>16</v>
      </c>
      <c r="B1655" s="1" t="s">
        <v>1381</v>
      </c>
      <c r="C1655" s="1" t="str">
        <f ca="1">IFERROR(__xludf.DUMMYFUNCTION("GOOGLETRANSLATE(B1664,""en"",""ja"")"),"D")</f>
        <v>D</v>
      </c>
    </row>
    <row r="1656" spans="1:3" ht="18" customHeight="1" x14ac:dyDescent="0.3">
      <c r="A1656" s="1">
        <v>16</v>
      </c>
      <c r="B1656" s="1" t="s">
        <v>1382</v>
      </c>
      <c r="C1656" s="1" t="str">
        <f ca="1">IFERROR(__xludf.DUMMYFUNCTION("GOOGLETRANSLATE(B1665,""en"",""ja"")"),"サイクル")</f>
        <v>サイクル</v>
      </c>
    </row>
    <row r="1657" spans="1:3" ht="18" customHeight="1" x14ac:dyDescent="0.3">
      <c r="A1657" s="1">
        <v>16</v>
      </c>
      <c r="B1657" s="1" t="s">
        <v>1383</v>
      </c>
      <c r="C1657" s="1" t="str">
        <f ca="1">IFERROR(__xludf.DUMMYFUNCTION("GOOGLETRANSLATE(B1666,""en"",""ja"")"),"獣")</f>
        <v>獣</v>
      </c>
    </row>
    <row r="1658" spans="1:3" ht="18" customHeight="1" x14ac:dyDescent="0.3">
      <c r="A1658" s="1">
        <v>16</v>
      </c>
      <c r="B1658" s="1" t="s">
        <v>1384</v>
      </c>
      <c r="C1658" s="1" t="str">
        <f ca="1">IFERROR(__xludf.DUMMYFUNCTION("GOOGLETRANSLATE(B1667,""en"",""ja"")"),"従来の")</f>
        <v>従来の</v>
      </c>
    </row>
    <row r="1659" spans="1:3" ht="18" customHeight="1" x14ac:dyDescent="0.3">
      <c r="A1659" s="1">
        <v>16</v>
      </c>
      <c r="B1659" s="1" t="s">
        <v>715</v>
      </c>
      <c r="C1659" s="1" t="str">
        <f ca="1">IFERROR(__xludf.DUMMYFUNCTION("GOOGLETRANSLATE(B1668,""en"",""ja"")"),"消費")</f>
        <v>消費</v>
      </c>
    </row>
    <row r="1660" spans="1:3" ht="18" customHeight="1" x14ac:dyDescent="0.3">
      <c r="A1660" s="1">
        <v>16</v>
      </c>
      <c r="B1660" s="1" t="s">
        <v>1385</v>
      </c>
      <c r="C1660" s="1" t="str">
        <f ca="1">IFERROR(__xludf.DUMMYFUNCTION("GOOGLETRANSLATE(B1669,""en"",""ja"")"),"主務")</f>
        <v>主務</v>
      </c>
    </row>
    <row r="1661" spans="1:3" ht="18" customHeight="1" x14ac:dyDescent="0.3">
      <c r="A1661" s="1">
        <v>16</v>
      </c>
      <c r="B1661" s="1" t="s">
        <v>1386</v>
      </c>
      <c r="C1661" s="1" t="str">
        <f ca="1">IFERROR(__xludf.DUMMYFUNCTION("GOOGLETRANSLATE(B1670,""en"",""ja"")"),"色")</f>
        <v>色</v>
      </c>
    </row>
    <row r="1662" spans="1:3" ht="18" customHeight="1" x14ac:dyDescent="0.3">
      <c r="A1662" s="1">
        <v>16</v>
      </c>
      <c r="B1662" s="1" t="s">
        <v>864</v>
      </c>
      <c r="C1662" s="1" t="str">
        <f ca="1">IFERROR(__xludf.DUMMYFUNCTION("GOOGLETRANSLATE(B1671,""en"",""ja"")"),"コード")</f>
        <v>コード</v>
      </c>
    </row>
    <row r="1663" spans="1:3" ht="18" customHeight="1" x14ac:dyDescent="0.3">
      <c r="A1663" s="1">
        <v>16</v>
      </c>
      <c r="B1663" s="1" t="s">
        <v>1387</v>
      </c>
      <c r="C1663" s="1" t="str">
        <f ca="1">IFERROR(__xludf.DUMMYFUNCTION("GOOGLETRANSLATE(B1672,""en"",""ja"")"),"かわった")</f>
        <v>かわった</v>
      </c>
    </row>
    <row r="1664" spans="1:3" ht="18" customHeight="1" x14ac:dyDescent="0.3">
      <c r="A1664" s="1">
        <v>16</v>
      </c>
      <c r="B1664" s="1" t="s">
        <v>1388</v>
      </c>
      <c r="C1664" s="1" t="str">
        <f ca="1">IFERROR(__xludf.DUMMYFUNCTION("GOOGLETRANSLATE(B1673,""en"",""ja"")"),"セントラル")</f>
        <v>セントラル</v>
      </c>
    </row>
    <row r="1665" spans="1:3" ht="18" customHeight="1" x14ac:dyDescent="0.3">
      <c r="A1665" s="1">
        <v>16</v>
      </c>
      <c r="B1665" s="1" t="s">
        <v>1389</v>
      </c>
      <c r="C1665" s="1" t="str">
        <f ca="1">IFERROR(__xludf.DUMMYFUNCTION("GOOGLETRANSLATE(B1674,""en"",""ja"")"),"センター")</f>
        <v>センター</v>
      </c>
    </row>
    <row r="1666" spans="1:3" ht="18" customHeight="1" x14ac:dyDescent="0.3">
      <c r="A1666" s="1">
        <v>16</v>
      </c>
      <c r="B1666" s="1" t="s">
        <v>1390</v>
      </c>
      <c r="C1666" s="1" t="str">
        <f ca="1">IFERROR(__xludf.DUMMYFUNCTION("GOOGLETRANSLATE(B1675,""en"",""ja"")"),"キャリア")</f>
        <v>キャリア</v>
      </c>
    </row>
    <row r="1667" spans="1:3" ht="18" customHeight="1" x14ac:dyDescent="0.3">
      <c r="A1667" s="1">
        <v>16</v>
      </c>
      <c r="B1667" s="1" t="s">
        <v>32</v>
      </c>
      <c r="C1667" s="1" t="str">
        <f ca="1">IFERROR(__xludf.DUMMYFUNCTION("GOOGLETRANSLATE(B1676,""en"",""ja"")"),"できる")</f>
        <v>できる</v>
      </c>
    </row>
    <row r="1668" spans="1:3" ht="18" customHeight="1" x14ac:dyDescent="0.3">
      <c r="A1668" s="1">
        <v>16</v>
      </c>
      <c r="B1668" s="1" t="s">
        <v>1028</v>
      </c>
      <c r="C1668" s="1" t="str">
        <f ca="1">IFERROR(__xludf.DUMMYFUNCTION("GOOGLETRANSLATE(B1677,""en"",""ja"")"),"生物圏")</f>
        <v>生物圏</v>
      </c>
    </row>
    <row r="1669" spans="1:3" ht="18" customHeight="1" x14ac:dyDescent="0.3">
      <c r="A1669" s="1">
        <v>16</v>
      </c>
      <c r="B1669" s="1" t="s">
        <v>1391</v>
      </c>
      <c r="C1669" s="1" t="str">
        <f ca="1">IFERROR(__xludf.DUMMYFUNCTION("GOOGLETRANSLATE(B1678,""en"",""ja"")"),"生物多様性")</f>
        <v>生物多様性</v>
      </c>
    </row>
    <row r="1670" spans="1:3" ht="18" customHeight="1" x14ac:dyDescent="0.3">
      <c r="A1670" s="1">
        <v>16</v>
      </c>
      <c r="B1670" s="1" t="s">
        <v>1392</v>
      </c>
      <c r="C1670" s="1" t="str">
        <f ca="1">IFERROR(__xludf.DUMMYFUNCTION("GOOGLETRANSLATE(B1679,""en"",""ja"")"),"基本的な")</f>
        <v>基本的な</v>
      </c>
    </row>
    <row r="1671" spans="1:3" ht="18" customHeight="1" x14ac:dyDescent="0.3">
      <c r="A1671" s="1">
        <v>16</v>
      </c>
      <c r="B1671" s="1" t="s">
        <v>1393</v>
      </c>
      <c r="C1671" s="1" t="str">
        <f ca="1">IFERROR(__xludf.DUMMYFUNCTION("GOOGLETRANSLATE(B1680,""en"",""ja"")"),"仮定")</f>
        <v>仮定</v>
      </c>
    </row>
    <row r="1672" spans="1:3" ht="18" customHeight="1" x14ac:dyDescent="0.3">
      <c r="A1672" s="1">
        <v>16</v>
      </c>
      <c r="B1672" s="1" t="s">
        <v>871</v>
      </c>
      <c r="C1672" s="1" t="str">
        <f ca="1">IFERROR(__xludf.DUMMYFUNCTION("GOOGLETRANSLATE(B1681,""en"",""ja"")"),"アート")</f>
        <v>アート</v>
      </c>
    </row>
    <row r="1673" spans="1:3" ht="18" customHeight="1" x14ac:dyDescent="0.3">
      <c r="A1673" s="1">
        <v>16</v>
      </c>
      <c r="B1673" s="1" t="s">
        <v>1394</v>
      </c>
      <c r="C1673" s="1" t="str">
        <f ca="1">IFERROR(__xludf.DUMMYFUNCTION("GOOGLETRANSLATE(B1682,""en"",""ja"")"),"適用します")</f>
        <v>適用します</v>
      </c>
    </row>
    <row r="1674" spans="1:3" ht="18" customHeight="1" x14ac:dyDescent="0.3">
      <c r="A1674" s="1">
        <v>16</v>
      </c>
      <c r="B1674" s="1" t="s">
        <v>410</v>
      </c>
      <c r="C1674" s="1" t="str">
        <f ca="1">IFERROR(__xludf.DUMMYFUNCTION("GOOGLETRANSLATE(B1683,""en"",""ja"")"),"前")</f>
        <v>前</v>
      </c>
    </row>
    <row r="1675" spans="1:3" ht="18" customHeight="1" x14ac:dyDescent="0.3">
      <c r="A1675" s="1">
        <v>16</v>
      </c>
      <c r="B1675" s="1" t="s">
        <v>1395</v>
      </c>
      <c r="C1675" s="1" t="str">
        <f ca="1">IFERROR(__xludf.DUMMYFUNCTION("GOOGLETRANSLATE(B1684,""en"",""ja"")"),"与えます")</f>
        <v>与えます</v>
      </c>
    </row>
    <row r="1676" spans="1:3" ht="18" customHeight="1" x14ac:dyDescent="0.3">
      <c r="A1676" s="1">
        <v>15</v>
      </c>
      <c r="B1676" s="1" t="s">
        <v>1396</v>
      </c>
      <c r="C1676" s="1" t="str">
        <f ca="1">IFERROR(__xludf.DUMMYFUNCTION("GOOGLETRANSLATE(B1685,""en"",""ja"")"),"ニューヨーク")</f>
        <v>ニューヨーク</v>
      </c>
    </row>
    <row r="1677" spans="1:3" ht="18" customHeight="1" x14ac:dyDescent="0.3">
      <c r="A1677" s="1">
        <v>15</v>
      </c>
      <c r="B1677" s="1" t="s">
        <v>1397</v>
      </c>
      <c r="C1677" s="1" t="str">
        <f ca="1">IFERROR(__xludf.DUMMYFUNCTION("GOOGLETRANSLATE(B1686,""en"",""ja"")"),"違う")</f>
        <v>違う</v>
      </c>
    </row>
    <row r="1678" spans="1:3" ht="18" customHeight="1" x14ac:dyDescent="0.3">
      <c r="A1678" s="1">
        <v>15</v>
      </c>
      <c r="B1678" s="1" t="s">
        <v>1398</v>
      </c>
      <c r="C1678" s="1" t="str">
        <f ca="1">IFERROR(__xludf.DUMMYFUNCTION("GOOGLETRANSLATE(B1687,""en"",""ja"")"),"心配")</f>
        <v>心配</v>
      </c>
    </row>
    <row r="1679" spans="1:3" ht="18" customHeight="1" x14ac:dyDescent="0.3">
      <c r="A1679" s="1">
        <v>15</v>
      </c>
      <c r="B1679" s="1" t="s">
        <v>1399</v>
      </c>
      <c r="C1679" s="1" t="str">
        <f ca="1">IFERROR(__xludf.DUMMYFUNCTION("GOOGLETRANSLATE(B1688,""en"",""ja"")"),"広範")</f>
        <v>広範</v>
      </c>
    </row>
    <row r="1680" spans="1:3" ht="18" customHeight="1" x14ac:dyDescent="0.3">
      <c r="A1680" s="1">
        <v>15</v>
      </c>
      <c r="B1680" s="1" t="s">
        <v>336</v>
      </c>
      <c r="C1680" s="1" t="str">
        <f ca="1">IFERROR(__xludf.DUMMYFUNCTION("GOOGLETRANSLATE(B1689,""en"",""ja"")"),"全体")</f>
        <v>全体</v>
      </c>
    </row>
    <row r="1681" spans="1:3" ht="18" customHeight="1" x14ac:dyDescent="0.3">
      <c r="A1681" s="1">
        <v>15</v>
      </c>
      <c r="B1681" s="1" t="s">
        <v>1400</v>
      </c>
      <c r="C1681" s="1" t="str">
        <f ca="1">IFERROR(__xludf.DUMMYFUNCTION("GOOGLETRANSLATE(B1690,""en"",""ja"")"),"都度")</f>
        <v>都度</v>
      </c>
    </row>
    <row r="1682" spans="1:3" ht="18" customHeight="1" x14ac:dyDescent="0.3">
      <c r="A1682" s="1">
        <v>15</v>
      </c>
      <c r="B1682" s="1" t="s">
        <v>1401</v>
      </c>
      <c r="C1682" s="1" t="str">
        <f ca="1">IFERROR(__xludf.DUMMYFUNCTION("GOOGLETRANSLATE(B1691,""en"",""ja"")"),"西")</f>
        <v>西</v>
      </c>
    </row>
    <row r="1683" spans="1:3" ht="18" customHeight="1" x14ac:dyDescent="0.3">
      <c r="A1683" s="1">
        <v>15</v>
      </c>
      <c r="B1683" s="1" t="s">
        <v>1402</v>
      </c>
      <c r="C1683" s="1" t="str">
        <f ca="1">IFERROR(__xludf.DUMMYFUNCTION("GOOGLETRANSLATE(B1692,""en"",""ja"")"),"見る")</f>
        <v>見る</v>
      </c>
    </row>
    <row r="1684" spans="1:3" ht="18" customHeight="1" x14ac:dyDescent="0.3">
      <c r="A1684" s="1">
        <v>15</v>
      </c>
      <c r="B1684" s="1" t="s">
        <v>1403</v>
      </c>
      <c r="C1684" s="1" t="str">
        <f ca="1">IFERROR(__xludf.DUMMYFUNCTION("GOOGLETRANSLATE(B1693,""en"",""ja"")"),"禿鷹")</f>
        <v>禿鷹</v>
      </c>
    </row>
    <row r="1685" spans="1:3" ht="18" customHeight="1" x14ac:dyDescent="0.3">
      <c r="A1685" s="1">
        <v>15</v>
      </c>
      <c r="B1685" s="1" t="s">
        <v>1404</v>
      </c>
      <c r="C1685" s="1" t="str">
        <f ca="1">IFERROR(__xludf.DUMMYFUNCTION("GOOGLETRANSLATE(B1694,""en"",""ja"")"),"激しいです")</f>
        <v>激しいです</v>
      </c>
    </row>
    <row r="1686" spans="1:3" ht="18" customHeight="1" x14ac:dyDescent="0.3">
      <c r="A1686" s="1">
        <v>15</v>
      </c>
      <c r="B1686" s="1" t="s">
        <v>1405</v>
      </c>
      <c r="C1686" s="1" t="str">
        <f ca="1">IFERROR(__xludf.DUMMYFUNCTION("GOOGLETRANSLATE(B1695,""en"",""ja"")"),"観覧")</f>
        <v>観覧</v>
      </c>
    </row>
    <row r="1687" spans="1:3" ht="18" customHeight="1" x14ac:dyDescent="0.3">
      <c r="A1687" s="1">
        <v>15</v>
      </c>
      <c r="B1687" s="1" t="s">
        <v>1406</v>
      </c>
      <c r="C1687" s="1" t="str">
        <f ca="1">IFERROR(__xludf.DUMMYFUNCTION("GOOGLETRANSLATE(B1696,""en"",""ja"")"),"犠牲者")</f>
        <v>犠牲者</v>
      </c>
    </row>
    <row r="1688" spans="1:3" ht="18" customHeight="1" x14ac:dyDescent="0.3">
      <c r="A1688" s="1">
        <v>15</v>
      </c>
      <c r="B1688" s="1" t="s">
        <v>1407</v>
      </c>
      <c r="C1688" s="1" t="str">
        <f ca="1">IFERROR(__xludf.DUMMYFUNCTION("GOOGLETRANSLATE(B1697,""en"",""ja"")"),"バリエーション")</f>
        <v>バリエーション</v>
      </c>
    </row>
    <row r="1689" spans="1:3" ht="18" customHeight="1" x14ac:dyDescent="0.3">
      <c r="A1689" s="1">
        <v>15</v>
      </c>
      <c r="B1689" s="1" t="s">
        <v>1408</v>
      </c>
      <c r="C1689" s="1" t="str">
        <f ca="1">IFERROR(__xludf.DUMMYFUNCTION("GOOGLETRANSLATE(B1698,""en"",""ja"")"),"用途")</f>
        <v>用途</v>
      </c>
    </row>
    <row r="1690" spans="1:3" ht="18" customHeight="1" x14ac:dyDescent="0.3">
      <c r="A1690" s="1">
        <v>15</v>
      </c>
      <c r="B1690" s="1" t="s">
        <v>73</v>
      </c>
      <c r="C1690" s="1" t="str">
        <f ca="1">IFERROR(__xludf.DUMMYFUNCTION("GOOGLETRANSLATE(B1699,""en"",""ja"")"),"二")</f>
        <v>二</v>
      </c>
    </row>
    <row r="1691" spans="1:3" ht="18" customHeight="1" x14ac:dyDescent="0.3">
      <c r="A1691" s="1">
        <v>15</v>
      </c>
      <c r="B1691" s="1" t="s">
        <v>1409</v>
      </c>
      <c r="C1691" s="1" t="str">
        <f ca="1">IFERROR(__xludf.DUMMYFUNCTION("GOOGLETRANSLATE(B1700,""en"",""ja"")"),"試してみました")</f>
        <v>試してみました</v>
      </c>
    </row>
    <row r="1692" spans="1:3" ht="18" customHeight="1" x14ac:dyDescent="0.3">
      <c r="A1692" s="1">
        <v>15</v>
      </c>
      <c r="B1692" s="1" t="s">
        <v>290</v>
      </c>
      <c r="C1692" s="1" t="str">
        <f ca="1">IFERROR(__xludf.DUMMYFUNCTION("GOOGLETRANSLATE(B1701,""en"",""ja"")"),"にもかかわらず")</f>
        <v>にもかかわらず</v>
      </c>
    </row>
    <row r="1693" spans="1:3" ht="18" customHeight="1" x14ac:dyDescent="0.3">
      <c r="A1693" s="1">
        <v>15</v>
      </c>
      <c r="B1693" s="1" t="s">
        <v>1410</v>
      </c>
      <c r="C1693" s="1" t="str">
        <f ca="1">IFERROR(__xludf.DUMMYFUNCTION("GOOGLETRANSLATE(B1702,""en"",""ja"")"),"テキスト")</f>
        <v>テキスト</v>
      </c>
    </row>
    <row r="1694" spans="1:3" ht="18" customHeight="1" x14ac:dyDescent="0.3">
      <c r="A1694" s="1">
        <v>15</v>
      </c>
      <c r="B1694" s="1" t="s">
        <v>1411</v>
      </c>
      <c r="C1694" s="1" t="str">
        <f ca="1">IFERROR(__xludf.DUMMYFUNCTION("GOOGLETRANSLATE(B1703,""en"",""ja"")"),"驚くべき")</f>
        <v>驚くべき</v>
      </c>
    </row>
    <row r="1695" spans="1:3" ht="18" customHeight="1" x14ac:dyDescent="0.3">
      <c r="A1695" s="1">
        <v>15</v>
      </c>
      <c r="B1695" s="1" t="s">
        <v>1412</v>
      </c>
      <c r="C1695" s="1" t="str">
        <f ca="1">IFERROR(__xludf.DUMMYFUNCTION("GOOGLETRANSLATE(B1704,""en"",""ja"")"),"うまく")</f>
        <v>うまく</v>
      </c>
    </row>
    <row r="1696" spans="1:3" ht="18" customHeight="1" x14ac:dyDescent="0.3">
      <c r="A1696" s="1">
        <v>15</v>
      </c>
      <c r="B1696" s="1" t="s">
        <v>1413</v>
      </c>
      <c r="C1696" s="1" t="str">
        <f ca="1">IFERROR(__xludf.DUMMYFUNCTION("GOOGLETRANSLATE(B1705,""en"",""ja"")"),"成功しました")</f>
        <v>成功しました</v>
      </c>
    </row>
    <row r="1697" spans="1:3" ht="18" customHeight="1" x14ac:dyDescent="0.3">
      <c r="A1697" s="1">
        <v>15</v>
      </c>
      <c r="B1697" s="1" t="s">
        <v>1414</v>
      </c>
      <c r="C1697" s="1" t="str">
        <f ca="1">IFERROR(__xludf.DUMMYFUNCTION("GOOGLETRANSLATE(B1706,""en"",""ja"")"),"通り")</f>
        <v>通り</v>
      </c>
    </row>
    <row r="1698" spans="1:3" ht="18" customHeight="1" x14ac:dyDescent="0.3">
      <c r="A1698" s="1">
        <v>15</v>
      </c>
      <c r="B1698" s="1" t="s">
        <v>1415</v>
      </c>
      <c r="C1698" s="1" t="str">
        <f ca="1">IFERROR(__xludf.DUMMYFUNCTION("GOOGLETRANSLATE(B1707,""en"",""ja"")"),"開始")</f>
        <v>開始</v>
      </c>
    </row>
    <row r="1699" spans="1:3" ht="18" customHeight="1" x14ac:dyDescent="0.3">
      <c r="A1699" s="1">
        <v>15</v>
      </c>
      <c r="B1699" s="1" t="s">
        <v>1416</v>
      </c>
      <c r="C1699" s="1" t="str">
        <f ca="1">IFERROR(__xludf.DUMMYFUNCTION("GOOGLETRANSLATE(B1708,""en"",""ja"")"),"南方の")</f>
        <v>南方の</v>
      </c>
    </row>
    <row r="1700" spans="1:3" ht="18" customHeight="1" x14ac:dyDescent="0.3">
      <c r="A1700" s="1">
        <v>15</v>
      </c>
      <c r="B1700" s="1" t="s">
        <v>1417</v>
      </c>
      <c r="C1700" s="1" t="str">
        <f ca="1">IFERROR(__xludf.DUMMYFUNCTION("GOOGLETRANSLATE(B1709,""en"",""ja"")"),"何とかして")</f>
        <v>何とかして</v>
      </c>
    </row>
    <row r="1701" spans="1:3" ht="18" customHeight="1" x14ac:dyDescent="0.3">
      <c r="A1701" s="1">
        <v>15</v>
      </c>
      <c r="B1701" s="1" t="s">
        <v>1418</v>
      </c>
      <c r="C1701" s="1" t="str">
        <f ca="1">IFERROR(__xludf.DUMMYFUNCTION("GOOGLETRANSLATE(B1710,""en"",""ja"")"),"解決する")</f>
        <v>解決する</v>
      </c>
    </row>
    <row r="1702" spans="1:3" ht="18" customHeight="1" x14ac:dyDescent="0.3">
      <c r="A1702" s="1">
        <v>15</v>
      </c>
      <c r="B1702" s="1" t="s">
        <v>1419</v>
      </c>
      <c r="C1702" s="1" t="str">
        <f ca="1">IFERROR(__xludf.DUMMYFUNCTION("GOOGLETRANSLATE(B1711,""en"",""ja"")"),"社会")</f>
        <v>社会</v>
      </c>
    </row>
    <row r="1703" spans="1:3" ht="18" customHeight="1" x14ac:dyDescent="0.3">
      <c r="A1703" s="1">
        <v>15</v>
      </c>
      <c r="B1703" s="1" t="s">
        <v>348</v>
      </c>
      <c r="C1703" s="1" t="str">
        <f ca="1">IFERROR(__xludf.DUMMYFUNCTION("GOOGLETRANSLATE(B1712,""en"",""ja"")"),"シングル")</f>
        <v>シングル</v>
      </c>
    </row>
    <row r="1704" spans="1:3" ht="18" customHeight="1" x14ac:dyDescent="0.3">
      <c r="A1704" s="1">
        <v>15</v>
      </c>
      <c r="B1704" s="1" t="s">
        <v>1420</v>
      </c>
      <c r="C1704" s="1" t="str">
        <f ca="1">IFERROR(__xludf.DUMMYFUNCTION("GOOGLETRANSLATE(B1713,""en"",""ja"")"),"セッティング")</f>
        <v>セッティング</v>
      </c>
    </row>
    <row r="1705" spans="1:3" ht="18" customHeight="1" x14ac:dyDescent="0.3">
      <c r="A1705" s="1">
        <v>15</v>
      </c>
      <c r="B1705" s="1" t="s">
        <v>1421</v>
      </c>
      <c r="C1705" s="1" t="str">
        <f ca="1">IFERROR(__xludf.DUMMYFUNCTION("GOOGLETRANSLATE(B1714,""en"",""ja"")"),"売る")</f>
        <v>売る</v>
      </c>
    </row>
    <row r="1706" spans="1:3" ht="18" customHeight="1" x14ac:dyDescent="0.3">
      <c r="A1706" s="1">
        <v>15</v>
      </c>
      <c r="B1706" s="1" t="s">
        <v>1422</v>
      </c>
      <c r="C1706" s="1" t="str">
        <f ca="1">IFERROR(__xludf.DUMMYFUNCTION("GOOGLETRANSLATE(B1715,""en"",""ja"")"),"世俗的な")</f>
        <v>世俗的な</v>
      </c>
    </row>
    <row r="1707" spans="1:3" ht="18" customHeight="1" x14ac:dyDescent="0.3">
      <c r="A1707" s="1">
        <v>15</v>
      </c>
      <c r="B1707" s="1" t="s">
        <v>1423</v>
      </c>
      <c r="C1707" s="1" t="str">
        <f ca="1">IFERROR(__xludf.DUMMYFUNCTION("GOOGLETRANSLATE(B1716,""en"",""ja"")"),"大敗")</f>
        <v>大敗</v>
      </c>
    </row>
    <row r="1708" spans="1:3" ht="18" customHeight="1" x14ac:dyDescent="0.3">
      <c r="A1708" s="1">
        <v>15</v>
      </c>
      <c r="B1708" s="1" t="s">
        <v>1424</v>
      </c>
      <c r="C1708" s="1" t="str">
        <f ca="1">IFERROR(__xludf.DUMMYFUNCTION("GOOGLETRANSLATE(B1717,""en"",""ja"")"),"おおよそ")</f>
        <v>おおよそ</v>
      </c>
    </row>
    <row r="1709" spans="1:3" ht="18" customHeight="1" x14ac:dyDescent="0.3">
      <c r="A1709" s="1">
        <v>15</v>
      </c>
      <c r="B1709" s="1" t="s">
        <v>1425</v>
      </c>
      <c r="C1709" s="1" t="str">
        <f ca="1">IFERROR(__xludf.DUMMYFUNCTION("GOOGLETRANSLATE(B1718,""en"",""ja"")"),"ROM")</f>
        <v>ROM</v>
      </c>
    </row>
    <row r="1710" spans="1:3" ht="18" customHeight="1" x14ac:dyDescent="0.3">
      <c r="A1710" s="1">
        <v>15</v>
      </c>
      <c r="B1710" s="1" t="s">
        <v>1426</v>
      </c>
      <c r="C1710" s="1" t="str">
        <f ca="1">IFERROR(__xludf.DUMMYFUNCTION("GOOGLETRANSLATE(B1719,""en"",""ja"")"),"リターン")</f>
        <v>リターン</v>
      </c>
    </row>
    <row r="1711" spans="1:3" ht="18" customHeight="1" x14ac:dyDescent="0.3">
      <c r="A1711" s="1">
        <v>15</v>
      </c>
      <c r="B1711" s="1" t="s">
        <v>1051</v>
      </c>
      <c r="C1711" s="1" t="str">
        <f ca="1">IFERROR(__xludf.DUMMYFUNCTION("GOOGLETRANSLATE(B1720,""en"",""ja"")"),"解決")</f>
        <v>解決</v>
      </c>
    </row>
    <row r="1712" spans="1:3" ht="18" customHeight="1" x14ac:dyDescent="0.3">
      <c r="A1712" s="1">
        <v>15</v>
      </c>
      <c r="B1712" s="1" t="s">
        <v>1427</v>
      </c>
      <c r="C1712" s="1" t="str">
        <f ca="1">IFERROR(__xludf.DUMMYFUNCTION("GOOGLETRANSLATE(B1721,""en"",""ja"")"),"定格")</f>
        <v>定格</v>
      </c>
    </row>
    <row r="1713" spans="1:3" ht="18" customHeight="1" x14ac:dyDescent="0.3">
      <c r="A1713" s="1">
        <v>15</v>
      </c>
      <c r="B1713" s="1" t="s">
        <v>1428</v>
      </c>
      <c r="C1713" s="1" t="str">
        <f ca="1">IFERROR(__xludf.DUMMYFUNCTION("GOOGLETRANSLATE(B1722,""en"",""ja"")"),"心理学者")</f>
        <v>心理学者</v>
      </c>
    </row>
    <row r="1714" spans="1:3" ht="18" customHeight="1" x14ac:dyDescent="0.3">
      <c r="A1714" s="1">
        <v>15</v>
      </c>
      <c r="B1714" s="1" t="s">
        <v>1429</v>
      </c>
      <c r="C1714" s="1" t="str">
        <f ca="1">IFERROR(__xludf.DUMMYFUNCTION("GOOGLETRANSLATE(B1723,""en"",""ja"")"),"証明します")</f>
        <v>証明します</v>
      </c>
    </row>
    <row r="1715" spans="1:3" ht="18" customHeight="1" x14ac:dyDescent="0.3">
      <c r="A1715" s="1">
        <v>15</v>
      </c>
      <c r="B1715" s="1" t="s">
        <v>1430</v>
      </c>
      <c r="C1715" s="1" t="str">
        <f ca="1">IFERROR(__xludf.DUMMYFUNCTION("GOOGLETRANSLATE(B1724,""en"",""ja"")"),"昇格")</f>
        <v>昇格</v>
      </c>
    </row>
    <row r="1716" spans="1:3" ht="18" customHeight="1" x14ac:dyDescent="0.3">
      <c r="A1716" s="1">
        <v>15</v>
      </c>
      <c r="B1716" s="1" t="s">
        <v>1431</v>
      </c>
      <c r="C1716" s="1" t="str">
        <f ca="1">IFERROR(__xludf.DUMMYFUNCTION("GOOGLETRANSLATE(B1725,""en"",""ja"")"),"プロモート")</f>
        <v>プロモート</v>
      </c>
    </row>
    <row r="1717" spans="1:3" ht="18" customHeight="1" x14ac:dyDescent="0.3">
      <c r="A1717" s="1">
        <v>15</v>
      </c>
      <c r="B1717" s="1" t="s">
        <v>1432</v>
      </c>
      <c r="C1717" s="1" t="str">
        <f ca="1">IFERROR(__xludf.DUMMYFUNCTION("GOOGLETRANSLATE(B1726,""en"",""ja"")"),"プログラム")</f>
        <v>プログラム</v>
      </c>
    </row>
    <row r="1718" spans="1:3" ht="18" customHeight="1" x14ac:dyDescent="0.3">
      <c r="A1718" s="1">
        <v>15</v>
      </c>
      <c r="B1718" s="1" t="s">
        <v>1433</v>
      </c>
      <c r="C1718" s="1" t="str">
        <f ca="1">IFERROR(__xludf.DUMMYFUNCTION("GOOGLETRANSLATE(B1727,""en"",""ja"")"),"生産性")</f>
        <v>生産性</v>
      </c>
    </row>
    <row r="1719" spans="1:3" ht="18" customHeight="1" x14ac:dyDescent="0.3">
      <c r="A1719" s="1">
        <v>15</v>
      </c>
      <c r="B1719" s="1" t="s">
        <v>700</v>
      </c>
      <c r="C1719" s="1" t="str">
        <f ca="1">IFERROR(__xludf.DUMMYFUNCTION("GOOGLETRANSLATE(B1728,""en"",""ja"")"),"作物")</f>
        <v>作物</v>
      </c>
    </row>
    <row r="1720" spans="1:3" ht="18" customHeight="1" x14ac:dyDescent="0.3">
      <c r="A1720" s="1">
        <v>15</v>
      </c>
      <c r="B1720" s="1" t="s">
        <v>1434</v>
      </c>
      <c r="C1720" s="1" t="str">
        <f ca="1">IFERROR(__xludf.DUMMYFUNCTION("GOOGLETRANSLATE(B1729,""en"",""ja"")"),"前")</f>
        <v>前</v>
      </c>
    </row>
    <row r="1721" spans="1:3" ht="18" customHeight="1" x14ac:dyDescent="0.3">
      <c r="A1721" s="1">
        <v>15</v>
      </c>
      <c r="B1721" s="1" t="s">
        <v>1435</v>
      </c>
      <c r="C1721" s="1" t="str">
        <f ca="1">IFERROR(__xludf.DUMMYFUNCTION("GOOGLETRANSLATE(B1730,""en"",""ja"")"),"現象")</f>
        <v>現象</v>
      </c>
    </row>
    <row r="1722" spans="1:3" ht="18" customHeight="1" x14ac:dyDescent="0.3">
      <c r="A1722" s="1">
        <v>15</v>
      </c>
      <c r="B1722" s="1" t="s">
        <v>759</v>
      </c>
      <c r="C1722" s="1" t="str">
        <f ca="1">IFERROR(__xludf.DUMMYFUNCTION("GOOGLETRANSLATE(B1731,""en"",""ja"")"),"パーティー")</f>
        <v>パーティー</v>
      </c>
    </row>
    <row r="1723" spans="1:3" ht="18" customHeight="1" x14ac:dyDescent="0.3">
      <c r="A1723" s="1">
        <v>15</v>
      </c>
      <c r="B1723" s="1" t="s">
        <v>1436</v>
      </c>
      <c r="C1723" s="1" t="str">
        <f ca="1">IFERROR(__xludf.DUMMYFUNCTION("GOOGLETRANSLATE(B1732,""en"",""ja"")"),"組織")</f>
        <v>組織</v>
      </c>
    </row>
    <row r="1724" spans="1:3" ht="18" customHeight="1" x14ac:dyDescent="0.3">
      <c r="A1724" s="1">
        <v>15</v>
      </c>
      <c r="B1724" s="1" t="s">
        <v>1437</v>
      </c>
      <c r="C1724" s="1" t="str">
        <f ca="1">IFERROR(__xludf.DUMMYFUNCTION("GOOGLETRANSLATE(B1733,""en"",""ja"")"),"自分")</f>
        <v>自分</v>
      </c>
    </row>
    <row r="1725" spans="1:3" ht="18" customHeight="1" x14ac:dyDescent="0.3">
      <c r="A1725" s="1">
        <v>15</v>
      </c>
      <c r="B1725" s="1" t="s">
        <v>1438</v>
      </c>
      <c r="C1725" s="1" t="str">
        <f ca="1">IFERROR(__xludf.DUMMYFUNCTION("GOOGLETRANSLATE(B1734,""en"",""ja"")"),"提供")</f>
        <v>提供</v>
      </c>
    </row>
    <row r="1726" spans="1:3" ht="18" customHeight="1" x14ac:dyDescent="0.3">
      <c r="A1726" s="1">
        <v>15</v>
      </c>
      <c r="B1726" s="1" t="s">
        <v>1439</v>
      </c>
      <c r="C1726" s="1" t="str">
        <f ca="1">IFERROR(__xludf.DUMMYFUNCTION("GOOGLETRANSLATE(B1735,""en"",""ja"")"),"ニュース")</f>
        <v>ニュース</v>
      </c>
    </row>
    <row r="1727" spans="1:3" ht="18" customHeight="1" x14ac:dyDescent="0.3">
      <c r="A1727" s="1">
        <v>15</v>
      </c>
      <c r="B1727" s="1" t="s">
        <v>43</v>
      </c>
      <c r="C1727" s="1" t="str">
        <f ca="1">IFERROR(__xludf.DUMMYFUNCTION("GOOGLETRANSLATE(B1736,""en"",""ja"")"),"新着")</f>
        <v>新着</v>
      </c>
    </row>
    <row r="1728" spans="1:3" ht="18" customHeight="1" x14ac:dyDescent="0.3">
      <c r="A1728" s="1">
        <v>15</v>
      </c>
      <c r="B1728" s="1" t="s">
        <v>1440</v>
      </c>
      <c r="C1728" s="1" t="str">
        <f ca="1">IFERROR(__xludf.DUMMYFUNCTION("GOOGLETRANSLATE(B1737,""en"",""ja"")"),"狭い")</f>
        <v>狭い</v>
      </c>
    </row>
    <row r="1729" spans="1:3" ht="18" customHeight="1" x14ac:dyDescent="0.3">
      <c r="A1729" s="1">
        <v>15</v>
      </c>
      <c r="B1729" s="1" t="s">
        <v>1441</v>
      </c>
      <c r="C1729" s="1" t="str">
        <f ca="1">IFERROR(__xludf.DUMMYFUNCTION("GOOGLETRANSLATE(B1738,""en"",""ja"")"),"多地域")</f>
        <v>多地域</v>
      </c>
    </row>
    <row r="1730" spans="1:3" ht="18" customHeight="1" x14ac:dyDescent="0.3">
      <c r="A1730" s="1">
        <v>15</v>
      </c>
      <c r="B1730" s="1" t="s">
        <v>1442</v>
      </c>
      <c r="C1730" s="1" t="str">
        <f ca="1">IFERROR(__xludf.DUMMYFUNCTION("GOOGLETRANSLATE(B1739,""en"",""ja"")"),"マルチ")</f>
        <v>マルチ</v>
      </c>
    </row>
    <row r="1731" spans="1:3" ht="18" customHeight="1" x14ac:dyDescent="0.3">
      <c r="A1731" s="1">
        <v>15</v>
      </c>
      <c r="B1731" s="1" t="s">
        <v>1443</v>
      </c>
      <c r="C1731" s="1" t="str">
        <f ca="1">IFERROR(__xludf.DUMMYFUNCTION("GOOGLETRANSLATE(B1740,""en"",""ja"")"),"分")</f>
        <v>分</v>
      </c>
    </row>
    <row r="1732" spans="1:3" ht="18" customHeight="1" x14ac:dyDescent="0.3">
      <c r="A1732" s="1">
        <v>15</v>
      </c>
      <c r="B1732" s="1" t="s">
        <v>762</v>
      </c>
      <c r="C1732" s="1" t="str">
        <f ca="1">IFERROR(__xludf.DUMMYFUNCTION("GOOGLETRANSLATE(B1741,""en"",""ja"")"),"マインド")</f>
        <v>マインド</v>
      </c>
    </row>
    <row r="1733" spans="1:3" ht="18" customHeight="1" x14ac:dyDescent="0.3">
      <c r="A1733" s="1">
        <v>15</v>
      </c>
      <c r="B1733" s="1" t="s">
        <v>1444</v>
      </c>
      <c r="C1733" s="1" t="str">
        <f ca="1">IFERROR(__xludf.DUMMYFUNCTION("GOOGLETRANSLATE(B1742,""en"",""ja"")"),"軍事的")</f>
        <v>軍事的</v>
      </c>
    </row>
    <row r="1734" spans="1:3" ht="18" customHeight="1" x14ac:dyDescent="0.3">
      <c r="A1734" s="1">
        <v>15</v>
      </c>
      <c r="B1734" s="1" t="s">
        <v>730</v>
      </c>
      <c r="C1734" s="1" t="str">
        <f ca="1">IFERROR(__xludf.DUMMYFUNCTION("GOOGLETRANSLATE(B1743,""en"",""ja"")"),"案件")</f>
        <v>案件</v>
      </c>
    </row>
    <row r="1735" spans="1:3" ht="18" customHeight="1" x14ac:dyDescent="0.3">
      <c r="A1735" s="1">
        <v>15</v>
      </c>
      <c r="B1735" s="1" t="s">
        <v>1445</v>
      </c>
      <c r="C1735" s="1" t="str">
        <f ca="1">IFERROR(__xludf.DUMMYFUNCTION("GOOGLETRANSLATE(B1744,""en"",""ja"")"),"管理")</f>
        <v>管理</v>
      </c>
    </row>
    <row r="1736" spans="1:3" ht="18" customHeight="1" x14ac:dyDescent="0.3">
      <c r="A1736" s="1">
        <v>15</v>
      </c>
      <c r="B1736" s="1" t="s">
        <v>1446</v>
      </c>
      <c r="C1736" s="1" t="str">
        <f ca="1">IFERROR(__xludf.DUMMYFUNCTION("GOOGLETRANSLATE(B1745,""en"",""ja"")"),"大多数")</f>
        <v>大多数</v>
      </c>
    </row>
    <row r="1737" spans="1:3" ht="18" customHeight="1" x14ac:dyDescent="0.3">
      <c r="A1737" s="1">
        <v>15</v>
      </c>
      <c r="B1737" s="1" t="s">
        <v>1447</v>
      </c>
      <c r="C1737" s="1" t="str">
        <f ca="1">IFERROR(__xludf.DUMMYFUNCTION("GOOGLETRANSLATE(B1746,""en"",""ja"")"),"生活")</f>
        <v>生活</v>
      </c>
    </row>
    <row r="1738" spans="1:3" ht="18" customHeight="1" x14ac:dyDescent="0.3">
      <c r="A1738" s="1">
        <v>15</v>
      </c>
      <c r="B1738" s="1" t="s">
        <v>1448</v>
      </c>
      <c r="C1738" s="1" t="str">
        <f ca="1">IFERROR(__xludf.DUMMYFUNCTION("GOOGLETRANSLATE(B1747,""en"",""ja"")"),"文字通り")</f>
        <v>文字通り</v>
      </c>
    </row>
    <row r="1739" spans="1:3" ht="18" customHeight="1" x14ac:dyDescent="0.3">
      <c r="A1739" s="1">
        <v>15</v>
      </c>
      <c r="B1739" s="1" t="s">
        <v>1449</v>
      </c>
      <c r="C1739" s="1" t="str">
        <f ca="1">IFERROR(__xludf.DUMMYFUNCTION("GOOGLETRANSLATE(B1748,""en"",""ja"")"),"余暇")</f>
        <v>余暇</v>
      </c>
    </row>
    <row r="1740" spans="1:3" ht="18" customHeight="1" x14ac:dyDescent="0.3">
      <c r="A1740" s="1">
        <v>15</v>
      </c>
      <c r="B1740" s="1" t="s">
        <v>611</v>
      </c>
      <c r="C1740" s="1" t="str">
        <f ca="1">IFERROR(__xludf.DUMMYFUNCTION("GOOGLETRANSLATE(B1749,""en"",""ja"")"),"土地")</f>
        <v>土地</v>
      </c>
    </row>
    <row r="1741" spans="1:3" ht="18" customHeight="1" x14ac:dyDescent="0.3">
      <c r="A1741" s="1">
        <v>15</v>
      </c>
      <c r="B1741" s="1" t="s">
        <v>1450</v>
      </c>
      <c r="C1741" s="1" t="str">
        <f ca="1">IFERROR(__xludf.DUMMYFUNCTION("GOOGLETRANSLATE(B1750,""en"",""ja"")"),"ジョブ")</f>
        <v>ジョブ</v>
      </c>
    </row>
    <row r="1742" spans="1:3" ht="18" customHeight="1" x14ac:dyDescent="0.3">
      <c r="A1742" s="1">
        <v>15</v>
      </c>
      <c r="B1742" s="1" t="s">
        <v>1451</v>
      </c>
      <c r="C1742" s="1" t="str">
        <f ca="1">IFERROR(__xludf.DUMMYFUNCTION("GOOGLETRANSLATE(B1752,""en"",""ja"")"),"びん")</f>
        <v>びん</v>
      </c>
    </row>
    <row r="1743" spans="1:3" ht="18" customHeight="1" x14ac:dyDescent="0.3">
      <c r="A1743" s="1">
        <v>15</v>
      </c>
      <c r="B1743" s="1" t="s">
        <v>1452</v>
      </c>
      <c r="C1743" s="1" t="str">
        <f ca="1">IFERROR(__xludf.DUMMYFUNCTION("GOOGLETRANSLATE(B1753,""en"",""ja"")"),"不規則")</f>
        <v>不規則</v>
      </c>
    </row>
    <row r="1744" spans="1:3" ht="18" customHeight="1" x14ac:dyDescent="0.3">
      <c r="A1744" s="1">
        <v>15</v>
      </c>
      <c r="B1744" s="1" t="s">
        <v>440</v>
      </c>
      <c r="C1744" s="1" t="str">
        <f ca="1">IFERROR(__xludf.DUMMYFUNCTION("GOOGLETRANSLATE(B1754,""en"",""ja"")"),"発明")</f>
        <v>発明</v>
      </c>
    </row>
    <row r="1745" spans="1:3" ht="18" customHeight="1" x14ac:dyDescent="0.3">
      <c r="A1745" s="1">
        <v>15</v>
      </c>
      <c r="B1745" s="1" t="s">
        <v>1453</v>
      </c>
      <c r="C1745" s="1" t="str">
        <f ca="1">IFERROR(__xludf.DUMMYFUNCTION("GOOGLETRANSLATE(B1755,""en"",""ja"")"),"介入")</f>
        <v>介入</v>
      </c>
    </row>
    <row r="1746" spans="1:3" ht="18" customHeight="1" x14ac:dyDescent="0.3">
      <c r="A1746" s="1">
        <v>15</v>
      </c>
      <c r="B1746" s="1" t="s">
        <v>1454</v>
      </c>
      <c r="C1746" s="1" t="str">
        <f ca="1">IFERROR(__xludf.DUMMYFUNCTION("GOOGLETRANSLATE(B1756,""en"",""ja"")"),"楽器")</f>
        <v>楽器</v>
      </c>
    </row>
    <row r="1747" spans="1:3" ht="18" customHeight="1" x14ac:dyDescent="0.3">
      <c r="A1747" s="1">
        <v>15</v>
      </c>
      <c r="B1747" s="1" t="s">
        <v>898</v>
      </c>
      <c r="C1747" s="1" t="str">
        <f ca="1">IFERROR(__xludf.DUMMYFUNCTION("GOOGLETRANSLATE(B1757,""en"",""ja"")"),"その代わり")</f>
        <v>その代わり</v>
      </c>
    </row>
    <row r="1748" spans="1:3" ht="18" customHeight="1" x14ac:dyDescent="0.3">
      <c r="A1748" s="1">
        <v>15</v>
      </c>
      <c r="B1748" s="1" t="s">
        <v>1455</v>
      </c>
      <c r="C1748" s="1" t="str">
        <f ca="1">IFERROR(__xludf.DUMMYFUNCTION("GOOGLETRANSLATE(B1758,""en"",""ja"")"),"革新")</f>
        <v>革新</v>
      </c>
    </row>
    <row r="1749" spans="1:3" ht="18" customHeight="1" x14ac:dyDescent="0.3">
      <c r="A1749" s="1">
        <v>15</v>
      </c>
      <c r="B1749" s="1" t="s">
        <v>1456</v>
      </c>
      <c r="C1749" s="1" t="str">
        <f ca="1">IFERROR(__xludf.DUMMYFUNCTION("GOOGLETRANSLATE(B1759,""en"",""ja"")"),"輸液")</f>
        <v>輸液</v>
      </c>
    </row>
    <row r="1750" spans="1:3" ht="18" customHeight="1" x14ac:dyDescent="0.3">
      <c r="A1750" s="1">
        <v>15</v>
      </c>
      <c r="B1750" s="1" t="s">
        <v>1457</v>
      </c>
      <c r="C1750" s="1" t="str">
        <f ca="1">IFERROR(__xludf.DUMMYFUNCTION("GOOGLETRANSLATE(B1760,""en"",""ja"")"),"産業")</f>
        <v>産業</v>
      </c>
    </row>
    <row r="1751" spans="1:3" ht="18" customHeight="1" x14ac:dyDescent="0.3">
      <c r="A1751" s="1">
        <v>15</v>
      </c>
      <c r="B1751" s="1" t="s">
        <v>1458</v>
      </c>
      <c r="C1751" s="1" t="str">
        <f ca="1">IFERROR(__xludf.DUMMYFUNCTION("GOOGLETRANSLATE(B1761,""en"",""ja"")"),"産業化")</f>
        <v>産業化</v>
      </c>
    </row>
    <row r="1752" spans="1:3" ht="18" customHeight="1" x14ac:dyDescent="0.3">
      <c r="A1752" s="1">
        <v>15</v>
      </c>
      <c r="B1752" s="1" t="s">
        <v>950</v>
      </c>
      <c r="C1752" s="1" t="str">
        <f ca="1">IFERROR(__xludf.DUMMYFUNCTION("GOOGLETRANSLATE(B1762,""en"",""ja"")"),"不可能")</f>
        <v>不可能</v>
      </c>
    </row>
    <row r="1753" spans="1:3" ht="18" customHeight="1" x14ac:dyDescent="0.3">
      <c r="A1753" s="1">
        <v>15</v>
      </c>
      <c r="B1753" s="1" t="s">
        <v>219</v>
      </c>
      <c r="C1753" s="1" t="str">
        <f ca="1">IFERROR(__xludf.DUMMYFUNCTION("GOOGLETRANSLATE(B1763,""en"",""ja"")"),"重要")</f>
        <v>重要</v>
      </c>
    </row>
    <row r="1754" spans="1:3" ht="18" customHeight="1" x14ac:dyDescent="0.3">
      <c r="A1754" s="1">
        <v>15</v>
      </c>
      <c r="B1754" s="1" t="s">
        <v>1459</v>
      </c>
      <c r="C1754" s="1" t="str">
        <f ca="1">IFERROR(__xludf.DUMMYFUNCTION("GOOGLETRANSLATE(B1764,""en"",""ja"")"),"敵意のあります")</f>
        <v>敵意のあります</v>
      </c>
    </row>
    <row r="1755" spans="1:3" ht="18" customHeight="1" x14ac:dyDescent="0.3">
      <c r="A1755" s="1">
        <v>15</v>
      </c>
      <c r="B1755" s="1" t="s">
        <v>1460</v>
      </c>
      <c r="C1755" s="1" t="str">
        <f ca="1">IFERROR(__xludf.DUMMYFUNCTION("GOOGLETRANSLATE(B1765,""en"",""ja"")"),"階層")</f>
        <v>階層</v>
      </c>
    </row>
    <row r="1756" spans="1:3" ht="18" customHeight="1" x14ac:dyDescent="0.3">
      <c r="A1756" s="1">
        <v>15</v>
      </c>
      <c r="B1756" s="1" t="s">
        <v>1461</v>
      </c>
      <c r="C1756" s="1" t="str">
        <f ca="1">IFERROR(__xludf.DUMMYFUNCTION("GOOGLETRANSLATE(B1766,""en"",""ja"")"),"遺産")</f>
        <v>遺産</v>
      </c>
    </row>
    <row r="1757" spans="1:3" ht="18" customHeight="1" x14ac:dyDescent="0.3">
      <c r="A1757" s="1">
        <v>15</v>
      </c>
      <c r="B1757" s="1" t="s">
        <v>1462</v>
      </c>
      <c r="C1757" s="1" t="str">
        <f ca="1">IFERROR(__xludf.DUMMYFUNCTION("GOOGLETRANSLATE(B1767,""en"",""ja"")"),"手")</f>
        <v>手</v>
      </c>
    </row>
    <row r="1758" spans="1:3" ht="18" customHeight="1" x14ac:dyDescent="0.3">
      <c r="A1758" s="1">
        <v>15</v>
      </c>
      <c r="B1758" s="1" t="s">
        <v>1463</v>
      </c>
      <c r="C1758" s="1" t="str">
        <f ca="1">IFERROR(__xludf.DUMMYFUNCTION("GOOGLETRANSLATE(B1768,""en"",""ja"")"),"神々")</f>
        <v>神々</v>
      </c>
    </row>
    <row r="1759" spans="1:3" ht="18" customHeight="1" x14ac:dyDescent="0.3">
      <c r="A1759" s="1">
        <v>15</v>
      </c>
      <c r="B1759" s="1" t="s">
        <v>1464</v>
      </c>
      <c r="C1759" s="1" t="str">
        <f ca="1">IFERROR(__xludf.DUMMYFUNCTION("GOOGLETRANSLATE(B1769,""en"",""ja"")"),"世代")</f>
        <v>世代</v>
      </c>
    </row>
    <row r="1760" spans="1:3" ht="18" customHeight="1" x14ac:dyDescent="0.3">
      <c r="A1760" s="1">
        <v>15</v>
      </c>
      <c r="B1760" s="1" t="s">
        <v>1465</v>
      </c>
      <c r="C1760" s="1" t="str">
        <f ca="1">IFERROR(__xludf.DUMMYFUNCTION("GOOGLETRANSLATE(B1770,""en"",""ja"")"),"性別")</f>
        <v>性別</v>
      </c>
    </row>
    <row r="1761" spans="1:3" ht="18" customHeight="1" x14ac:dyDescent="0.3">
      <c r="A1761" s="1">
        <v>15</v>
      </c>
      <c r="B1761" s="1" t="s">
        <v>1466</v>
      </c>
      <c r="C1761" s="1" t="str">
        <f ca="1">IFERROR(__xludf.DUMMYFUNCTION("GOOGLETRANSLATE(B1771,""en"",""ja"")"),"更に")</f>
        <v>更に</v>
      </c>
    </row>
    <row r="1762" spans="1:3" ht="18" customHeight="1" x14ac:dyDescent="0.3">
      <c r="A1762" s="1">
        <v>15</v>
      </c>
      <c r="B1762" s="1" t="s">
        <v>1467</v>
      </c>
      <c r="C1762" s="1" t="str">
        <f ca="1">IFERROR(__xludf.DUMMYFUNCTION("GOOGLETRANSLATE(B1772,""en"",""ja"")"),"友人")</f>
        <v>友人</v>
      </c>
    </row>
    <row r="1763" spans="1:3" ht="18" customHeight="1" x14ac:dyDescent="0.3">
      <c r="A1763" s="1">
        <v>15</v>
      </c>
      <c r="B1763" s="1" t="s">
        <v>1468</v>
      </c>
      <c r="C1763" s="1" t="str">
        <f ca="1">IFERROR(__xludf.DUMMYFUNCTION("GOOGLETRANSLATE(B1773,""en"",""ja"")"),"化石")</f>
        <v>化石</v>
      </c>
    </row>
    <row r="1764" spans="1:3" ht="18" customHeight="1" x14ac:dyDescent="0.3">
      <c r="A1764" s="1">
        <v>15</v>
      </c>
      <c r="B1764" s="1" t="s">
        <v>1469</v>
      </c>
      <c r="C1764" s="1" t="str">
        <f ca="1">IFERROR(__xludf.DUMMYFUNCTION("GOOGLETRANSLATE(B1774,""en"",""ja"")"),"幸運なことに")</f>
        <v>幸運なことに</v>
      </c>
    </row>
    <row r="1765" spans="1:3" ht="18" customHeight="1" x14ac:dyDescent="0.3">
      <c r="A1765" s="1">
        <v>15</v>
      </c>
      <c r="B1765" s="1" t="s">
        <v>1470</v>
      </c>
      <c r="C1765" s="1" t="str">
        <f ca="1">IFERROR(__xludf.DUMMYFUNCTION("GOOGLETRANSLATE(B1775,""en"",""ja"")"),"幸運な")</f>
        <v>幸運な</v>
      </c>
    </row>
    <row r="1766" spans="1:3" ht="18" customHeight="1" x14ac:dyDescent="0.3">
      <c r="A1766" s="1">
        <v>15</v>
      </c>
      <c r="B1766" s="1" t="s">
        <v>1471</v>
      </c>
      <c r="C1766" s="1" t="str">
        <f ca="1">IFERROR(__xludf.DUMMYFUNCTION("GOOGLETRANSLATE(B1776,""en"",""ja"")"),"恐れ")</f>
        <v>恐れ</v>
      </c>
    </row>
    <row r="1767" spans="1:3" ht="18" customHeight="1" x14ac:dyDescent="0.3">
      <c r="A1767" s="1">
        <v>15</v>
      </c>
      <c r="B1767" s="1" t="s">
        <v>495</v>
      </c>
      <c r="C1767" s="1" t="str">
        <f ca="1">IFERROR(__xludf.DUMMYFUNCTION("GOOGLETRANSLATE(B1777,""en"",""ja"")"),"故障")</f>
        <v>故障</v>
      </c>
    </row>
    <row r="1768" spans="1:3" ht="18" customHeight="1" x14ac:dyDescent="0.3">
      <c r="A1768" s="1">
        <v>15</v>
      </c>
      <c r="B1768" s="1" t="s">
        <v>1472</v>
      </c>
      <c r="C1768" s="1" t="str">
        <f ca="1">IFERROR(__xludf.DUMMYFUNCTION("GOOGLETRANSLATE(B1778,""en"",""ja"")"),"見る")</f>
        <v>見る</v>
      </c>
    </row>
    <row r="1769" spans="1:3" ht="18" customHeight="1" x14ac:dyDescent="0.3">
      <c r="A1769" s="1">
        <v>15</v>
      </c>
      <c r="B1769" s="1" t="s">
        <v>1473</v>
      </c>
      <c r="C1769" s="1" t="str">
        <f ca="1">IFERROR(__xludf.DUMMYFUNCTION("GOOGLETRANSLATE(B1779,""en"",""ja"")"),"全員")</f>
        <v>全員</v>
      </c>
    </row>
    <row r="1770" spans="1:3" ht="18" customHeight="1" x14ac:dyDescent="0.3">
      <c r="A1770" s="1">
        <v>15</v>
      </c>
      <c r="B1770" s="1" t="s">
        <v>1368</v>
      </c>
      <c r="C1770" s="1" t="str">
        <f ca="1">IFERROR(__xludf.DUMMYFUNCTION("GOOGLETRANSLATE(B1780,""en"",""ja"")"),"倫理")</f>
        <v>倫理</v>
      </c>
    </row>
    <row r="1771" spans="1:3" ht="18" customHeight="1" x14ac:dyDescent="0.3">
      <c r="A1771" s="1">
        <v>15</v>
      </c>
      <c r="B1771" s="1" t="s">
        <v>1474</v>
      </c>
      <c r="C1771" s="1" t="str">
        <f ca="1">IFERROR(__xludf.DUMMYFUNCTION("GOOGLETRANSLATE(B1781,""en"",""ja"")"),"従事して")</f>
        <v>従事して</v>
      </c>
    </row>
    <row r="1772" spans="1:3" ht="18" customHeight="1" x14ac:dyDescent="0.3">
      <c r="A1772" s="1">
        <v>15</v>
      </c>
      <c r="B1772" s="1" t="s">
        <v>713</v>
      </c>
      <c r="C1772" s="1" t="str">
        <f ca="1">IFERROR(__xludf.DUMMYFUNCTION("GOOGLETRANSLATE(B1782,""en"",""ja"")"),"イージー")</f>
        <v>イージー</v>
      </c>
    </row>
    <row r="1773" spans="1:3" ht="18" customHeight="1" x14ac:dyDescent="0.3">
      <c r="A1773" s="1">
        <v>15</v>
      </c>
      <c r="B1773" s="1" t="s">
        <v>1475</v>
      </c>
      <c r="C1773" s="1" t="str">
        <f ca="1">IFERROR(__xludf.DUMMYFUNCTION("GOOGLETRANSLATE(B1783,""en"",""ja"")"),"東の")</f>
        <v>東の</v>
      </c>
    </row>
    <row r="1774" spans="1:3" ht="18" customHeight="1" x14ac:dyDescent="0.3">
      <c r="A1774" s="1">
        <v>15</v>
      </c>
      <c r="B1774" s="1" t="s">
        <v>1476</v>
      </c>
      <c r="C1774" s="1" t="str">
        <f ca="1">IFERROR(__xludf.DUMMYFUNCTION("GOOGLETRANSLATE(B1784,""en"",""ja"")"),"地区")</f>
        <v>地区</v>
      </c>
    </row>
    <row r="1775" spans="1:3" ht="18" customHeight="1" x14ac:dyDescent="0.3">
      <c r="A1775" s="1">
        <v>15</v>
      </c>
      <c r="B1775" s="1" t="s">
        <v>1477</v>
      </c>
      <c r="C1775" s="1" t="str">
        <f ca="1">IFERROR(__xludf.DUMMYFUNCTION("GOOGLETRANSLATE(B1785,""en"",""ja"")"),"発見")</f>
        <v>発見</v>
      </c>
    </row>
    <row r="1776" spans="1:3" ht="18" customHeight="1" x14ac:dyDescent="0.3">
      <c r="A1776" s="1">
        <v>15</v>
      </c>
      <c r="B1776" s="1" t="s">
        <v>1478</v>
      </c>
      <c r="C1776" s="1" t="str">
        <f ca="1">IFERROR(__xludf.DUMMYFUNCTION("GOOGLETRANSLATE(B1786,""en"",""ja"")"),"破壊的な")</f>
        <v>破壊的な</v>
      </c>
    </row>
    <row r="1777" spans="1:3" ht="18" customHeight="1" x14ac:dyDescent="0.3">
      <c r="A1777" s="1">
        <v>15</v>
      </c>
      <c r="B1777" s="1" t="s">
        <v>1479</v>
      </c>
      <c r="C1777" s="1" t="str">
        <f ca="1">IFERROR(__xludf.DUMMYFUNCTION("GOOGLETRANSLATE(B1787,""en"",""ja"")"),"デスクトップ")</f>
        <v>デスクトップ</v>
      </c>
    </row>
    <row r="1778" spans="1:3" ht="18" customHeight="1" x14ac:dyDescent="0.3">
      <c r="A1778" s="1">
        <v>15</v>
      </c>
      <c r="B1778" s="1" t="s">
        <v>1480</v>
      </c>
      <c r="C1778" s="1" t="str">
        <f ca="1">IFERROR(__xludf.DUMMYFUNCTION("GOOGLETRANSLATE(B1788,""en"",""ja"")"),"危険な")</f>
        <v>危険な</v>
      </c>
    </row>
    <row r="1779" spans="1:3" ht="18" customHeight="1" x14ac:dyDescent="0.3">
      <c r="A1779" s="1">
        <v>15</v>
      </c>
      <c r="B1779" s="1" t="s">
        <v>1382</v>
      </c>
      <c r="C1779" s="1" t="str">
        <f ca="1">IFERROR(__xludf.DUMMYFUNCTION("GOOGLETRANSLATE(B1790,""en"",""ja"")"),"サイクル")</f>
        <v>サイクル</v>
      </c>
    </row>
    <row r="1780" spans="1:3" ht="18" customHeight="1" x14ac:dyDescent="0.3">
      <c r="A1780" s="1">
        <v>15</v>
      </c>
      <c r="B1780" s="1" t="s">
        <v>1481</v>
      </c>
      <c r="C1780" s="1" t="str">
        <f ca="1">IFERROR(__xludf.DUMMYFUNCTION("GOOGLETRANSLATE(B1791,""en"",""ja"")"),"コスト")</f>
        <v>コスト</v>
      </c>
    </row>
    <row r="1781" spans="1:3" ht="18" customHeight="1" x14ac:dyDescent="0.3">
      <c r="A1781" s="1">
        <v>15</v>
      </c>
      <c r="B1781" s="1" t="s">
        <v>1482</v>
      </c>
      <c r="C1781" s="1" t="str">
        <f ca="1">IFERROR(__xludf.DUMMYFUNCTION("GOOGLETRANSLATE(B1792,""en"",""ja"")"),"会社の")</f>
        <v>会社の</v>
      </c>
    </row>
    <row r="1782" spans="1:3" ht="18" customHeight="1" x14ac:dyDescent="0.3">
      <c r="A1782" s="1">
        <v>15</v>
      </c>
      <c r="B1782" s="1" t="s">
        <v>295</v>
      </c>
      <c r="C1782" s="1" t="str">
        <f ca="1">IFERROR(__xludf.DUMMYFUNCTION("GOOGLETRANSLATE(B1793,""en"",""ja"")"),"考えます")</f>
        <v>考えます</v>
      </c>
    </row>
    <row r="1783" spans="1:3" ht="18" customHeight="1" x14ac:dyDescent="0.3">
      <c r="A1783" s="1">
        <v>15</v>
      </c>
      <c r="B1783" s="1" t="s">
        <v>1483</v>
      </c>
      <c r="C1783" s="1" t="str">
        <f ca="1">IFERROR(__xludf.DUMMYFUNCTION("GOOGLETRANSLATE(B1794,""en"",""ja"")"),"結果")</f>
        <v>結果</v>
      </c>
    </row>
    <row r="1784" spans="1:3" ht="18" customHeight="1" x14ac:dyDescent="0.3">
      <c r="A1784" s="1">
        <v>15</v>
      </c>
      <c r="B1784" s="1" t="s">
        <v>1484</v>
      </c>
      <c r="C1784" s="1" t="str">
        <f ca="1">IFERROR(__xludf.DUMMYFUNCTION("GOOGLETRANSLATE(B1795,""en"",""ja"")"),"複雑")</f>
        <v>複雑</v>
      </c>
    </row>
    <row r="1785" spans="1:3" ht="18" customHeight="1" x14ac:dyDescent="0.3">
      <c r="A1785" s="1">
        <v>15</v>
      </c>
      <c r="B1785" s="1" t="s">
        <v>1220</v>
      </c>
      <c r="C1785" s="1" t="str">
        <f ca="1">IFERROR(__xludf.DUMMYFUNCTION("GOOGLETRANSLATE(B1796,""en"",""ja"")"),"技量")</f>
        <v>技量</v>
      </c>
    </row>
    <row r="1786" spans="1:3" ht="18" customHeight="1" x14ac:dyDescent="0.3">
      <c r="A1786" s="1">
        <v>15</v>
      </c>
      <c r="B1786" s="1" t="s">
        <v>270</v>
      </c>
      <c r="C1786" s="1" t="str">
        <f ca="1">IFERROR(__xludf.DUMMYFUNCTION("GOOGLETRANSLATE(B1797,""en"",""ja"")"),"一般")</f>
        <v>一般</v>
      </c>
    </row>
    <row r="1787" spans="1:3" ht="18" customHeight="1" x14ac:dyDescent="0.3">
      <c r="A1787" s="1">
        <v>15</v>
      </c>
      <c r="B1787" s="1" t="s">
        <v>1485</v>
      </c>
      <c r="C1787" s="1" t="str">
        <f ca="1">IFERROR(__xludf.DUMMYFUNCTION("GOOGLETRANSLATE(B1798,""en"",""ja"")"),"コールド")</f>
        <v>コールド</v>
      </c>
    </row>
    <row r="1788" spans="1:3" ht="18" customHeight="1" x14ac:dyDescent="0.3">
      <c r="A1788" s="1">
        <v>15</v>
      </c>
      <c r="B1788" s="1" t="s">
        <v>1486</v>
      </c>
      <c r="C1788" s="1" t="str">
        <f ca="1">IFERROR(__xludf.DUMMYFUNCTION("GOOGLETRANSLATE(B1799,""en"",""ja"")"),"お手入れ")</f>
        <v>お手入れ</v>
      </c>
    </row>
    <row r="1789" spans="1:3" ht="18" customHeight="1" x14ac:dyDescent="0.3">
      <c r="A1789" s="1">
        <v>15</v>
      </c>
      <c r="B1789" s="1" t="s">
        <v>1487</v>
      </c>
      <c r="C1789" s="1" t="str">
        <f ca="1">IFERROR(__xludf.DUMMYFUNCTION("GOOGLETRANSLATE(B1800,""en"",""ja"")"),"骨")</f>
        <v>骨</v>
      </c>
    </row>
    <row r="1790" spans="1:3" ht="18" customHeight="1" x14ac:dyDescent="0.3">
      <c r="A1790" s="1">
        <v>15</v>
      </c>
      <c r="B1790" s="1" t="s">
        <v>868</v>
      </c>
      <c r="C1790" s="1" t="str">
        <f ca="1">IFERROR(__xludf.DUMMYFUNCTION("GOOGLETRANSLATE(B1801,""en"",""ja"")"),"体")</f>
        <v>体</v>
      </c>
    </row>
    <row r="1791" spans="1:3" ht="18" customHeight="1" x14ac:dyDescent="0.3">
      <c r="A1791" s="1">
        <v>15</v>
      </c>
      <c r="B1791" s="1" t="s">
        <v>1306</v>
      </c>
      <c r="C1791" s="1" t="str">
        <f ca="1">IFERROR(__xludf.DUMMYFUNCTION("GOOGLETRANSLATE(B1802,""en"",""ja"")"),"鳥")</f>
        <v>鳥</v>
      </c>
    </row>
    <row r="1792" spans="1:3" ht="18" customHeight="1" x14ac:dyDescent="0.3">
      <c r="A1792" s="1">
        <v>15</v>
      </c>
      <c r="B1792" s="1" t="s">
        <v>1391</v>
      </c>
      <c r="C1792" s="1" t="str">
        <f ca="1">IFERROR(__xludf.DUMMYFUNCTION("GOOGLETRANSLATE(B1803,""en"",""ja"")"),"生物多様性")</f>
        <v>生物多様性</v>
      </c>
    </row>
    <row r="1793" spans="1:3" ht="18" customHeight="1" x14ac:dyDescent="0.3">
      <c r="A1793" s="1">
        <v>15</v>
      </c>
      <c r="B1793" s="1" t="s">
        <v>1488</v>
      </c>
      <c r="C1793" s="1" t="str">
        <f ca="1">IFERROR(__xludf.DUMMYFUNCTION("GOOGLETRANSLATE(B1804,""en"",""ja"")"),"後ろに")</f>
        <v>後ろに</v>
      </c>
    </row>
    <row r="1794" spans="1:3" ht="18" customHeight="1" x14ac:dyDescent="0.3">
      <c r="A1794" s="1">
        <v>15</v>
      </c>
      <c r="B1794" s="1" t="s">
        <v>10</v>
      </c>
      <c r="C1794" s="1" t="str">
        <f ca="1">IFERROR(__xludf.DUMMYFUNCTION("GOOGLETRANSLATE(B1805,""en"",""ja"")"),"なので")</f>
        <v>なので</v>
      </c>
    </row>
    <row r="1795" spans="1:3" ht="18" customHeight="1" x14ac:dyDescent="0.3">
      <c r="A1795" s="1">
        <v>15</v>
      </c>
      <c r="B1795" s="1" t="s">
        <v>399</v>
      </c>
      <c r="C1795" s="1" t="str">
        <f ca="1">IFERROR(__xludf.DUMMYFUNCTION("GOOGLETRANSLATE(B1806,""en"",""ja"")"),"アプローチ")</f>
        <v>アプローチ</v>
      </c>
    </row>
    <row r="1796" spans="1:3" ht="18" customHeight="1" x14ac:dyDescent="0.3">
      <c r="A1796" s="1">
        <v>15</v>
      </c>
      <c r="B1796" s="1" t="s">
        <v>1489</v>
      </c>
      <c r="C1796" s="1" t="str">
        <f ca="1">IFERROR(__xludf.DUMMYFUNCTION("GOOGLETRANSLATE(B1807,""en"",""ja"")"),"分析")</f>
        <v>分析</v>
      </c>
    </row>
    <row r="1797" spans="1:3" ht="18" customHeight="1" x14ac:dyDescent="0.3">
      <c r="A1797" s="1">
        <v>15</v>
      </c>
      <c r="B1797" s="1" t="s">
        <v>1490</v>
      </c>
      <c r="C1797" s="1" t="str">
        <f ca="1">IFERROR(__xludf.DUMMYFUNCTION("GOOGLETRANSLATE(B1808,""en"",""ja"")"),"アメリカ人")</f>
        <v>アメリカ人</v>
      </c>
    </row>
    <row r="1798" spans="1:3" ht="18" customHeight="1" x14ac:dyDescent="0.3">
      <c r="A1798" s="1">
        <v>15</v>
      </c>
      <c r="B1798" s="1" t="s">
        <v>1491</v>
      </c>
      <c r="C1798" s="1" t="str">
        <f ca="1">IFERROR(__xludf.DUMMYFUNCTION("GOOGLETRANSLATE(B1809,""en"",""ja"")"),"選択肢")</f>
        <v>選択肢</v>
      </c>
    </row>
    <row r="1799" spans="1:3" ht="18" customHeight="1" x14ac:dyDescent="0.3">
      <c r="A1799" s="1">
        <v>15</v>
      </c>
      <c r="B1799" s="1" t="s">
        <v>1492</v>
      </c>
      <c r="C1799" s="1" t="str">
        <f ca="1">IFERROR(__xludf.DUMMYFUNCTION("GOOGLETRANSLATE(B1810,""en"",""ja"")"),"一人で")</f>
        <v>一人で</v>
      </c>
    </row>
    <row r="1800" spans="1:3" ht="18" customHeight="1" x14ac:dyDescent="0.3">
      <c r="A1800" s="1">
        <v>15</v>
      </c>
      <c r="B1800" s="1" t="s">
        <v>1493</v>
      </c>
      <c r="C1800" s="1" t="str">
        <f ca="1">IFERROR(__xludf.DUMMYFUNCTION("GOOGLETRANSLATE(B1811,""en"",""ja"")"),"行為")</f>
        <v>行為</v>
      </c>
    </row>
    <row r="1801" spans="1:3" ht="18" customHeight="1" x14ac:dyDescent="0.3">
      <c r="A1801" s="1">
        <v>15</v>
      </c>
      <c r="B1801" s="1" t="s">
        <v>1494</v>
      </c>
      <c r="C1801" s="1" t="str">
        <f ca="1">IFERROR(__xludf.DUMMYFUNCTION("GOOGLETRANSLATE(B1812,""en"",""ja"")"),"行動")</f>
        <v>行動</v>
      </c>
    </row>
    <row r="1802" spans="1:3" ht="18" customHeight="1" x14ac:dyDescent="0.3">
      <c r="A1802" s="1">
        <v>14</v>
      </c>
      <c r="B1802" s="1" t="s">
        <v>1495</v>
      </c>
      <c r="C1802" s="1" t="str">
        <f ca="1">IFERROR(__xludf.DUMMYFUNCTION("GOOGLETRANSLATE(B1813,""en"",""ja"")"),"野生")</f>
        <v>野生</v>
      </c>
    </row>
    <row r="1803" spans="1:3" ht="18" customHeight="1" x14ac:dyDescent="0.3">
      <c r="A1803" s="1">
        <v>14</v>
      </c>
      <c r="B1803" s="1" t="s">
        <v>1496</v>
      </c>
      <c r="C1803" s="1" t="str">
        <f ca="1">IFERROR(__xludf.DUMMYFUNCTION("GOOGLETRANSLATE(B1814,""en"",""ja"")"),"ボイス")</f>
        <v>ボイス</v>
      </c>
    </row>
    <row r="1804" spans="1:3" ht="18" customHeight="1" x14ac:dyDescent="0.3">
      <c r="A1804" s="1">
        <v>14</v>
      </c>
      <c r="B1804" s="1" t="s">
        <v>1497</v>
      </c>
      <c r="C1804" s="1" t="str">
        <f ca="1">IFERROR(__xludf.DUMMYFUNCTION("GOOGLETRANSLATE(B1815,""en"",""ja"")"),"ビジョン")</f>
        <v>ビジョン</v>
      </c>
    </row>
    <row r="1805" spans="1:3" ht="18" customHeight="1" x14ac:dyDescent="0.3">
      <c r="A1805" s="1">
        <v>14</v>
      </c>
      <c r="B1805" s="1" t="s">
        <v>1498</v>
      </c>
      <c r="C1805" s="1" t="str">
        <f ca="1">IFERROR(__xludf.DUMMYFUNCTION("GOOGLETRANSLATE(B1816,""en"",""ja"")"),"美徳")</f>
        <v>美徳</v>
      </c>
    </row>
    <row r="1806" spans="1:3" ht="18" customHeight="1" x14ac:dyDescent="0.3">
      <c r="A1806" s="1">
        <v>14</v>
      </c>
      <c r="B1806" s="1" t="s">
        <v>1499</v>
      </c>
      <c r="C1806" s="1" t="str">
        <f ca="1">IFERROR(__xludf.DUMMYFUNCTION("GOOGLETRANSLATE(B1817,""en"",""ja"")"),"変数")</f>
        <v>変数</v>
      </c>
    </row>
    <row r="1807" spans="1:3" ht="18" customHeight="1" x14ac:dyDescent="0.3">
      <c r="A1807" s="1">
        <v>14</v>
      </c>
      <c r="B1807" s="1" t="s">
        <v>1500</v>
      </c>
      <c r="C1807" s="1" t="str">
        <f ca="1">IFERROR(__xludf.DUMMYFUNCTION("GOOGLETRANSLATE(B1818,""en"",""ja"")"),"V")</f>
        <v>V</v>
      </c>
    </row>
    <row r="1808" spans="1:3" ht="18" customHeight="1" x14ac:dyDescent="0.3">
      <c r="A1808" s="1">
        <v>14</v>
      </c>
      <c r="B1808" s="1" t="s">
        <v>1501</v>
      </c>
      <c r="C1808" s="1" t="str">
        <f ca="1">IFERROR(__xludf.DUMMYFUNCTION("GOOGLETRANSLATE(B1819,""en"",""ja"")"),"有用")</f>
        <v>有用</v>
      </c>
    </row>
    <row r="1809" spans="1:3" ht="18" customHeight="1" x14ac:dyDescent="0.3">
      <c r="A1809" s="1">
        <v>14</v>
      </c>
      <c r="B1809" s="1" t="s">
        <v>1502</v>
      </c>
      <c r="C1809" s="1" t="str">
        <f ca="1">IFERROR(__xludf.DUMMYFUNCTION("GOOGLETRANSLATE(B1820,""en"",""ja"")"),"経験します")</f>
        <v>経験します</v>
      </c>
    </row>
    <row r="1810" spans="1:3" ht="18" customHeight="1" x14ac:dyDescent="0.3">
      <c r="A1810" s="1">
        <v>14</v>
      </c>
      <c r="B1810" s="1" t="s">
        <v>1503</v>
      </c>
      <c r="C1810" s="1" t="str">
        <f ca="1">IFERROR(__xludf.DUMMYFUNCTION("GOOGLETRANSLATE(B1821,""en"",""ja"")"),"転送")</f>
        <v>転送</v>
      </c>
    </row>
    <row r="1811" spans="1:3" ht="18" customHeight="1" x14ac:dyDescent="0.3">
      <c r="A1811" s="1">
        <v>14</v>
      </c>
      <c r="B1811" s="1" t="s">
        <v>1504</v>
      </c>
      <c r="C1811" s="1" t="str">
        <f ca="1">IFERROR(__xludf.DUMMYFUNCTION("GOOGLETRANSLATE(B1822,""en"",""ja"")"),"訓練されました")</f>
        <v>訓練されました</v>
      </c>
    </row>
    <row r="1812" spans="1:3" ht="18" customHeight="1" x14ac:dyDescent="0.3">
      <c r="A1812" s="1">
        <v>14</v>
      </c>
      <c r="B1812" s="1" t="s">
        <v>1505</v>
      </c>
      <c r="C1812" s="1" t="str">
        <f ca="1">IFERROR(__xludf.DUMMYFUNCTION("GOOGLETRANSLATE(B1823,""en"",""ja"")"),"トータル")</f>
        <v>トータル</v>
      </c>
    </row>
    <row r="1813" spans="1:3" ht="18" customHeight="1" x14ac:dyDescent="0.3">
      <c r="A1813" s="1">
        <v>14</v>
      </c>
      <c r="B1813" s="1" t="s">
        <v>1041</v>
      </c>
      <c r="C1813" s="1" t="str">
        <f ca="1">IFERROR(__xludf.DUMMYFUNCTION("GOOGLETRANSLATE(B1824,""en"",""ja"")"),"それによって")</f>
        <v>それによって</v>
      </c>
    </row>
    <row r="1814" spans="1:3" ht="18" customHeight="1" x14ac:dyDescent="0.3">
      <c r="A1814" s="1">
        <v>14</v>
      </c>
      <c r="B1814" s="1" t="s">
        <v>1506</v>
      </c>
      <c r="C1814" s="1" t="str">
        <f ca="1">IFERROR(__xludf.DUMMYFUNCTION("GOOGLETRANSLATE(B1825,""en"",""ja"")"),"テスティング")</f>
        <v>テスティング</v>
      </c>
    </row>
    <row r="1815" spans="1:3" ht="18" customHeight="1" x14ac:dyDescent="0.3">
      <c r="A1815" s="1">
        <v>14</v>
      </c>
      <c r="B1815" s="1" t="s">
        <v>1507</v>
      </c>
      <c r="C1815" s="1" t="str">
        <f ca="1">IFERROR(__xludf.DUMMYFUNCTION("GOOGLETRANSLATE(B1826,""en"",""ja"")"),"歯牙")</f>
        <v>歯牙</v>
      </c>
    </row>
    <row r="1816" spans="1:3" ht="18" customHeight="1" x14ac:dyDescent="0.3">
      <c r="A1816" s="1">
        <v>14</v>
      </c>
      <c r="B1816" s="1" t="s">
        <v>1508</v>
      </c>
      <c r="C1816" s="1" t="str">
        <f ca="1">IFERROR(__xludf.DUMMYFUNCTION("GOOGLETRANSLATE(B1827,""en"",""ja"")"),"系統的")</f>
        <v>系統的</v>
      </c>
    </row>
    <row r="1817" spans="1:3" ht="18" customHeight="1" x14ac:dyDescent="0.3">
      <c r="A1817" s="1">
        <v>14</v>
      </c>
      <c r="B1817" s="1" t="s">
        <v>1509</v>
      </c>
      <c r="C1817" s="1" t="str">
        <f ca="1">IFERROR(__xludf.DUMMYFUNCTION("GOOGLETRANSLATE(B1828,""en"",""ja"")"),"シンボル")</f>
        <v>シンボル</v>
      </c>
    </row>
    <row r="1818" spans="1:3" ht="18" customHeight="1" x14ac:dyDescent="0.3">
      <c r="A1818" s="1">
        <v>14</v>
      </c>
      <c r="B1818" s="1" t="s">
        <v>1510</v>
      </c>
      <c r="C1818" s="1" t="str">
        <f ca="1">IFERROR(__xludf.DUMMYFUNCTION("GOOGLETRANSLATE(B1829,""en"",""ja"")"),"意外と")</f>
        <v>意外と</v>
      </c>
    </row>
    <row r="1819" spans="1:3" ht="18" customHeight="1" x14ac:dyDescent="0.3">
      <c r="A1819" s="1">
        <v>14</v>
      </c>
      <c r="B1819" s="1" t="s">
        <v>1511</v>
      </c>
      <c r="C1819" s="1" t="str">
        <f ca="1">IFERROR(__xludf.DUMMYFUNCTION("GOOGLETRANSLATE(B1830,""en"",""ja"")"),"提案")</f>
        <v>提案</v>
      </c>
    </row>
    <row r="1820" spans="1:3" ht="18" customHeight="1" x14ac:dyDescent="0.3">
      <c r="A1820" s="1">
        <v>14</v>
      </c>
      <c r="B1820" s="1" t="s">
        <v>1512</v>
      </c>
      <c r="C1820" s="1" t="str">
        <f ca="1">IFERROR(__xludf.DUMMYFUNCTION("GOOGLETRANSLATE(B1831,""en"",""ja"")"),"構造")</f>
        <v>構造</v>
      </c>
    </row>
    <row r="1821" spans="1:3" ht="18" customHeight="1" x14ac:dyDescent="0.3">
      <c r="A1821" s="1">
        <v>14</v>
      </c>
      <c r="B1821" s="1" t="s">
        <v>1513</v>
      </c>
      <c r="C1821" s="1" t="str">
        <f ca="1">IFERROR(__xludf.DUMMYFUNCTION("GOOGLETRANSLATE(B1832,""en"",""ja"")"),"最強")</f>
        <v>最強</v>
      </c>
    </row>
    <row r="1822" spans="1:3" ht="18" customHeight="1" x14ac:dyDescent="0.3">
      <c r="A1822" s="1">
        <v>14</v>
      </c>
      <c r="B1822" s="1" t="s">
        <v>1514</v>
      </c>
      <c r="C1822" s="1" t="str">
        <f ca="1">IFERROR(__xludf.DUMMYFUNCTION("GOOGLETRANSLATE(B1833,""en"",""ja"")"),"厳密")</f>
        <v>厳密</v>
      </c>
    </row>
    <row r="1823" spans="1:3" ht="18" customHeight="1" x14ac:dyDescent="0.3">
      <c r="A1823" s="1">
        <v>14</v>
      </c>
      <c r="B1823" s="1" t="s">
        <v>1515</v>
      </c>
      <c r="C1823" s="1" t="str">
        <f ca="1">IFERROR(__xludf.DUMMYFUNCTION("GOOGLETRANSLATE(B1834,""en"",""ja"")"),"滞在")</f>
        <v>滞在</v>
      </c>
    </row>
    <row r="1824" spans="1:3" ht="18" customHeight="1" x14ac:dyDescent="0.3">
      <c r="A1824" s="1">
        <v>14</v>
      </c>
      <c r="B1824" s="1" t="s">
        <v>1516</v>
      </c>
      <c r="C1824" s="1" t="str">
        <f ca="1">IFERROR(__xludf.DUMMYFUNCTION("GOOGLETRANSLATE(B1835,""en"",""ja"")"),"統計的")</f>
        <v>統計的</v>
      </c>
    </row>
    <row r="1825" spans="1:3" ht="18" customHeight="1" x14ac:dyDescent="0.3">
      <c r="A1825" s="1">
        <v>14</v>
      </c>
      <c r="B1825" s="1" t="s">
        <v>1517</v>
      </c>
      <c r="C1825" s="1" t="str">
        <f ca="1">IFERROR(__xludf.DUMMYFUNCTION("GOOGLETRANSLATE(B1836,""en"",""ja"")"),"起動")</f>
        <v>起動</v>
      </c>
    </row>
    <row r="1826" spans="1:3" ht="18" customHeight="1" x14ac:dyDescent="0.3">
      <c r="A1826" s="1">
        <v>14</v>
      </c>
      <c r="B1826" s="1" t="s">
        <v>1518</v>
      </c>
      <c r="C1826" s="1" t="str">
        <f ca="1">IFERROR(__xludf.DUMMYFUNCTION("GOOGLETRANSLATE(B1837,""en"",""ja"")"),"専門化")</f>
        <v>専門化</v>
      </c>
    </row>
    <row r="1827" spans="1:3" ht="18" customHeight="1" x14ac:dyDescent="0.3">
      <c r="A1827" s="1">
        <v>14</v>
      </c>
      <c r="B1827" s="1" t="s">
        <v>1519</v>
      </c>
      <c r="C1827" s="1" t="str">
        <f ca="1">IFERROR(__xludf.DUMMYFUNCTION("GOOGLETRANSLATE(B1838,""en"",""ja"")"),"解決")</f>
        <v>解決</v>
      </c>
    </row>
    <row r="1828" spans="1:3" ht="18" customHeight="1" x14ac:dyDescent="0.3">
      <c r="A1828" s="1">
        <v>14</v>
      </c>
      <c r="B1828" s="1" t="s">
        <v>1166</v>
      </c>
      <c r="C1828" s="1" t="str">
        <f ca="1">IFERROR(__xludf.DUMMYFUNCTION("GOOGLETRANSLATE(B1839,""en"",""ja"")"),"符号")</f>
        <v>符号</v>
      </c>
    </row>
    <row r="1829" spans="1:3" ht="18" customHeight="1" x14ac:dyDescent="0.3">
      <c r="A1829" s="1">
        <v>14</v>
      </c>
      <c r="B1829" s="1" t="s">
        <v>454</v>
      </c>
      <c r="C1829" s="1" t="str">
        <f ca="1">IFERROR(__xludf.DUMMYFUNCTION("GOOGLETRANSLATE(B1840,""en"",""ja"")"),"公演")</f>
        <v>公演</v>
      </c>
    </row>
    <row r="1830" spans="1:3" ht="18" customHeight="1" x14ac:dyDescent="0.3">
      <c r="A1830" s="1">
        <v>14</v>
      </c>
      <c r="B1830" s="1" t="s">
        <v>1520</v>
      </c>
      <c r="C1830" s="1" t="str">
        <f ca="1">IFERROR(__xludf.DUMMYFUNCTION("GOOGLETRANSLATE(B1841,""en"",""ja"")"),"シフト")</f>
        <v>シフト</v>
      </c>
    </row>
    <row r="1831" spans="1:3" ht="18" customHeight="1" x14ac:dyDescent="0.3">
      <c r="A1831" s="1">
        <v>14</v>
      </c>
      <c r="B1831" s="1" t="s">
        <v>1521</v>
      </c>
      <c r="C1831" s="1" t="str">
        <f ca="1">IFERROR(__xludf.DUMMYFUNCTION("GOOGLETRANSLATE(B1842,""en"",""ja"")"),"共有")</f>
        <v>共有</v>
      </c>
    </row>
    <row r="1832" spans="1:3" ht="18" customHeight="1" x14ac:dyDescent="0.3">
      <c r="A1832" s="1">
        <v>14</v>
      </c>
      <c r="B1832" s="1" t="s">
        <v>1522</v>
      </c>
      <c r="C1832" s="1" t="str">
        <f ca="1">IFERROR(__xludf.DUMMYFUNCTION("GOOGLETRANSLATE(B1843,""en"",""ja"")"),"シーケンス")</f>
        <v>シーケンス</v>
      </c>
    </row>
    <row r="1833" spans="1:3" ht="18" customHeight="1" x14ac:dyDescent="0.3">
      <c r="A1833" s="1">
        <v>14</v>
      </c>
      <c r="B1833" s="1" t="s">
        <v>1523</v>
      </c>
      <c r="C1833" s="1" t="str">
        <f ca="1">IFERROR(__xludf.DUMMYFUNCTION("GOOGLETRANSLATE(B1844,""en"",""ja"")"),"敏感")</f>
        <v>敏感</v>
      </c>
    </row>
    <row r="1834" spans="1:3" ht="18" customHeight="1" x14ac:dyDescent="0.3">
      <c r="A1834" s="1">
        <v>14</v>
      </c>
      <c r="B1834" s="1" t="s">
        <v>1524</v>
      </c>
      <c r="C1834" s="1" t="str">
        <f ca="1">IFERROR(__xludf.DUMMYFUNCTION("GOOGLETRANSLATE(B1845,""en"",""ja"")"),"シナリオ")</f>
        <v>シナリオ</v>
      </c>
    </row>
    <row r="1835" spans="1:3" ht="18" customHeight="1" x14ac:dyDescent="0.3">
      <c r="A1835" s="1">
        <v>14</v>
      </c>
      <c r="B1835" s="1" t="s">
        <v>1525</v>
      </c>
      <c r="C1835" s="1" t="str">
        <f ca="1">IFERROR(__xludf.DUMMYFUNCTION("GOOGLETRANSLATE(B1846,""en"",""ja"")"),"革命的")</f>
        <v>革命的</v>
      </c>
    </row>
    <row r="1836" spans="1:3" ht="18" customHeight="1" x14ac:dyDescent="0.3">
      <c r="A1836" s="1">
        <v>14</v>
      </c>
      <c r="B1836" s="1" t="s">
        <v>1526</v>
      </c>
      <c r="C1836" s="1" t="str">
        <f ca="1">IFERROR(__xludf.DUMMYFUNCTION("GOOGLETRANSLATE(B1847,""en"",""ja"")"),"保ちます")</f>
        <v>保ちます</v>
      </c>
    </row>
    <row r="1837" spans="1:3" ht="18" customHeight="1" x14ac:dyDescent="0.3">
      <c r="A1837" s="1">
        <v>14</v>
      </c>
      <c r="B1837" s="1" t="s">
        <v>1527</v>
      </c>
      <c r="C1837" s="1" t="str">
        <f ca="1">IFERROR(__xludf.DUMMYFUNCTION("GOOGLETRANSLATE(B1848,""en"",""ja"")"),"共和党")</f>
        <v>共和党</v>
      </c>
    </row>
    <row r="1838" spans="1:3" ht="18" customHeight="1" x14ac:dyDescent="0.3">
      <c r="A1838" s="1">
        <v>14</v>
      </c>
      <c r="B1838" s="1" t="s">
        <v>1528</v>
      </c>
      <c r="C1838" s="1" t="str">
        <f ca="1">IFERROR(__xludf.DUMMYFUNCTION("GOOGLETRANSLATE(B1849,""en"",""ja"")"),"縮小")</f>
        <v>縮小</v>
      </c>
    </row>
    <row r="1839" spans="1:3" ht="18" customHeight="1" x14ac:dyDescent="0.3">
      <c r="A1839" s="1">
        <v>14</v>
      </c>
      <c r="B1839" s="1" t="s">
        <v>667</v>
      </c>
      <c r="C1839" s="1" t="str">
        <f ca="1">IFERROR(__xludf.DUMMYFUNCTION("GOOGLETRANSLATE(B1850,""en"",""ja"")"),"認めます")</f>
        <v>認めます</v>
      </c>
    </row>
    <row r="1840" spans="1:3" ht="18" customHeight="1" x14ac:dyDescent="0.3">
      <c r="A1840" s="1">
        <v>14</v>
      </c>
      <c r="B1840" s="1" t="s">
        <v>1529</v>
      </c>
      <c r="C1840" s="1" t="str">
        <f ca="1">IFERROR(__xludf.DUMMYFUNCTION("GOOGLETRANSLATE(B1851,""en"",""ja"")"),"気付く")</f>
        <v>気付く</v>
      </c>
    </row>
    <row r="1841" spans="1:3" ht="18" customHeight="1" x14ac:dyDescent="0.3">
      <c r="A1841" s="1">
        <v>14</v>
      </c>
      <c r="B1841" s="1" t="s">
        <v>1530</v>
      </c>
      <c r="C1841" s="1" t="str">
        <f ca="1">IFERROR(__xludf.DUMMYFUNCTION("GOOGLETRANSLATE(B1852,""en"",""ja"")"),"ポンプ")</f>
        <v>ポンプ</v>
      </c>
    </row>
    <row r="1842" spans="1:3" ht="18" customHeight="1" x14ac:dyDescent="0.3">
      <c r="A1842" s="1">
        <v>14</v>
      </c>
      <c r="B1842" s="1" t="s">
        <v>1531</v>
      </c>
      <c r="C1842" s="1" t="str">
        <f ca="1">IFERROR(__xludf.DUMMYFUNCTION("GOOGLETRANSLATE(B1853,""en"",""ja"")"),"出版")</f>
        <v>出版</v>
      </c>
    </row>
    <row r="1843" spans="1:3" ht="18" customHeight="1" x14ac:dyDescent="0.3">
      <c r="A1843" s="1">
        <v>14</v>
      </c>
      <c r="B1843" s="1" t="s">
        <v>994</v>
      </c>
      <c r="C1843" s="1" t="str">
        <f ca="1">IFERROR(__xludf.DUMMYFUNCTION("GOOGLETRANSLATE(B1854,""en"",""ja"")"),"進捗")</f>
        <v>進捗</v>
      </c>
    </row>
    <row r="1844" spans="1:3" ht="18" customHeight="1" x14ac:dyDescent="0.3">
      <c r="A1844" s="1">
        <v>14</v>
      </c>
      <c r="B1844" s="1" t="s">
        <v>1532</v>
      </c>
      <c r="C1844" s="1" t="str">
        <f ca="1">IFERROR(__xludf.DUMMYFUNCTION("GOOGLETRANSLATE(B1855,""en"",""ja"")"),"プログラム")</f>
        <v>プログラム</v>
      </c>
    </row>
    <row r="1845" spans="1:3" ht="18" customHeight="1" x14ac:dyDescent="0.3">
      <c r="A1845" s="1">
        <v>14</v>
      </c>
      <c r="B1845" s="1" t="s">
        <v>1533</v>
      </c>
      <c r="C1845" s="1" t="str">
        <f ca="1">IFERROR(__xludf.DUMMYFUNCTION("GOOGLETRANSLATE(B1856,""en"",""ja"")"),"原則")</f>
        <v>原則</v>
      </c>
    </row>
    <row r="1846" spans="1:3" ht="18" customHeight="1" x14ac:dyDescent="0.3">
      <c r="A1846" s="1">
        <v>14</v>
      </c>
      <c r="B1846" s="1" t="s">
        <v>1534</v>
      </c>
      <c r="C1846" s="1" t="str">
        <f ca="1">IFERROR(__xludf.DUMMYFUNCTION("GOOGLETRANSLATE(B1857,""en"",""ja"")"),"王子")</f>
        <v>王子</v>
      </c>
    </row>
    <row r="1847" spans="1:3" ht="18" customHeight="1" x14ac:dyDescent="0.3">
      <c r="A1847" s="1">
        <v>14</v>
      </c>
      <c r="B1847" s="1" t="s">
        <v>1535</v>
      </c>
      <c r="C1847" s="1" t="str">
        <f ca="1">IFERROR(__xludf.DUMMYFUNCTION("GOOGLETRANSLATE(B1858,""en"",""ja"")"),"プレゼンス")</f>
        <v>プレゼンス</v>
      </c>
    </row>
    <row r="1848" spans="1:3" ht="18" customHeight="1" x14ac:dyDescent="0.3">
      <c r="A1848" s="1">
        <v>14</v>
      </c>
      <c r="B1848" s="1" t="s">
        <v>1536</v>
      </c>
      <c r="C1848" s="1" t="str">
        <f ca="1">IFERROR(__xludf.DUMMYFUNCTION("GOOGLETRANSLATE(B1859,""en"",""ja"")"),"権力")</f>
        <v>権力</v>
      </c>
    </row>
    <row r="1849" spans="1:3" ht="18" customHeight="1" x14ac:dyDescent="0.3">
      <c r="A1849" s="1">
        <v>14</v>
      </c>
      <c r="B1849" s="1" t="s">
        <v>1537</v>
      </c>
      <c r="C1849" s="1" t="str">
        <f ca="1">IFERROR(__xludf.DUMMYFUNCTION("GOOGLETRANSLATE(B1860,""en"",""ja"")"),"ピクチャー")</f>
        <v>ピクチャー</v>
      </c>
    </row>
    <row r="1850" spans="1:3" ht="18" customHeight="1" x14ac:dyDescent="0.3">
      <c r="A1850" s="1">
        <v>14</v>
      </c>
      <c r="B1850" s="1" t="s">
        <v>1538</v>
      </c>
      <c r="C1850" s="1" t="str">
        <f ca="1">IFERROR(__xludf.DUMMYFUNCTION("GOOGLETRANSLATE(B1861,""en"",""ja"")"),"句")</f>
        <v>句</v>
      </c>
    </row>
    <row r="1851" spans="1:3" ht="18" customHeight="1" x14ac:dyDescent="0.3">
      <c r="A1851" s="1">
        <v>14</v>
      </c>
      <c r="B1851" s="1" t="s">
        <v>1539</v>
      </c>
      <c r="C1851" s="1" t="str">
        <f ca="1">IFERROR(__xludf.DUMMYFUNCTION("GOOGLETRANSLATE(B1862,""en"",""ja"")"),"支払いました")</f>
        <v>支払いました</v>
      </c>
    </row>
    <row r="1852" spans="1:3" ht="18" customHeight="1" x14ac:dyDescent="0.3">
      <c r="A1852" s="1">
        <v>14</v>
      </c>
      <c r="B1852" s="1" t="s">
        <v>1540</v>
      </c>
      <c r="C1852" s="1" t="str">
        <f ca="1">IFERROR(__xludf.DUMMYFUNCTION("GOOGLETRANSLATE(B1863,""en"",""ja"")"),"ペース")</f>
        <v>ペース</v>
      </c>
    </row>
    <row r="1853" spans="1:3" ht="18" customHeight="1" x14ac:dyDescent="0.3">
      <c r="A1853" s="1">
        <v>14</v>
      </c>
      <c r="B1853" s="1" t="s">
        <v>942</v>
      </c>
      <c r="C1853" s="1" t="str">
        <f ca="1">IFERROR(__xludf.DUMMYFUNCTION("GOOGLETRANSLATE(B1864,""en"",""ja"")"),"さもないと")</f>
        <v>さもないと</v>
      </c>
    </row>
    <row r="1854" spans="1:3" ht="18" customHeight="1" x14ac:dyDescent="0.3">
      <c r="A1854" s="1">
        <v>14</v>
      </c>
      <c r="B1854" s="1" t="s">
        <v>1541</v>
      </c>
      <c r="C1854" s="1" t="str">
        <f ca="1">IFERROR(__xludf.DUMMYFUNCTION("GOOGLETRANSLATE(B1865,""en"",""ja"")"),"生命体")</f>
        <v>生命体</v>
      </c>
    </row>
    <row r="1855" spans="1:3" ht="18" customHeight="1" x14ac:dyDescent="0.3">
      <c r="A1855" s="1">
        <v>14</v>
      </c>
      <c r="B1855" s="1" t="s">
        <v>342</v>
      </c>
      <c r="C1855" s="1" t="str">
        <f ca="1">IFERROR(__xludf.DUMMYFUNCTION("GOOGLETRANSLATE(B1866,""en"",""ja"")"),"古い")</f>
        <v>古い</v>
      </c>
    </row>
    <row r="1856" spans="1:3" ht="18" customHeight="1" x14ac:dyDescent="0.3">
      <c r="A1856" s="1">
        <v>14</v>
      </c>
      <c r="B1856" s="1" t="s">
        <v>1542</v>
      </c>
      <c r="C1856" s="1" t="str">
        <f ca="1">IFERROR(__xludf.DUMMYFUNCTION("GOOGLETRANSLATE(B1867,""en"",""ja"")"),"観察")</f>
        <v>観察</v>
      </c>
    </row>
    <row r="1857" spans="1:3" ht="18" customHeight="1" x14ac:dyDescent="0.3">
      <c r="A1857" s="1">
        <v>14</v>
      </c>
      <c r="B1857" s="1" t="s">
        <v>367</v>
      </c>
      <c r="C1857" s="1" t="str">
        <f ca="1">IFERROR(__xludf.DUMMYFUNCTION("GOOGLETRANSLATE(B1868,""en"",""ja"")"),"ナチュラル")</f>
        <v>ナチュラル</v>
      </c>
    </row>
    <row r="1858" spans="1:3" ht="18" customHeight="1" x14ac:dyDescent="0.3">
      <c r="A1858" s="1">
        <v>14</v>
      </c>
      <c r="B1858" s="1" t="s">
        <v>1543</v>
      </c>
      <c r="C1858" s="1" t="str">
        <f ca="1">IFERROR(__xludf.DUMMYFUNCTION("GOOGLETRANSLATE(B1869,""en"",""ja"")"),"変更")</f>
        <v>変更</v>
      </c>
    </row>
    <row r="1859" spans="1:3" ht="18" customHeight="1" x14ac:dyDescent="0.3">
      <c r="A1859" s="1">
        <v>14</v>
      </c>
      <c r="B1859" s="1" t="s">
        <v>1544</v>
      </c>
      <c r="C1859" s="1" t="str">
        <f ca="1">IFERROR(__xludf.DUMMYFUNCTION("GOOGLETRANSLATE(B1870,""en"",""ja"")"),"ミッド")</f>
        <v>ミッド</v>
      </c>
    </row>
    <row r="1860" spans="1:3" ht="18" customHeight="1" x14ac:dyDescent="0.3">
      <c r="A1860" s="1">
        <v>14</v>
      </c>
      <c r="B1860" s="1" t="s">
        <v>431</v>
      </c>
      <c r="C1860" s="1" t="str">
        <f ca="1">IFERROR(__xludf.DUMMYFUNCTION("GOOGLETRANSLATE(B1871,""en"",""ja"")"),"中")</f>
        <v>中</v>
      </c>
    </row>
    <row r="1861" spans="1:3" ht="18" customHeight="1" x14ac:dyDescent="0.3">
      <c r="A1861" s="1">
        <v>14</v>
      </c>
      <c r="B1861" s="1" t="s">
        <v>1545</v>
      </c>
      <c r="C1861" s="1" t="str">
        <f ca="1">IFERROR(__xludf.DUMMYFUNCTION("GOOGLETRANSLATE(B1872,""en"",""ja"")"),"マップ")</f>
        <v>マップ</v>
      </c>
    </row>
    <row r="1862" spans="1:3" ht="18" customHeight="1" x14ac:dyDescent="0.3">
      <c r="A1862" s="1">
        <v>14</v>
      </c>
      <c r="B1862" s="1" t="s">
        <v>1546</v>
      </c>
      <c r="C1862" s="1" t="str">
        <f ca="1">IFERROR(__xludf.DUMMYFUNCTION("GOOGLETRANSLATE(B1873,""en"",""ja"")"),"管理します")</f>
        <v>管理します</v>
      </c>
    </row>
    <row r="1863" spans="1:3" ht="18" customHeight="1" x14ac:dyDescent="0.3">
      <c r="A1863" s="1">
        <v>14</v>
      </c>
      <c r="B1863" s="1" t="s">
        <v>1547</v>
      </c>
      <c r="C1863" s="1" t="str">
        <f ca="1">IFERROR(__xludf.DUMMYFUNCTION("GOOGLETRANSLATE(B1874,""en"",""ja"")"),"場所")</f>
        <v>場所</v>
      </c>
    </row>
    <row r="1864" spans="1:3" ht="18" customHeight="1" x14ac:dyDescent="0.3">
      <c r="A1864" s="1">
        <v>14</v>
      </c>
      <c r="B1864" s="1" t="s">
        <v>946</v>
      </c>
      <c r="C1864" s="1" t="str">
        <f ca="1">IFERROR(__xludf.DUMMYFUNCTION("GOOGLETRANSLATE(B1875,""en"",""ja"")"),"光")</f>
        <v>光</v>
      </c>
    </row>
    <row r="1865" spans="1:3" ht="18" customHeight="1" x14ac:dyDescent="0.3">
      <c r="A1865" s="1">
        <v>14</v>
      </c>
      <c r="B1865" s="1" t="s">
        <v>1548</v>
      </c>
      <c r="C1865" s="1" t="str">
        <f ca="1">IFERROR(__xludf.DUMMYFUNCTION("GOOGLETRANSLATE(B1876,""en"",""ja"")"),"王国")</f>
        <v>王国</v>
      </c>
    </row>
    <row r="1866" spans="1:3" ht="18" customHeight="1" x14ac:dyDescent="0.3">
      <c r="A1866" s="1">
        <v>14</v>
      </c>
      <c r="B1866" s="1" t="s">
        <v>1549</v>
      </c>
      <c r="C1866" s="1" t="str">
        <f ca="1">IFERROR(__xludf.DUMMYFUNCTION("GOOGLETRANSLATE(B1877,""en"",""ja"")"),"ジョブ")</f>
        <v>ジョブ</v>
      </c>
    </row>
    <row r="1867" spans="1:3" ht="18" customHeight="1" x14ac:dyDescent="0.3">
      <c r="A1867" s="1">
        <v>14</v>
      </c>
      <c r="B1867" s="1" t="s">
        <v>1550</v>
      </c>
      <c r="C1867" s="1" t="str">
        <f ca="1">IFERROR(__xludf.DUMMYFUNCTION("GOOGLETRANSLATE(B1878,""en"",""ja"")"),"解釈")</f>
        <v>解釈</v>
      </c>
    </row>
    <row r="1868" spans="1:3" ht="18" customHeight="1" x14ac:dyDescent="0.3">
      <c r="A1868" s="1">
        <v>14</v>
      </c>
      <c r="B1868" s="1" t="s">
        <v>1551</v>
      </c>
      <c r="C1868" s="1" t="str">
        <f ca="1">IFERROR(__xludf.DUMMYFUNCTION("GOOGLETRANSLATE(B1879,""en"",""ja"")"),"統合")</f>
        <v>統合</v>
      </c>
    </row>
    <row r="1869" spans="1:3" ht="18" customHeight="1" x14ac:dyDescent="0.3">
      <c r="A1869" s="1">
        <v>14</v>
      </c>
      <c r="B1869" s="1" t="s">
        <v>1552</v>
      </c>
      <c r="C1869" s="1" t="str">
        <f ca="1">IFERROR(__xludf.DUMMYFUNCTION("GOOGLETRANSLATE(B1880,""en"",""ja"")"),"必然的に")</f>
        <v>必然的に</v>
      </c>
    </row>
    <row r="1870" spans="1:3" ht="18" customHeight="1" x14ac:dyDescent="0.3">
      <c r="A1870" s="1">
        <v>14</v>
      </c>
      <c r="B1870" s="1" t="s">
        <v>1553</v>
      </c>
      <c r="C1870" s="1" t="str">
        <f ca="1">IFERROR(__xludf.DUMMYFUNCTION("GOOGLETRANSLATE(B1881,""en"",""ja"")"),"インディアン")</f>
        <v>インディアン</v>
      </c>
    </row>
    <row r="1871" spans="1:3" ht="18" customHeight="1" x14ac:dyDescent="0.3">
      <c r="A1871" s="1">
        <v>14</v>
      </c>
      <c r="B1871" s="1" t="s">
        <v>1554</v>
      </c>
      <c r="C1871" s="1" t="str">
        <f ca="1">IFERROR(__xludf.DUMMYFUNCTION("GOOGLETRANSLATE(B1882,""en"",""ja"")"),"弾み")</f>
        <v>弾み</v>
      </c>
    </row>
    <row r="1872" spans="1:3" ht="18" customHeight="1" x14ac:dyDescent="0.3">
      <c r="A1872" s="1">
        <v>14</v>
      </c>
      <c r="B1872" s="1" t="s">
        <v>1555</v>
      </c>
      <c r="C1872" s="1" t="str">
        <f ca="1">IFERROR(__xludf.DUMMYFUNCTION("GOOGLETRANSLATE(B1883,""en"",""ja"")"),"模倣")</f>
        <v>模倣</v>
      </c>
    </row>
    <row r="1873" spans="1:3" ht="18" customHeight="1" x14ac:dyDescent="0.3">
      <c r="A1873" s="1">
        <v>14</v>
      </c>
      <c r="B1873" s="1" t="s">
        <v>736</v>
      </c>
      <c r="C1873" s="1" t="str">
        <f ca="1">IFERROR(__xludf.DUMMYFUNCTION("GOOGLETRANSLATE(B1884,""en"",""ja"")"),"想像します")</f>
        <v>想像します</v>
      </c>
    </row>
    <row r="1874" spans="1:3" ht="18" customHeight="1" x14ac:dyDescent="0.3">
      <c r="A1874" s="1">
        <v>14</v>
      </c>
      <c r="B1874" s="1" t="s">
        <v>631</v>
      </c>
      <c r="C1874" s="1" t="str">
        <f ca="1">IFERROR(__xludf.DUMMYFUNCTION("GOOGLETRANSLATE(B1885,""en"",""ja"")"),"家庭")</f>
        <v>家庭</v>
      </c>
    </row>
    <row r="1875" spans="1:3" ht="18" customHeight="1" x14ac:dyDescent="0.3">
      <c r="A1875" s="1">
        <v>14</v>
      </c>
      <c r="B1875" s="1" t="s">
        <v>1556</v>
      </c>
      <c r="C1875" s="1" t="str">
        <f ca="1">IFERROR(__xludf.DUMMYFUNCTION("GOOGLETRANSLATE(B1886,""en"",""ja"")"),"時間")</f>
        <v>時間</v>
      </c>
    </row>
    <row r="1876" spans="1:3" ht="18" customHeight="1" x14ac:dyDescent="0.3">
      <c r="A1876" s="1">
        <v>14</v>
      </c>
      <c r="B1876" s="1" t="s">
        <v>1557</v>
      </c>
      <c r="C1876" s="1" t="str">
        <f ca="1">IFERROR(__xludf.DUMMYFUNCTION("GOOGLETRANSLATE(B1887,""en"",""ja"")"),"ホールディング")</f>
        <v>ホールディング</v>
      </c>
    </row>
    <row r="1877" spans="1:3" ht="18" customHeight="1" x14ac:dyDescent="0.3">
      <c r="A1877" s="1">
        <v>14</v>
      </c>
      <c r="B1877" s="1" t="s">
        <v>1558</v>
      </c>
      <c r="C1877" s="1" t="str">
        <f ca="1">IFERROR(__xludf.DUMMYFUNCTION("GOOGLETRANSLATE(B1888,""en"",""ja"")"),"頭")</f>
        <v>頭</v>
      </c>
    </row>
    <row r="1878" spans="1:3" ht="18" customHeight="1" x14ac:dyDescent="0.3">
      <c r="A1878" s="1">
        <v>14</v>
      </c>
      <c r="B1878" s="1" t="s">
        <v>1559</v>
      </c>
      <c r="C1878" s="1" t="str">
        <f ca="1">IFERROR(__xludf.DUMMYFUNCTION("GOOGLETRANSLATE(B1889,""en"",""ja"")"),"たまたま")</f>
        <v>たまたま</v>
      </c>
    </row>
    <row r="1879" spans="1:3" ht="18" customHeight="1" x14ac:dyDescent="0.3">
      <c r="A1879" s="1">
        <v>14</v>
      </c>
      <c r="B1879" s="1" t="s">
        <v>1560</v>
      </c>
      <c r="C1879" s="1" t="str">
        <f ca="1">IFERROR(__xludf.DUMMYFUNCTION("GOOGLETRANSLATE(B1890,""en"",""ja"")"),"緑")</f>
        <v>緑</v>
      </c>
    </row>
    <row r="1880" spans="1:3" ht="18" customHeight="1" x14ac:dyDescent="0.3">
      <c r="A1880" s="1">
        <v>14</v>
      </c>
      <c r="B1880" s="1" t="s">
        <v>1561</v>
      </c>
      <c r="C1880" s="1" t="str">
        <f ca="1">IFERROR(__xludf.DUMMYFUNCTION("GOOGLETRANSLATE(B1891,""en"",""ja"")"),"ゴール")</f>
        <v>ゴール</v>
      </c>
    </row>
    <row r="1881" spans="1:3" ht="18" customHeight="1" x14ac:dyDescent="0.3">
      <c r="A1881" s="1">
        <v>14</v>
      </c>
      <c r="B1881" s="1" t="s">
        <v>1562</v>
      </c>
      <c r="C1881" s="1" t="str">
        <f ca="1">IFERROR(__xludf.DUMMYFUNCTION("GOOGLETRANSLATE(B1892,""en"",""ja"")"),"ゴール")</f>
        <v>ゴール</v>
      </c>
    </row>
    <row r="1882" spans="1:3" ht="18" customHeight="1" x14ac:dyDescent="0.3">
      <c r="A1882" s="1">
        <v>14</v>
      </c>
      <c r="B1882" s="1" t="s">
        <v>278</v>
      </c>
      <c r="C1882" s="1" t="str">
        <f ca="1">IFERROR(__xludf.DUMMYFUNCTION("GOOGLETRANSLATE(B1893,""en"",""ja"")"),"一般的な")</f>
        <v>一般的な</v>
      </c>
    </row>
    <row r="1883" spans="1:3" ht="18" customHeight="1" x14ac:dyDescent="0.3">
      <c r="A1883" s="1">
        <v>14</v>
      </c>
      <c r="B1883" s="1" t="s">
        <v>1563</v>
      </c>
      <c r="C1883" s="1" t="str">
        <f ca="1">IFERROR(__xludf.DUMMYFUNCTION("GOOGLETRANSLATE(B1894,""en"",""ja"")"),"ガイア")</f>
        <v>ガイア</v>
      </c>
    </row>
    <row r="1884" spans="1:3" ht="18" customHeight="1" x14ac:dyDescent="0.3">
      <c r="A1884" s="1">
        <v>14</v>
      </c>
      <c r="B1884" s="1" t="s">
        <v>1564</v>
      </c>
      <c r="C1884" s="1" t="str">
        <f ca="1">IFERROR(__xludf.DUMMYFUNCTION("GOOGLETRANSLATE(B1895,""en"",""ja"")"),"前者")</f>
        <v>前者</v>
      </c>
    </row>
    <row r="1885" spans="1:3" ht="18" customHeight="1" x14ac:dyDescent="0.3">
      <c r="A1885" s="1">
        <v>14</v>
      </c>
      <c r="B1885" s="1" t="s">
        <v>1565</v>
      </c>
      <c r="C1885" s="1" t="str">
        <f ca="1">IFERROR(__xludf.DUMMYFUNCTION("GOOGLETRANSLATE(B1896,""en"",""ja"")"),"焦点")</f>
        <v>焦点</v>
      </c>
    </row>
    <row r="1886" spans="1:3" ht="18" customHeight="1" x14ac:dyDescent="0.3">
      <c r="A1886" s="1">
        <v>14</v>
      </c>
      <c r="B1886" s="1" t="s">
        <v>1566</v>
      </c>
      <c r="C1886" s="1" t="str">
        <f ca="1">IFERROR(__xludf.DUMMYFUNCTION("GOOGLETRANSLATE(B1897,""en"",""ja"")"),"戦い")</f>
        <v>戦い</v>
      </c>
    </row>
    <row r="1887" spans="1:3" ht="18" customHeight="1" x14ac:dyDescent="0.3">
      <c r="A1887" s="1">
        <v>14</v>
      </c>
      <c r="B1887" s="1" t="s">
        <v>1567</v>
      </c>
      <c r="C1887" s="1" t="str">
        <f ca="1">IFERROR(__xludf.DUMMYFUNCTION("GOOGLETRANSLATE(B1898,""en"",""ja"")"),"祭り")</f>
        <v>祭り</v>
      </c>
    </row>
    <row r="1888" spans="1:3" ht="18" customHeight="1" x14ac:dyDescent="0.3">
      <c r="A1888" s="1">
        <v>14</v>
      </c>
      <c r="B1888" s="1" t="s">
        <v>1568</v>
      </c>
      <c r="C1888" s="1" t="str">
        <f ca="1">IFERROR(__xludf.DUMMYFUNCTION("GOOGLETRANSLATE(B1899,""en"",""ja"")"),"好ましい")</f>
        <v>好ましい</v>
      </c>
    </row>
    <row r="1889" spans="1:3" ht="18" customHeight="1" x14ac:dyDescent="0.3">
      <c r="A1889" s="1">
        <v>14</v>
      </c>
      <c r="B1889" s="1" t="s">
        <v>1569</v>
      </c>
      <c r="C1889" s="1" t="str">
        <f ca="1">IFERROR(__xludf.DUMMYFUNCTION("GOOGLETRANSLATE(B1900,""en"",""ja"")"),"魅了")</f>
        <v>魅了</v>
      </c>
    </row>
    <row r="1890" spans="1:3" ht="18" customHeight="1" x14ac:dyDescent="0.3">
      <c r="A1890" s="1">
        <v>14</v>
      </c>
      <c r="B1890" s="1" t="s">
        <v>1570</v>
      </c>
      <c r="C1890" s="1" t="str">
        <f ca="1">IFERROR(__xludf.DUMMYFUNCTION("GOOGLETRANSLATE(B1901,""en"",""ja"")"),"FAE")</f>
        <v>FAE</v>
      </c>
    </row>
    <row r="1891" spans="1:3" ht="18" customHeight="1" x14ac:dyDescent="0.3">
      <c r="A1891" s="1">
        <v>14</v>
      </c>
      <c r="B1891" s="1" t="s">
        <v>1571</v>
      </c>
      <c r="C1891" s="1" t="str">
        <f ca="1">IFERROR(__xludf.DUMMYFUNCTION("GOOGLETRANSLATE(B1902,""en"",""ja"")"),"直面しています")</f>
        <v>直面しています</v>
      </c>
    </row>
    <row r="1892" spans="1:3" ht="18" customHeight="1" x14ac:dyDescent="0.3">
      <c r="A1892" s="1">
        <v>14</v>
      </c>
      <c r="B1892" s="1" t="s">
        <v>1572</v>
      </c>
      <c r="C1892" s="1" t="str">
        <f ca="1">IFERROR(__xludf.DUMMYFUNCTION("GOOGLETRANSLATE(B1903,""en"",""ja"")"),"高価な")</f>
        <v>高価な</v>
      </c>
    </row>
    <row r="1893" spans="1:3" ht="18" customHeight="1" x14ac:dyDescent="0.3">
      <c r="A1893" s="1">
        <v>14</v>
      </c>
      <c r="B1893" s="1" t="s">
        <v>1573</v>
      </c>
      <c r="C1893" s="1" t="str">
        <f ca="1">IFERROR(__xludf.DUMMYFUNCTION("GOOGLETRANSLATE(B1904,""en"",""ja"")"),"除きます")</f>
        <v>除きます</v>
      </c>
    </row>
    <row r="1894" spans="1:3" ht="18" customHeight="1" x14ac:dyDescent="0.3">
      <c r="A1894" s="1">
        <v>14</v>
      </c>
      <c r="B1894" s="1" t="s">
        <v>1574</v>
      </c>
      <c r="C1894" s="1" t="str">
        <f ca="1">IFERROR(__xludf.DUMMYFUNCTION("GOOGLETRANSLATE(B1905,""en"",""ja"")"),"診る")</f>
        <v>診る</v>
      </c>
    </row>
    <row r="1895" spans="1:3" ht="18" customHeight="1" x14ac:dyDescent="0.3">
      <c r="A1895" s="1">
        <v>14</v>
      </c>
      <c r="B1895" s="1" t="s">
        <v>1575</v>
      </c>
      <c r="C1895" s="1" t="str">
        <f ca="1">IFERROR(__xludf.DUMMYFUNCTION("GOOGLETRANSLATE(B1906,""en"",""ja"")"),"赤道の")</f>
        <v>赤道の</v>
      </c>
    </row>
    <row r="1896" spans="1:3" ht="18" customHeight="1" x14ac:dyDescent="0.3">
      <c r="A1896" s="1">
        <v>14</v>
      </c>
      <c r="B1896" s="1" t="s">
        <v>1576</v>
      </c>
      <c r="C1896" s="1" t="str">
        <f ca="1">IFERROR(__xludf.DUMMYFUNCTION("GOOGLETRANSLATE(B1907,""en"",""ja"")"),"環境")</f>
        <v>環境</v>
      </c>
    </row>
    <row r="1897" spans="1:3" ht="18" customHeight="1" x14ac:dyDescent="0.3">
      <c r="A1897" s="1">
        <v>14</v>
      </c>
      <c r="B1897" s="1" t="s">
        <v>1577</v>
      </c>
      <c r="C1897" s="1" t="str">
        <f ca="1">IFERROR(__xludf.DUMMYFUNCTION("GOOGLETRANSLATE(B1908,""en"",""ja"")"),"全く")</f>
        <v>全く</v>
      </c>
    </row>
    <row r="1898" spans="1:3" ht="18" customHeight="1" x14ac:dyDescent="0.3">
      <c r="A1898" s="1">
        <v>14</v>
      </c>
      <c r="B1898" s="1" t="s">
        <v>1578</v>
      </c>
      <c r="C1898" s="1" t="str">
        <f ca="1">IFERROR(__xludf.DUMMYFUNCTION("GOOGLETRANSLATE(B1909,""en"",""ja"")"),"明るいです")</f>
        <v>明るいです</v>
      </c>
    </row>
    <row r="1899" spans="1:3" ht="18" customHeight="1" x14ac:dyDescent="0.3">
      <c r="A1899" s="1">
        <v>14</v>
      </c>
      <c r="B1899" s="1" t="s">
        <v>1579</v>
      </c>
      <c r="C1899" s="1" t="str">
        <f ca="1">IFERROR(__xludf.DUMMYFUNCTION("GOOGLETRANSLATE(B1910,""en"",""ja"")"),"使用可能")</f>
        <v>使用可能</v>
      </c>
    </row>
    <row r="1900" spans="1:3" ht="18" customHeight="1" x14ac:dyDescent="0.3">
      <c r="A1900" s="1">
        <v>14</v>
      </c>
      <c r="B1900" s="1" t="s">
        <v>1580</v>
      </c>
      <c r="C1900" s="1" t="str">
        <f ca="1">IFERROR(__xludf.DUMMYFUNCTION("GOOGLETRANSLATE(B1911,""en"",""ja"")"),"感情")</f>
        <v>感情</v>
      </c>
    </row>
    <row r="1901" spans="1:3" ht="18" customHeight="1" x14ac:dyDescent="0.3">
      <c r="A1901" s="1">
        <v>14</v>
      </c>
      <c r="B1901" s="1" t="s">
        <v>1581</v>
      </c>
      <c r="C1901" s="1" t="str">
        <f ca="1">IFERROR(__xludf.DUMMYFUNCTION("GOOGLETRANSLATE(B1912,""en"",""ja"")"),"素子")</f>
        <v>素子</v>
      </c>
    </row>
    <row r="1902" spans="1:3" ht="18" customHeight="1" x14ac:dyDescent="0.3">
      <c r="A1902" s="1">
        <v>14</v>
      </c>
      <c r="B1902" s="1" t="s">
        <v>1582</v>
      </c>
      <c r="C1902" s="1" t="str">
        <f ca="1">IFERROR(__xludf.DUMMYFUNCTION("GOOGLETRANSLATE(B1913,""en"",""ja"")"),"電気")</f>
        <v>電気</v>
      </c>
    </row>
    <row r="1903" spans="1:3" ht="18" customHeight="1" x14ac:dyDescent="0.3">
      <c r="A1903" s="1">
        <v>14</v>
      </c>
      <c r="B1903" s="1" t="s">
        <v>1583</v>
      </c>
      <c r="C1903" s="1" t="str">
        <f ca="1">IFERROR(__xludf.DUMMYFUNCTION("GOOGLETRANSLATE(B1914,""en"",""ja"")"),"8")</f>
        <v>8</v>
      </c>
    </row>
    <row r="1904" spans="1:3" ht="18" customHeight="1" x14ac:dyDescent="0.3">
      <c r="A1904" s="1">
        <v>14</v>
      </c>
      <c r="B1904" s="1" t="s">
        <v>344</v>
      </c>
      <c r="C1904" s="1" t="str">
        <f ca="1">IFERROR(__xludf.DUMMYFUNCTION("GOOGLETRANSLATE(B1915,""en"",""ja"")"),"ダウン")</f>
        <v>ダウン</v>
      </c>
    </row>
    <row r="1905" spans="1:3" ht="18" customHeight="1" x14ac:dyDescent="0.3">
      <c r="A1905" s="1">
        <v>14</v>
      </c>
      <c r="B1905" s="1" t="s">
        <v>1584</v>
      </c>
      <c r="C1905" s="1" t="str">
        <f ca="1">IFERROR(__xludf.DUMMYFUNCTION("GOOGLETRANSLATE(B1916,""en"",""ja"")"),"ドクトリン")</f>
        <v>ドクトリン</v>
      </c>
    </row>
    <row r="1906" spans="1:3" ht="18" customHeight="1" x14ac:dyDescent="0.3">
      <c r="A1906" s="1">
        <v>14</v>
      </c>
      <c r="B1906" s="1" t="s">
        <v>1585</v>
      </c>
      <c r="C1906" s="1" t="str">
        <f ca="1">IFERROR(__xludf.DUMMYFUNCTION("GOOGLETRANSLATE(B1917,""en"",""ja"")"),"神")</f>
        <v>神</v>
      </c>
    </row>
    <row r="1907" spans="1:3" ht="18" customHeight="1" x14ac:dyDescent="0.3">
      <c r="A1907" s="1">
        <v>14</v>
      </c>
      <c r="B1907" s="1" t="s">
        <v>1586</v>
      </c>
      <c r="C1907" s="1" t="str">
        <f ca="1">IFERROR(__xludf.DUMMYFUNCTION("GOOGLETRANSLATE(B1918,""en"",""ja"")"),"分岐")</f>
        <v>分岐</v>
      </c>
    </row>
    <row r="1908" spans="1:3" ht="18" customHeight="1" x14ac:dyDescent="0.3">
      <c r="A1908" s="1">
        <v>14</v>
      </c>
      <c r="B1908" s="1" t="s">
        <v>1587</v>
      </c>
      <c r="C1908" s="1" t="str">
        <f ca="1">IFERROR(__xludf.DUMMYFUNCTION("GOOGLETRANSLATE(B1919,""en"",""ja"")"),"専制")</f>
        <v>専制</v>
      </c>
    </row>
    <row r="1909" spans="1:3" ht="18" customHeight="1" x14ac:dyDescent="0.3">
      <c r="A1909" s="1">
        <v>14</v>
      </c>
      <c r="B1909" s="1" t="s">
        <v>714</v>
      </c>
      <c r="C1909" s="1" t="str">
        <f ca="1">IFERROR(__xludf.DUMMYFUNCTION("GOOGLETRANSLATE(B1920,""en"",""ja"")"),"設計")</f>
        <v>設計</v>
      </c>
    </row>
    <row r="1910" spans="1:3" ht="18" customHeight="1" x14ac:dyDescent="0.3">
      <c r="A1910" s="1">
        <v>14</v>
      </c>
      <c r="B1910" s="1" t="s">
        <v>1588</v>
      </c>
      <c r="C1910" s="1" t="str">
        <f ca="1">IFERROR(__xludf.DUMMYFUNCTION("GOOGLETRANSLATE(B1921,""en"",""ja"")"),"要求する")</f>
        <v>要求する</v>
      </c>
    </row>
    <row r="1911" spans="1:3" ht="18" customHeight="1" x14ac:dyDescent="0.3">
      <c r="A1911" s="1">
        <v>14</v>
      </c>
      <c r="B1911" s="1" t="s">
        <v>1589</v>
      </c>
      <c r="C1911" s="1" t="str">
        <f ca="1">IFERROR(__xludf.DUMMYFUNCTION("GOOGLETRANSLATE(B1922,""en"",""ja"")"),"減少しました")</f>
        <v>減少しました</v>
      </c>
    </row>
    <row r="1912" spans="1:3" ht="18" customHeight="1" x14ac:dyDescent="0.3">
      <c r="A1912" s="1">
        <v>14</v>
      </c>
      <c r="B1912" s="1" t="s">
        <v>1590</v>
      </c>
      <c r="C1912" s="1" t="str">
        <f ca="1">IFERROR(__xludf.DUMMYFUNCTION("GOOGLETRANSLATE(B1923,""en"",""ja"")"),"デ")</f>
        <v>デ</v>
      </c>
    </row>
    <row r="1913" spans="1:3" ht="18" customHeight="1" x14ac:dyDescent="0.3">
      <c r="A1913" s="1">
        <v>14</v>
      </c>
      <c r="B1913" s="1" t="s">
        <v>1591</v>
      </c>
      <c r="C1913" s="1" t="str">
        <f ca="1">IFERROR(__xludf.DUMMYFUNCTION("GOOGLETRANSLATE(B1924,""en"",""ja"")"),"日々")</f>
        <v>日々</v>
      </c>
    </row>
    <row r="1914" spans="1:3" ht="18" customHeight="1" x14ac:dyDescent="0.3">
      <c r="A1914" s="1">
        <v>14</v>
      </c>
      <c r="B1914" s="1" t="s">
        <v>1592</v>
      </c>
      <c r="C1914" s="1" t="str">
        <f ca="1">IFERROR(__xludf.DUMMYFUNCTION("GOOGLETRANSLATE(B1925,""en"",""ja"")"),"サイクル")</f>
        <v>サイクル</v>
      </c>
    </row>
    <row r="1915" spans="1:3" ht="18" customHeight="1" x14ac:dyDescent="0.3">
      <c r="A1915" s="1">
        <v>14</v>
      </c>
      <c r="B1915" s="1" t="s">
        <v>1593</v>
      </c>
      <c r="C1915" s="1" t="str">
        <f ca="1">IFERROR(__xludf.DUMMYFUNCTION("GOOGLETRANSLATE(B1926,""en"",""ja"")"),"批判")</f>
        <v>批判</v>
      </c>
    </row>
    <row r="1916" spans="1:3" ht="18" customHeight="1" x14ac:dyDescent="0.3">
      <c r="A1916" s="1">
        <v>14</v>
      </c>
      <c r="B1916" s="1" t="s">
        <v>1594</v>
      </c>
      <c r="C1916" s="1" t="str">
        <f ca="1">IFERROR(__xludf.DUMMYFUNCTION("GOOGLETRANSLATE(B1927,""en"",""ja"")"),"クリティカル")</f>
        <v>クリティカル</v>
      </c>
    </row>
    <row r="1917" spans="1:3" ht="18" customHeight="1" x14ac:dyDescent="0.3">
      <c r="A1917" s="1">
        <v>14</v>
      </c>
      <c r="B1917" s="1" t="s">
        <v>1595</v>
      </c>
      <c r="C1917" s="1" t="str">
        <f ca="1">IFERROR(__xludf.DUMMYFUNCTION("GOOGLETRANSLATE(B1928,""en"",""ja"")"),"貢献")</f>
        <v>貢献</v>
      </c>
    </row>
    <row r="1918" spans="1:3" ht="18" customHeight="1" x14ac:dyDescent="0.3">
      <c r="A1918" s="1">
        <v>14</v>
      </c>
      <c r="B1918" s="1" t="s">
        <v>1596</v>
      </c>
      <c r="C1918" s="1" t="str">
        <f ca="1">IFERROR(__xludf.DUMMYFUNCTION("GOOGLETRANSLATE(B1929,""en"",""ja"")"),"構築")</f>
        <v>構築</v>
      </c>
    </row>
    <row r="1919" spans="1:3" ht="18" customHeight="1" x14ac:dyDescent="0.3">
      <c r="A1919" s="1">
        <v>14</v>
      </c>
      <c r="B1919" s="1" t="s">
        <v>1597</v>
      </c>
      <c r="C1919" s="1" t="str">
        <f ca="1">IFERROR(__xludf.DUMMYFUNCTION("GOOGLETRANSLATE(B1930,""en"",""ja"")"),"隠す")</f>
        <v>隠す</v>
      </c>
    </row>
    <row r="1920" spans="1:3" ht="18" customHeight="1" x14ac:dyDescent="0.3">
      <c r="A1920" s="1">
        <v>14</v>
      </c>
      <c r="B1920" s="1" t="s">
        <v>1598</v>
      </c>
      <c r="C1920" s="1" t="str">
        <f ca="1">IFERROR(__xludf.DUMMYFUNCTION("GOOGLETRANSLATE(B1931,""en"",""ja"")"),"企業")</f>
        <v>企業</v>
      </c>
    </row>
    <row r="1921" spans="1:3" ht="18" customHeight="1" x14ac:dyDescent="0.3">
      <c r="A1921" s="1">
        <v>14</v>
      </c>
      <c r="B1921" s="1" t="s">
        <v>1599</v>
      </c>
      <c r="C1921" s="1" t="str">
        <f ca="1">IFERROR(__xludf.DUMMYFUNCTION("GOOGLETRANSLATE(B1932,""en"",""ja"")"),"一般に")</f>
        <v>一般に</v>
      </c>
    </row>
    <row r="1922" spans="1:3" ht="18" customHeight="1" x14ac:dyDescent="0.3">
      <c r="A1922" s="1">
        <v>14</v>
      </c>
      <c r="B1922" s="1" t="s">
        <v>1025</v>
      </c>
      <c r="C1922" s="1" t="str">
        <f ca="1">IFERROR(__xludf.DUMMYFUNCTION("GOOGLETRANSLATE(B1933,""en"",""ja"")"),"混沌")</f>
        <v>混沌</v>
      </c>
    </row>
    <row r="1923" spans="1:3" ht="18" customHeight="1" x14ac:dyDescent="0.3">
      <c r="A1923" s="1">
        <v>14</v>
      </c>
      <c r="B1923" s="1" t="s">
        <v>1600</v>
      </c>
      <c r="C1923" s="1" t="str">
        <f ca="1">IFERROR(__xludf.DUMMYFUNCTION("GOOGLETRANSLATE(B1934,""en"",""ja"")"),"チャレンジ")</f>
        <v>チャレンジ</v>
      </c>
    </row>
    <row r="1924" spans="1:3" ht="18" customHeight="1" x14ac:dyDescent="0.3">
      <c r="A1924" s="1">
        <v>14</v>
      </c>
      <c r="B1924" s="1" t="s">
        <v>600</v>
      </c>
      <c r="C1924" s="1" t="str">
        <f ca="1">IFERROR(__xludf.DUMMYFUNCTION("GOOGLETRANSLATE(B1935,""en"",""ja"")"),"C")</f>
        <v>C</v>
      </c>
    </row>
    <row r="1925" spans="1:3" ht="18" customHeight="1" x14ac:dyDescent="0.3">
      <c r="A1925" s="1">
        <v>14</v>
      </c>
      <c r="B1925" s="1" t="s">
        <v>1601</v>
      </c>
      <c r="C1925" s="1" t="str">
        <f ca="1">IFERROR(__xludf.DUMMYFUNCTION("GOOGLETRANSLATE(B1936,""en"",""ja"")"),"ビルド")</f>
        <v>ビルド</v>
      </c>
    </row>
    <row r="1926" spans="1:3" ht="18" customHeight="1" x14ac:dyDescent="0.3">
      <c r="A1926" s="1">
        <v>14</v>
      </c>
      <c r="B1926" s="1" t="s">
        <v>1602</v>
      </c>
      <c r="C1926" s="1" t="str">
        <f ca="1">IFERROR(__xludf.DUMMYFUNCTION("GOOGLETRANSLATE(B1938,""en"",""ja"")"),"伝記")</f>
        <v>伝記</v>
      </c>
    </row>
    <row r="1927" spans="1:3" ht="18" customHeight="1" x14ac:dyDescent="0.3">
      <c r="A1927" s="1">
        <v>14</v>
      </c>
      <c r="B1927" s="1" t="s">
        <v>1603</v>
      </c>
      <c r="C1927" s="1" t="str">
        <f ca="1">IFERROR(__xludf.DUMMYFUNCTION("GOOGLETRANSLATE(B1939,""en"",""ja"")"),"注意")</f>
        <v>注意</v>
      </c>
    </row>
    <row r="1928" spans="1:3" ht="18" customHeight="1" x14ac:dyDescent="0.3">
      <c r="A1928" s="1">
        <v>14</v>
      </c>
      <c r="B1928" s="1" t="s">
        <v>1604</v>
      </c>
      <c r="C1928" s="1" t="str">
        <f ca="1">IFERROR(__xludf.DUMMYFUNCTION("GOOGLETRANSLATE(B1940,""en"",""ja"")"),"出席")</f>
        <v>出席</v>
      </c>
    </row>
    <row r="1929" spans="1:3" ht="18" customHeight="1" x14ac:dyDescent="0.3">
      <c r="A1929" s="1">
        <v>14</v>
      </c>
      <c r="B1929" s="1" t="s">
        <v>1605</v>
      </c>
      <c r="C1929" s="1" t="str">
        <f ca="1">IFERROR(__xludf.DUMMYFUNCTION("GOOGLETRANSLATE(B1941,""en"",""ja"")"),"さておき")</f>
        <v>さておき</v>
      </c>
    </row>
    <row r="1930" spans="1:3" ht="18" customHeight="1" x14ac:dyDescent="0.3">
      <c r="A1930" s="1">
        <v>14</v>
      </c>
      <c r="B1930" s="1" t="s">
        <v>1606</v>
      </c>
      <c r="C1930" s="1" t="str">
        <f ca="1">IFERROR(__xludf.DUMMYFUNCTION("GOOGLETRANSLATE(B1942,""en"",""ja"")"),"生じました")</f>
        <v>生じました</v>
      </c>
    </row>
    <row r="1931" spans="1:3" ht="18" customHeight="1" x14ac:dyDescent="0.3">
      <c r="A1931" s="1">
        <v>14</v>
      </c>
      <c r="B1931" s="1" t="s">
        <v>1309</v>
      </c>
      <c r="C1931" s="1" t="str">
        <f ca="1">IFERROR(__xludf.DUMMYFUNCTION("GOOGLETRANSLATE(B1943,""en"",""ja"")"),"現れる")</f>
        <v>現れる</v>
      </c>
    </row>
    <row r="1932" spans="1:3" ht="18" customHeight="1" x14ac:dyDescent="0.3">
      <c r="A1932" s="1">
        <v>14</v>
      </c>
      <c r="B1932" s="1" t="s">
        <v>1607</v>
      </c>
      <c r="C1932" s="1" t="str">
        <f ca="1">IFERROR(__xludf.DUMMYFUNCTION("GOOGLETRANSLATE(B1944,""en"",""ja"")"),"猿")</f>
        <v>猿</v>
      </c>
    </row>
    <row r="1933" spans="1:3" ht="18" customHeight="1" x14ac:dyDescent="0.3">
      <c r="A1933" s="1">
        <v>14</v>
      </c>
      <c r="B1933" s="1" t="s">
        <v>1608</v>
      </c>
      <c r="C1933" s="1" t="str">
        <f ca="1">IFERROR(__xludf.DUMMYFUNCTION("GOOGLETRANSLATE(B1945,""en"",""ja"")"),"解剖")</f>
        <v>解剖</v>
      </c>
    </row>
    <row r="1934" spans="1:3" ht="18" customHeight="1" x14ac:dyDescent="0.3">
      <c r="A1934" s="1">
        <v>14</v>
      </c>
      <c r="B1934" s="1" t="s">
        <v>241</v>
      </c>
      <c r="C1934" s="1" t="str">
        <f ca="1">IFERROR(__xludf.DUMMYFUNCTION("GOOGLETRANSLATE(B1946,""en"",""ja"")"),"アメリカン")</f>
        <v>アメリカン</v>
      </c>
    </row>
    <row r="1935" spans="1:3" ht="18" customHeight="1" x14ac:dyDescent="0.3">
      <c r="A1935" s="1">
        <v>14</v>
      </c>
      <c r="B1935" s="1" t="s">
        <v>1609</v>
      </c>
      <c r="C1935" s="1" t="str">
        <f ca="1">IFERROR(__xludf.DUMMYFUNCTION("GOOGLETRANSLATE(B1947,""en"",""ja"")"),"目的")</f>
        <v>目的</v>
      </c>
    </row>
    <row r="1936" spans="1:3" ht="18" customHeight="1" x14ac:dyDescent="0.3">
      <c r="A1936" s="1">
        <v>14</v>
      </c>
      <c r="B1936" s="1" t="s">
        <v>522</v>
      </c>
      <c r="C1936" s="1" t="str">
        <f ca="1">IFERROR(__xludf.DUMMYFUNCTION("GOOGLETRANSLATE(B1948,""en"",""ja"")"),"取得")</f>
        <v>取得</v>
      </c>
    </row>
    <row r="1937" spans="1:3" ht="18" customHeight="1" x14ac:dyDescent="0.3">
      <c r="A1937" s="1">
        <v>14</v>
      </c>
      <c r="B1937" s="1" t="s">
        <v>1610</v>
      </c>
      <c r="C1937" s="1" t="str">
        <f ca="1">IFERROR(__xludf.DUMMYFUNCTION("GOOGLETRANSLATE(B1949,""en"",""ja"")"),"正確")</f>
        <v>正確</v>
      </c>
    </row>
    <row r="1938" spans="1:3" ht="18" customHeight="1" x14ac:dyDescent="0.3">
      <c r="A1938" s="1">
        <v>14</v>
      </c>
      <c r="B1938" s="1" t="s">
        <v>1611</v>
      </c>
      <c r="C1938" s="1" t="str">
        <f ca="1">IFERROR(__xludf.DUMMYFUNCTION("GOOGLETRANSLATE(B1950,""en"",""ja"")"),"アクセス")</f>
        <v>アクセス</v>
      </c>
    </row>
    <row r="1939" spans="1:3" ht="18" customHeight="1" x14ac:dyDescent="0.3">
      <c r="A1939" s="1">
        <v>14</v>
      </c>
      <c r="B1939" s="1" t="s">
        <v>1612</v>
      </c>
      <c r="C1939" s="1" t="str">
        <f ca="1">IFERROR(__xludf.DUMMYFUNCTION("GOOGLETRANSLATE(B1951,""en"",""ja"")"),"上記")</f>
        <v>上記</v>
      </c>
    </row>
    <row r="1940" spans="1:3" ht="18" customHeight="1" x14ac:dyDescent="0.3">
      <c r="A1940" s="1">
        <v>13</v>
      </c>
      <c r="B1940" s="1" t="s">
        <v>1613</v>
      </c>
      <c r="C1940" s="1" t="str">
        <f ca="1">IFERROR(__xludf.DUMMYFUNCTION("GOOGLETRANSLATE(B1952,""en"",""ja"")"),"若者")</f>
        <v>若者</v>
      </c>
    </row>
    <row r="1941" spans="1:3" ht="18" customHeight="1" x14ac:dyDescent="0.3">
      <c r="A1941" s="1">
        <v>13</v>
      </c>
      <c r="B1941" s="1" t="s">
        <v>1614</v>
      </c>
      <c r="C1941" s="1" t="str">
        <f ca="1">IFERROR(__xludf.DUMMYFUNCTION("GOOGLETRANSLATE(B1953,""en"",""ja"")"),"年下")</f>
        <v>年下</v>
      </c>
    </row>
    <row r="1942" spans="1:3" ht="18" customHeight="1" x14ac:dyDescent="0.3">
      <c r="A1942" s="1">
        <v>13</v>
      </c>
      <c r="B1942" s="1" t="s">
        <v>1397</v>
      </c>
      <c r="C1942" s="1" t="str">
        <f ca="1">IFERROR(__xludf.DUMMYFUNCTION("GOOGLETRANSLATE(B1954,""en"",""ja"")"),"違う")</f>
        <v>違う</v>
      </c>
    </row>
    <row r="1943" spans="1:3" ht="18" customHeight="1" x14ac:dyDescent="0.3">
      <c r="A1943" s="1">
        <v>13</v>
      </c>
      <c r="B1943" s="1" t="s">
        <v>177</v>
      </c>
      <c r="C1943" s="1" t="str">
        <f ca="1">IFERROR(__xludf.DUMMYFUNCTION("GOOGLETRANSLATE(B1955,""en"",""ja"")"),"なぜ")</f>
        <v>なぜ</v>
      </c>
    </row>
    <row r="1944" spans="1:3" ht="18" customHeight="1" x14ac:dyDescent="0.3">
      <c r="A1944" s="1">
        <v>13</v>
      </c>
      <c r="B1944" s="1" t="s">
        <v>1615</v>
      </c>
      <c r="C1944" s="1" t="str">
        <f ca="1">IFERROR(__xludf.DUMMYFUNCTION("GOOGLETRANSLATE(B1956,""en"",""ja"")"),"重量")</f>
        <v>重量</v>
      </c>
    </row>
    <row r="1945" spans="1:3" ht="18" customHeight="1" x14ac:dyDescent="0.3">
      <c r="A1945" s="1">
        <v>13</v>
      </c>
      <c r="B1945" s="1" t="s">
        <v>1616</v>
      </c>
      <c r="C1945" s="1" t="str">
        <f ca="1">IFERROR(__xludf.DUMMYFUNCTION("GOOGLETRANSLATE(B1957,""en"",""ja"")"),"兵器")</f>
        <v>兵器</v>
      </c>
    </row>
    <row r="1946" spans="1:3" ht="18" customHeight="1" x14ac:dyDescent="0.3">
      <c r="A1946" s="1">
        <v>13</v>
      </c>
      <c r="B1946" s="1" t="s">
        <v>1617</v>
      </c>
      <c r="C1946" s="1" t="str">
        <f ca="1">IFERROR(__xludf.DUMMYFUNCTION("GOOGLETRANSLATE(B1958,""en"",""ja"")"),"木")</f>
        <v>木</v>
      </c>
    </row>
    <row r="1947" spans="1:3" ht="18" customHeight="1" x14ac:dyDescent="0.3">
      <c r="A1947" s="1">
        <v>13</v>
      </c>
      <c r="B1947" s="1" t="s">
        <v>1618</v>
      </c>
      <c r="C1947" s="1" t="str">
        <f ca="1">IFERROR(__xludf.DUMMYFUNCTION("GOOGLETRANSLATE(B1959,""en"",""ja"")"),"変換")</f>
        <v>変換</v>
      </c>
    </row>
    <row r="1948" spans="1:3" ht="18" customHeight="1" x14ac:dyDescent="0.3">
      <c r="A1948" s="1">
        <v>13</v>
      </c>
      <c r="B1948" s="1" t="s">
        <v>1619</v>
      </c>
      <c r="C1948" s="1" t="str">
        <f ca="1">IFERROR(__xludf.DUMMYFUNCTION("GOOGLETRANSLATE(B1960,""en"",""ja"")"),"変換")</f>
        <v>変換</v>
      </c>
    </row>
    <row r="1949" spans="1:3" ht="18" customHeight="1" x14ac:dyDescent="0.3">
      <c r="A1949" s="1">
        <v>13</v>
      </c>
      <c r="B1949" s="1" t="s">
        <v>1620</v>
      </c>
      <c r="C1949" s="1" t="str">
        <f ca="1">IFERROR(__xludf.DUMMYFUNCTION("GOOGLETRANSLATE(B1961,""en"",""ja"")"),"トレーニング")</f>
        <v>トレーニング</v>
      </c>
    </row>
    <row r="1950" spans="1:3" ht="18" customHeight="1" x14ac:dyDescent="0.3">
      <c r="A1950" s="1">
        <v>13</v>
      </c>
      <c r="B1950" s="1" t="s">
        <v>1621</v>
      </c>
      <c r="C1950" s="1" t="str">
        <f ca="1">IFERROR(__xludf.DUMMYFUNCTION("GOOGLETRANSLATE(B1962,""en"",""ja"")"),"伝統的に")</f>
        <v>伝統的に</v>
      </c>
    </row>
    <row r="1951" spans="1:3" ht="18" customHeight="1" x14ac:dyDescent="0.3">
      <c r="A1951" s="1">
        <v>13</v>
      </c>
      <c r="B1951" s="1" t="s">
        <v>1622</v>
      </c>
      <c r="C1951" s="1" t="str">
        <f ca="1">IFERROR(__xludf.DUMMYFUNCTION("GOOGLETRANSLATE(B1963,""en"",""ja"")"),"気温")</f>
        <v>気温</v>
      </c>
    </row>
    <row r="1952" spans="1:3" ht="18" customHeight="1" x14ac:dyDescent="0.3">
      <c r="A1952" s="1">
        <v>13</v>
      </c>
      <c r="B1952" s="1" t="s">
        <v>1623</v>
      </c>
      <c r="C1952" s="1" t="str">
        <f ca="1">IFERROR(__xludf.DUMMYFUNCTION("GOOGLETRANSLATE(B1964,""en"",""ja"")"),"科学技術の")</f>
        <v>科学技術の</v>
      </c>
    </row>
    <row r="1953" spans="1:3" ht="18" customHeight="1" x14ac:dyDescent="0.3">
      <c r="A1953" s="1">
        <v>13</v>
      </c>
      <c r="B1953" s="1" t="s">
        <v>1624</v>
      </c>
      <c r="C1953" s="1" t="str">
        <f ca="1">IFERROR(__xludf.DUMMYFUNCTION("GOOGLETRANSLATE(B1965,""en"",""ja"")"),"驚き")</f>
        <v>驚き</v>
      </c>
    </row>
    <row r="1954" spans="1:3" ht="18" customHeight="1" x14ac:dyDescent="0.3">
      <c r="A1954" s="1">
        <v>13</v>
      </c>
      <c r="B1954" s="1" t="s">
        <v>1625</v>
      </c>
      <c r="C1954" s="1" t="str">
        <f ca="1">IFERROR(__xludf.DUMMYFUNCTION("GOOGLETRANSLATE(B1966,""en"",""ja"")"),"主題")</f>
        <v>主題</v>
      </c>
    </row>
    <row r="1955" spans="1:3" ht="18" customHeight="1" x14ac:dyDescent="0.3">
      <c r="A1955" s="1">
        <v>13</v>
      </c>
      <c r="B1955" s="1" t="s">
        <v>1626</v>
      </c>
      <c r="C1955" s="1" t="str">
        <f ca="1">IFERROR(__xludf.DUMMYFUNCTION("GOOGLETRANSLATE(B1968,""en"",""ja"")"),"戦略")</f>
        <v>戦略</v>
      </c>
    </row>
    <row r="1956" spans="1:3" ht="18" customHeight="1" x14ac:dyDescent="0.3">
      <c r="A1956" s="1">
        <v>13</v>
      </c>
      <c r="B1956" s="1" t="s">
        <v>1627</v>
      </c>
      <c r="C1956" s="1" t="str">
        <f ca="1">IFERROR(__xludf.DUMMYFUNCTION("GOOGLETRANSLATE(B1969,""en"",""ja"")"),"スピーチ")</f>
        <v>スピーチ</v>
      </c>
    </row>
    <row r="1957" spans="1:3" ht="18" customHeight="1" x14ac:dyDescent="0.3">
      <c r="A1957" s="1">
        <v>13</v>
      </c>
      <c r="B1957" s="1" t="s">
        <v>1628</v>
      </c>
      <c r="C1957" s="1" t="str">
        <f ca="1">IFERROR(__xludf.DUMMYFUNCTION("GOOGLETRANSLATE(B1970,""en"",""ja"")"),"スペイン語")</f>
        <v>スペイン語</v>
      </c>
    </row>
    <row r="1958" spans="1:3" ht="18" customHeight="1" x14ac:dyDescent="0.3">
      <c r="A1958" s="1">
        <v>13</v>
      </c>
      <c r="B1958" s="1" t="s">
        <v>1243</v>
      </c>
      <c r="C1958" s="1" t="str">
        <f ca="1">IFERROR(__xludf.DUMMYFUNCTION("GOOGLETRANSLATE(B1971,""en"",""ja"")"),"音")</f>
        <v>音</v>
      </c>
    </row>
    <row r="1959" spans="1:3" ht="18" customHeight="1" x14ac:dyDescent="0.3">
      <c r="A1959" s="1">
        <v>13</v>
      </c>
      <c r="B1959" s="1" t="s">
        <v>1629</v>
      </c>
      <c r="C1959" s="1" t="str">
        <f ca="1">IFERROR(__xludf.DUMMYFUNCTION("GOOGLETRANSLATE(B1972,""en"",""ja"")"),"土")</f>
        <v>土</v>
      </c>
    </row>
    <row r="1960" spans="1:3" ht="18" customHeight="1" x14ac:dyDescent="0.3">
      <c r="A1960" s="1">
        <v>13</v>
      </c>
      <c r="B1960" s="1" t="s">
        <v>1630</v>
      </c>
      <c r="C1960" s="1" t="str">
        <f ca="1">IFERROR(__xludf.DUMMYFUNCTION("GOOGLETRANSLATE(B1973,""en"",""ja"")"),"スロー")</f>
        <v>スロー</v>
      </c>
    </row>
    <row r="1961" spans="1:3" ht="18" customHeight="1" x14ac:dyDescent="0.3">
      <c r="A1961" s="1">
        <v>13</v>
      </c>
      <c r="B1961" s="1" t="s">
        <v>1163</v>
      </c>
      <c r="C1961" s="1" t="str">
        <f ca="1">IFERROR(__xludf.DUMMYFUNCTION("GOOGLETRANSLATE(B1974,""en"",""ja"")"),"スキル")</f>
        <v>スキル</v>
      </c>
    </row>
    <row r="1962" spans="1:3" ht="18" customHeight="1" x14ac:dyDescent="0.3">
      <c r="A1962" s="1">
        <v>13</v>
      </c>
      <c r="B1962" s="1" t="s">
        <v>1045</v>
      </c>
      <c r="C1962" s="1" t="str">
        <f ca="1">IFERROR(__xludf.DUMMYFUNCTION("GOOGLETRANSLATE(B1975,""en"",""ja"")"),"同様に")</f>
        <v>同様に</v>
      </c>
    </row>
    <row r="1963" spans="1:3" ht="18" customHeight="1" x14ac:dyDescent="0.3">
      <c r="A1963" s="1">
        <v>13</v>
      </c>
      <c r="B1963" s="1" t="s">
        <v>1631</v>
      </c>
      <c r="C1963" s="1" t="str">
        <f ca="1">IFERROR(__xludf.DUMMYFUNCTION("GOOGLETRANSLATE(B1976,""en"",""ja"")"),"側")</f>
        <v>側</v>
      </c>
    </row>
    <row r="1964" spans="1:3" ht="18" customHeight="1" x14ac:dyDescent="0.3">
      <c r="A1964" s="1">
        <v>13</v>
      </c>
      <c r="B1964" s="1" t="s">
        <v>455</v>
      </c>
      <c r="C1964" s="1" t="str">
        <f ca="1">IFERROR(__xludf.DUMMYFUNCTION("GOOGLETRANSLATE(B1977,""en"",""ja"")"),"シェア")</f>
        <v>シェア</v>
      </c>
    </row>
    <row r="1965" spans="1:3" ht="18" customHeight="1" x14ac:dyDescent="0.3">
      <c r="A1965" s="1">
        <v>13</v>
      </c>
      <c r="B1965" s="1" t="s">
        <v>1331</v>
      </c>
      <c r="C1965" s="1" t="str">
        <f ca="1">IFERROR(__xludf.DUMMYFUNCTION("GOOGLETRANSLATE(B1978,""en"",""ja"")"),"シーケンス")</f>
        <v>シーケンス</v>
      </c>
    </row>
    <row r="1966" spans="1:3" ht="18" customHeight="1" x14ac:dyDescent="0.3">
      <c r="A1966" s="1">
        <v>13</v>
      </c>
      <c r="B1966" s="1" t="s">
        <v>1632</v>
      </c>
      <c r="C1966" s="1" t="str">
        <f ca="1">IFERROR(__xludf.DUMMYFUNCTION("GOOGLETRANSLATE(B1979,""en"",""ja"")"),"選択")</f>
        <v>選択</v>
      </c>
    </row>
    <row r="1967" spans="1:3" ht="18" customHeight="1" x14ac:dyDescent="0.3">
      <c r="A1967" s="1">
        <v>13</v>
      </c>
      <c r="B1967" s="1" t="s">
        <v>1332</v>
      </c>
      <c r="C1967" s="1" t="str">
        <f ca="1">IFERROR(__xludf.DUMMYFUNCTION("GOOGLETRANSLATE(B1980,""en"",""ja"")"),"海")</f>
        <v>海</v>
      </c>
    </row>
    <row r="1968" spans="1:3" ht="18" customHeight="1" x14ac:dyDescent="0.3">
      <c r="A1968" s="1">
        <v>13</v>
      </c>
      <c r="B1968" s="1" t="s">
        <v>1633</v>
      </c>
      <c r="C1968" s="1" t="str">
        <f ca="1">IFERROR(__xludf.DUMMYFUNCTION("GOOGLETRANSLATE(B1981,""en"",""ja"")"),"衛生")</f>
        <v>衛生</v>
      </c>
    </row>
    <row r="1969" spans="1:3" ht="18" customHeight="1" x14ac:dyDescent="0.3">
      <c r="A1969" s="1">
        <v>13</v>
      </c>
      <c r="B1969" s="1" t="s">
        <v>1634</v>
      </c>
      <c r="C1969" s="1" t="str">
        <f ca="1">IFERROR(__xludf.DUMMYFUNCTION("GOOGLETRANSLATE(B1982,""en"",""ja"")"),"河川")</f>
        <v>河川</v>
      </c>
    </row>
    <row r="1970" spans="1:3" ht="18" customHeight="1" x14ac:dyDescent="0.3">
      <c r="A1970" s="1">
        <v>13</v>
      </c>
      <c r="B1970" s="1" t="s">
        <v>1635</v>
      </c>
      <c r="C1970" s="1" t="str">
        <f ca="1">IFERROR(__xludf.DUMMYFUNCTION("GOOGLETRANSLATE(B1983,""en"",""ja"")"),"儀式")</f>
        <v>儀式</v>
      </c>
    </row>
    <row r="1971" spans="1:3" ht="18" customHeight="1" x14ac:dyDescent="0.3">
      <c r="A1971" s="1">
        <v>13</v>
      </c>
      <c r="B1971" s="1" t="s">
        <v>1636</v>
      </c>
      <c r="C1971" s="1" t="str">
        <f ca="1">IFERROR(__xludf.DUMMYFUNCTION("GOOGLETRANSLATE(B1984,""en"",""ja"")"),"儀式")</f>
        <v>儀式</v>
      </c>
    </row>
    <row r="1972" spans="1:3" ht="18" customHeight="1" x14ac:dyDescent="0.3">
      <c r="A1972" s="1">
        <v>13</v>
      </c>
      <c r="B1972" s="1" t="s">
        <v>1637</v>
      </c>
      <c r="C1972" s="1" t="str">
        <f ca="1">IFERROR(__xludf.DUMMYFUNCTION("GOOGLETRANSLATE(B1985,""en"",""ja"")"),"リング")</f>
        <v>リング</v>
      </c>
    </row>
    <row r="1973" spans="1:3" ht="18" customHeight="1" x14ac:dyDescent="0.3">
      <c r="A1973" s="1">
        <v>13</v>
      </c>
      <c r="B1973" s="1" t="s">
        <v>1638</v>
      </c>
      <c r="C1973" s="1" t="str">
        <f ca="1">IFERROR(__xludf.DUMMYFUNCTION("GOOGLETRANSLATE(B1986,""en"",""ja"")"),"必要となります")</f>
        <v>必要となります</v>
      </c>
    </row>
    <row r="1974" spans="1:3" ht="18" customHeight="1" x14ac:dyDescent="0.3">
      <c r="A1974" s="1">
        <v>13</v>
      </c>
      <c r="B1974" s="1" t="s">
        <v>1639</v>
      </c>
      <c r="C1974" s="1" t="str">
        <f ca="1">IFERROR(__xludf.DUMMYFUNCTION("GOOGLETRANSLATE(B1987,""en"",""ja"")"),"再生")</f>
        <v>再生</v>
      </c>
    </row>
    <row r="1975" spans="1:3" ht="18" customHeight="1" x14ac:dyDescent="0.3">
      <c r="A1975" s="1">
        <v>13</v>
      </c>
      <c r="B1975" s="1" t="s">
        <v>1640</v>
      </c>
      <c r="C1975" s="1" t="str">
        <f ca="1">IFERROR(__xludf.DUMMYFUNCTION("GOOGLETRANSLATE(B1988,""en"",""ja"")"),"代表")</f>
        <v>代表</v>
      </c>
    </row>
    <row r="1976" spans="1:3" ht="18" customHeight="1" x14ac:dyDescent="0.3">
      <c r="A1976" s="1">
        <v>13</v>
      </c>
      <c r="B1976" s="1" t="s">
        <v>794</v>
      </c>
      <c r="C1976" s="1" t="str">
        <f ca="1">IFERROR(__xludf.DUMMYFUNCTION("GOOGLETRANSLATE(B1989,""en"",""ja"")"),"残ります")</f>
        <v>残ります</v>
      </c>
    </row>
    <row r="1977" spans="1:3" ht="18" customHeight="1" x14ac:dyDescent="0.3">
      <c r="A1977" s="1">
        <v>13</v>
      </c>
      <c r="B1977" s="1" t="s">
        <v>1641</v>
      </c>
      <c r="C1977" s="1" t="str">
        <f ca="1">IFERROR(__xludf.DUMMYFUNCTION("GOOGLETRANSLATE(B1990,""en"",""ja"")"),"親族")</f>
        <v>親族</v>
      </c>
    </row>
    <row r="1978" spans="1:3" ht="18" customHeight="1" x14ac:dyDescent="0.3">
      <c r="A1978" s="1">
        <v>13</v>
      </c>
      <c r="B1978" s="1" t="s">
        <v>1642</v>
      </c>
      <c r="C1978" s="1" t="str">
        <f ca="1">IFERROR(__xludf.DUMMYFUNCTION("GOOGLETRANSLATE(B1991,""en"",""ja"")"),"規制")</f>
        <v>規制</v>
      </c>
    </row>
    <row r="1979" spans="1:3" ht="18" customHeight="1" x14ac:dyDescent="0.3">
      <c r="A1979" s="1">
        <v>13</v>
      </c>
      <c r="B1979" s="1" t="s">
        <v>1643</v>
      </c>
      <c r="C1979" s="1" t="str">
        <f ca="1">IFERROR(__xludf.DUMMYFUNCTION("GOOGLETRANSLATE(B1992,""en"",""ja"")"),"考え")</f>
        <v>考え</v>
      </c>
    </row>
    <row r="1980" spans="1:3" ht="18" customHeight="1" x14ac:dyDescent="0.3">
      <c r="A1980" s="1">
        <v>13</v>
      </c>
      <c r="B1980" s="1" t="s">
        <v>1644</v>
      </c>
      <c r="C1980" s="1" t="str">
        <f ca="1">IFERROR(__xludf.DUMMYFUNCTION("GOOGLETRANSLATE(B1993,""en"",""ja"")"),"参照")</f>
        <v>参照</v>
      </c>
    </row>
    <row r="1981" spans="1:3" ht="18" customHeight="1" x14ac:dyDescent="0.3">
      <c r="A1981" s="1">
        <v>13</v>
      </c>
      <c r="B1981" s="1" t="s">
        <v>1645</v>
      </c>
      <c r="C1981" s="1" t="str">
        <f ca="1">IFERROR(__xludf.DUMMYFUNCTION("GOOGLETRANSLATE(B1994,""en"",""ja"")"),"達しました")</f>
        <v>達しました</v>
      </c>
    </row>
    <row r="1982" spans="1:3" ht="18" customHeight="1" x14ac:dyDescent="0.3">
      <c r="A1982" s="1">
        <v>13</v>
      </c>
      <c r="B1982" s="1" t="s">
        <v>1646</v>
      </c>
      <c r="C1982" s="1" t="str">
        <f ca="1">IFERROR(__xludf.DUMMYFUNCTION("GOOGLETRANSLATE(B1995,""en"",""ja"")"),"根本")</f>
        <v>根本</v>
      </c>
    </row>
    <row r="1983" spans="1:3" ht="18" customHeight="1" x14ac:dyDescent="0.3">
      <c r="A1983" s="1">
        <v>13</v>
      </c>
      <c r="B1983" s="1" t="s">
        <v>1647</v>
      </c>
      <c r="C1983" s="1" t="str">
        <f ca="1">IFERROR(__xludf.DUMMYFUNCTION("GOOGLETRANSLATE(B1996,""en"",""ja"")"),"パッティング")</f>
        <v>パッティング</v>
      </c>
    </row>
    <row r="1984" spans="1:3" ht="18" customHeight="1" x14ac:dyDescent="0.3">
      <c r="A1984" s="1">
        <v>13</v>
      </c>
      <c r="B1984" s="1" t="s">
        <v>1648</v>
      </c>
      <c r="C1984" s="1" t="str">
        <f ca="1">IFERROR(__xludf.DUMMYFUNCTION("GOOGLETRANSLATE(B1997,""en"",""ja"")"),"公表")</f>
        <v>公表</v>
      </c>
    </row>
    <row r="1985" spans="1:3" ht="18" customHeight="1" x14ac:dyDescent="0.3">
      <c r="A1985" s="1">
        <v>13</v>
      </c>
      <c r="B1985" s="1" t="s">
        <v>1649</v>
      </c>
      <c r="C1985" s="1" t="str">
        <f ca="1">IFERROR(__xludf.DUMMYFUNCTION("GOOGLETRANSLATE(B1998,""en"",""ja"")"),"守ります")</f>
        <v>守ります</v>
      </c>
    </row>
    <row r="1986" spans="1:3" ht="18" customHeight="1" x14ac:dyDescent="0.3">
      <c r="A1986" s="1">
        <v>13</v>
      </c>
      <c r="B1986" s="1" t="s">
        <v>1650</v>
      </c>
      <c r="C1986" s="1" t="str">
        <f ca="1">IFERROR(__xludf.DUMMYFUNCTION("GOOGLETRANSLATE(B1999,""en"",""ja"")"),"前")</f>
        <v>前</v>
      </c>
    </row>
    <row r="1987" spans="1:3" ht="18" customHeight="1" x14ac:dyDescent="0.3">
      <c r="A1987" s="1">
        <v>13</v>
      </c>
      <c r="B1987" s="1" t="s">
        <v>1651</v>
      </c>
      <c r="C1987" s="1" t="str">
        <f ca="1">IFERROR(__xludf.DUMMYFUNCTION("GOOGLETRANSLATE(B2000,""en"",""ja"")"),"ピース")</f>
        <v>ピース</v>
      </c>
    </row>
    <row r="1988" spans="1:3" ht="18" customHeight="1" x14ac:dyDescent="0.3">
      <c r="A1988" s="1">
        <v>13</v>
      </c>
      <c r="B1988" s="1" t="s">
        <v>1435</v>
      </c>
      <c r="C1988" s="1" t="str">
        <f ca="1">IFERROR(__xludf.DUMMYFUNCTION("GOOGLETRANSLATE(B2001,""en"",""ja"")"),"現象")</f>
        <v>現象</v>
      </c>
    </row>
    <row r="1989" spans="1:3" ht="18" customHeight="1" x14ac:dyDescent="0.3">
      <c r="A1989" s="1">
        <v>13</v>
      </c>
      <c r="B1989" s="1" t="s">
        <v>303</v>
      </c>
      <c r="C1989" s="1" t="str">
        <f ca="1">IFERROR(__xludf.DUMMYFUNCTION("GOOGLETRANSLATE(B2002,""en"",""ja"")"),"人")</f>
        <v>人</v>
      </c>
    </row>
    <row r="1990" spans="1:3" ht="18" customHeight="1" x14ac:dyDescent="0.3">
      <c r="A1990" s="1">
        <v>13</v>
      </c>
      <c r="B1990" s="1" t="s">
        <v>1652</v>
      </c>
      <c r="C1990" s="1" t="str">
        <f ca="1">IFERROR(__xludf.DUMMYFUNCTION("GOOGLETRANSLATE(B2003,""en"",""ja"")"),"特許")</f>
        <v>特許</v>
      </c>
    </row>
    <row r="1991" spans="1:3" ht="18" customHeight="1" x14ac:dyDescent="0.3">
      <c r="A1991" s="1">
        <v>13</v>
      </c>
      <c r="B1991" s="1" t="s">
        <v>590</v>
      </c>
      <c r="C1991" s="1" t="str">
        <f ca="1">IFERROR(__xludf.DUMMYFUNCTION("GOOGLETRANSLATE(B2004,""en"",""ja"")"),"意見")</f>
        <v>意見</v>
      </c>
    </row>
    <row r="1992" spans="1:3" ht="18" customHeight="1" x14ac:dyDescent="0.3">
      <c r="A1992" s="1">
        <v>13</v>
      </c>
      <c r="B1992" s="1" t="s">
        <v>1653</v>
      </c>
      <c r="C1992" s="1" t="str">
        <f ca="1">IFERROR(__xludf.DUMMYFUNCTION("GOOGLETRANSLATE(B2005,""en"",""ja"")"),"発生した")</f>
        <v>発生した</v>
      </c>
    </row>
    <row r="1993" spans="1:3" ht="18" customHeight="1" x14ac:dyDescent="0.3">
      <c r="A1993" s="1">
        <v>13</v>
      </c>
      <c r="B1993" s="1" t="s">
        <v>1654</v>
      </c>
      <c r="C1993" s="1" t="str">
        <f ca="1">IFERROR(__xludf.DUMMYFUNCTION("GOOGLETRANSLATE(B2006,""en"",""ja"")"),"概念")</f>
        <v>概念</v>
      </c>
    </row>
    <row r="1994" spans="1:3" ht="18" customHeight="1" x14ac:dyDescent="0.3">
      <c r="A1994" s="1">
        <v>13</v>
      </c>
      <c r="B1994" s="1" t="s">
        <v>1655</v>
      </c>
      <c r="C1994" s="1" t="str">
        <f ca="1">IFERROR(__xludf.DUMMYFUNCTION("GOOGLETRANSLATE(B2007,""en"",""ja"")"),"わずかな")</f>
        <v>わずかな</v>
      </c>
    </row>
    <row r="1995" spans="1:3" ht="18" customHeight="1" x14ac:dyDescent="0.3">
      <c r="A1995" s="1">
        <v>13</v>
      </c>
      <c r="B1995" s="1" t="s">
        <v>1656</v>
      </c>
      <c r="C1995" s="1" t="str">
        <f ca="1">IFERROR(__xludf.DUMMYFUNCTION("GOOGLETRANSLATE(B2008,""en"",""ja"")"),"モーション")</f>
        <v>モーション</v>
      </c>
    </row>
    <row r="1996" spans="1:3" ht="18" customHeight="1" x14ac:dyDescent="0.3">
      <c r="A1996" s="1">
        <v>13</v>
      </c>
      <c r="B1996" s="1" t="s">
        <v>1657</v>
      </c>
      <c r="C1996" s="1" t="str">
        <f ca="1">IFERROR(__xludf.DUMMYFUNCTION("GOOGLETRANSLATE(B2009,""en"",""ja"")"),"母")</f>
        <v>母</v>
      </c>
    </row>
    <row r="1997" spans="1:3" ht="18" customHeight="1" x14ac:dyDescent="0.3">
      <c r="A1997" s="1">
        <v>13</v>
      </c>
      <c r="B1997" s="1" t="s">
        <v>70</v>
      </c>
      <c r="C1997" s="1" t="str">
        <f ca="1">IFERROR(__xludf.DUMMYFUNCTION("GOOGLETRANSLATE(B2010,""en"",""ja"")"),"最も")</f>
        <v>最も</v>
      </c>
    </row>
    <row r="1998" spans="1:3" ht="18" customHeight="1" x14ac:dyDescent="0.3">
      <c r="A1998" s="1">
        <v>13</v>
      </c>
      <c r="B1998" s="1" t="s">
        <v>1543</v>
      </c>
      <c r="C1998" s="1" t="str">
        <f ca="1">IFERROR(__xludf.DUMMYFUNCTION("GOOGLETRANSLATE(B2011,""en"",""ja"")"),"変更")</f>
        <v>変更</v>
      </c>
    </row>
    <row r="1999" spans="1:3" ht="18" customHeight="1" x14ac:dyDescent="0.3">
      <c r="A1999" s="1">
        <v>13</v>
      </c>
      <c r="B1999" s="1" t="s">
        <v>1658</v>
      </c>
      <c r="C1999" s="1" t="str">
        <f ca="1">IFERROR(__xludf.DUMMYFUNCTION("GOOGLETRANSLATE(B2012,""en"",""ja"")"),"近代化")</f>
        <v>近代化</v>
      </c>
    </row>
    <row r="2000" spans="1:3" ht="18" customHeight="1" x14ac:dyDescent="0.3">
      <c r="A2000" s="1">
        <v>13</v>
      </c>
      <c r="B2000" s="1" t="s">
        <v>1355</v>
      </c>
      <c r="C2000" s="1" t="str">
        <f ca="1">IFERROR(__xludf.DUMMYFUNCTION("GOOGLETRANSLATE(B2013,""en"",""ja"")"),"比喩")</f>
        <v>比喩</v>
      </c>
    </row>
    <row r="2001" spans="1:3" ht="18" customHeight="1" x14ac:dyDescent="0.3">
      <c r="A2001" s="1">
        <v>13</v>
      </c>
      <c r="B2001" s="1" t="s">
        <v>1659</v>
      </c>
      <c r="C2001" s="1" t="str">
        <f ca="1">IFERROR(__xludf.DUMMYFUNCTION("GOOGLETRANSLATE(B2014,""en"",""ja"")"),"意味")</f>
        <v>意味</v>
      </c>
    </row>
    <row r="2002" spans="1:3" ht="18" customHeight="1" x14ac:dyDescent="0.3">
      <c r="A2002" s="1">
        <v>13</v>
      </c>
      <c r="B2002" s="1" t="s">
        <v>1660</v>
      </c>
      <c r="C2002" s="1" t="str">
        <f ca="1">IFERROR(__xludf.DUMMYFUNCTION("GOOGLETRANSLATE(B2015,""en"",""ja"")"),"機械")</f>
        <v>機械</v>
      </c>
    </row>
    <row r="2003" spans="1:3" ht="18" customHeight="1" x14ac:dyDescent="0.3">
      <c r="A2003" s="1">
        <v>13</v>
      </c>
      <c r="B2003" s="1" t="s">
        <v>1661</v>
      </c>
      <c r="C2003" s="1" t="str">
        <f ca="1">IFERROR(__xludf.DUMMYFUNCTION("GOOGLETRANSLATE(B2016,""en"",""ja"")"),"失われました")</f>
        <v>失われました</v>
      </c>
    </row>
    <row r="2004" spans="1:3" ht="18" customHeight="1" x14ac:dyDescent="0.3">
      <c r="A2004" s="1">
        <v>13</v>
      </c>
      <c r="B2004" s="1" t="s">
        <v>91</v>
      </c>
      <c r="C2004" s="1" t="str">
        <f ca="1">IFERROR(__xludf.DUMMYFUNCTION("GOOGLETRANSLATE(B2017,""en"",""ja"")"),"お気に入り")</f>
        <v>お気に入り</v>
      </c>
    </row>
    <row r="2005" spans="1:3" ht="18" customHeight="1" x14ac:dyDescent="0.3">
      <c r="A2005" s="1">
        <v>13</v>
      </c>
      <c r="B2005" s="1" t="s">
        <v>1662</v>
      </c>
      <c r="C2005" s="1" t="str">
        <f ca="1">IFERROR(__xludf.DUMMYFUNCTION("GOOGLETRANSLATE(B2018,""en"",""ja"")"),"退出")</f>
        <v>退出</v>
      </c>
    </row>
    <row r="2006" spans="1:3" ht="18" customHeight="1" x14ac:dyDescent="0.3">
      <c r="A2006" s="1">
        <v>13</v>
      </c>
      <c r="B2006" s="1" t="s">
        <v>250</v>
      </c>
      <c r="C2006" s="1" t="str">
        <f ca="1">IFERROR(__xludf.DUMMYFUNCTION("GOOGLETRANSLATE(B2019,""en"",""ja"")"),"最低")</f>
        <v>最低</v>
      </c>
    </row>
    <row r="2007" spans="1:3" ht="18" customHeight="1" x14ac:dyDescent="0.3">
      <c r="A2007" s="1">
        <v>13</v>
      </c>
      <c r="B2007" s="1" t="s">
        <v>1663</v>
      </c>
      <c r="C2007" s="1" t="str">
        <f ca="1">IFERROR(__xludf.DUMMYFUNCTION("GOOGLETRANSLATE(B2020,""en"",""ja"")"),"リード")</f>
        <v>リード</v>
      </c>
    </row>
    <row r="2008" spans="1:3" ht="18" customHeight="1" x14ac:dyDescent="0.3">
      <c r="A2008" s="1">
        <v>13</v>
      </c>
      <c r="B2008" s="1" t="s">
        <v>1664</v>
      </c>
      <c r="C2008" s="1" t="str">
        <f ca="1">IFERROR(__xludf.DUMMYFUNCTION("GOOGLETRANSLATE(B2021,""en"",""ja"")"),"法律")</f>
        <v>法律</v>
      </c>
    </row>
    <row r="2009" spans="1:3" ht="18" customHeight="1" x14ac:dyDescent="0.3">
      <c r="A2009" s="1">
        <v>13</v>
      </c>
      <c r="B2009" s="1" t="s">
        <v>1665</v>
      </c>
      <c r="C2009" s="1" t="str">
        <f ca="1">IFERROR(__xludf.DUMMYFUNCTION("GOOGLETRANSLATE(B2022,""en"",""ja"")"),"キッチン")</f>
        <v>キッチン</v>
      </c>
    </row>
    <row r="2010" spans="1:3" ht="18" customHeight="1" x14ac:dyDescent="0.3">
      <c r="A2010" s="1">
        <v>13</v>
      </c>
      <c r="B2010" s="1" t="s">
        <v>1666</v>
      </c>
      <c r="C2010" s="1" t="str">
        <f ca="1">IFERROR(__xludf.DUMMYFUNCTION("GOOGLETRANSLATE(B2023,""en"",""ja"")"),"ケビン")</f>
        <v>ケビン</v>
      </c>
    </row>
    <row r="2011" spans="1:3" ht="18" customHeight="1" x14ac:dyDescent="0.3">
      <c r="A2011" s="1">
        <v>13</v>
      </c>
      <c r="B2011" s="1" t="s">
        <v>1667</v>
      </c>
      <c r="C2011" s="1" t="str">
        <f ca="1">IFERROR(__xludf.DUMMYFUNCTION("GOOGLETRANSLATE(B2024,""en"",""ja"")"),"保管")</f>
        <v>保管</v>
      </c>
    </row>
    <row r="2012" spans="1:3" ht="18" customHeight="1" x14ac:dyDescent="0.3">
      <c r="A2012" s="1">
        <v>13</v>
      </c>
      <c r="B2012" s="1" t="s">
        <v>1668</v>
      </c>
      <c r="C2012" s="1" t="str">
        <f ca="1">IFERROR(__xludf.DUMMYFUNCTION("GOOGLETRANSLATE(B2025,""en"",""ja"")"),"反転")</f>
        <v>反転</v>
      </c>
    </row>
    <row r="2013" spans="1:3" ht="18" customHeight="1" x14ac:dyDescent="0.3">
      <c r="A2013" s="1">
        <v>13</v>
      </c>
      <c r="B2013" s="1" t="s">
        <v>1669</v>
      </c>
      <c r="C2013" s="1" t="str">
        <f ca="1">IFERROR(__xludf.DUMMYFUNCTION("GOOGLETRANSLATE(B2026,""en"",""ja"")"),"発明者")</f>
        <v>発明者</v>
      </c>
    </row>
    <row r="2014" spans="1:3" ht="18" customHeight="1" x14ac:dyDescent="0.3">
      <c r="A2014" s="1">
        <v>13</v>
      </c>
      <c r="B2014" s="1" t="s">
        <v>1670</v>
      </c>
      <c r="C2014" s="1" t="str">
        <f ca="1">IFERROR(__xludf.DUMMYFUNCTION("GOOGLETRANSLATE(B2027,""en"",""ja"")"),"相互作用する")</f>
        <v>相互作用する</v>
      </c>
    </row>
    <row r="2015" spans="1:3" ht="18" customHeight="1" x14ac:dyDescent="0.3">
      <c r="A2015" s="1">
        <v>13</v>
      </c>
      <c r="B2015" s="1" t="s">
        <v>1671</v>
      </c>
      <c r="C2015" s="1" t="str">
        <f ca="1">IFERROR(__xludf.DUMMYFUNCTION("GOOGLETRANSLATE(B2028,""en"",""ja"")"),"インテリジェンス")</f>
        <v>インテリジェンス</v>
      </c>
    </row>
    <row r="2016" spans="1:3" ht="18" customHeight="1" x14ac:dyDescent="0.3">
      <c r="A2016" s="1">
        <v>13</v>
      </c>
      <c r="B2016" s="1" t="s">
        <v>1672</v>
      </c>
      <c r="C2016" s="1" t="str">
        <f ca="1">IFERROR(__xludf.DUMMYFUNCTION("GOOGLETRANSLATE(B2029,""en"",""ja"")"),"業界")</f>
        <v>業界</v>
      </c>
    </row>
    <row r="2017" spans="1:3" ht="18" customHeight="1" x14ac:dyDescent="0.3">
      <c r="A2017" s="1">
        <v>13</v>
      </c>
      <c r="B2017" s="1" t="s">
        <v>1673</v>
      </c>
      <c r="C2017" s="1" t="str">
        <f ca="1">IFERROR(__xludf.DUMMYFUNCTION("GOOGLETRANSLATE(B2030,""en"",""ja"")"),"付属")</f>
        <v>付属</v>
      </c>
    </row>
    <row r="2018" spans="1:3" ht="18" customHeight="1" x14ac:dyDescent="0.3">
      <c r="A2018" s="1">
        <v>13</v>
      </c>
      <c r="B2018" s="1" t="s">
        <v>1674</v>
      </c>
      <c r="C2018" s="1" t="str">
        <f ca="1">IFERROR(__xludf.DUMMYFUNCTION("GOOGLETRANSLATE(B2031,""en"",""ja"")"),"説明")</f>
        <v>説明</v>
      </c>
    </row>
    <row r="2019" spans="1:3" ht="18" customHeight="1" x14ac:dyDescent="0.3">
      <c r="A2019" s="1">
        <v>13</v>
      </c>
      <c r="B2019" s="1" t="s">
        <v>1675</v>
      </c>
      <c r="C2019" s="1" t="str">
        <f ca="1">IFERROR(__xludf.DUMMYFUNCTION("GOOGLETRANSLATE(B2032,""en"",""ja"")"),"II")</f>
        <v>II</v>
      </c>
    </row>
    <row r="2020" spans="1:3" ht="18" customHeight="1" x14ac:dyDescent="0.3">
      <c r="A2020" s="1">
        <v>13</v>
      </c>
      <c r="B2020" s="1" t="s">
        <v>616</v>
      </c>
      <c r="C2020" s="1" t="str">
        <f ca="1">IFERROR(__xludf.DUMMYFUNCTION("GOOGLETRANSLATE(B2033,""en"",""ja"")"),"家")</f>
        <v>家</v>
      </c>
    </row>
    <row r="2021" spans="1:3" ht="18" customHeight="1" x14ac:dyDescent="0.3">
      <c r="A2021" s="1">
        <v>13</v>
      </c>
      <c r="B2021" s="1" t="s">
        <v>1676</v>
      </c>
      <c r="C2021" s="1" t="str">
        <f ca="1">IFERROR(__xludf.DUMMYFUNCTION("GOOGLETRANSLATE(B2034,""en"",""ja"")"),"最高")</f>
        <v>最高</v>
      </c>
    </row>
    <row r="2022" spans="1:3" ht="18" customHeight="1" x14ac:dyDescent="0.3">
      <c r="A2022" s="1">
        <v>13</v>
      </c>
      <c r="B2022" s="1" t="s">
        <v>1677</v>
      </c>
      <c r="C2022" s="1" t="str">
        <f ca="1">IFERROR(__xludf.DUMMYFUNCTION("GOOGLETRANSLATE(B2035,""en"",""ja"")"),"ガイド")</f>
        <v>ガイド</v>
      </c>
    </row>
    <row r="2023" spans="1:3" ht="18" customHeight="1" x14ac:dyDescent="0.3">
      <c r="A2023" s="1">
        <v>13</v>
      </c>
      <c r="B2023" s="1" t="s">
        <v>1678</v>
      </c>
      <c r="C2023" s="1" t="str">
        <f ca="1">IFERROR(__xludf.DUMMYFUNCTION("GOOGLETRANSLATE(B2036,""en"",""ja"")"),"政府")</f>
        <v>政府</v>
      </c>
    </row>
    <row r="2024" spans="1:3" ht="18" customHeight="1" x14ac:dyDescent="0.3">
      <c r="A2024" s="1">
        <v>13</v>
      </c>
      <c r="B2024" s="1" t="s">
        <v>1679</v>
      </c>
      <c r="C2024" s="1" t="str">
        <f ca="1">IFERROR(__xludf.DUMMYFUNCTION("GOOGLETRANSLATE(B2037,""en"",""ja"")"),"十分")</f>
        <v>十分</v>
      </c>
    </row>
    <row r="2025" spans="1:3" ht="18" customHeight="1" x14ac:dyDescent="0.3">
      <c r="A2025" s="1">
        <v>13</v>
      </c>
      <c r="B2025" s="1" t="s">
        <v>1680</v>
      </c>
      <c r="C2025" s="1" t="str">
        <f ca="1">IFERROR(__xludf.DUMMYFUNCTION("GOOGLETRANSLATE(B2038,""en"",""ja"")"),"創立")</f>
        <v>創立</v>
      </c>
    </row>
    <row r="2026" spans="1:3" ht="18" customHeight="1" x14ac:dyDescent="0.3">
      <c r="A2026" s="1">
        <v>13</v>
      </c>
      <c r="B2026" s="1" t="s">
        <v>1681</v>
      </c>
      <c r="C2026" s="1" t="str">
        <f ca="1">IFERROR(__xludf.DUMMYFUNCTION("GOOGLETRANSLATE(B2039,""en"",""ja"")"),"忘れる")</f>
        <v>忘れる</v>
      </c>
    </row>
    <row r="2027" spans="1:3" ht="18" customHeight="1" x14ac:dyDescent="0.3">
      <c r="A2027" s="1">
        <v>13</v>
      </c>
      <c r="B2027" s="1" t="s">
        <v>1682</v>
      </c>
      <c r="C2027" s="1" t="str">
        <f ca="1">IFERROR(__xludf.DUMMYFUNCTION("GOOGLETRANSLATE(B2040,""en"",""ja"")"),"見通し")</f>
        <v>見通し</v>
      </c>
    </row>
    <row r="2028" spans="1:3" ht="18" customHeight="1" x14ac:dyDescent="0.3">
      <c r="A2028" s="1">
        <v>13</v>
      </c>
      <c r="B2028" s="1" t="s">
        <v>1683</v>
      </c>
      <c r="C2028" s="1" t="str">
        <f ca="1">IFERROR(__xludf.DUMMYFUNCTION("GOOGLETRANSLATE(B2041,""en"",""ja"")"),"続きます")</f>
        <v>続きます</v>
      </c>
    </row>
    <row r="2029" spans="1:3" ht="18" customHeight="1" x14ac:dyDescent="0.3">
      <c r="A2029" s="1">
        <v>13</v>
      </c>
      <c r="B2029" s="1" t="s">
        <v>1684</v>
      </c>
      <c r="C2029" s="1" t="str">
        <f ca="1">IFERROR(__xludf.DUMMYFUNCTION("GOOGLETRANSLATE(B2042,""en"",""ja"")"),"最後の")</f>
        <v>最後の</v>
      </c>
    </row>
    <row r="2030" spans="1:3" ht="18" customHeight="1" x14ac:dyDescent="0.3">
      <c r="A2030" s="1">
        <v>13</v>
      </c>
      <c r="B2030" s="1" t="s">
        <v>368</v>
      </c>
      <c r="C2030" s="1" t="str">
        <f ca="1">IFERROR(__xludf.DUMMYFUNCTION("GOOGLETRANSLATE(B2043,""en"",""ja"")"),"感じます")</f>
        <v>感じます</v>
      </c>
    </row>
    <row r="2031" spans="1:3" ht="18" customHeight="1" x14ac:dyDescent="0.3">
      <c r="A2031" s="1">
        <v>13</v>
      </c>
      <c r="B2031" s="1" t="s">
        <v>1685</v>
      </c>
      <c r="C2031" s="1" t="str">
        <f ca="1">IFERROR(__xludf.DUMMYFUNCTION("GOOGLETRANSLATE(B2044,""en"",""ja"")"),"耕作")</f>
        <v>耕作</v>
      </c>
    </row>
    <row r="2032" spans="1:3" ht="18" customHeight="1" x14ac:dyDescent="0.3">
      <c r="A2032" s="1">
        <v>13</v>
      </c>
      <c r="B2032" s="1" t="s">
        <v>1686</v>
      </c>
      <c r="C2032" s="1" t="str">
        <f ca="1">IFERROR(__xludf.DUMMYFUNCTION("GOOGLETRANSLATE(B2045,""en"",""ja"")"),"飢饉")</f>
        <v>飢饉</v>
      </c>
    </row>
    <row r="2033" spans="1:3" ht="18" customHeight="1" x14ac:dyDescent="0.3">
      <c r="A2033" s="1">
        <v>13</v>
      </c>
      <c r="B2033" s="1" t="s">
        <v>1139</v>
      </c>
      <c r="C2033" s="1" t="str">
        <f ca="1">IFERROR(__xludf.DUMMYFUNCTION("GOOGLETRANSLATE(B2046,""en"",""ja"")"),"説明")</f>
        <v>説明</v>
      </c>
    </row>
    <row r="2034" spans="1:3" ht="18" customHeight="1" x14ac:dyDescent="0.3">
      <c r="A2034" s="1">
        <v>13</v>
      </c>
      <c r="B2034" s="1" t="s">
        <v>1687</v>
      </c>
      <c r="C2034" s="1" t="str">
        <f ca="1">IFERROR(__xludf.DUMMYFUNCTION("GOOGLETRANSLATE(B2047,""en"",""ja"")"),"専門家")</f>
        <v>専門家</v>
      </c>
    </row>
    <row r="2035" spans="1:3" ht="18" customHeight="1" x14ac:dyDescent="0.3">
      <c r="A2035" s="1">
        <v>13</v>
      </c>
      <c r="B2035" s="1" t="s">
        <v>517</v>
      </c>
      <c r="C2035" s="1" t="str">
        <f ca="1">IFERROR(__xludf.DUMMYFUNCTION("GOOGLETRANSLATE(B2048,""en"",""ja"")"),"推計")</f>
        <v>推計</v>
      </c>
    </row>
    <row r="2036" spans="1:3" ht="18" customHeight="1" x14ac:dyDescent="0.3">
      <c r="A2036" s="1">
        <v>13</v>
      </c>
      <c r="B2036" s="1" t="s">
        <v>1688</v>
      </c>
      <c r="C2036" s="1" t="str">
        <f ca="1">IFERROR(__xludf.DUMMYFUNCTION("GOOGLETRANSLATE(B2049,""en"",""ja"")"),"エッセイ")</f>
        <v>エッセイ</v>
      </c>
    </row>
    <row r="2037" spans="1:3" ht="18" customHeight="1" x14ac:dyDescent="0.3">
      <c r="A2037" s="1">
        <v>13</v>
      </c>
      <c r="B2037" s="1" t="s">
        <v>1689</v>
      </c>
      <c r="C2037" s="1" t="str">
        <f ca="1">IFERROR(__xludf.DUMMYFUNCTION("GOOGLETRANSLATE(B2050,""en"",""ja"")"),"平衡")</f>
        <v>平衡</v>
      </c>
    </row>
    <row r="2038" spans="1:3" ht="18" customHeight="1" x14ac:dyDescent="0.3">
      <c r="A2038" s="1">
        <v>13</v>
      </c>
      <c r="B2038" s="1" t="s">
        <v>1690</v>
      </c>
      <c r="C2038" s="1" t="str">
        <f ca="1">IFERROR(__xludf.DUMMYFUNCTION("GOOGLETRANSLATE(B2051,""en"",""ja"")"),"全体")</f>
        <v>全体</v>
      </c>
    </row>
    <row r="2039" spans="1:3" ht="18" customHeight="1" x14ac:dyDescent="0.3">
      <c r="A2039" s="1">
        <v>13</v>
      </c>
      <c r="B2039" s="1" t="s">
        <v>1691</v>
      </c>
      <c r="C2039" s="1" t="str">
        <f ca="1">IFERROR(__xludf.DUMMYFUNCTION("GOOGLETRANSLATE(B2052,""en"",""ja"")"),"企業")</f>
        <v>企業</v>
      </c>
    </row>
    <row r="2040" spans="1:3" ht="18" customHeight="1" x14ac:dyDescent="0.3">
      <c r="A2040" s="1">
        <v>13</v>
      </c>
      <c r="B2040" s="1" t="s">
        <v>1692</v>
      </c>
      <c r="C2040" s="1" t="str">
        <f ca="1">IFERROR(__xludf.DUMMYFUNCTION("GOOGLETRANSLATE(B2053,""en"",""ja"")"),"英語")</f>
        <v>英語</v>
      </c>
    </row>
    <row r="2041" spans="1:3" ht="18" customHeight="1" x14ac:dyDescent="0.3">
      <c r="A2041" s="1">
        <v>13</v>
      </c>
      <c r="B2041" s="1" t="s">
        <v>855</v>
      </c>
      <c r="C2041" s="1" t="str">
        <f ca="1">IFERROR(__xludf.DUMMYFUNCTION("GOOGLETRANSLATE(B2054,""en"",""ja"")"),"エネルギー")</f>
        <v>エネルギー</v>
      </c>
    </row>
    <row r="2042" spans="1:3" ht="18" customHeight="1" x14ac:dyDescent="0.3">
      <c r="A2042" s="1">
        <v>13</v>
      </c>
      <c r="B2042" s="1" t="s">
        <v>1693</v>
      </c>
      <c r="C2042" s="1" t="str">
        <f ca="1">IFERROR(__xludf.DUMMYFUNCTION("GOOGLETRANSLATE(B2055,""en"",""ja"")"),"奨励します")</f>
        <v>奨励します</v>
      </c>
    </row>
    <row r="2043" spans="1:3" ht="18" customHeight="1" x14ac:dyDescent="0.3">
      <c r="A2043" s="1">
        <v>13</v>
      </c>
      <c r="B2043" s="1" t="s">
        <v>1694</v>
      </c>
      <c r="C2043" s="1" t="str">
        <f ca="1">IFERROR(__xludf.DUMMYFUNCTION("GOOGLETRANSLATE(B2056,""en"",""ja"")"),"簡易")</f>
        <v>簡易</v>
      </c>
    </row>
    <row r="2044" spans="1:3" ht="18" customHeight="1" x14ac:dyDescent="0.3">
      <c r="A2044" s="1">
        <v>13</v>
      </c>
      <c r="B2044" s="1" t="s">
        <v>1695</v>
      </c>
      <c r="C2044" s="1" t="str">
        <f ca="1">IFERROR(__xludf.DUMMYFUNCTION("GOOGLETRANSLATE(B2057,""en"",""ja"")"),"疑わしいです")</f>
        <v>疑わしいです</v>
      </c>
    </row>
    <row r="2045" spans="1:3" ht="18" customHeight="1" x14ac:dyDescent="0.3">
      <c r="A2045" s="1">
        <v>13</v>
      </c>
      <c r="B2045" s="1" t="s">
        <v>1696</v>
      </c>
      <c r="C2045" s="1" t="str">
        <f ca="1">IFERROR(__xludf.DUMMYFUNCTION("GOOGLETRANSLATE(B2058,""en"",""ja"")"),"分配します")</f>
        <v>分配します</v>
      </c>
    </row>
    <row r="2046" spans="1:3" ht="18" customHeight="1" x14ac:dyDescent="0.3">
      <c r="A2046" s="1">
        <v>13</v>
      </c>
      <c r="B2046" s="1" t="s">
        <v>1697</v>
      </c>
      <c r="C2046" s="1" t="str">
        <f ca="1">IFERROR(__xludf.DUMMYFUNCTION("GOOGLETRANSLATE(B2059,""en"",""ja"")"),"困難")</f>
        <v>困難</v>
      </c>
    </row>
    <row r="2047" spans="1:3" ht="18" customHeight="1" x14ac:dyDescent="0.3">
      <c r="A2047" s="1">
        <v>13</v>
      </c>
      <c r="B2047" s="1" t="s">
        <v>1698</v>
      </c>
      <c r="C2047" s="1" t="str">
        <f ca="1">IFERROR(__xludf.DUMMYFUNCTION("GOOGLETRANSLATE(B2060,""en"",""ja"")"),"破壊")</f>
        <v>破壊</v>
      </c>
    </row>
    <row r="2048" spans="1:3" ht="18" customHeight="1" x14ac:dyDescent="0.3">
      <c r="A2048" s="1">
        <v>13</v>
      </c>
      <c r="B2048" s="1" t="s">
        <v>1699</v>
      </c>
      <c r="C2048" s="1" t="str">
        <f ca="1">IFERROR(__xludf.DUMMYFUNCTION("GOOGLETRANSLATE(B2061,""en"",""ja"")"),"説明")</f>
        <v>説明</v>
      </c>
    </row>
    <row r="2049" spans="1:3" ht="18" customHeight="1" x14ac:dyDescent="0.3">
      <c r="A2049" s="1">
        <v>13</v>
      </c>
      <c r="B2049" s="1" t="s">
        <v>1700</v>
      </c>
      <c r="C2049" s="1" t="str">
        <f ca="1">IFERROR(__xludf.DUMMYFUNCTION("GOOGLETRANSLATE(B2062,""en"",""ja"")"),"描い")</f>
        <v>描い</v>
      </c>
    </row>
    <row r="2050" spans="1:3" ht="18" customHeight="1" x14ac:dyDescent="0.3">
      <c r="A2050" s="1">
        <v>13</v>
      </c>
      <c r="B2050" s="1" t="s">
        <v>1701</v>
      </c>
      <c r="C2050" s="1" t="str">
        <f ca="1">IFERROR(__xludf.DUMMYFUNCTION("GOOGLETRANSLATE(B2063,""en"",""ja"")"),"日付")</f>
        <v>日付</v>
      </c>
    </row>
    <row r="2051" spans="1:3" ht="18" customHeight="1" x14ac:dyDescent="0.3">
      <c r="A2051" s="1">
        <v>13</v>
      </c>
      <c r="B2051" s="1" t="s">
        <v>1702</v>
      </c>
      <c r="C2051" s="1" t="str">
        <f ca="1">IFERROR(__xludf.DUMMYFUNCTION("GOOGLETRANSLATE(B2064,""en"",""ja"")"),"制御")</f>
        <v>制御</v>
      </c>
    </row>
    <row r="2052" spans="1:3" ht="18" customHeight="1" x14ac:dyDescent="0.3">
      <c r="A2052" s="1">
        <v>13</v>
      </c>
      <c r="B2052" s="1" t="s">
        <v>1703</v>
      </c>
      <c r="C2052" s="1" t="str">
        <f ca="1">IFERROR(__xludf.DUMMYFUNCTION("GOOGLETRANSLATE(B2065,""en"",""ja"")"),"考慮")</f>
        <v>考慮</v>
      </c>
    </row>
    <row r="2053" spans="1:3" ht="18" customHeight="1" x14ac:dyDescent="0.3">
      <c r="A2053" s="1">
        <v>13</v>
      </c>
      <c r="B2053" s="1" t="s">
        <v>1704</v>
      </c>
      <c r="C2053" s="1" t="str">
        <f ca="1">IFERROR(__xludf.DUMMYFUNCTION("GOOGLETRANSLATE(B2066,""en"",""ja"")"),"コンフリクト")</f>
        <v>コンフリクト</v>
      </c>
    </row>
    <row r="2054" spans="1:3" ht="18" customHeight="1" x14ac:dyDescent="0.3">
      <c r="A2054" s="1">
        <v>13</v>
      </c>
      <c r="B2054" s="1" t="s">
        <v>1705</v>
      </c>
      <c r="C2054" s="1" t="str">
        <f ca="1">IFERROR(__xludf.DUMMYFUNCTION("GOOGLETRANSLATE(B2067,""en"",""ja"")"),"組成")</f>
        <v>組成</v>
      </c>
    </row>
    <row r="2055" spans="1:3" ht="18" customHeight="1" x14ac:dyDescent="0.3">
      <c r="A2055" s="1">
        <v>13</v>
      </c>
      <c r="B2055" s="1" t="s">
        <v>966</v>
      </c>
      <c r="C2055" s="1" t="str">
        <f ca="1">IFERROR(__xludf.DUMMYFUNCTION("GOOGLETRANSLATE(B2068,""en"",""ja"")"),"コンペ")</f>
        <v>コンペ</v>
      </c>
    </row>
    <row r="2056" spans="1:3" ht="18" customHeight="1" x14ac:dyDescent="0.3">
      <c r="A2056" s="1">
        <v>13</v>
      </c>
      <c r="B2056" s="1" t="s">
        <v>968</v>
      </c>
      <c r="C2056" s="1" t="str">
        <f ca="1">IFERROR(__xludf.DUMMYFUNCTION("GOOGLETRANSLATE(B2069,""en"",""ja"")"),"コミュニケート")</f>
        <v>コミュニケート</v>
      </c>
    </row>
    <row r="2057" spans="1:3" ht="18" customHeight="1" x14ac:dyDescent="0.3">
      <c r="A2057" s="1">
        <v>13</v>
      </c>
      <c r="B2057" s="1" t="s">
        <v>1706</v>
      </c>
      <c r="C2057" s="1" t="str">
        <f ca="1">IFERROR(__xludf.DUMMYFUNCTION("GOOGLETRANSLATE(B2070,""en"",""ja"")"),"クラシック")</f>
        <v>クラシック</v>
      </c>
    </row>
    <row r="2058" spans="1:3" ht="18" customHeight="1" x14ac:dyDescent="0.3">
      <c r="A2058" s="1">
        <v>13</v>
      </c>
      <c r="B2058" s="1" t="s">
        <v>1707</v>
      </c>
      <c r="C2058" s="1" t="str">
        <f ca="1">IFERROR(__xludf.DUMMYFUNCTION("GOOGLETRANSLATE(B2071,""en"",""ja"")"),"化学品")</f>
        <v>化学品</v>
      </c>
    </row>
    <row r="2059" spans="1:3" ht="18" customHeight="1" x14ac:dyDescent="0.3">
      <c r="A2059" s="1">
        <v>13</v>
      </c>
      <c r="B2059" s="1" t="s">
        <v>1600</v>
      </c>
      <c r="C2059" s="1" t="str">
        <f ca="1">IFERROR(__xludf.DUMMYFUNCTION("GOOGLETRANSLATE(B2072,""en"",""ja"")"),"チャレンジ")</f>
        <v>チャレンジ</v>
      </c>
    </row>
    <row r="2060" spans="1:3" ht="18" customHeight="1" x14ac:dyDescent="0.3">
      <c r="A2060" s="1">
        <v>13</v>
      </c>
      <c r="B2060" s="1" t="s">
        <v>1708</v>
      </c>
      <c r="C2060" s="1" t="str">
        <f ca="1">IFERROR(__xludf.DUMMYFUNCTION("GOOGLETRANSLATE(B2073,""en"",""ja"")"),"セルラー")</f>
        <v>セルラー</v>
      </c>
    </row>
    <row r="2061" spans="1:3" ht="18" customHeight="1" x14ac:dyDescent="0.3">
      <c r="A2061" s="1">
        <v>13</v>
      </c>
      <c r="B2061" s="1" t="s">
        <v>1390</v>
      </c>
      <c r="C2061" s="1" t="str">
        <f ca="1">IFERROR(__xludf.DUMMYFUNCTION("GOOGLETRANSLATE(B2074,""en"",""ja"")"),"キャリア")</f>
        <v>キャリア</v>
      </c>
    </row>
    <row r="2062" spans="1:3" ht="18" customHeight="1" x14ac:dyDescent="0.3">
      <c r="A2062" s="1">
        <v>13</v>
      </c>
      <c r="B2062" s="1" t="s">
        <v>1709</v>
      </c>
      <c r="C2062" s="1" t="str">
        <f ca="1">IFERROR(__xludf.DUMMYFUNCTION("GOOGLETRANSLATE(B2075,""en"",""ja"")"),"ベンガル")</f>
        <v>ベンガル</v>
      </c>
    </row>
    <row r="2063" spans="1:3" ht="18" customHeight="1" x14ac:dyDescent="0.3">
      <c r="A2063" s="1">
        <v>13</v>
      </c>
      <c r="B2063" s="1" t="s">
        <v>1710</v>
      </c>
      <c r="C2063" s="1" t="str">
        <f ca="1">IFERROR(__xludf.DUMMYFUNCTION("GOOGLETRANSLATE(B2076,""en"",""ja"")"),"信じ")</f>
        <v>信じ</v>
      </c>
    </row>
    <row r="2064" spans="1:3" ht="18" customHeight="1" x14ac:dyDescent="0.3">
      <c r="A2064" s="1">
        <v>13</v>
      </c>
      <c r="B2064" s="1" t="s">
        <v>1711</v>
      </c>
      <c r="C2064" s="1" t="str">
        <f ca="1">IFERROR(__xludf.DUMMYFUNCTION("GOOGLETRANSLATE(B2077,""en"",""ja"")"),"行動主義")</f>
        <v>行動主義</v>
      </c>
    </row>
    <row r="2065" spans="1:3" ht="18" customHeight="1" x14ac:dyDescent="0.3">
      <c r="A2065" s="1">
        <v>13</v>
      </c>
      <c r="B2065" s="1" t="s">
        <v>1712</v>
      </c>
      <c r="C2065" s="1" t="str">
        <f ca="1">IFERROR(__xludf.DUMMYFUNCTION("GOOGLETRANSLATE(B2078,""en"",""ja"")"),"聴衆")</f>
        <v>聴衆</v>
      </c>
    </row>
    <row r="2066" spans="1:3" ht="18" customHeight="1" x14ac:dyDescent="0.3">
      <c r="A2066" s="1">
        <v>13</v>
      </c>
      <c r="B2066" s="1" t="s">
        <v>1713</v>
      </c>
      <c r="C2066" s="1" t="str">
        <f ca="1">IFERROR(__xludf.DUMMYFUNCTION("GOOGLETRANSLATE(B2079,""en"",""ja"")"),"姿勢")</f>
        <v>姿勢</v>
      </c>
    </row>
    <row r="2067" spans="1:3" ht="18" customHeight="1" x14ac:dyDescent="0.3">
      <c r="A2067" s="1">
        <v>13</v>
      </c>
      <c r="B2067" s="1" t="s">
        <v>1714</v>
      </c>
      <c r="C2067" s="1" t="str">
        <f ca="1">IFERROR(__xludf.DUMMYFUNCTION("GOOGLETRANSLATE(B2080,""en"",""ja"")"),"達します")</f>
        <v>達します</v>
      </c>
    </row>
    <row r="2068" spans="1:3" ht="18" customHeight="1" x14ac:dyDescent="0.3">
      <c r="A2068" s="1">
        <v>13</v>
      </c>
      <c r="B2068" s="1" t="s">
        <v>1715</v>
      </c>
      <c r="C2068" s="1" t="str">
        <f ca="1">IFERROR(__xludf.DUMMYFUNCTION("GOOGLETRANSLATE(B2081,""en"",""ja"")"),"アジア")</f>
        <v>アジア</v>
      </c>
    </row>
    <row r="2069" spans="1:3" ht="18" customHeight="1" x14ac:dyDescent="0.3">
      <c r="A2069" s="1">
        <v>13</v>
      </c>
      <c r="B2069" s="1" t="s">
        <v>1716</v>
      </c>
      <c r="C2069" s="1" t="str">
        <f ca="1">IFERROR(__xludf.DUMMYFUNCTION("GOOGLETRANSLATE(B2082,""en"",""ja"")"),"主張")</f>
        <v>主張</v>
      </c>
    </row>
    <row r="2070" spans="1:3" ht="18" customHeight="1" x14ac:dyDescent="0.3">
      <c r="A2070" s="1">
        <v>13</v>
      </c>
      <c r="B2070" s="1" t="s">
        <v>1717</v>
      </c>
      <c r="C2070" s="1" t="str">
        <f ca="1">IFERROR(__xludf.DUMMYFUNCTION("GOOGLETRANSLATE(B2083,""en"",""ja"")"),"任意")</f>
        <v>任意</v>
      </c>
    </row>
    <row r="2071" spans="1:3" ht="18" customHeight="1" x14ac:dyDescent="0.3">
      <c r="A2071" s="1">
        <v>13</v>
      </c>
      <c r="B2071" s="1" t="s">
        <v>1718</v>
      </c>
      <c r="C2071" s="1" t="str">
        <f ca="1">IFERROR(__xludf.DUMMYFUNCTION("GOOGLETRANSLATE(B2084,""en"",""ja"")"),"近似")</f>
        <v>近似</v>
      </c>
    </row>
    <row r="2072" spans="1:3" ht="18" customHeight="1" x14ac:dyDescent="0.3">
      <c r="A2072" s="1">
        <v>13</v>
      </c>
      <c r="B2072" s="1" t="s">
        <v>1719</v>
      </c>
      <c r="C2072" s="1" t="str">
        <f ca="1">IFERROR(__xludf.DUMMYFUNCTION("GOOGLETRANSLATE(B2085,""en"",""ja"")"),"擬人化")</f>
        <v>擬人化</v>
      </c>
    </row>
    <row r="2073" spans="1:3" ht="18" customHeight="1" x14ac:dyDescent="0.3">
      <c r="A2073" s="1">
        <v>13</v>
      </c>
      <c r="B2073" s="1" t="s">
        <v>1492</v>
      </c>
      <c r="C2073" s="1" t="str">
        <f ca="1">IFERROR(__xludf.DUMMYFUNCTION("GOOGLETRANSLATE(B2086,""en"",""ja"")"),"一人で")</f>
        <v>一人で</v>
      </c>
    </row>
    <row r="2074" spans="1:3" ht="18" customHeight="1" x14ac:dyDescent="0.3">
      <c r="A2074" s="1">
        <v>13</v>
      </c>
      <c r="B2074" s="1" t="s">
        <v>1720</v>
      </c>
      <c r="C2074" s="1" t="str">
        <f ca="1">IFERROR(__xludf.DUMMYFUNCTION("GOOGLETRANSLATE(B2087,""en"",""ja"")"),"有利")</f>
        <v>有利</v>
      </c>
    </row>
    <row r="2075" spans="1:3" ht="18" customHeight="1" x14ac:dyDescent="0.3">
      <c r="A2075" s="1">
        <v>13</v>
      </c>
      <c r="B2075" s="1" t="s">
        <v>1721</v>
      </c>
      <c r="C2075" s="1" t="str">
        <f ca="1">IFERROR(__xludf.DUMMYFUNCTION("GOOGLETRANSLATE(B2088,""en"",""ja"")"),"正しく")</f>
        <v>正しく</v>
      </c>
    </row>
    <row r="2076" spans="1:3" ht="18" customHeight="1" x14ac:dyDescent="0.3">
      <c r="A2076" s="1">
        <v>13</v>
      </c>
      <c r="B2076" s="1" t="s">
        <v>1722</v>
      </c>
      <c r="C2076" s="1" t="str">
        <f ca="1">IFERROR(__xludf.DUMMYFUNCTION("GOOGLETRANSLATE(B2089,""en"",""ja"")"),"加速")</f>
        <v>加速</v>
      </c>
    </row>
    <row r="2077" spans="1:3" ht="18" customHeight="1" x14ac:dyDescent="0.3">
      <c r="A2077" s="1">
        <v>13</v>
      </c>
      <c r="B2077" s="1" t="s">
        <v>1723</v>
      </c>
      <c r="C2077" s="1" t="str">
        <f ca="1">IFERROR(__xludf.DUMMYFUNCTION("GOOGLETRANSLATE(B2090,""en"",""ja"")"),"海外へ")</f>
        <v>海外へ</v>
      </c>
    </row>
    <row r="2078" spans="1:3" ht="18" customHeight="1" x14ac:dyDescent="0.3">
      <c r="A2078" s="1">
        <v>12</v>
      </c>
      <c r="B2078" s="1" t="s">
        <v>232</v>
      </c>
      <c r="C2078" s="1" t="str">
        <f ca="1">IFERROR(__xludf.DUMMYFUNCTION("GOOGLETRANSLATE(B2091,""en"",""ja"")"),"未だ")</f>
        <v>未だ</v>
      </c>
    </row>
    <row r="2079" spans="1:3" ht="18" customHeight="1" x14ac:dyDescent="0.3">
      <c r="A2079" s="1">
        <v>12</v>
      </c>
      <c r="B2079" s="1" t="s">
        <v>1724</v>
      </c>
      <c r="C2079" s="1" t="str">
        <f ca="1">IFERROR(__xludf.DUMMYFUNCTION("GOOGLETRANSLATE(B2092,""en"",""ja"")"),"崇拝")</f>
        <v>崇拝</v>
      </c>
    </row>
    <row r="2080" spans="1:3" ht="18" customHeight="1" x14ac:dyDescent="0.3">
      <c r="A2080" s="1">
        <v>12</v>
      </c>
      <c r="B2080" s="1" t="s">
        <v>1725</v>
      </c>
      <c r="C2080" s="1" t="str">
        <f ca="1">IFERROR(__xludf.DUMMYFUNCTION("GOOGLETRANSLATE(B2093,""en"",""ja"")"),"心配")</f>
        <v>心配</v>
      </c>
    </row>
    <row r="2081" spans="1:3" ht="18" customHeight="1" x14ac:dyDescent="0.3">
      <c r="A2081" s="1">
        <v>12</v>
      </c>
      <c r="B2081" s="1" t="s">
        <v>1726</v>
      </c>
      <c r="C2081" s="1" t="str">
        <f ca="1">IFERROR(__xludf.DUMMYFUNCTION("GOOGLETRANSLATE(B2094,""en"",""ja"")"),"勝った")</f>
        <v>勝った</v>
      </c>
    </row>
    <row r="2082" spans="1:3" ht="18" customHeight="1" x14ac:dyDescent="0.3">
      <c r="A2082" s="1">
        <v>12</v>
      </c>
      <c r="B2082" s="1" t="s">
        <v>1727</v>
      </c>
      <c r="C2082" s="1" t="str">
        <f ca="1">IFERROR(__xludf.DUMMYFUNCTION("GOOGLETRANSLATE(B2095,""en"",""ja"")"),"広く")</f>
        <v>広く</v>
      </c>
    </row>
    <row r="2083" spans="1:3" ht="18" customHeight="1" x14ac:dyDescent="0.3">
      <c r="A2083" s="1">
        <v>12</v>
      </c>
      <c r="B2083" s="1" t="s">
        <v>1728</v>
      </c>
      <c r="C2083" s="1" t="str">
        <f ca="1">IFERROR(__xludf.DUMMYFUNCTION("GOOGLETRANSLATE(B2096,""en"",""ja"")"),"着る")</f>
        <v>着る</v>
      </c>
    </row>
    <row r="2084" spans="1:3" ht="18" customHeight="1" x14ac:dyDescent="0.3">
      <c r="A2084" s="1">
        <v>12</v>
      </c>
      <c r="B2084" s="1" t="s">
        <v>1729</v>
      </c>
      <c r="C2084" s="1" t="str">
        <f ca="1">IFERROR(__xludf.DUMMYFUNCTION("GOOGLETRANSLATE(B2097,""en"",""ja"")"),"発声")</f>
        <v>発声</v>
      </c>
    </row>
    <row r="2085" spans="1:3" ht="18" customHeight="1" x14ac:dyDescent="0.3">
      <c r="A2085" s="1">
        <v>12</v>
      </c>
      <c r="B2085" s="1" t="s">
        <v>1730</v>
      </c>
      <c r="C2085" s="1" t="str">
        <f ca="1">IFERROR(__xludf.DUMMYFUNCTION("GOOGLETRANSLATE(B2098,""en"",""ja"")"),"車")</f>
        <v>車</v>
      </c>
    </row>
    <row r="2086" spans="1:3" ht="18" customHeight="1" x14ac:dyDescent="0.3">
      <c r="A2086" s="1">
        <v>12</v>
      </c>
      <c r="B2086" s="1" t="s">
        <v>1731</v>
      </c>
      <c r="C2086" s="1" t="str">
        <f ca="1">IFERROR(__xludf.DUMMYFUNCTION("GOOGLETRANSLATE(B2099,""en"",""ja"")"),"基礎となります")</f>
        <v>基礎となります</v>
      </c>
    </row>
    <row r="2087" spans="1:3" ht="18" customHeight="1" x14ac:dyDescent="0.3">
      <c r="A2087" s="1">
        <v>12</v>
      </c>
      <c r="B2087" s="1" t="s">
        <v>1732</v>
      </c>
      <c r="C2087" s="1" t="str">
        <f ca="1">IFERROR(__xludf.DUMMYFUNCTION("GOOGLETRANSLATE(B2100,""en"",""ja"")"),"一般的に")</f>
        <v>一般的に</v>
      </c>
    </row>
    <row r="2088" spans="1:3" ht="18" customHeight="1" x14ac:dyDescent="0.3">
      <c r="A2088" s="1">
        <v>12</v>
      </c>
      <c r="B2088" s="1" t="s">
        <v>1733</v>
      </c>
      <c r="C2088" s="1" t="str">
        <f ca="1">IFERROR(__xludf.DUMMYFUNCTION("GOOGLETRANSLATE(B2101,""en"",""ja"")"),"抱き合わせ")</f>
        <v>抱き合わせ</v>
      </c>
    </row>
    <row r="2089" spans="1:3" ht="18" customHeight="1" x14ac:dyDescent="0.3">
      <c r="A2089" s="1">
        <v>12</v>
      </c>
      <c r="B2089" s="1" t="s">
        <v>1734</v>
      </c>
      <c r="C2089" s="1" t="str">
        <f ca="1">IFERROR(__xludf.DUMMYFUNCTION("GOOGLETRANSLATE(B2102,""en"",""ja"")"),"20番目")</f>
        <v>20番目</v>
      </c>
    </row>
    <row r="2090" spans="1:3" ht="18" customHeight="1" x14ac:dyDescent="0.3">
      <c r="A2090" s="1">
        <v>12</v>
      </c>
      <c r="B2090" s="1" t="s">
        <v>1735</v>
      </c>
      <c r="C2090" s="1" t="str">
        <f ca="1">IFERROR(__xludf.DUMMYFUNCTION("GOOGLETRANSLATE(B2103,""en"",""ja"")"),"トランク")</f>
        <v>トランク</v>
      </c>
    </row>
    <row r="2091" spans="1:3" ht="18" customHeight="1" x14ac:dyDescent="0.3">
      <c r="A2091" s="1">
        <v>12</v>
      </c>
      <c r="B2091" s="1" t="s">
        <v>641</v>
      </c>
      <c r="C2091" s="1" t="str">
        <f ca="1">IFERROR(__xludf.DUMMYFUNCTION("GOOGLETRANSLATE(B2104,""en"",""ja"")"),"トラベル")</f>
        <v>トラベル</v>
      </c>
    </row>
    <row r="2092" spans="1:3" ht="18" customHeight="1" x14ac:dyDescent="0.3">
      <c r="A2092" s="1">
        <v>12</v>
      </c>
      <c r="B2092" s="1" t="s">
        <v>1736</v>
      </c>
      <c r="C2092" s="1" t="str">
        <f ca="1">IFERROR(__xludf.DUMMYFUNCTION("GOOGLETRANSLATE(B2105,""en"",""ja"")"),"変換")</f>
        <v>変換</v>
      </c>
    </row>
    <row r="2093" spans="1:3" ht="18" customHeight="1" x14ac:dyDescent="0.3">
      <c r="A2093" s="1">
        <v>12</v>
      </c>
      <c r="B2093" s="1" t="s">
        <v>1737</v>
      </c>
      <c r="C2093" s="1" t="str">
        <f ca="1">IFERROR(__xludf.DUMMYFUNCTION("GOOGLETRANSLATE(B2106,""en"",""ja"")"),"町")</f>
        <v>町</v>
      </c>
    </row>
    <row r="2094" spans="1:3" ht="18" customHeight="1" x14ac:dyDescent="0.3">
      <c r="A2094" s="1">
        <v>12</v>
      </c>
      <c r="B2094" s="1" t="s">
        <v>1738</v>
      </c>
      <c r="C2094" s="1" t="str">
        <f ca="1">IFERROR(__xludf.DUMMYFUNCTION("GOOGLETRANSLATE(B2107,""en"",""ja"")"),"渇き")</f>
        <v>渇き</v>
      </c>
    </row>
    <row r="2095" spans="1:3" ht="18" customHeight="1" x14ac:dyDescent="0.3">
      <c r="A2095" s="1">
        <v>12</v>
      </c>
      <c r="B2095" s="1" t="s">
        <v>1410</v>
      </c>
      <c r="C2095" s="1" t="str">
        <f ca="1">IFERROR(__xludf.DUMMYFUNCTION("GOOGLETRANSLATE(B2108,""en"",""ja"")"),"テキスト")</f>
        <v>テキスト</v>
      </c>
    </row>
    <row r="2096" spans="1:3" ht="18" customHeight="1" x14ac:dyDescent="0.3">
      <c r="A2096" s="1">
        <v>12</v>
      </c>
      <c r="B2096" s="1" t="s">
        <v>1739</v>
      </c>
      <c r="C2096" s="1" t="str">
        <f ca="1">IFERROR(__xludf.DUMMYFUNCTION("GOOGLETRANSLATE(B2109,""en"",""ja"")"),"テスト")</f>
        <v>テスト</v>
      </c>
    </row>
    <row r="2097" spans="1:3" ht="18" customHeight="1" x14ac:dyDescent="0.3">
      <c r="A2097" s="1">
        <v>12</v>
      </c>
      <c r="B2097" s="1" t="s">
        <v>1740</v>
      </c>
      <c r="C2097" s="1" t="str">
        <f ca="1">IFERROR(__xludf.DUMMYFUNCTION("GOOGLETRANSLATE(B2110,""en"",""ja"")"),"テスト")</f>
        <v>テスト</v>
      </c>
    </row>
    <row r="2098" spans="1:3" ht="18" customHeight="1" x14ac:dyDescent="0.3">
      <c r="A2098" s="1">
        <v>12</v>
      </c>
      <c r="B2098" s="1" t="s">
        <v>1741</v>
      </c>
      <c r="C2098" s="1" t="str">
        <f ca="1">IFERROR(__xludf.DUMMYFUNCTION("GOOGLETRANSLATE(B2111,""en"",""ja"")"),"占い")</f>
        <v>占い</v>
      </c>
    </row>
    <row r="2099" spans="1:3" ht="18" customHeight="1" x14ac:dyDescent="0.3">
      <c r="A2099" s="1">
        <v>12</v>
      </c>
      <c r="B2099" s="1" t="s">
        <v>1742</v>
      </c>
      <c r="C2099" s="1" t="str">
        <f ca="1">IFERROR(__xludf.DUMMYFUNCTION("GOOGLETRANSLATE(B2112,""en"",""ja"")"),"調査")</f>
        <v>調査</v>
      </c>
    </row>
    <row r="2100" spans="1:3" ht="18" customHeight="1" x14ac:dyDescent="0.3">
      <c r="A2100" s="1">
        <v>12</v>
      </c>
      <c r="B2100" s="1" t="s">
        <v>1743</v>
      </c>
      <c r="C2100" s="1" t="str">
        <f ca="1">IFERROR(__xludf.DUMMYFUNCTION("GOOGLETRANSLATE(B2113,""en"",""ja"")"),"郊外の")</f>
        <v>郊外の</v>
      </c>
    </row>
    <row r="2101" spans="1:3" ht="18" customHeight="1" x14ac:dyDescent="0.3">
      <c r="A2101" s="1">
        <v>12</v>
      </c>
      <c r="B2101" s="1" t="s">
        <v>1325</v>
      </c>
      <c r="C2101" s="1" t="str">
        <f ca="1">IFERROR(__xludf.DUMMYFUNCTION("GOOGLETRANSLATE(B2114,""en"",""ja"")"),"お店")</f>
        <v>お店</v>
      </c>
    </row>
    <row r="2102" spans="1:3" ht="18" customHeight="1" x14ac:dyDescent="0.3">
      <c r="A2102" s="1">
        <v>12</v>
      </c>
      <c r="B2102" s="1" t="s">
        <v>1744</v>
      </c>
      <c r="C2102" s="1" t="str">
        <f ca="1">IFERROR(__xludf.DUMMYFUNCTION("GOOGLETRANSLATE(B2115,""en"",""ja"")"),"述べました")</f>
        <v>述べました</v>
      </c>
    </row>
    <row r="2103" spans="1:3" ht="18" customHeight="1" x14ac:dyDescent="0.3">
      <c r="A2103" s="1">
        <v>12</v>
      </c>
      <c r="B2103" s="1" t="s">
        <v>1745</v>
      </c>
      <c r="C2103" s="1" t="str">
        <f ca="1">IFERROR(__xludf.DUMMYFUNCTION("GOOGLETRANSLATE(B2116,""en"",""ja"")"),"小鳥")</f>
        <v>小鳥</v>
      </c>
    </row>
    <row r="2104" spans="1:3" ht="18" customHeight="1" x14ac:dyDescent="0.3">
      <c r="A2104" s="1">
        <v>12</v>
      </c>
      <c r="B2104" s="1" t="s">
        <v>1746</v>
      </c>
      <c r="C2104" s="1" t="str">
        <f ca="1">IFERROR(__xludf.DUMMYFUNCTION("GOOGLETRANSLATE(B2117,""en"",""ja"")"),"解決")</f>
        <v>解決</v>
      </c>
    </row>
    <row r="2105" spans="1:3" ht="18" customHeight="1" x14ac:dyDescent="0.3">
      <c r="A2105" s="1">
        <v>12</v>
      </c>
      <c r="B2105" s="1" t="s">
        <v>1747</v>
      </c>
      <c r="C2105" s="1" t="str">
        <f ca="1">IFERROR(__xludf.DUMMYFUNCTION("GOOGLETRANSLATE(B2118,""en"",""ja"")"),"同時に")</f>
        <v>同時に</v>
      </c>
    </row>
    <row r="2106" spans="1:3" ht="18" customHeight="1" x14ac:dyDescent="0.3">
      <c r="A2106" s="1">
        <v>12</v>
      </c>
      <c r="B2106" s="1" t="s">
        <v>1748</v>
      </c>
      <c r="C2106" s="1" t="str">
        <f ca="1">IFERROR(__xludf.DUMMYFUNCTION("GOOGLETRANSLATE(B2119,""en"",""ja"")"),"サイレント")</f>
        <v>サイレント</v>
      </c>
    </row>
    <row r="2107" spans="1:3" ht="18" customHeight="1" x14ac:dyDescent="0.3">
      <c r="A2107" s="1">
        <v>12</v>
      </c>
      <c r="B2107" s="1" t="s">
        <v>1749</v>
      </c>
      <c r="C2107" s="1" t="str">
        <f ca="1">IFERROR(__xludf.DUMMYFUNCTION("GOOGLETRANSLATE(B2120,""en"",""ja"")"),"信号")</f>
        <v>信号</v>
      </c>
    </row>
    <row r="2108" spans="1:3" ht="18" customHeight="1" x14ac:dyDescent="0.3">
      <c r="A2108" s="1">
        <v>12</v>
      </c>
      <c r="B2108" s="1" t="s">
        <v>1750</v>
      </c>
      <c r="C2108" s="1" t="str">
        <f ca="1">IFERROR(__xludf.DUMMYFUNCTION("GOOGLETRANSLATE(B2121,""en"",""ja"")"),"兄弟")</f>
        <v>兄弟</v>
      </c>
    </row>
    <row r="2109" spans="1:3" ht="18" customHeight="1" x14ac:dyDescent="0.3">
      <c r="A2109" s="1">
        <v>12</v>
      </c>
      <c r="B2109" s="1" t="s">
        <v>1420</v>
      </c>
      <c r="C2109" s="1" t="str">
        <f ca="1">IFERROR(__xludf.DUMMYFUNCTION("GOOGLETRANSLATE(B2122,""en"",""ja"")"),"セッティング")</f>
        <v>セッティング</v>
      </c>
    </row>
    <row r="2110" spans="1:3" ht="18" customHeight="1" x14ac:dyDescent="0.3">
      <c r="A2110" s="1">
        <v>12</v>
      </c>
      <c r="B2110" s="1" t="s">
        <v>1751</v>
      </c>
      <c r="C2110" s="1" t="str">
        <f ca="1">IFERROR(__xludf.DUMMYFUNCTION("GOOGLETRANSLATE(B2123,""en"",""ja"")"),"サービス")</f>
        <v>サービス</v>
      </c>
    </row>
    <row r="2111" spans="1:3" ht="18" customHeight="1" x14ac:dyDescent="0.3">
      <c r="A2111" s="1">
        <v>12</v>
      </c>
      <c r="B2111" s="1" t="s">
        <v>1752</v>
      </c>
      <c r="C2111" s="1" t="str">
        <f ca="1">IFERROR(__xludf.DUMMYFUNCTION("GOOGLETRANSLATE(B2124,""en"",""ja"")"),"見ています")</f>
        <v>見ています</v>
      </c>
    </row>
    <row r="2112" spans="1:3" ht="18" customHeight="1" x14ac:dyDescent="0.3">
      <c r="A2112" s="1">
        <v>12</v>
      </c>
      <c r="B2112" s="1" t="s">
        <v>147</v>
      </c>
      <c r="C2112" s="1" t="str">
        <f ca="1">IFERROR(__xludf.DUMMYFUNCTION("GOOGLETRANSLATE(B2125,""en"",""ja"")"),"見る")</f>
        <v>見る</v>
      </c>
    </row>
    <row r="2113" spans="1:3" ht="18" customHeight="1" x14ac:dyDescent="0.3">
      <c r="A2113" s="1">
        <v>12</v>
      </c>
      <c r="B2113" s="1" t="s">
        <v>838</v>
      </c>
      <c r="C2113" s="1" t="str">
        <f ca="1">IFERROR(__xludf.DUMMYFUNCTION("GOOGLETRANSLATE(B2126,""en"",""ja"")"),"画面")</f>
        <v>画面</v>
      </c>
    </row>
    <row r="2114" spans="1:3" ht="18" customHeight="1" x14ac:dyDescent="0.3">
      <c r="A2114" s="1">
        <v>12</v>
      </c>
      <c r="B2114" s="1" t="s">
        <v>1753</v>
      </c>
      <c r="C2114" s="1" t="str">
        <f ca="1">IFERROR(__xludf.DUMMYFUNCTION("GOOGLETRANSLATE(B2127,""en"",""ja"")"),"給料")</f>
        <v>給料</v>
      </c>
    </row>
    <row r="2115" spans="1:3" ht="18" customHeight="1" x14ac:dyDescent="0.3">
      <c r="A2115" s="1">
        <v>12</v>
      </c>
      <c r="B2115" s="1" t="s">
        <v>1754</v>
      </c>
      <c r="C2115" s="1" t="str">
        <f ca="1">IFERROR(__xludf.DUMMYFUNCTION("GOOGLETRANSLATE(B2128,""en"",""ja"")"),"安全性")</f>
        <v>安全性</v>
      </c>
    </row>
    <row r="2116" spans="1:3" ht="18" customHeight="1" x14ac:dyDescent="0.3">
      <c r="A2116" s="1">
        <v>12</v>
      </c>
      <c r="B2116" s="1" t="s">
        <v>1755</v>
      </c>
      <c r="C2116" s="1" t="str">
        <f ca="1">IFERROR(__xludf.DUMMYFUNCTION("GOOGLETRANSLATE(B2129,""en"",""ja"")"),"支配")</f>
        <v>支配</v>
      </c>
    </row>
    <row r="2117" spans="1:3" ht="18" customHeight="1" x14ac:dyDescent="0.3">
      <c r="A2117" s="1">
        <v>12</v>
      </c>
      <c r="B2117" s="1" t="s">
        <v>1756</v>
      </c>
      <c r="C2117" s="1" t="str">
        <f ca="1">IFERROR(__xludf.DUMMYFUNCTION("GOOGLETRANSLATE(B2130,""en"",""ja"")"),"根ざし")</f>
        <v>根ざし</v>
      </c>
    </row>
    <row r="2118" spans="1:3" ht="18" customHeight="1" x14ac:dyDescent="0.3">
      <c r="A2118" s="1">
        <v>12</v>
      </c>
      <c r="B2118" s="1" t="s">
        <v>1635</v>
      </c>
      <c r="C2118" s="1" t="str">
        <f ca="1">IFERROR(__xludf.DUMMYFUNCTION("GOOGLETRANSLATE(B2131,""en"",""ja"")"),"儀式")</f>
        <v>儀式</v>
      </c>
    </row>
    <row r="2119" spans="1:3" ht="18" customHeight="1" x14ac:dyDescent="0.3">
      <c r="A2119" s="1">
        <v>12</v>
      </c>
      <c r="B2119" s="1" t="s">
        <v>1757</v>
      </c>
      <c r="C2119" s="1" t="str">
        <f ca="1">IFERROR(__xludf.DUMMYFUNCTION("GOOGLETRANSLATE(B2132,""en"",""ja"")"),"保持")</f>
        <v>保持</v>
      </c>
    </row>
    <row r="2120" spans="1:3" ht="18" customHeight="1" x14ac:dyDescent="0.3">
      <c r="A2120" s="1">
        <v>12</v>
      </c>
      <c r="B2120" s="1" t="s">
        <v>1758</v>
      </c>
      <c r="C2120" s="1" t="str">
        <f ca="1">IFERROR(__xludf.DUMMYFUNCTION("GOOGLETRANSLATE(B2133,""en"",""ja"")"),"反応")</f>
        <v>反応</v>
      </c>
    </row>
    <row r="2121" spans="1:3" ht="18" customHeight="1" x14ac:dyDescent="0.3">
      <c r="A2121" s="1">
        <v>12</v>
      </c>
      <c r="B2121" s="1" t="s">
        <v>1759</v>
      </c>
      <c r="C2121" s="1" t="str">
        <f ca="1">IFERROR(__xludf.DUMMYFUNCTION("GOOGLETRANSLATE(B2134,""en"",""ja"")"),"置き換え")</f>
        <v>置き換え</v>
      </c>
    </row>
    <row r="2122" spans="1:3" ht="18" customHeight="1" x14ac:dyDescent="0.3">
      <c r="A2122" s="1">
        <v>12</v>
      </c>
      <c r="B2122" s="1" t="s">
        <v>1760</v>
      </c>
      <c r="C2122" s="1" t="str">
        <f ca="1">IFERROR(__xludf.DUMMYFUNCTION("GOOGLETRANSLATE(B2135,""en"",""ja"")"),"置き換えます")</f>
        <v>置き換えます</v>
      </c>
    </row>
    <row r="2123" spans="1:3" ht="18" customHeight="1" x14ac:dyDescent="0.3">
      <c r="A2123" s="1">
        <v>12</v>
      </c>
      <c r="B2123" s="1" t="s">
        <v>1761</v>
      </c>
      <c r="C2123" s="1" t="str">
        <f ca="1">IFERROR(__xludf.DUMMYFUNCTION("GOOGLETRANSLATE(B2136,""en"",""ja"")"),"繰り返す")</f>
        <v>繰り返す</v>
      </c>
    </row>
    <row r="2124" spans="1:3" ht="18" customHeight="1" x14ac:dyDescent="0.3">
      <c r="A2124" s="1">
        <v>12</v>
      </c>
      <c r="B2124" s="1" t="s">
        <v>1762</v>
      </c>
      <c r="C2124" s="1" t="str">
        <f ca="1">IFERROR(__xludf.DUMMYFUNCTION("GOOGLETRANSLATE(B2137,""en"",""ja"")"),"消極的")</f>
        <v>消極的</v>
      </c>
    </row>
    <row r="2125" spans="1:3" ht="18" customHeight="1" x14ac:dyDescent="0.3">
      <c r="A2125" s="1">
        <v>12</v>
      </c>
      <c r="B2125" s="1" t="s">
        <v>547</v>
      </c>
      <c r="C2125" s="1" t="str">
        <f ca="1">IFERROR(__xludf.DUMMYFUNCTION("GOOGLETRANSLATE(B2138,""en"",""ja"")"),"宗教")</f>
        <v>宗教</v>
      </c>
    </row>
    <row r="2126" spans="1:3" ht="18" customHeight="1" x14ac:dyDescent="0.3">
      <c r="A2126" s="1">
        <v>12</v>
      </c>
      <c r="B2126" s="1" t="s">
        <v>1763</v>
      </c>
      <c r="C2126" s="1" t="str">
        <f ca="1">IFERROR(__xludf.DUMMYFUNCTION("GOOGLETRANSLATE(B2139,""en"",""ja"")"),"参照します")</f>
        <v>参照します</v>
      </c>
    </row>
    <row r="2127" spans="1:3" ht="18" customHeight="1" x14ac:dyDescent="0.3">
      <c r="A2127" s="1">
        <v>12</v>
      </c>
      <c r="B2127" s="1" t="s">
        <v>725</v>
      </c>
      <c r="C2127" s="1" t="str">
        <f ca="1">IFERROR(__xludf.DUMMYFUNCTION("GOOGLETRANSLATE(B2140,""en"",""ja"")"),"減らします")</f>
        <v>減らします</v>
      </c>
    </row>
    <row r="2128" spans="1:3" ht="18" customHeight="1" x14ac:dyDescent="0.3">
      <c r="A2128" s="1">
        <v>12</v>
      </c>
      <c r="B2128" s="1" t="s">
        <v>1764</v>
      </c>
      <c r="C2128" s="1" t="str">
        <f ca="1">IFERROR(__xludf.DUMMYFUNCTION("GOOGLETRANSLATE(B2141,""en"",""ja"")"),"推理")</f>
        <v>推理</v>
      </c>
    </row>
    <row r="2129" spans="1:3" ht="18" customHeight="1" x14ac:dyDescent="0.3">
      <c r="A2129" s="1">
        <v>12</v>
      </c>
      <c r="B2129" s="1" t="s">
        <v>1765</v>
      </c>
      <c r="C2129" s="1" t="str">
        <f ca="1">IFERROR(__xludf.DUMMYFUNCTION("GOOGLETRANSLATE(B2142,""en"",""ja"")"),"本当に")</f>
        <v>本当に</v>
      </c>
    </row>
    <row r="2130" spans="1:3" ht="18" customHeight="1" x14ac:dyDescent="0.3">
      <c r="A2130" s="1">
        <v>12</v>
      </c>
      <c r="B2130" s="1" t="s">
        <v>1766</v>
      </c>
      <c r="C2130" s="1" t="str">
        <f ca="1">IFERROR(__xludf.DUMMYFUNCTION("GOOGLETRANSLATE(B2143,""en"",""ja"")"),"到達")</f>
        <v>到達</v>
      </c>
    </row>
    <row r="2131" spans="1:3" ht="18" customHeight="1" x14ac:dyDescent="0.3">
      <c r="A2131" s="1">
        <v>12</v>
      </c>
      <c r="B2131" s="1" t="s">
        <v>795</v>
      </c>
      <c r="C2131" s="1" t="str">
        <f ca="1">IFERROR(__xludf.DUMMYFUNCTION("GOOGLETRANSLATE(B2144,""en"",""ja"")"),"再")</f>
        <v>再</v>
      </c>
    </row>
    <row r="2132" spans="1:3" ht="18" customHeight="1" x14ac:dyDescent="0.3">
      <c r="A2132" s="1">
        <v>12</v>
      </c>
      <c r="B2132" s="1" t="s">
        <v>1767</v>
      </c>
      <c r="C2132" s="1" t="str">
        <f ca="1">IFERROR(__xludf.DUMMYFUNCTION("GOOGLETRANSLATE(B2145,""en"",""ja"")"),"品質")</f>
        <v>品質</v>
      </c>
    </row>
    <row r="2133" spans="1:3" ht="18" customHeight="1" x14ac:dyDescent="0.3">
      <c r="A2133" s="1">
        <v>12</v>
      </c>
      <c r="B2133" s="1" t="s">
        <v>1768</v>
      </c>
      <c r="C2133" s="1" t="str">
        <f ca="1">IFERROR(__xludf.DUMMYFUNCTION("GOOGLETRANSLATE(B2146,""en"",""ja"")"),"目的")</f>
        <v>目的</v>
      </c>
    </row>
    <row r="2134" spans="1:3" ht="18" customHeight="1" x14ac:dyDescent="0.3">
      <c r="A2134" s="1">
        <v>12</v>
      </c>
      <c r="B2134" s="1" t="s">
        <v>1769</v>
      </c>
      <c r="C2134" s="1" t="str">
        <f ca="1">IFERROR(__xludf.DUMMYFUNCTION("GOOGLETRANSLATE(B2147,""en"",""ja"")"),"練習")</f>
        <v>練習</v>
      </c>
    </row>
    <row r="2135" spans="1:3" ht="18" customHeight="1" x14ac:dyDescent="0.3">
      <c r="A2135" s="1">
        <v>12</v>
      </c>
      <c r="B2135" s="1" t="s">
        <v>156</v>
      </c>
      <c r="C2135" s="1" t="str">
        <f ca="1">IFERROR(__xludf.DUMMYFUNCTION("GOOGLETRANSLATE(B2148,""en"",""ja"")"),"可能")</f>
        <v>可能</v>
      </c>
    </row>
    <row r="2136" spans="1:3" ht="18" customHeight="1" x14ac:dyDescent="0.3">
      <c r="A2136" s="1">
        <v>12</v>
      </c>
      <c r="B2136" s="1" t="s">
        <v>1770</v>
      </c>
      <c r="C2136" s="1" t="str">
        <f ca="1">IFERROR(__xludf.DUMMYFUNCTION("GOOGLETRANSLATE(B2149,""en"",""ja"")"),"所有します")</f>
        <v>所有します</v>
      </c>
    </row>
    <row r="2137" spans="1:3" ht="18" customHeight="1" x14ac:dyDescent="0.3">
      <c r="A2137" s="1">
        <v>12</v>
      </c>
      <c r="B2137" s="1" t="s">
        <v>797</v>
      </c>
      <c r="C2137" s="1" t="str">
        <f ca="1">IFERROR(__xludf.DUMMYFUNCTION("GOOGLETRANSLATE(B2150,""en"",""ja"")"),"ポリシー")</f>
        <v>ポリシー</v>
      </c>
    </row>
    <row r="2138" spans="1:3" ht="18" customHeight="1" x14ac:dyDescent="0.3">
      <c r="A2138" s="1">
        <v>12</v>
      </c>
      <c r="B2138" s="1" t="s">
        <v>1771</v>
      </c>
      <c r="C2138" s="1" t="str">
        <f ca="1">IFERROR(__xludf.DUMMYFUNCTION("GOOGLETRANSLATE(B2151,""en"",""ja"")"),"許可")</f>
        <v>許可</v>
      </c>
    </row>
    <row r="2139" spans="1:3" ht="18" customHeight="1" x14ac:dyDescent="0.3">
      <c r="A2139" s="1">
        <v>12</v>
      </c>
      <c r="B2139" s="1" t="s">
        <v>1772</v>
      </c>
      <c r="C2139" s="1" t="str">
        <f ca="1">IFERROR(__xludf.DUMMYFUNCTION("GOOGLETRANSLATE(B2152,""en"",""ja"")"),"認知")</f>
        <v>認知</v>
      </c>
    </row>
    <row r="2140" spans="1:3" ht="18" customHeight="1" x14ac:dyDescent="0.3">
      <c r="A2140" s="1">
        <v>12</v>
      </c>
      <c r="B2140" s="1" t="s">
        <v>843</v>
      </c>
      <c r="C2140" s="1" t="str">
        <f ca="1">IFERROR(__xludf.DUMMYFUNCTION("GOOGLETRANSLATE(B2153,""en"",""ja"")"),"あたり")</f>
        <v>あたり</v>
      </c>
    </row>
    <row r="2141" spans="1:3" ht="18" customHeight="1" x14ac:dyDescent="0.3">
      <c r="A2141" s="1">
        <v>12</v>
      </c>
      <c r="B2141" s="1" t="s">
        <v>1773</v>
      </c>
      <c r="C2141" s="1" t="str">
        <f ca="1">IFERROR(__xludf.DUMMYFUNCTION("GOOGLETRANSLATE(B2154,""en"",""ja"")"),"パターン")</f>
        <v>パターン</v>
      </c>
    </row>
    <row r="2142" spans="1:3" ht="18" customHeight="1" x14ac:dyDescent="0.3">
      <c r="A2142" s="1">
        <v>12</v>
      </c>
      <c r="B2142" s="1" t="s">
        <v>1774</v>
      </c>
      <c r="C2142" s="1" t="str">
        <f ca="1">IFERROR(__xludf.DUMMYFUNCTION("GOOGLETRANSLATE(B2155,""en"",""ja"")"),"患者")</f>
        <v>患者</v>
      </c>
    </row>
    <row r="2143" spans="1:3" ht="18" customHeight="1" x14ac:dyDescent="0.3">
      <c r="A2143" s="1">
        <v>12</v>
      </c>
      <c r="B2143" s="1" t="s">
        <v>1775</v>
      </c>
      <c r="C2143" s="1" t="str">
        <f ca="1">IFERROR(__xludf.DUMMYFUNCTION("GOOGLETRANSLATE(B2156,""en"",""ja"")"),"受動的")</f>
        <v>受動的</v>
      </c>
    </row>
    <row r="2144" spans="1:3" ht="18" customHeight="1" x14ac:dyDescent="0.3">
      <c r="A2144" s="1">
        <v>12</v>
      </c>
      <c r="B2144" s="1" t="s">
        <v>1776</v>
      </c>
      <c r="C2144" s="1" t="str">
        <f ca="1">IFERROR(__xludf.DUMMYFUNCTION("GOOGLETRANSLATE(B2157,""en"",""ja"")"),"発振")</f>
        <v>発振</v>
      </c>
    </row>
    <row r="2145" spans="1:3" ht="18" customHeight="1" x14ac:dyDescent="0.3">
      <c r="A2145" s="1">
        <v>12</v>
      </c>
      <c r="B2145" s="1" t="s">
        <v>1777</v>
      </c>
      <c r="C2145" s="1" t="str">
        <f ca="1">IFERROR(__xludf.DUMMYFUNCTION("GOOGLETRANSLATE(B2158,""en"",""ja"")"),"子孫")</f>
        <v>子孫</v>
      </c>
    </row>
    <row r="2146" spans="1:3" ht="18" customHeight="1" x14ac:dyDescent="0.3">
      <c r="A2146" s="1">
        <v>12</v>
      </c>
      <c r="B2146" s="1" t="s">
        <v>1778</v>
      </c>
      <c r="C2146" s="1" t="str">
        <f ca="1">IFERROR(__xludf.DUMMYFUNCTION("GOOGLETRANSLATE(B2159,""en"",""ja"")"),"時")</f>
        <v>時</v>
      </c>
    </row>
    <row r="2147" spans="1:3" ht="18" customHeight="1" x14ac:dyDescent="0.3">
      <c r="A2147" s="1">
        <v>12</v>
      </c>
      <c r="B2147" s="1" t="s">
        <v>1779</v>
      </c>
      <c r="C2147" s="1" t="str">
        <f ca="1">IFERROR(__xludf.DUMMYFUNCTION("GOOGLETRANSLATE(B2160,""en"",""ja"")"),"ヒト以外の")</f>
        <v>ヒト以外の</v>
      </c>
    </row>
    <row r="2148" spans="1:3" ht="18" customHeight="1" x14ac:dyDescent="0.3">
      <c r="A2148" s="1">
        <v>12</v>
      </c>
      <c r="B2148" s="1" t="s">
        <v>1655</v>
      </c>
      <c r="C2148" s="1" t="str">
        <f ca="1">IFERROR(__xludf.DUMMYFUNCTION("GOOGLETRANSLATE(B2161,""en"",""ja"")"),"わずかな")</f>
        <v>わずかな</v>
      </c>
    </row>
    <row r="2149" spans="1:3" ht="18" customHeight="1" x14ac:dyDescent="0.3">
      <c r="A2149" s="1">
        <v>12</v>
      </c>
      <c r="B2149" s="1" t="s">
        <v>1780</v>
      </c>
      <c r="C2149" s="1" t="str">
        <f ca="1">IFERROR(__xludf.DUMMYFUNCTION("GOOGLETRANSLATE(B2162,""en"",""ja"")"),"ネイティブ")</f>
        <v>ネイティブ</v>
      </c>
    </row>
    <row r="2150" spans="1:3" ht="18" customHeight="1" x14ac:dyDescent="0.3">
      <c r="A2150" s="1">
        <v>12</v>
      </c>
      <c r="B2150" s="1" t="s">
        <v>99</v>
      </c>
      <c r="C2150" s="1" t="str">
        <f ca="1">IFERROR(__xludf.DUMMYFUNCTION("GOOGLETRANSLATE(B2163,""en"",""ja"")"),"必見")</f>
        <v>必見</v>
      </c>
    </row>
    <row r="2151" spans="1:3" ht="18" customHeight="1" x14ac:dyDescent="0.3">
      <c r="A2151" s="1">
        <v>12</v>
      </c>
      <c r="B2151" s="1" t="s">
        <v>1781</v>
      </c>
      <c r="C2151" s="1" t="str">
        <f ca="1">IFERROR(__xludf.DUMMYFUNCTION("GOOGLETRANSLATE(B2164,""en"",""ja"")"),"瞬間")</f>
        <v>瞬間</v>
      </c>
    </row>
    <row r="2152" spans="1:3" ht="18" customHeight="1" x14ac:dyDescent="0.3">
      <c r="A2152" s="1">
        <v>12</v>
      </c>
      <c r="B2152" s="1" t="s">
        <v>1782</v>
      </c>
      <c r="C2152" s="1" t="str">
        <f ca="1">IFERROR(__xludf.DUMMYFUNCTION("GOOGLETRANSLATE(B2165,""en"",""ja"")"),"修正")</f>
        <v>修正</v>
      </c>
    </row>
    <row r="2153" spans="1:3" ht="18" customHeight="1" x14ac:dyDescent="0.3">
      <c r="A2153" s="1">
        <v>12</v>
      </c>
      <c r="B2153" s="1" t="s">
        <v>1783</v>
      </c>
      <c r="C2153" s="1" t="str">
        <f ca="1">IFERROR(__xludf.DUMMYFUNCTION("GOOGLETRANSLATE(B2166,""en"",""ja"")"),"千年")</f>
        <v>千年</v>
      </c>
    </row>
    <row r="2154" spans="1:3" ht="18" customHeight="1" x14ac:dyDescent="0.3">
      <c r="A2154" s="1">
        <v>12</v>
      </c>
      <c r="B2154" s="1" t="s">
        <v>1784</v>
      </c>
      <c r="C2154" s="1" t="str">
        <f ca="1">IFERROR(__xludf.DUMMYFUNCTION("GOOGLETRANSLATE(B2167,""en"",""ja"")"),"メッセージ")</f>
        <v>メッセージ</v>
      </c>
    </row>
    <row r="2155" spans="1:3" ht="18" customHeight="1" x14ac:dyDescent="0.3">
      <c r="A2155" s="1">
        <v>12</v>
      </c>
      <c r="B2155" s="1" t="s">
        <v>1785</v>
      </c>
      <c r="C2155" s="1" t="str">
        <f ca="1">IFERROR(__xludf.DUMMYFUNCTION("GOOGLETRANSLATE(B2168,""en"",""ja"")"),"火星")</f>
        <v>火星</v>
      </c>
    </row>
    <row r="2156" spans="1:3" ht="18" customHeight="1" x14ac:dyDescent="0.3">
      <c r="A2156" s="1">
        <v>12</v>
      </c>
      <c r="B2156" s="1" t="s">
        <v>1786</v>
      </c>
      <c r="C2156" s="1" t="str">
        <f ca="1">IFERROR(__xludf.DUMMYFUNCTION("GOOGLETRANSLATE(B2169,""en"",""ja"")"),"マージナル")</f>
        <v>マージナル</v>
      </c>
    </row>
    <row r="2157" spans="1:3" ht="18" customHeight="1" x14ac:dyDescent="0.3">
      <c r="A2157" s="1">
        <v>12</v>
      </c>
      <c r="B2157" s="1" t="s">
        <v>293</v>
      </c>
      <c r="C2157" s="1" t="str">
        <f ca="1">IFERROR(__xludf.DUMMYFUNCTION("GOOGLETRANSLATE(B2170,""en"",""ja"")"),"外観")</f>
        <v>外観</v>
      </c>
    </row>
    <row r="2158" spans="1:3" ht="18" customHeight="1" x14ac:dyDescent="0.3">
      <c r="A2158" s="1">
        <v>12</v>
      </c>
      <c r="B2158" s="1" t="s">
        <v>1787</v>
      </c>
      <c r="C2158" s="1" t="str">
        <f ca="1">IFERROR(__xludf.DUMMYFUNCTION("GOOGLETRANSLATE(B2171,""en"",""ja"")"),"住んでいました")</f>
        <v>住んでいました</v>
      </c>
    </row>
    <row r="2159" spans="1:3" ht="18" customHeight="1" x14ac:dyDescent="0.3">
      <c r="A2159" s="1">
        <v>12</v>
      </c>
      <c r="B2159" s="1" t="s">
        <v>1788</v>
      </c>
      <c r="C2159" s="1" t="str">
        <f ca="1">IFERROR(__xludf.DUMMYFUNCTION("GOOGLETRANSLATE(B2172,""en"",""ja"")"),"軽量")</f>
        <v>軽量</v>
      </c>
    </row>
    <row r="2160" spans="1:3" ht="18" customHeight="1" x14ac:dyDescent="0.3">
      <c r="A2160" s="1">
        <v>12</v>
      </c>
      <c r="B2160" s="1" t="s">
        <v>1789</v>
      </c>
      <c r="C2160" s="1" t="str">
        <f ca="1">IFERROR(__xludf.DUMMYFUNCTION("GOOGLETRANSLATE(B2173,""en"",""ja"")"),"リーディング")</f>
        <v>リーディング</v>
      </c>
    </row>
    <row r="2161" spans="1:3" ht="18" customHeight="1" x14ac:dyDescent="0.3">
      <c r="A2161" s="1">
        <v>12</v>
      </c>
      <c r="B2161" s="1" t="s">
        <v>1790</v>
      </c>
      <c r="C2161" s="1" t="str">
        <f ca="1">IFERROR(__xludf.DUMMYFUNCTION("GOOGLETRANSLATE(B2174,""en"",""ja"")"),"ル")</f>
        <v>ル</v>
      </c>
    </row>
    <row r="2162" spans="1:3" ht="18" customHeight="1" x14ac:dyDescent="0.3">
      <c r="A2162" s="1">
        <v>12</v>
      </c>
      <c r="B2162" s="1" t="s">
        <v>1791</v>
      </c>
      <c r="C2162" s="1" t="str">
        <f ca="1">IFERROR(__xludf.DUMMYFUNCTION("GOOGLETRANSLATE(B2175,""en"",""ja"")"),"後者")</f>
        <v>後者</v>
      </c>
    </row>
    <row r="2163" spans="1:3" ht="18" customHeight="1" x14ac:dyDescent="0.3">
      <c r="A2163" s="1">
        <v>12</v>
      </c>
      <c r="B2163" s="1" t="s">
        <v>1792</v>
      </c>
      <c r="C2163" s="1" t="str">
        <f ca="1">IFERROR(__xludf.DUMMYFUNCTION("GOOGLETRANSLATE(B2176,""en"",""ja"")"),"キロ")</f>
        <v>キロ</v>
      </c>
    </row>
    <row r="2164" spans="1:3" ht="18" customHeight="1" x14ac:dyDescent="0.3">
      <c r="A2164" s="1">
        <v>12</v>
      </c>
      <c r="B2164" s="1" t="s">
        <v>5</v>
      </c>
      <c r="C2164" s="1" t="str">
        <f ca="1">IFERROR(__xludf.DUMMYFUNCTION("GOOGLETRANSLATE(B2177,""en"",""ja"")"),"に")</f>
        <v>に</v>
      </c>
    </row>
    <row r="2165" spans="1:3" ht="18" customHeight="1" x14ac:dyDescent="0.3">
      <c r="A2165" s="1">
        <v>12</v>
      </c>
      <c r="B2165" s="1" t="s">
        <v>1793</v>
      </c>
      <c r="C2165" s="1" t="str">
        <f ca="1">IFERROR(__xludf.DUMMYFUNCTION("GOOGLETRANSLATE(B2178,""en"",""ja"")"),"調べます")</f>
        <v>調べます</v>
      </c>
    </row>
    <row r="2166" spans="1:3" ht="18" customHeight="1" x14ac:dyDescent="0.3">
      <c r="A2166" s="1">
        <v>12</v>
      </c>
      <c r="B2166" s="1" t="s">
        <v>1794</v>
      </c>
      <c r="C2166" s="1" t="str">
        <f ca="1">IFERROR(__xludf.DUMMYFUNCTION("GOOGLETRANSLATE(B2179,""en"",""ja"")"),"利益")</f>
        <v>利益</v>
      </c>
    </row>
    <row r="2167" spans="1:3" ht="18" customHeight="1" x14ac:dyDescent="0.3">
      <c r="A2167" s="1">
        <v>12</v>
      </c>
      <c r="B2167" s="1" t="s">
        <v>1795</v>
      </c>
      <c r="C2167" s="1" t="str">
        <f ca="1">IFERROR(__xludf.DUMMYFUNCTION("GOOGLETRANSLATE(B2180,""en"",""ja"")"),"制度")</f>
        <v>制度</v>
      </c>
    </row>
    <row r="2168" spans="1:3" ht="18" customHeight="1" x14ac:dyDescent="0.3">
      <c r="A2168" s="1">
        <v>12</v>
      </c>
      <c r="B2168" s="1" t="s">
        <v>1796</v>
      </c>
      <c r="C2168" s="1" t="str">
        <f ca="1">IFERROR(__xludf.DUMMYFUNCTION("GOOGLETRANSLATE(B2181,""en"",""ja"")"),"初期")</f>
        <v>初期</v>
      </c>
    </row>
    <row r="2169" spans="1:3" ht="18" customHeight="1" x14ac:dyDescent="0.3">
      <c r="A2169" s="1">
        <v>12</v>
      </c>
      <c r="B2169" s="1" t="s">
        <v>1797</v>
      </c>
      <c r="C2169" s="1" t="str">
        <f ca="1">IFERROR(__xludf.DUMMYFUNCTION("GOOGLETRANSLATE(B2182,""en"",""ja"")"),"無限")</f>
        <v>無限</v>
      </c>
    </row>
    <row r="2170" spans="1:3" ht="18" customHeight="1" x14ac:dyDescent="0.3">
      <c r="A2170" s="1">
        <v>12</v>
      </c>
      <c r="B2170" s="1" t="s">
        <v>1798</v>
      </c>
      <c r="C2170" s="1" t="str">
        <f ca="1">IFERROR(__xludf.DUMMYFUNCTION("GOOGLETRANSLATE(B2183,""en"",""ja"")"),"乳幼児")</f>
        <v>乳幼児</v>
      </c>
    </row>
    <row r="2171" spans="1:3" ht="18" customHeight="1" x14ac:dyDescent="0.3">
      <c r="A2171" s="1">
        <v>12</v>
      </c>
      <c r="B2171" s="1" t="s">
        <v>1799</v>
      </c>
      <c r="C2171" s="1" t="str">
        <f ca="1">IFERROR(__xludf.DUMMYFUNCTION("GOOGLETRANSLATE(B2184,""en"",""ja"")"),"誘発")</f>
        <v>誘発</v>
      </c>
    </row>
    <row r="2172" spans="1:3" ht="18" customHeight="1" x14ac:dyDescent="0.3">
      <c r="A2172" s="1">
        <v>12</v>
      </c>
      <c r="B2172" s="1" t="s">
        <v>1800</v>
      </c>
      <c r="C2172" s="1" t="str">
        <f ca="1">IFERROR(__xludf.DUMMYFUNCTION("GOOGLETRANSLATE(B2185,""en"",""ja"")"),"傾きました")</f>
        <v>傾きました</v>
      </c>
    </row>
    <row r="2173" spans="1:3" ht="18" customHeight="1" x14ac:dyDescent="0.3">
      <c r="A2173" s="1">
        <v>12</v>
      </c>
      <c r="B2173" s="1" t="s">
        <v>1801</v>
      </c>
      <c r="C2173" s="1" t="str">
        <f ca="1">IFERROR(__xludf.DUMMYFUNCTION("GOOGLETRANSLATE(B2186,""en"",""ja"")"),"改善")</f>
        <v>改善</v>
      </c>
    </row>
    <row r="2174" spans="1:3" ht="18" customHeight="1" x14ac:dyDescent="0.3">
      <c r="A2174" s="1">
        <v>12</v>
      </c>
      <c r="B2174" s="1" t="s">
        <v>1802</v>
      </c>
      <c r="C2174" s="1" t="str">
        <f ca="1">IFERROR(__xludf.DUMMYFUNCTION("GOOGLETRANSLATE(B2187,""en"",""ja"")"),"無視します")</f>
        <v>無視します</v>
      </c>
    </row>
    <row r="2175" spans="1:3" ht="18" customHeight="1" x14ac:dyDescent="0.3">
      <c r="A2175" s="1">
        <v>12</v>
      </c>
      <c r="B2175" s="1" t="s">
        <v>1803</v>
      </c>
      <c r="C2175" s="1" t="str">
        <f ca="1">IFERROR(__xludf.DUMMYFUNCTION("GOOGLETRANSLATE(B2188,""en"",""ja"")"),"イデオロギー")</f>
        <v>イデオロギー</v>
      </c>
    </row>
    <row r="2176" spans="1:3" ht="18" customHeight="1" x14ac:dyDescent="0.3">
      <c r="A2176" s="1">
        <v>12</v>
      </c>
      <c r="B2176" s="1" t="s">
        <v>1804</v>
      </c>
      <c r="C2176" s="1" t="str">
        <f ca="1">IFERROR(__xludf.DUMMYFUNCTION("GOOGLETRANSLATE(B2189,""en"",""ja"")"),"百")</f>
        <v>百</v>
      </c>
    </row>
    <row r="2177" spans="1:3" ht="18" customHeight="1" x14ac:dyDescent="0.3">
      <c r="A2177" s="1">
        <v>12</v>
      </c>
      <c r="B2177" s="1" t="s">
        <v>1805</v>
      </c>
      <c r="C2177" s="1" t="str">
        <f ca="1">IFERROR(__xludf.DUMMYFUNCTION("GOOGLETRANSLATE(B2190,""en"",""ja"")"),"ホモ")</f>
        <v>ホモ</v>
      </c>
    </row>
    <row r="2178" spans="1:3" ht="18" customHeight="1" x14ac:dyDescent="0.3">
      <c r="A2178" s="1">
        <v>12</v>
      </c>
      <c r="B2178" s="1" t="s">
        <v>1806</v>
      </c>
      <c r="C2178" s="1" t="str">
        <f ca="1">IFERROR(__xludf.DUMMYFUNCTION("GOOGLETRANSLATE(B2191,""en"",""ja"")"),"歴史的")</f>
        <v>歴史的</v>
      </c>
    </row>
    <row r="2179" spans="1:3" ht="18" customHeight="1" x14ac:dyDescent="0.3">
      <c r="A2179" s="1">
        <v>12</v>
      </c>
      <c r="B2179" s="1" t="s">
        <v>1807</v>
      </c>
      <c r="C2179" s="1" t="str">
        <f ca="1">IFERROR(__xludf.DUMMYFUNCTION("GOOGLETRANSLATE(B2192,""en"",""ja"")"),"雇う")</f>
        <v>雇う</v>
      </c>
    </row>
    <row r="2180" spans="1:3" ht="18" customHeight="1" x14ac:dyDescent="0.3">
      <c r="A2180" s="1">
        <v>12</v>
      </c>
      <c r="B2180" s="1" t="s">
        <v>1808</v>
      </c>
      <c r="C2180" s="1" t="str">
        <f ca="1">IFERROR(__xludf.DUMMYFUNCTION("GOOGLETRANSLATE(B2193,""en"",""ja"")"),"それゆえに")</f>
        <v>それゆえに</v>
      </c>
    </row>
    <row r="2181" spans="1:3" ht="18" customHeight="1" x14ac:dyDescent="0.3">
      <c r="A2181" s="1">
        <v>12</v>
      </c>
      <c r="B2181" s="1" t="s">
        <v>1809</v>
      </c>
      <c r="C2181" s="1" t="str">
        <f ca="1">IFERROR(__xludf.DUMMYFUNCTION("GOOGLETRANSLATE(B2194,""en"",""ja"")"),"扱う")</f>
        <v>扱う</v>
      </c>
    </row>
    <row r="2182" spans="1:3" ht="18" customHeight="1" x14ac:dyDescent="0.3">
      <c r="A2182" s="1">
        <v>12</v>
      </c>
      <c r="B2182" s="1" t="s">
        <v>1810</v>
      </c>
      <c r="C2182" s="1" t="str">
        <f ca="1">IFERROR(__xludf.DUMMYFUNCTION("GOOGLETRANSLATE(B2195,""en"",""ja"")"),"育ちます")</f>
        <v>育ちます</v>
      </c>
    </row>
    <row r="2183" spans="1:3" ht="18" customHeight="1" x14ac:dyDescent="0.3">
      <c r="A2183" s="1">
        <v>12</v>
      </c>
      <c r="B2183" s="1" t="s">
        <v>1811</v>
      </c>
      <c r="C2183" s="1" t="str">
        <f ca="1">IFERROR(__xludf.DUMMYFUNCTION("GOOGLETRANSLATE(B2196,""en"",""ja"")"),"政府の")</f>
        <v>政府の</v>
      </c>
    </row>
    <row r="2184" spans="1:3" ht="18" customHeight="1" x14ac:dyDescent="0.3">
      <c r="A2184" s="1">
        <v>12</v>
      </c>
      <c r="B2184" s="1" t="s">
        <v>1812</v>
      </c>
      <c r="C2184" s="1" t="str">
        <f ca="1">IFERROR(__xludf.DUMMYFUNCTION("GOOGLETRANSLATE(B2197,""en"",""ja"")"),"ドイツ")</f>
        <v>ドイツ</v>
      </c>
    </row>
    <row r="2185" spans="1:3" ht="18" customHeight="1" x14ac:dyDescent="0.3">
      <c r="A2185" s="1">
        <v>12</v>
      </c>
      <c r="B2185" s="1" t="s">
        <v>1813</v>
      </c>
      <c r="C2185" s="1" t="str">
        <f ca="1">IFERROR(__xludf.DUMMYFUNCTION("GOOGLETRANSLATE(B2198,""en"",""ja"")"),"ゲノム")</f>
        <v>ゲノム</v>
      </c>
    </row>
    <row r="2186" spans="1:3" ht="18" customHeight="1" x14ac:dyDescent="0.3">
      <c r="A2186" s="1">
        <v>12</v>
      </c>
      <c r="B2186" s="1" t="s">
        <v>1814</v>
      </c>
      <c r="C2186" s="1" t="str">
        <f ca="1">IFERROR(__xludf.DUMMYFUNCTION("GOOGLETRANSLATE(B2199,""en"",""ja"")"),"ゲイ")</f>
        <v>ゲイ</v>
      </c>
    </row>
    <row r="2187" spans="1:3" ht="18" customHeight="1" x14ac:dyDescent="0.3">
      <c r="A2187" s="1">
        <v>12</v>
      </c>
      <c r="B2187" s="1" t="s">
        <v>1815</v>
      </c>
      <c r="C2187" s="1" t="str">
        <f ca="1">IFERROR(__xludf.DUMMYFUNCTION("GOOGLETRANSLATE(B2200,""en"",""ja"")"),"フットプリント")</f>
        <v>フットプリント</v>
      </c>
    </row>
    <row r="2188" spans="1:3" ht="18" customHeight="1" x14ac:dyDescent="0.3">
      <c r="A2188" s="1">
        <v>12</v>
      </c>
      <c r="B2188" s="1" t="s">
        <v>1816</v>
      </c>
      <c r="C2188" s="1" t="str">
        <f ca="1">IFERROR(__xludf.DUMMYFUNCTION("GOOGLETRANSLATE(B2201,""en"",""ja"")"),"欠点")</f>
        <v>欠点</v>
      </c>
    </row>
    <row r="2189" spans="1:3" ht="18" customHeight="1" x14ac:dyDescent="0.3">
      <c r="A2189" s="1">
        <v>12</v>
      </c>
      <c r="B2189" s="1" t="s">
        <v>954</v>
      </c>
      <c r="C2189" s="1" t="str">
        <f ca="1">IFERROR(__xludf.DUMMYFUNCTION("GOOGLETRANSLATE(B2202,""en"",""ja"")"),"最後に")</f>
        <v>最後に</v>
      </c>
    </row>
    <row r="2190" spans="1:3" ht="18" customHeight="1" x14ac:dyDescent="0.3">
      <c r="A2190" s="1">
        <v>12</v>
      </c>
      <c r="B2190" s="1" t="s">
        <v>1817</v>
      </c>
      <c r="C2190" s="1" t="str">
        <f ca="1">IFERROR(__xludf.DUMMYFUNCTION("GOOGLETRANSLATE(B2203,""en"",""ja"")"),"封建の")</f>
        <v>封建の</v>
      </c>
    </row>
    <row r="2191" spans="1:3" ht="18" customHeight="1" x14ac:dyDescent="0.3">
      <c r="A2191" s="1">
        <v>12</v>
      </c>
      <c r="B2191" s="1" t="s">
        <v>1818</v>
      </c>
      <c r="C2191" s="1" t="str">
        <f ca="1">IFERROR(__xludf.DUMMYFUNCTION("GOOGLETRANSLATE(B2204,""en"",""ja"")"),"フィール")</f>
        <v>フィール</v>
      </c>
    </row>
    <row r="2192" spans="1:3" ht="18" customHeight="1" x14ac:dyDescent="0.3">
      <c r="A2192" s="1">
        <v>12</v>
      </c>
      <c r="B2192" s="1" t="s">
        <v>1819</v>
      </c>
      <c r="C2192" s="1" t="str">
        <f ca="1">IFERROR(__xludf.DUMMYFUNCTION("GOOGLETRANSLATE(B2205,""en"",""ja"")"),"もっと早く")</f>
        <v>もっと早く</v>
      </c>
    </row>
    <row r="2193" spans="1:3" ht="18" customHeight="1" x14ac:dyDescent="0.3">
      <c r="A2193" s="1">
        <v>12</v>
      </c>
      <c r="B2193" s="1" t="s">
        <v>1686</v>
      </c>
      <c r="C2193" s="1" t="str">
        <f ca="1">IFERROR(__xludf.DUMMYFUNCTION("GOOGLETRANSLATE(B2206,""en"",""ja"")"),"飢饉")</f>
        <v>飢饉</v>
      </c>
    </row>
    <row r="2194" spans="1:3" ht="18" customHeight="1" x14ac:dyDescent="0.3">
      <c r="A2194" s="1">
        <v>12</v>
      </c>
      <c r="B2194" s="1" t="s">
        <v>1820</v>
      </c>
      <c r="C2194" s="1" t="str">
        <f ca="1">IFERROR(__xludf.DUMMYFUNCTION("GOOGLETRANSLATE(B2207,""en"",""ja"")"),"秋")</f>
        <v>秋</v>
      </c>
    </row>
    <row r="2195" spans="1:3" ht="18" customHeight="1" x14ac:dyDescent="0.3">
      <c r="A2195" s="1">
        <v>12</v>
      </c>
      <c r="B2195" s="1" t="s">
        <v>1821</v>
      </c>
      <c r="C2195" s="1" t="str">
        <f ca="1">IFERROR(__xludf.DUMMYFUNCTION("GOOGLETRANSLATE(B2208,""en"",""ja"")"),"フェイシャル")</f>
        <v>フェイシャル</v>
      </c>
    </row>
    <row r="2196" spans="1:3" ht="18" customHeight="1" x14ac:dyDescent="0.3">
      <c r="A2196" s="1">
        <v>12</v>
      </c>
      <c r="B2196" s="1" t="s">
        <v>1822</v>
      </c>
      <c r="C2196" s="1" t="str">
        <f ca="1">IFERROR(__xludf.DUMMYFUNCTION("GOOGLETRANSLATE(B2209,""en"",""ja"")"),"素晴らしいです")</f>
        <v>素晴らしいです</v>
      </c>
    </row>
    <row r="2197" spans="1:3" ht="18" customHeight="1" x14ac:dyDescent="0.3">
      <c r="A2197" s="1">
        <v>12</v>
      </c>
      <c r="B2197" s="1" t="s">
        <v>1823</v>
      </c>
      <c r="C2197" s="1" t="str">
        <f ca="1">IFERROR(__xludf.DUMMYFUNCTION("GOOGLETRANSLATE(B2210,""en"",""ja"")"),"推定")</f>
        <v>推定</v>
      </c>
    </row>
    <row r="2198" spans="1:3" ht="18" customHeight="1" x14ac:dyDescent="0.3">
      <c r="A2198" s="1">
        <v>12</v>
      </c>
      <c r="B2198" s="1" t="s">
        <v>1824</v>
      </c>
      <c r="C2198" s="1" t="str">
        <f ca="1">IFERROR(__xludf.DUMMYFUNCTION("GOOGLETRANSLATE(B2211,""en"",""ja"")"),"エラー")</f>
        <v>エラー</v>
      </c>
    </row>
    <row r="2199" spans="1:3" ht="18" customHeight="1" x14ac:dyDescent="0.3">
      <c r="A2199" s="1">
        <v>12</v>
      </c>
      <c r="B2199" s="1" t="s">
        <v>1825</v>
      </c>
      <c r="C2199" s="1" t="str">
        <f ca="1">IFERROR(__xludf.DUMMYFUNCTION("GOOGLETRANSLATE(B2212,""en"",""ja"")"),"環境保護")</f>
        <v>環境保護</v>
      </c>
    </row>
    <row r="2200" spans="1:3" ht="18" customHeight="1" x14ac:dyDescent="0.3">
      <c r="A2200" s="1">
        <v>12</v>
      </c>
      <c r="B2200" s="1" t="s">
        <v>1826</v>
      </c>
      <c r="C2200" s="1" t="str">
        <f ca="1">IFERROR(__xludf.DUMMYFUNCTION("GOOGLETRANSLATE(B2213,""en"",""ja"")"),"莫大")</f>
        <v>莫大</v>
      </c>
    </row>
    <row r="2201" spans="1:3" ht="18" customHeight="1" x14ac:dyDescent="0.3">
      <c r="A2201" s="1">
        <v>12</v>
      </c>
      <c r="B2201" s="1" t="s">
        <v>1372</v>
      </c>
      <c r="C2201" s="1" t="str">
        <f ca="1">IFERROR(__xludf.DUMMYFUNCTION("GOOGLETRANSLATE(B2214,""en"",""ja"")"),"出会い")</f>
        <v>出会い</v>
      </c>
    </row>
    <row r="2202" spans="1:3" ht="18" customHeight="1" x14ac:dyDescent="0.3">
      <c r="A2202" s="1">
        <v>12</v>
      </c>
      <c r="B2202" s="1" t="s">
        <v>1827</v>
      </c>
      <c r="C2202" s="1" t="str">
        <f ca="1">IFERROR(__xludf.DUMMYFUNCTION("GOOGLETRANSLATE(B2215,""en"",""ja"")"),"重点")</f>
        <v>重点</v>
      </c>
    </row>
    <row r="2203" spans="1:3" ht="18" customHeight="1" x14ac:dyDescent="0.3">
      <c r="A2203" s="1">
        <v>12</v>
      </c>
      <c r="B2203" s="1" t="s">
        <v>1828</v>
      </c>
      <c r="C2203" s="1" t="str">
        <f ca="1">IFERROR(__xludf.DUMMYFUNCTION("GOOGLETRANSLATE(B2216,""en"",""ja"")"),"放射")</f>
        <v>放射</v>
      </c>
    </row>
    <row r="2204" spans="1:3" ht="18" customHeight="1" x14ac:dyDescent="0.3">
      <c r="A2204" s="1">
        <v>12</v>
      </c>
      <c r="B2204" s="1" t="s">
        <v>907</v>
      </c>
      <c r="C2204" s="1" t="str">
        <f ca="1">IFERROR(__xludf.DUMMYFUNCTION("GOOGLETRANSLATE(B2217,""en"",""ja"")"),"出てきます")</f>
        <v>出てきます</v>
      </c>
    </row>
    <row r="2205" spans="1:3" ht="18" customHeight="1" x14ac:dyDescent="0.3">
      <c r="A2205" s="1">
        <v>12</v>
      </c>
      <c r="B2205" s="1" t="s">
        <v>1829</v>
      </c>
      <c r="C2205" s="1" t="str">
        <f ca="1">IFERROR(__xludf.DUMMYFUNCTION("GOOGLETRANSLATE(B2218,""en"",""ja"")"),"省きます")</f>
        <v>省きます</v>
      </c>
    </row>
    <row r="2206" spans="1:3" ht="18" customHeight="1" x14ac:dyDescent="0.3">
      <c r="A2206" s="1">
        <v>12</v>
      </c>
      <c r="B2206" s="1" t="s">
        <v>1211</v>
      </c>
      <c r="C2206" s="1" t="str">
        <f ca="1">IFERROR(__xludf.DUMMYFUNCTION("GOOGLETRANSLATE(B2219,""en"",""ja"")"),"象")</f>
        <v>象</v>
      </c>
    </row>
    <row r="2207" spans="1:3" ht="18" customHeight="1" x14ac:dyDescent="0.3">
      <c r="A2207" s="1">
        <v>12</v>
      </c>
      <c r="B2207" s="1" t="s">
        <v>1830</v>
      </c>
      <c r="C2207" s="1" t="str">
        <f ca="1">IFERROR(__xludf.DUMMYFUNCTION("GOOGLETRANSLATE(B2220,""en"",""ja"")"),"効率")</f>
        <v>効率</v>
      </c>
    </row>
    <row r="2208" spans="1:3" ht="18" customHeight="1" x14ac:dyDescent="0.3">
      <c r="A2208" s="1">
        <v>12</v>
      </c>
      <c r="B2208" s="1" t="s">
        <v>1831</v>
      </c>
      <c r="C2208" s="1" t="str">
        <f ca="1">IFERROR(__xludf.DUMMYFUNCTION("GOOGLETRANSLATE(B2221,""en"",""ja"")"),"生態系")</f>
        <v>生態系</v>
      </c>
    </row>
    <row r="2209" spans="1:3" ht="18" customHeight="1" x14ac:dyDescent="0.3">
      <c r="A2209" s="1">
        <v>12</v>
      </c>
      <c r="B2209" s="1" t="s">
        <v>1832</v>
      </c>
      <c r="C2209" s="1" t="str">
        <f ca="1">IFERROR(__xludf.DUMMYFUNCTION("GOOGLETRANSLATE(B2222,""en"",""ja"")"),"簡単に")</f>
        <v>簡単に</v>
      </c>
    </row>
    <row r="2210" spans="1:3" ht="18" customHeight="1" x14ac:dyDescent="0.3">
      <c r="A2210" s="1">
        <v>12</v>
      </c>
      <c r="B2210" s="1" t="s">
        <v>1833</v>
      </c>
      <c r="C2210" s="1" t="str">
        <f ca="1">IFERROR(__xludf.DUMMYFUNCTION("GOOGLETRANSLATE(B2223,""en"",""ja"")"),"描かれました")</f>
        <v>描かれました</v>
      </c>
    </row>
    <row r="2211" spans="1:3" ht="18" customHeight="1" x14ac:dyDescent="0.3">
      <c r="A2211" s="1">
        <v>12</v>
      </c>
      <c r="B2211" s="1" t="s">
        <v>1834</v>
      </c>
      <c r="C2211" s="1" t="str">
        <f ca="1">IFERROR(__xludf.DUMMYFUNCTION("GOOGLETRANSLATE(B2224,""en"",""ja"")"),"支配的な")</f>
        <v>支配的な</v>
      </c>
    </row>
    <row r="2212" spans="1:3" ht="18" customHeight="1" x14ac:dyDescent="0.3">
      <c r="A2212" s="1">
        <v>12</v>
      </c>
      <c r="B2212" s="1" t="s">
        <v>1835</v>
      </c>
      <c r="C2212" s="1" t="str">
        <f ca="1">IFERROR(__xludf.DUMMYFUNCTION("GOOGLETRANSLATE(B2225,""en"",""ja"")"),"分割")</f>
        <v>分割</v>
      </c>
    </row>
    <row r="2213" spans="1:3" ht="18" customHeight="1" x14ac:dyDescent="0.3">
      <c r="A2213" s="1">
        <v>12</v>
      </c>
      <c r="B2213" s="1" t="s">
        <v>1836</v>
      </c>
      <c r="C2213" s="1" t="str">
        <f ca="1">IFERROR(__xludf.DUMMYFUNCTION("GOOGLETRANSLATE(B2226,""en"",""ja"")"),"講話")</f>
        <v>講話</v>
      </c>
    </row>
    <row r="2214" spans="1:3" ht="18" customHeight="1" x14ac:dyDescent="0.3">
      <c r="A2214" s="1">
        <v>12</v>
      </c>
      <c r="B2214" s="1" t="s">
        <v>1837</v>
      </c>
      <c r="C2214" s="1" t="str">
        <f ca="1">IFERROR(__xludf.DUMMYFUNCTION("GOOGLETRANSLATE(B2227,""en"",""ja"")"),"落胆させます")</f>
        <v>落胆させます</v>
      </c>
    </row>
    <row r="2215" spans="1:3" ht="18" customHeight="1" x14ac:dyDescent="0.3">
      <c r="A2215" s="1">
        <v>12</v>
      </c>
      <c r="B2215" s="1" t="s">
        <v>1838</v>
      </c>
      <c r="C2215" s="1" t="str">
        <f ca="1">IFERROR(__xludf.DUMMYFUNCTION("GOOGLETRANSLATE(B2228,""en"",""ja"")"),"姿を消す")</f>
        <v>姿を消す</v>
      </c>
    </row>
    <row r="2216" spans="1:3" ht="18" customHeight="1" x14ac:dyDescent="0.3">
      <c r="A2216" s="1">
        <v>12</v>
      </c>
      <c r="B2216" s="1" t="s">
        <v>1839</v>
      </c>
      <c r="C2216" s="1" t="str">
        <f ca="1">IFERROR(__xludf.DUMMYFUNCTION("GOOGLETRANSLATE(B2229,""en"",""ja"")"),"直接")</f>
        <v>直接</v>
      </c>
    </row>
    <row r="2217" spans="1:3" ht="18" customHeight="1" x14ac:dyDescent="0.3">
      <c r="A2217" s="1">
        <v>12</v>
      </c>
      <c r="B2217" s="1" t="s">
        <v>96</v>
      </c>
      <c r="C2217" s="1" t="str">
        <f ca="1">IFERROR(__xludf.DUMMYFUNCTION("GOOGLETRANSLATE(B2230,""en"",""ja"")"),"異なります")</f>
        <v>異なります</v>
      </c>
    </row>
    <row r="2218" spans="1:3" ht="18" customHeight="1" x14ac:dyDescent="0.3">
      <c r="A2218" s="1">
        <v>12</v>
      </c>
      <c r="B2218" s="1" t="s">
        <v>1840</v>
      </c>
      <c r="C2218" s="1" t="str">
        <f ca="1">IFERROR(__xludf.DUMMYFUNCTION("GOOGLETRANSLATE(B2231,""en"",""ja"")"),"慾望")</f>
        <v>慾望</v>
      </c>
    </row>
    <row r="2219" spans="1:3" ht="18" customHeight="1" x14ac:dyDescent="0.3">
      <c r="A2219" s="1">
        <v>12</v>
      </c>
      <c r="B2219" s="1" t="s">
        <v>1841</v>
      </c>
      <c r="C2219" s="1" t="str">
        <f ca="1">IFERROR(__xludf.DUMMYFUNCTION("GOOGLETRANSLATE(B2232,""en"",""ja"")"),"決定しました")</f>
        <v>決定しました</v>
      </c>
    </row>
    <row r="2220" spans="1:3" ht="18" customHeight="1" x14ac:dyDescent="0.3">
      <c r="A2220" s="1">
        <v>12</v>
      </c>
      <c r="B2220" s="1" t="s">
        <v>916</v>
      </c>
      <c r="C2220" s="1" t="str">
        <f ca="1">IFERROR(__xludf.DUMMYFUNCTION("GOOGLETRANSLATE(B2233,""en"",""ja"")"),"ディベート")</f>
        <v>ディベート</v>
      </c>
    </row>
    <row r="2221" spans="1:3" ht="18" customHeight="1" x14ac:dyDescent="0.3">
      <c r="A2221" s="1">
        <v>12</v>
      </c>
      <c r="B2221" s="1" t="s">
        <v>1842</v>
      </c>
      <c r="C2221" s="1" t="str">
        <f ca="1">IFERROR(__xludf.DUMMYFUNCTION("GOOGLETRANSLATE(B2234,""en"",""ja"")"),"議論の余地")</f>
        <v>議論の余地</v>
      </c>
    </row>
    <row r="2222" spans="1:3" ht="18" customHeight="1" x14ac:dyDescent="0.3">
      <c r="A2222" s="1">
        <v>12</v>
      </c>
      <c r="B2222" s="1" t="s">
        <v>1843</v>
      </c>
      <c r="C2222" s="1" t="str">
        <f ca="1">IFERROR(__xludf.DUMMYFUNCTION("GOOGLETRANSLATE(B2235,""en"",""ja"")"),"クレジット")</f>
        <v>クレジット</v>
      </c>
    </row>
    <row r="2223" spans="1:3" ht="18" customHeight="1" x14ac:dyDescent="0.3">
      <c r="A2223" s="1">
        <v>12</v>
      </c>
      <c r="B2223" s="1" t="s">
        <v>1844</v>
      </c>
      <c r="C2223" s="1" t="str">
        <f ca="1">IFERROR(__xludf.DUMMYFUNCTION("GOOGLETRANSLATE(B2236,""en"",""ja"")"),"創造性")</f>
        <v>創造性</v>
      </c>
    </row>
    <row r="2224" spans="1:3" ht="18" customHeight="1" x14ac:dyDescent="0.3">
      <c r="A2224" s="1">
        <v>12</v>
      </c>
      <c r="B2224" s="1" t="s">
        <v>1845</v>
      </c>
      <c r="C2224" s="1" t="str">
        <f ca="1">IFERROR(__xludf.DUMMYFUNCTION("GOOGLETRANSLATE(B2238,""en"",""ja"")"),"連絡先")</f>
        <v>連絡先</v>
      </c>
    </row>
    <row r="2225" spans="1:3" ht="18" customHeight="1" x14ac:dyDescent="0.3">
      <c r="A2225" s="1">
        <v>12</v>
      </c>
      <c r="B2225" s="1" t="s">
        <v>1704</v>
      </c>
      <c r="C2225" s="1" t="str">
        <f ca="1">IFERROR(__xludf.DUMMYFUNCTION("GOOGLETRANSLATE(B2239,""en"",""ja"")"),"コンフリクト")</f>
        <v>コンフリクト</v>
      </c>
    </row>
    <row r="2226" spans="1:3" ht="18" customHeight="1" x14ac:dyDescent="0.3">
      <c r="A2226" s="1">
        <v>12</v>
      </c>
      <c r="B2226" s="1" t="s">
        <v>1846</v>
      </c>
      <c r="C2226" s="1" t="str">
        <f ca="1">IFERROR(__xludf.DUMMYFUNCTION("GOOGLETRANSLATE(B2240,""en"",""ja"")"),"懸念")</f>
        <v>懸念</v>
      </c>
    </row>
    <row r="2227" spans="1:3" ht="18" customHeight="1" x14ac:dyDescent="0.3">
      <c r="A2227" s="1">
        <v>12</v>
      </c>
      <c r="B2227" s="1" t="s">
        <v>1847</v>
      </c>
      <c r="C2227" s="1" t="str">
        <f ca="1">IFERROR(__xludf.DUMMYFUNCTION("GOOGLETRANSLATE(B2241,""en"",""ja"")"),"複雑")</f>
        <v>複雑</v>
      </c>
    </row>
    <row r="2228" spans="1:3" ht="18" customHeight="1" x14ac:dyDescent="0.3">
      <c r="A2228" s="1">
        <v>12</v>
      </c>
      <c r="B2228" s="1" t="s">
        <v>1221</v>
      </c>
      <c r="C2228" s="1" t="str">
        <f ca="1">IFERROR(__xludf.DUMMYFUNCTION("GOOGLETRANSLATE(B2242,""en"",""ja"")"),"コミュニティ")</f>
        <v>コミュニティ</v>
      </c>
    </row>
    <row r="2229" spans="1:3" ht="18" customHeight="1" x14ac:dyDescent="0.3">
      <c r="A2229" s="1">
        <v>12</v>
      </c>
      <c r="B2229" s="1" t="s">
        <v>1848</v>
      </c>
      <c r="C2229" s="1" t="str">
        <f ca="1">IFERROR(__xludf.DUMMYFUNCTION("GOOGLETRANSLATE(B2243,""en"",""ja"")"),"クローザー")</f>
        <v>クローザー</v>
      </c>
    </row>
    <row r="2230" spans="1:3" ht="18" customHeight="1" x14ac:dyDescent="0.3">
      <c r="A2230" s="1">
        <v>12</v>
      </c>
      <c r="B2230" s="1" t="s">
        <v>1849</v>
      </c>
      <c r="C2230" s="1" t="str">
        <f ca="1">IFERROR(__xludf.DUMMYFUNCTION("GOOGLETRANSLATE(B2244,""en"",""ja"")"),"主張")</f>
        <v>主張</v>
      </c>
    </row>
    <row r="2231" spans="1:3" ht="18" customHeight="1" x14ac:dyDescent="0.3">
      <c r="A2231" s="1">
        <v>12</v>
      </c>
      <c r="B2231" s="1" t="s">
        <v>1850</v>
      </c>
      <c r="C2231" s="1" t="str">
        <f ca="1">IFERROR(__xludf.DUMMYFUNCTION("GOOGLETRANSLATE(B2245,""en"",""ja"")"),"引用")</f>
        <v>引用</v>
      </c>
    </row>
    <row r="2232" spans="1:3" ht="18" customHeight="1" x14ac:dyDescent="0.3">
      <c r="A2232" s="1">
        <v>12</v>
      </c>
      <c r="B2232" s="1" t="s">
        <v>972</v>
      </c>
      <c r="C2232" s="1" t="str">
        <f ca="1">IFERROR(__xludf.DUMMYFUNCTION("GOOGLETRANSLATE(B2246,""en"",""ja"")"),"キャラクター")</f>
        <v>キャラクター</v>
      </c>
    </row>
    <row r="2233" spans="1:3" ht="18" customHeight="1" x14ac:dyDescent="0.3">
      <c r="A2233" s="1">
        <v>12</v>
      </c>
      <c r="B2233" s="1" t="s">
        <v>1851</v>
      </c>
      <c r="C2233" s="1" t="str">
        <f ca="1">IFERROR(__xludf.DUMMYFUNCTION("GOOGLETRANSLATE(B2247,""en"",""ja"")"),"変化")</f>
        <v>変化</v>
      </c>
    </row>
    <row r="2234" spans="1:3" ht="18" customHeight="1" x14ac:dyDescent="0.3">
      <c r="A2234" s="1">
        <v>12</v>
      </c>
      <c r="B2234" s="1" t="s">
        <v>1852</v>
      </c>
      <c r="C2234" s="1" t="str">
        <f ca="1">IFERROR(__xludf.DUMMYFUNCTION("GOOGLETRANSLATE(B2248,""en"",""ja"")"),"建物")</f>
        <v>建物</v>
      </c>
    </row>
    <row r="2235" spans="1:3" ht="18" customHeight="1" x14ac:dyDescent="0.3">
      <c r="A2235" s="1">
        <v>12</v>
      </c>
      <c r="B2235" s="1" t="s">
        <v>1853</v>
      </c>
      <c r="C2235" s="1" t="str">
        <f ca="1">IFERROR(__xludf.DUMMYFUNCTION("GOOGLETRANSLATE(B2249,""en"",""ja"")"),"ボトルネック")</f>
        <v>ボトルネック</v>
      </c>
    </row>
    <row r="2236" spans="1:3" ht="18" customHeight="1" x14ac:dyDescent="0.3">
      <c r="A2236" s="1">
        <v>12</v>
      </c>
      <c r="B2236" s="1" t="s">
        <v>1854</v>
      </c>
      <c r="C2236" s="1" t="str">
        <f ca="1">IFERROR(__xludf.DUMMYFUNCTION("GOOGLETRANSLATE(B2250,""en"",""ja"")"),"図書")</f>
        <v>図書</v>
      </c>
    </row>
    <row r="2237" spans="1:3" ht="18" customHeight="1" x14ac:dyDescent="0.3">
      <c r="A2237" s="1">
        <v>12</v>
      </c>
      <c r="B2237" s="1" t="s">
        <v>1086</v>
      </c>
      <c r="C2237" s="1" t="str">
        <f ca="1">IFERROR(__xludf.DUMMYFUNCTION("GOOGLETRANSLATE(B2251,""en"",""ja"")"),"超えて")</f>
        <v>超えて</v>
      </c>
    </row>
    <row r="2238" spans="1:3" ht="18" customHeight="1" x14ac:dyDescent="0.3">
      <c r="A2238" s="1">
        <v>12</v>
      </c>
      <c r="B2238" s="1" t="s">
        <v>168</v>
      </c>
      <c r="C2238" s="1" t="str">
        <f ca="1">IFERROR(__xludf.DUMMYFUNCTION("GOOGLETRANSLATE(B2252,""en"",""ja"")"),"ベスト")</f>
        <v>ベスト</v>
      </c>
    </row>
    <row r="2239" spans="1:3" ht="18" customHeight="1" x14ac:dyDescent="0.3">
      <c r="A2239" s="1">
        <v>12</v>
      </c>
      <c r="B2239" s="1" t="s">
        <v>1488</v>
      </c>
      <c r="C2239" s="1" t="str">
        <f ca="1">IFERROR(__xludf.DUMMYFUNCTION("GOOGLETRANSLATE(B2253,""en"",""ja"")"),"後ろに")</f>
        <v>後ろに</v>
      </c>
    </row>
    <row r="2240" spans="1:3" ht="18" customHeight="1" x14ac:dyDescent="0.3">
      <c r="A2240" s="1">
        <v>12</v>
      </c>
      <c r="B2240" s="1" t="s">
        <v>1855</v>
      </c>
      <c r="C2240" s="1" t="str">
        <f ca="1">IFERROR(__xludf.DUMMYFUNCTION("GOOGLETRANSLATE(B2254,""en"",""ja"")"),"振る舞います")</f>
        <v>振る舞います</v>
      </c>
    </row>
    <row r="2241" spans="1:3" ht="18" customHeight="1" x14ac:dyDescent="0.3">
      <c r="A2241" s="1">
        <v>12</v>
      </c>
      <c r="B2241" s="1" t="s">
        <v>1856</v>
      </c>
      <c r="C2241" s="1" t="str">
        <f ca="1">IFERROR(__xludf.DUMMYFUNCTION("GOOGLETRANSLATE(B2256,""en"",""ja"")"),"評価")</f>
        <v>評価</v>
      </c>
    </row>
    <row r="2242" spans="1:3" ht="18" customHeight="1" x14ac:dyDescent="0.3">
      <c r="A2242" s="1">
        <v>12</v>
      </c>
      <c r="B2242" s="1" t="s">
        <v>485</v>
      </c>
      <c r="C2242" s="1" t="str">
        <f ca="1">IFERROR(__xludf.DUMMYFUNCTION("GOOGLETRANSLATE(B2257,""en"",""ja"")"),"海抜")</f>
        <v>海抜</v>
      </c>
    </row>
    <row r="2243" spans="1:3" ht="18" customHeight="1" x14ac:dyDescent="0.3">
      <c r="A2243" s="1">
        <v>12</v>
      </c>
      <c r="B2243" s="1" t="s">
        <v>1605</v>
      </c>
      <c r="C2243" s="1" t="str">
        <f ca="1">IFERROR(__xludf.DUMMYFUNCTION("GOOGLETRANSLATE(B2258,""en"",""ja"")"),"さておき")</f>
        <v>さておき</v>
      </c>
    </row>
    <row r="2244" spans="1:3" ht="18" customHeight="1" x14ac:dyDescent="0.3">
      <c r="A2244" s="1">
        <v>12</v>
      </c>
      <c r="B2244" s="1" t="s">
        <v>638</v>
      </c>
      <c r="C2244" s="1" t="str">
        <f ca="1">IFERROR(__xludf.DUMMYFUNCTION("GOOGLETRANSLATE(B2259,""en"",""ja"")"),"砒素")</f>
        <v>砒素</v>
      </c>
    </row>
    <row r="2245" spans="1:3" ht="18" customHeight="1" x14ac:dyDescent="0.3">
      <c r="A2245" s="1">
        <v>12</v>
      </c>
      <c r="B2245" s="1" t="s">
        <v>1857</v>
      </c>
      <c r="C2245" s="1" t="str">
        <f ca="1">IFERROR(__xludf.DUMMYFUNCTION("GOOGLETRANSLATE(B2260,""en"",""ja"")"),"登場")</f>
        <v>登場</v>
      </c>
    </row>
    <row r="2246" spans="1:3" ht="18" customHeight="1" x14ac:dyDescent="0.3">
      <c r="A2246" s="1">
        <v>12</v>
      </c>
      <c r="B2246" s="1" t="s">
        <v>66</v>
      </c>
      <c r="C2246" s="1" t="str">
        <f ca="1">IFERROR(__xludf.DUMMYFUNCTION("GOOGLETRANSLATE(B2261,""en"",""ja"")"),"さらに")</f>
        <v>さらに</v>
      </c>
    </row>
    <row r="2247" spans="1:3" ht="18" customHeight="1" x14ac:dyDescent="0.3">
      <c r="A2247" s="1">
        <v>12</v>
      </c>
      <c r="B2247" s="1" t="s">
        <v>1858</v>
      </c>
      <c r="C2247" s="1" t="str">
        <f ca="1">IFERROR(__xludf.DUMMYFUNCTION("GOOGLETRANSLATE(B2262,""en"",""ja"")"),"アリゲーター")</f>
        <v>アリゲーター</v>
      </c>
    </row>
    <row r="2248" spans="1:3" ht="18" customHeight="1" x14ac:dyDescent="0.3">
      <c r="A2248" s="1">
        <v>12</v>
      </c>
      <c r="B2248" s="1" t="s">
        <v>1859</v>
      </c>
      <c r="C2248" s="1" t="str">
        <f ca="1">IFERROR(__xludf.DUMMYFUNCTION("GOOGLETRANSLATE(B2263,""en"",""ja"")"),"先に")</f>
        <v>先に</v>
      </c>
    </row>
    <row r="2249" spans="1:3" ht="18" customHeight="1" x14ac:dyDescent="0.3">
      <c r="A2249" s="1">
        <v>12</v>
      </c>
      <c r="B2249" s="1" t="s">
        <v>1860</v>
      </c>
      <c r="C2249" s="1" t="str">
        <f ca="1">IFERROR(__xludf.DUMMYFUNCTION("GOOGLETRANSLATE(B2264,""en"",""ja"")"),"進歩")</f>
        <v>進歩</v>
      </c>
    </row>
    <row r="2250" spans="1:3" ht="18" customHeight="1" x14ac:dyDescent="0.3">
      <c r="A2250" s="1">
        <v>12</v>
      </c>
      <c r="B2250" s="1" t="s">
        <v>1861</v>
      </c>
      <c r="C2250" s="1" t="str">
        <f ca="1">IFERROR(__xludf.DUMMYFUNCTION("GOOGLETRANSLATE(B2265,""en"",""ja"")"),"調節します")</f>
        <v>調節します</v>
      </c>
    </row>
    <row r="2251" spans="1:3" ht="18" customHeight="1" x14ac:dyDescent="0.3">
      <c r="A2251" s="1">
        <v>12</v>
      </c>
      <c r="B2251" s="1" t="s">
        <v>1862</v>
      </c>
      <c r="C2251" s="1" t="str">
        <f ca="1">IFERROR(__xludf.DUMMYFUNCTION("GOOGLETRANSLATE(B2266,""en"",""ja"")"),"追加")</f>
        <v>追加</v>
      </c>
    </row>
    <row r="2252" spans="1:3" ht="18" customHeight="1" x14ac:dyDescent="0.3">
      <c r="A2252" s="1">
        <v>12</v>
      </c>
      <c r="B2252" s="1" t="s">
        <v>1863</v>
      </c>
      <c r="C2252" s="1" t="str">
        <f ca="1">IFERROR(__xludf.DUMMYFUNCTION("GOOGLETRANSLATE(B2267,""en"",""ja"")"),"適合しました")</f>
        <v>適合しました</v>
      </c>
    </row>
    <row r="2253" spans="1:3" ht="18" customHeight="1" x14ac:dyDescent="0.3">
      <c r="A2253" s="1">
        <v>12</v>
      </c>
      <c r="B2253" s="1" t="s">
        <v>1864</v>
      </c>
      <c r="C2253" s="1" t="str">
        <f ca="1">IFERROR(__xludf.DUMMYFUNCTION("GOOGLETRANSLATE(B2268,""en"",""ja"")"),"アクティブ")</f>
        <v>アクティブ</v>
      </c>
    </row>
    <row r="2254" spans="1:3" ht="18" customHeight="1" x14ac:dyDescent="0.3">
      <c r="A2254" s="1">
        <v>12</v>
      </c>
      <c r="B2254" s="1" t="s">
        <v>691</v>
      </c>
      <c r="C2254" s="1" t="str">
        <f ca="1">IFERROR(__xludf.DUMMYFUNCTION("GOOGLETRANSLATE(B2269,""en"",""ja"")"),"アカウント")</f>
        <v>アカウント</v>
      </c>
    </row>
    <row r="2255" spans="1:3" ht="18" customHeight="1" x14ac:dyDescent="0.3">
      <c r="A2255" s="1">
        <v>11</v>
      </c>
      <c r="B2255" s="1" t="s">
        <v>1865</v>
      </c>
      <c r="C2255" s="1" t="str">
        <f ca="1">IFERROR(__xludf.DUMMYFUNCTION("GOOGLETRANSLATE(B2270,""en"",""ja"")"),"はい")</f>
        <v>はい</v>
      </c>
    </row>
    <row r="2256" spans="1:3" ht="18" customHeight="1" x14ac:dyDescent="0.3">
      <c r="A2256" s="1">
        <v>11</v>
      </c>
      <c r="B2256" s="1" t="s">
        <v>1866</v>
      </c>
      <c r="C2256" s="1" t="str">
        <f ca="1">IFERROR(__xludf.DUMMYFUNCTION("GOOGLETRANSLATE(B2271,""en"",""ja"")"),"書く")</f>
        <v>書く</v>
      </c>
    </row>
    <row r="2257" spans="1:3" ht="18" customHeight="1" x14ac:dyDescent="0.3">
      <c r="A2257" s="1">
        <v>11</v>
      </c>
      <c r="B2257" s="1" t="s">
        <v>1867</v>
      </c>
      <c r="C2257" s="1" t="str">
        <f ca="1">IFERROR(__xludf.DUMMYFUNCTION("GOOGLETRANSLATE(B2272,""en"",""ja"")"),"やりがいのあります")</f>
        <v>やりがいのあります</v>
      </c>
    </row>
    <row r="2258" spans="1:3" ht="18" customHeight="1" x14ac:dyDescent="0.3">
      <c r="A2258" s="1">
        <v>11</v>
      </c>
      <c r="B2258" s="1" t="s">
        <v>1868</v>
      </c>
      <c r="C2258" s="1" t="str">
        <f ca="1">IFERROR(__xludf.DUMMYFUNCTION("GOOGLETRANSLATE(B2273,""en"",""ja"")"),"世界")</f>
        <v>世界</v>
      </c>
    </row>
    <row r="2259" spans="1:3" ht="18" customHeight="1" x14ac:dyDescent="0.3">
      <c r="A2259" s="1">
        <v>11</v>
      </c>
      <c r="B2259" s="1" t="s">
        <v>1869</v>
      </c>
      <c r="C2259" s="1" t="str">
        <f ca="1">IFERROR(__xludf.DUMMYFUNCTION("GOOGLETRANSLATE(B2274,""en"",""ja"")"),"女子")</f>
        <v>女子</v>
      </c>
    </row>
    <row r="2260" spans="1:3" ht="18" customHeight="1" x14ac:dyDescent="0.3">
      <c r="A2260" s="1">
        <v>11</v>
      </c>
      <c r="B2260" s="1" t="s">
        <v>193</v>
      </c>
      <c r="C2260" s="1" t="str">
        <f ca="1">IFERROR(__xludf.DUMMYFUNCTION("GOOGLETRANSLATE(B2275,""en"",""ja"")"),"どこ")</f>
        <v>どこ</v>
      </c>
    </row>
    <row r="2261" spans="1:3" ht="18" customHeight="1" x14ac:dyDescent="0.3">
      <c r="A2261" s="1">
        <v>11</v>
      </c>
      <c r="B2261" s="1" t="s">
        <v>1870</v>
      </c>
      <c r="C2261" s="1" t="str">
        <f ca="1">IFERROR(__xludf.DUMMYFUNCTION("GOOGLETRANSLATE(B2276,""en"",""ja"")"),"我々はしています")</f>
        <v>我々はしています</v>
      </c>
    </row>
    <row r="2262" spans="1:3" ht="18" customHeight="1" x14ac:dyDescent="0.3">
      <c r="A2262" s="1">
        <v>11</v>
      </c>
      <c r="B2262" s="1" t="s">
        <v>1871</v>
      </c>
      <c r="C2262" s="1" t="str">
        <f ca="1">IFERROR(__xludf.DUMMYFUNCTION("GOOGLETRANSLATE(B2277,""en"",""ja"")"),"歩く")</f>
        <v>歩く</v>
      </c>
    </row>
    <row r="2263" spans="1:3" ht="18" customHeight="1" x14ac:dyDescent="0.3">
      <c r="A2263" s="1">
        <v>11</v>
      </c>
      <c r="B2263" s="1" t="s">
        <v>1872</v>
      </c>
      <c r="C2263" s="1" t="str">
        <f ca="1">IFERROR(__xludf.DUMMYFUNCTION("GOOGLETRANSLATE(B2278,""en"",""ja"")"),"活力")</f>
        <v>活力</v>
      </c>
    </row>
    <row r="2264" spans="1:3" ht="18" customHeight="1" x14ac:dyDescent="0.3">
      <c r="A2264" s="1">
        <v>11</v>
      </c>
      <c r="B2264" s="1" t="s">
        <v>1873</v>
      </c>
      <c r="C2264" s="1" t="str">
        <f ca="1">IFERROR(__xludf.DUMMYFUNCTION("GOOGLETRANSLATE(B2279,""en"",""ja"")"),"ビジュアル")</f>
        <v>ビジュアル</v>
      </c>
    </row>
    <row r="2265" spans="1:3" ht="18" customHeight="1" x14ac:dyDescent="0.3">
      <c r="A2265" s="1">
        <v>11</v>
      </c>
      <c r="B2265" s="1" t="s">
        <v>748</v>
      </c>
      <c r="C2265" s="1" t="str">
        <f ca="1">IFERROR(__xludf.DUMMYFUNCTION("GOOGLETRANSLATE(B2280,""en"",""ja"")"),"ビデオ")</f>
        <v>ビデオ</v>
      </c>
    </row>
    <row r="2266" spans="1:3" ht="18" customHeight="1" x14ac:dyDescent="0.3">
      <c r="A2266" s="1">
        <v>11</v>
      </c>
      <c r="B2266" s="1" t="s">
        <v>104</v>
      </c>
      <c r="C2266" s="1" t="str">
        <f ca="1">IFERROR(__xludf.DUMMYFUNCTION("GOOGLETRANSLATE(B2281,""en"",""ja"")"),"非常に")</f>
        <v>非常に</v>
      </c>
    </row>
    <row r="2267" spans="1:3" ht="18" customHeight="1" x14ac:dyDescent="0.3">
      <c r="A2267" s="1">
        <v>11</v>
      </c>
      <c r="B2267" s="1" t="s">
        <v>1874</v>
      </c>
      <c r="C2267" s="1" t="str">
        <f ca="1">IFERROR(__xludf.DUMMYFUNCTION("GOOGLETRANSLATE(B2282,""en"",""ja"")"),"変化")</f>
        <v>変化</v>
      </c>
    </row>
    <row r="2268" spans="1:3" ht="18" customHeight="1" x14ac:dyDescent="0.3">
      <c r="A2268" s="1">
        <v>11</v>
      </c>
      <c r="B2268" s="1" t="s">
        <v>1875</v>
      </c>
      <c r="C2268" s="1" t="str">
        <f ca="1">IFERROR(__xludf.DUMMYFUNCTION("GOOGLETRANSLATE(B2283,""en"",""ja"")"),"タイプ")</f>
        <v>タイプ</v>
      </c>
    </row>
    <row r="2269" spans="1:3" ht="18" customHeight="1" x14ac:dyDescent="0.3">
      <c r="A2269" s="1">
        <v>11</v>
      </c>
      <c r="B2269" s="1" t="s">
        <v>1876</v>
      </c>
      <c r="C2269" s="1" t="str">
        <f ca="1">IFERROR(__xludf.DUMMYFUNCTION("GOOGLETRANSLATE(B2284,""en"",""ja"")"),"旅行")</f>
        <v>旅行</v>
      </c>
    </row>
    <row r="2270" spans="1:3" ht="18" customHeight="1" x14ac:dyDescent="0.3">
      <c r="A2270" s="1">
        <v>11</v>
      </c>
      <c r="B2270" s="1" t="s">
        <v>1619</v>
      </c>
      <c r="C2270" s="1" t="str">
        <f ca="1">IFERROR(__xludf.DUMMYFUNCTION("GOOGLETRANSLATE(B2285,""en"",""ja"")"),"変換")</f>
        <v>変換</v>
      </c>
    </row>
    <row r="2271" spans="1:3" ht="18" customHeight="1" x14ac:dyDescent="0.3">
      <c r="A2271" s="1">
        <v>11</v>
      </c>
      <c r="B2271" s="1" t="s">
        <v>1877</v>
      </c>
      <c r="C2271" s="1" t="str">
        <f ca="1">IFERROR(__xludf.DUMMYFUNCTION("GOOGLETRANSLATE(B2286,""en"",""ja"")"),"脅威")</f>
        <v>脅威</v>
      </c>
    </row>
    <row r="2272" spans="1:3" ht="18" customHeight="1" x14ac:dyDescent="0.3">
      <c r="A2272" s="1">
        <v>11</v>
      </c>
      <c r="B2272" s="1" t="s">
        <v>1878</v>
      </c>
      <c r="C2272" s="1" t="str">
        <f ca="1">IFERROR(__xludf.DUMMYFUNCTION("GOOGLETRANSLATE(B2287,""en"",""ja"")"),"感想")</f>
        <v>感想</v>
      </c>
    </row>
    <row r="2273" spans="1:3" ht="18" customHeight="1" x14ac:dyDescent="0.3">
      <c r="A2273" s="1">
        <v>11</v>
      </c>
      <c r="B2273" s="1" t="s">
        <v>1040</v>
      </c>
      <c r="C2273" s="1" t="str">
        <f ca="1">IFERROR(__xludf.DUMMYFUNCTION("GOOGLETRANSLATE(B2288,""en"",""ja"")"),"事")</f>
        <v>事</v>
      </c>
    </row>
    <row r="2274" spans="1:3" ht="18" customHeight="1" x14ac:dyDescent="0.3">
      <c r="A2274" s="1">
        <v>11</v>
      </c>
      <c r="B2274" s="1" t="s">
        <v>0</v>
      </c>
      <c r="C2274" s="1" t="str">
        <f ca="1">IFERROR(__xludf.DUMMYFUNCTION("GOOGLETRANSLATE(B2289,""en"",""ja"")"),"インクルード")</f>
        <v>インクルード</v>
      </c>
    </row>
    <row r="2275" spans="1:3" ht="18" customHeight="1" x14ac:dyDescent="0.3">
      <c r="A2275" s="1">
        <v>11</v>
      </c>
      <c r="B2275" s="1" t="s">
        <v>1879</v>
      </c>
      <c r="C2275" s="1" t="str">
        <f ca="1">IFERROR(__xludf.DUMMYFUNCTION("GOOGLETRANSLATE(B2290,""en"",""ja"")"),"教えた")</f>
        <v>教えた</v>
      </c>
    </row>
    <row r="2276" spans="1:3" ht="18" customHeight="1" x14ac:dyDescent="0.3">
      <c r="A2276" s="1">
        <v>11</v>
      </c>
      <c r="B2276" s="1" t="s">
        <v>1880</v>
      </c>
      <c r="C2276" s="1" t="str">
        <f ca="1">IFERROR(__xludf.DUMMYFUNCTION("GOOGLETRANSLATE(B2291,""en"",""ja"")"),"語り")</f>
        <v>語り</v>
      </c>
    </row>
    <row r="2277" spans="1:3" ht="18" customHeight="1" x14ac:dyDescent="0.3">
      <c r="A2277" s="1">
        <v>11</v>
      </c>
      <c r="B2277" s="1" t="s">
        <v>1881</v>
      </c>
      <c r="C2277" s="1" t="str">
        <f ca="1">IFERROR(__xludf.DUMMYFUNCTION("GOOGLETRANSLATE(B2292,""en"",""ja"")"),"生き残ります")</f>
        <v>生き残ります</v>
      </c>
    </row>
    <row r="2278" spans="1:3" ht="18" customHeight="1" x14ac:dyDescent="0.3">
      <c r="A2278" s="1">
        <v>11</v>
      </c>
      <c r="B2278" s="1" t="s">
        <v>1882</v>
      </c>
      <c r="C2278" s="1" t="str">
        <f ca="1">IFERROR(__xludf.DUMMYFUNCTION("GOOGLETRANSLATE(B2293,""en"",""ja"")"),"アンケート")</f>
        <v>アンケート</v>
      </c>
    </row>
    <row r="2279" spans="1:3" ht="18" customHeight="1" x14ac:dyDescent="0.3">
      <c r="A2279" s="1">
        <v>11</v>
      </c>
      <c r="B2279" s="1" t="s">
        <v>1883</v>
      </c>
      <c r="C2279" s="1" t="str">
        <f ca="1">IFERROR(__xludf.DUMMYFUNCTION("GOOGLETRANSLATE(B2294,""en"",""ja"")"),"研究")</f>
        <v>研究</v>
      </c>
    </row>
    <row r="2280" spans="1:3" ht="18" customHeight="1" x14ac:dyDescent="0.3">
      <c r="A2280" s="1">
        <v>11</v>
      </c>
      <c r="B2280" s="1" t="s">
        <v>1884</v>
      </c>
      <c r="C2280" s="1" t="str">
        <f ca="1">IFERROR(__xludf.DUMMYFUNCTION("GOOGLETRANSLATE(B2295,""en"",""ja"")"),"苦労")</f>
        <v>苦労</v>
      </c>
    </row>
    <row r="2281" spans="1:3" ht="18" customHeight="1" x14ac:dyDescent="0.3">
      <c r="A2281" s="1">
        <v>11</v>
      </c>
      <c r="B2281" s="1" t="s">
        <v>664</v>
      </c>
      <c r="C2281" s="1" t="str">
        <f ca="1">IFERROR(__xludf.DUMMYFUNCTION("GOOGLETRANSLATE(B2296,""en"",""ja"")"),"力")</f>
        <v>力</v>
      </c>
    </row>
    <row r="2282" spans="1:3" ht="18" customHeight="1" x14ac:dyDescent="0.3">
      <c r="A2282" s="1">
        <v>11</v>
      </c>
      <c r="B2282" s="1" t="s">
        <v>1885</v>
      </c>
      <c r="C2282" s="1" t="str">
        <f ca="1">IFERROR(__xludf.DUMMYFUNCTION("GOOGLETRANSLATE(B2297,""en"",""ja"")"),"奇妙")</f>
        <v>奇妙</v>
      </c>
    </row>
    <row r="2283" spans="1:3" ht="18" customHeight="1" x14ac:dyDescent="0.3">
      <c r="A2283" s="1">
        <v>11</v>
      </c>
      <c r="B2283" s="1" t="s">
        <v>1886</v>
      </c>
      <c r="C2283" s="1" t="str">
        <f ca="1">IFERROR(__xludf.DUMMYFUNCTION("GOOGLETRANSLATE(B2298,""en"",""ja"")"),"物語")</f>
        <v>物語</v>
      </c>
    </row>
    <row r="2284" spans="1:3" ht="18" customHeight="1" x14ac:dyDescent="0.3">
      <c r="A2284" s="1">
        <v>11</v>
      </c>
      <c r="B2284" s="1" t="s">
        <v>1887</v>
      </c>
      <c r="C2284" s="1" t="str">
        <f ca="1">IFERROR(__xludf.DUMMYFUNCTION("GOOGLETRANSLATE(B2299,""en"",""ja"")"),"結石")</f>
        <v>結石</v>
      </c>
    </row>
    <row r="2285" spans="1:3" ht="18" customHeight="1" x14ac:dyDescent="0.3">
      <c r="A2285" s="1">
        <v>11</v>
      </c>
      <c r="B2285" s="1" t="s">
        <v>1888</v>
      </c>
      <c r="C2285" s="1" t="str">
        <f ca="1">IFERROR(__xludf.DUMMYFUNCTION("GOOGLETRANSLATE(B2300,""en"",""ja"")"),"状態")</f>
        <v>状態</v>
      </c>
    </row>
    <row r="2286" spans="1:3" ht="18" customHeight="1" x14ac:dyDescent="0.3">
      <c r="A2286" s="1">
        <v>11</v>
      </c>
      <c r="B2286" s="1" t="s">
        <v>1889</v>
      </c>
      <c r="C2286" s="1" t="str">
        <f ca="1">IFERROR(__xludf.DUMMYFUNCTION("GOOGLETRANSLATE(B2301,""en"",""ja"")"),"ステートメント")</f>
        <v>ステートメント</v>
      </c>
    </row>
    <row r="2287" spans="1:3" ht="18" customHeight="1" x14ac:dyDescent="0.3">
      <c r="A2287" s="1">
        <v>11</v>
      </c>
      <c r="B2287" s="1" t="s">
        <v>1890</v>
      </c>
      <c r="C2287" s="1" t="str">
        <f ca="1">IFERROR(__xludf.DUMMYFUNCTION("GOOGLETRANSLATE(B2302,""en"",""ja"")"),"スタンド")</f>
        <v>スタンド</v>
      </c>
    </row>
    <row r="2288" spans="1:3" ht="18" customHeight="1" x14ac:dyDescent="0.3">
      <c r="A2288" s="1">
        <v>11</v>
      </c>
      <c r="B2288" s="1" t="s">
        <v>1891</v>
      </c>
      <c r="C2288" s="1" t="str">
        <f ca="1">IFERROR(__xludf.DUMMYFUNCTION("GOOGLETRANSLATE(B2303,""en"",""ja"")"),"洗練されました")</f>
        <v>洗練されました</v>
      </c>
    </row>
    <row r="2289" spans="1:3" ht="18" customHeight="1" x14ac:dyDescent="0.3">
      <c r="A2289" s="1">
        <v>11</v>
      </c>
      <c r="B2289" s="1" t="s">
        <v>1892</v>
      </c>
      <c r="C2289" s="1" t="str">
        <f ca="1">IFERROR(__xludf.DUMMYFUNCTION("GOOGLETRANSLATE(B2304,""en"",""ja"")"),"歌")</f>
        <v>歌</v>
      </c>
    </row>
    <row r="2290" spans="1:3" ht="18" customHeight="1" x14ac:dyDescent="0.3">
      <c r="A2290" s="1">
        <v>11</v>
      </c>
      <c r="B2290" s="1" t="s">
        <v>1893</v>
      </c>
      <c r="C2290" s="1" t="str">
        <f ca="1">IFERROR(__xludf.DUMMYFUNCTION("GOOGLETRANSLATE(B2305,""en"",""ja"")"),"太陽")</f>
        <v>太陽</v>
      </c>
    </row>
    <row r="2291" spans="1:3" ht="18" customHeight="1" x14ac:dyDescent="0.3">
      <c r="A2291" s="1">
        <v>11</v>
      </c>
      <c r="B2291" s="1" t="s">
        <v>209</v>
      </c>
      <c r="C2291" s="1" t="str">
        <f ca="1">IFERROR(__xludf.DUMMYFUNCTION("GOOGLETRANSLATE(B2306,""en"",""ja"")"),"小さい")</f>
        <v>小さい</v>
      </c>
    </row>
    <row r="2292" spans="1:3" ht="18" customHeight="1" x14ac:dyDescent="0.3">
      <c r="A2292" s="1">
        <v>11</v>
      </c>
      <c r="B2292" s="1" t="s">
        <v>1894</v>
      </c>
      <c r="C2292" s="1" t="str">
        <f ca="1">IFERROR(__xludf.DUMMYFUNCTION("GOOGLETRANSLATE(B2307,""en"",""ja"")"),"空")</f>
        <v>空</v>
      </c>
    </row>
    <row r="2293" spans="1:3" ht="18" customHeight="1" x14ac:dyDescent="0.3">
      <c r="A2293" s="1">
        <v>11</v>
      </c>
      <c r="B2293" s="1" t="s">
        <v>1631</v>
      </c>
      <c r="C2293" s="1" t="str">
        <f ca="1">IFERROR(__xludf.DUMMYFUNCTION("GOOGLETRANSLATE(B2308,""en"",""ja"")"),"側")</f>
        <v>側</v>
      </c>
    </row>
    <row r="2294" spans="1:3" ht="18" customHeight="1" x14ac:dyDescent="0.3">
      <c r="A2294" s="1">
        <v>11</v>
      </c>
      <c r="B2294" s="1" t="s">
        <v>1895</v>
      </c>
      <c r="C2294" s="1" t="str">
        <f ca="1">IFERROR(__xludf.DUMMYFUNCTION("GOOGLETRANSLATE(B2309,""en"",""ja"")"),"重度")</f>
        <v>重度</v>
      </c>
    </row>
    <row r="2295" spans="1:3" ht="18" customHeight="1" x14ac:dyDescent="0.3">
      <c r="A2295" s="1">
        <v>11</v>
      </c>
      <c r="B2295" s="1" t="s">
        <v>1896</v>
      </c>
      <c r="C2295" s="1" t="str">
        <f ca="1">IFERROR(__xludf.DUMMYFUNCTION("GOOGLETRANSLATE(B2310,""en"",""ja"")"),"見て")</f>
        <v>見て</v>
      </c>
    </row>
    <row r="2296" spans="1:3" ht="18" customHeight="1" x14ac:dyDescent="0.3">
      <c r="A2296" s="1">
        <v>11</v>
      </c>
      <c r="B2296" s="1" t="s">
        <v>1170</v>
      </c>
      <c r="C2296" s="1" t="str">
        <f ca="1">IFERROR(__xludf.DUMMYFUNCTION("GOOGLETRANSLATE(B2311,""en"",""ja"")"),"探す")</f>
        <v>探す</v>
      </c>
    </row>
    <row r="2297" spans="1:3" ht="18" customHeight="1" x14ac:dyDescent="0.3">
      <c r="A2297" s="1">
        <v>11</v>
      </c>
      <c r="B2297" s="1" t="s">
        <v>1897</v>
      </c>
      <c r="C2297" s="1" t="str">
        <f ca="1">IFERROR(__xludf.DUMMYFUNCTION("GOOGLETRANSLATE(B2312,""en"",""ja"")"),"格言")</f>
        <v>格言</v>
      </c>
    </row>
    <row r="2298" spans="1:3" ht="18" customHeight="1" x14ac:dyDescent="0.3">
      <c r="A2298" s="1">
        <v>11</v>
      </c>
      <c r="B2298" s="1" t="s">
        <v>1898</v>
      </c>
      <c r="C2298" s="1" t="str">
        <f ca="1">IFERROR(__xludf.DUMMYFUNCTION("GOOGLETRANSLATE(B2313,""en"",""ja"")"),"保存されました")</f>
        <v>保存されました</v>
      </c>
    </row>
    <row r="2299" spans="1:3" ht="18" customHeight="1" x14ac:dyDescent="0.3">
      <c r="A2299" s="1">
        <v>11</v>
      </c>
      <c r="B2299" s="1" t="s">
        <v>935</v>
      </c>
      <c r="C2299" s="1" t="str">
        <f ca="1">IFERROR(__xludf.DUMMYFUNCTION("GOOGLETRANSLATE(B2314,""en"",""ja"")"),"満足")</f>
        <v>満足</v>
      </c>
    </row>
    <row r="2300" spans="1:3" ht="18" customHeight="1" x14ac:dyDescent="0.3">
      <c r="A2300" s="1">
        <v>11</v>
      </c>
      <c r="B2300" s="1" t="s">
        <v>1753</v>
      </c>
      <c r="C2300" s="1" t="str">
        <f ca="1">IFERROR(__xludf.DUMMYFUNCTION("GOOGLETRANSLATE(B2315,""en"",""ja"")"),"給料")</f>
        <v>給料</v>
      </c>
    </row>
    <row r="2301" spans="1:3" ht="18" customHeight="1" x14ac:dyDescent="0.3">
      <c r="A2301" s="1">
        <v>11</v>
      </c>
      <c r="B2301" s="1" t="s">
        <v>1899</v>
      </c>
      <c r="C2301" s="1" t="str">
        <f ca="1">IFERROR(__xludf.DUMMYFUNCTION("GOOGLETRANSLATE(B2316,""en"",""ja"")"),"部屋")</f>
        <v>部屋</v>
      </c>
    </row>
    <row r="2302" spans="1:3" ht="18" customHeight="1" x14ac:dyDescent="0.3">
      <c r="A2302" s="1">
        <v>11</v>
      </c>
      <c r="B2302" s="1" t="s">
        <v>1900</v>
      </c>
      <c r="C2302" s="1" t="str">
        <f ca="1">IFERROR(__xludf.DUMMYFUNCTION("GOOGLETRANSLATE(B2317,""en"",""ja"")"),"ロボット")</f>
        <v>ロボット</v>
      </c>
    </row>
    <row r="2303" spans="1:3" ht="18" customHeight="1" x14ac:dyDescent="0.3">
      <c r="A2303" s="1">
        <v>11</v>
      </c>
      <c r="B2303" s="1" t="s">
        <v>1901</v>
      </c>
      <c r="C2303" s="1" t="str">
        <f ca="1">IFERROR(__xludf.DUMMYFUNCTION("GOOGLETRANSLATE(B2318,""en"",""ja"")"),"戻す")</f>
        <v>戻す</v>
      </c>
    </row>
    <row r="2304" spans="1:3" ht="18" customHeight="1" x14ac:dyDescent="0.3">
      <c r="A2304" s="1">
        <v>11</v>
      </c>
      <c r="B2304" s="1" t="s">
        <v>1902</v>
      </c>
      <c r="C2304" s="1" t="str">
        <f ca="1">IFERROR(__xludf.DUMMYFUNCTION("GOOGLETRANSLATE(B2319,""en"",""ja"")"),"頼ります")</f>
        <v>頼ります</v>
      </c>
    </row>
    <row r="2305" spans="1:3" ht="18" customHeight="1" x14ac:dyDescent="0.3">
      <c r="A2305" s="1">
        <v>11</v>
      </c>
      <c r="B2305" s="1" t="s">
        <v>1903</v>
      </c>
      <c r="C2305" s="1" t="str">
        <f ca="1">IFERROR(__xludf.DUMMYFUNCTION("GOOGLETRANSLATE(B2320,""en"",""ja"")"),"規則")</f>
        <v>規則</v>
      </c>
    </row>
    <row r="2306" spans="1:3" ht="18" customHeight="1" x14ac:dyDescent="0.3">
      <c r="A2306" s="1">
        <v>11</v>
      </c>
      <c r="B2306" s="1" t="s">
        <v>1904</v>
      </c>
      <c r="C2306" s="1" t="str">
        <f ca="1">IFERROR(__xludf.DUMMYFUNCTION("GOOGLETRANSLATE(B2321,""en"",""ja"")"),"登録")</f>
        <v>登録</v>
      </c>
    </row>
    <row r="2307" spans="1:3" ht="18" customHeight="1" x14ac:dyDescent="0.3">
      <c r="A2307" s="1">
        <v>11</v>
      </c>
      <c r="B2307" s="1" t="s">
        <v>1905</v>
      </c>
      <c r="C2307" s="1" t="str">
        <f ca="1">IFERROR(__xludf.DUMMYFUNCTION("GOOGLETRANSLATE(B2322,""en"",""ja"")"),"に対する")</f>
        <v>に対する</v>
      </c>
    </row>
    <row r="2308" spans="1:3" ht="18" customHeight="1" x14ac:dyDescent="0.3">
      <c r="A2308" s="1">
        <v>11</v>
      </c>
      <c r="B2308" s="1" t="s">
        <v>1906</v>
      </c>
      <c r="C2308" s="1" t="str">
        <f ca="1">IFERROR(__xludf.DUMMYFUNCTION("GOOGLETRANSLATE(B2323,""en"",""ja"")"),"受け")</f>
        <v>受け</v>
      </c>
    </row>
    <row r="2309" spans="1:3" ht="18" customHeight="1" x14ac:dyDescent="0.3">
      <c r="A2309" s="1">
        <v>11</v>
      </c>
      <c r="B2309" s="1" t="s">
        <v>1907</v>
      </c>
      <c r="C2309" s="1" t="str">
        <f ca="1">IFERROR(__xludf.DUMMYFUNCTION("GOOGLETRANSLATE(B2324,""en"",""ja"")"),"分野")</f>
        <v>分野</v>
      </c>
    </row>
    <row r="2310" spans="1:3" ht="18" customHeight="1" x14ac:dyDescent="0.3">
      <c r="A2310" s="1">
        <v>11</v>
      </c>
      <c r="B2310" s="1" t="s">
        <v>756</v>
      </c>
      <c r="C2310" s="1" t="str">
        <f ca="1">IFERROR(__xludf.DUMMYFUNCTION("GOOGLETRANSLATE(B2325,""en"",""ja"")"),"現実")</f>
        <v>現実</v>
      </c>
    </row>
    <row r="2311" spans="1:3" ht="18" customHeight="1" x14ac:dyDescent="0.3">
      <c r="A2311" s="1">
        <v>11</v>
      </c>
      <c r="B2311" s="1" t="s">
        <v>1908</v>
      </c>
      <c r="C2311" s="1" t="str">
        <f ca="1">IFERROR(__xludf.DUMMYFUNCTION("GOOGLETRANSLATE(B2326,""en"",""ja"")"),"調達")</f>
        <v>調達</v>
      </c>
    </row>
    <row r="2312" spans="1:3" ht="18" customHeight="1" x14ac:dyDescent="0.3">
      <c r="A2312" s="1">
        <v>11</v>
      </c>
      <c r="B2312" s="1" t="s">
        <v>1909</v>
      </c>
      <c r="C2312" s="1" t="str">
        <f ca="1">IFERROR(__xludf.DUMMYFUNCTION("GOOGLETRANSLATE(B2327,""en"",""ja"")"),"無線")</f>
        <v>無線</v>
      </c>
    </row>
    <row r="2313" spans="1:3" ht="18" customHeight="1" x14ac:dyDescent="0.3">
      <c r="A2313" s="1">
        <v>11</v>
      </c>
      <c r="B2313" s="1" t="s">
        <v>1910</v>
      </c>
      <c r="C2313" s="1" t="str">
        <f ca="1">IFERROR(__xludf.DUMMYFUNCTION("GOOGLETRANSLATE(B2328,""en"",""ja"")"),"プット")</f>
        <v>プット</v>
      </c>
    </row>
    <row r="2314" spans="1:3" ht="18" customHeight="1" x14ac:dyDescent="0.3">
      <c r="A2314" s="1">
        <v>11</v>
      </c>
      <c r="B2314" s="1" t="s">
        <v>266</v>
      </c>
      <c r="C2314" s="1" t="str">
        <f ca="1">IFERROR(__xludf.DUMMYFUNCTION("GOOGLETRANSLATE(B2329,""en"",""ja"")"),"公衆")</f>
        <v>公衆</v>
      </c>
    </row>
    <row r="2315" spans="1:3" ht="18" customHeight="1" x14ac:dyDescent="0.3">
      <c r="A2315" s="1">
        <v>11</v>
      </c>
      <c r="B2315" s="1" t="s">
        <v>1911</v>
      </c>
      <c r="C2315" s="1" t="str">
        <f ca="1">IFERROR(__xludf.DUMMYFUNCTION("GOOGLETRANSLATE(B2330,""en"",""ja"")"),"繁栄")</f>
        <v>繁栄</v>
      </c>
    </row>
    <row r="2316" spans="1:3" ht="18" customHeight="1" x14ac:dyDescent="0.3">
      <c r="A2316" s="1">
        <v>11</v>
      </c>
      <c r="B2316" s="1" t="s">
        <v>1912</v>
      </c>
      <c r="C2316" s="1" t="str">
        <f ca="1">IFERROR(__xludf.DUMMYFUNCTION("GOOGLETRANSLATE(B2331,""en"",""ja"")"),"投影")</f>
        <v>投影</v>
      </c>
    </row>
    <row r="2317" spans="1:3" ht="18" customHeight="1" x14ac:dyDescent="0.3">
      <c r="A2317" s="1">
        <v>11</v>
      </c>
      <c r="B2317" s="1" t="s">
        <v>941</v>
      </c>
      <c r="C2317" s="1" t="str">
        <f ca="1">IFERROR(__xludf.DUMMYFUNCTION("GOOGLETRANSLATE(B2332,""en"",""ja"")"),"製品")</f>
        <v>製品</v>
      </c>
    </row>
    <row r="2318" spans="1:3" ht="18" customHeight="1" x14ac:dyDescent="0.3">
      <c r="A2318" s="1">
        <v>11</v>
      </c>
      <c r="B2318" s="1" t="s">
        <v>1913</v>
      </c>
      <c r="C2318" s="1" t="str">
        <f ca="1">IFERROR(__xludf.DUMMYFUNCTION("GOOGLETRANSLATE(B2333,""en"",""ja"")"),"作成")</f>
        <v>作成</v>
      </c>
    </row>
    <row r="2319" spans="1:3" ht="18" customHeight="1" x14ac:dyDescent="0.3">
      <c r="A2319" s="1">
        <v>11</v>
      </c>
      <c r="B2319" s="1" t="s">
        <v>1914</v>
      </c>
      <c r="C2319" s="1" t="str">
        <f ca="1">IFERROR(__xludf.DUMMYFUNCTION("GOOGLETRANSLATE(B2334,""en"",""ja"")"),"特権")</f>
        <v>特権</v>
      </c>
    </row>
    <row r="2320" spans="1:3" ht="18" customHeight="1" x14ac:dyDescent="0.3">
      <c r="A2320" s="1">
        <v>11</v>
      </c>
      <c r="B2320" s="1" t="s">
        <v>1915</v>
      </c>
      <c r="C2320" s="1" t="str">
        <f ca="1">IFERROR(__xludf.DUMMYFUNCTION("GOOGLETRANSLATE(B2335,""en"",""ja"")"),"圧力")</f>
        <v>圧力</v>
      </c>
    </row>
    <row r="2321" spans="1:3" ht="18" customHeight="1" x14ac:dyDescent="0.3">
      <c r="A2321" s="1">
        <v>11</v>
      </c>
      <c r="B2321" s="1" t="s">
        <v>1916</v>
      </c>
      <c r="C2321" s="1" t="str">
        <f ca="1">IFERROR(__xludf.DUMMYFUNCTION("GOOGLETRANSLATE(B2336,""en"",""ja"")"),"汚染")</f>
        <v>汚染</v>
      </c>
    </row>
    <row r="2322" spans="1:3" ht="18" customHeight="1" x14ac:dyDescent="0.3">
      <c r="A2322" s="1">
        <v>11</v>
      </c>
      <c r="B2322" s="1" t="s">
        <v>1917</v>
      </c>
      <c r="C2322" s="1" t="str">
        <f ca="1">IFERROR(__xludf.DUMMYFUNCTION("GOOGLETRANSLATE(B2337,""en"",""ja"")"),"礼儀正しさ")</f>
        <v>礼儀正しさ</v>
      </c>
    </row>
    <row r="2323" spans="1:3" ht="18" customHeight="1" x14ac:dyDescent="0.3">
      <c r="A2323" s="1">
        <v>11</v>
      </c>
      <c r="B2323" s="1" t="s">
        <v>1918</v>
      </c>
      <c r="C2323" s="1" t="str">
        <f ca="1">IFERROR(__xludf.DUMMYFUNCTION("GOOGLETRANSLATE(B2338,""en"",""ja"")"),"哲学")</f>
        <v>哲学</v>
      </c>
    </row>
    <row r="2324" spans="1:3" ht="18" customHeight="1" x14ac:dyDescent="0.3">
      <c r="A2324" s="1">
        <v>11</v>
      </c>
      <c r="B2324" s="1" t="s">
        <v>887</v>
      </c>
      <c r="C2324" s="1" t="str">
        <f ca="1">IFERROR(__xludf.DUMMYFUNCTION("GOOGLETRANSLATE(B2339,""en"",""ja"")"),"展望")</f>
        <v>展望</v>
      </c>
    </row>
    <row r="2325" spans="1:3" ht="18" customHeight="1" x14ac:dyDescent="0.3">
      <c r="A2325" s="1">
        <v>11</v>
      </c>
      <c r="B2325" s="1" t="s">
        <v>821</v>
      </c>
      <c r="C2325" s="1" t="str">
        <f ca="1">IFERROR(__xludf.DUMMYFUNCTION("GOOGLETRANSLATE(B2340,""en"",""ja"")"),"人")</f>
        <v>人</v>
      </c>
    </row>
    <row r="2326" spans="1:3" ht="18" customHeight="1" x14ac:dyDescent="0.3">
      <c r="A2326" s="1">
        <v>11</v>
      </c>
      <c r="B2326" s="1" t="s">
        <v>1919</v>
      </c>
      <c r="C2326" s="1" t="str">
        <f ca="1">IFERROR(__xludf.DUMMYFUNCTION("GOOGLETRANSLATE(B2341,""en"",""ja"")"),"支払う")</f>
        <v>支払う</v>
      </c>
    </row>
    <row r="2327" spans="1:3" ht="18" customHeight="1" x14ac:dyDescent="0.3">
      <c r="A2327" s="1">
        <v>11</v>
      </c>
      <c r="B2327" s="1" t="s">
        <v>1920</v>
      </c>
      <c r="C2327" s="1" t="str">
        <f ca="1">IFERROR(__xludf.DUMMYFUNCTION("GOOGLETRANSLATE(B2342,""en"",""ja"")"),"通路")</f>
        <v>通路</v>
      </c>
    </row>
    <row r="2328" spans="1:3" ht="18" customHeight="1" x14ac:dyDescent="0.3">
      <c r="A2328" s="1">
        <v>11</v>
      </c>
      <c r="B2328" s="1" t="s">
        <v>145</v>
      </c>
      <c r="C2328" s="1" t="str">
        <f ca="1">IFERROR(__xludf.DUMMYFUNCTION("GOOGLETRANSLATE(B2343,""en"",""ja"")"),"部")</f>
        <v>部</v>
      </c>
    </row>
    <row r="2329" spans="1:3" ht="18" customHeight="1" x14ac:dyDescent="0.3">
      <c r="A2329" s="1">
        <v>11</v>
      </c>
      <c r="B2329" s="1" t="s">
        <v>1921</v>
      </c>
      <c r="C2329" s="1" t="str">
        <f ca="1">IFERROR(__xludf.DUMMYFUNCTION("GOOGLETRANSLATE(B2344,""en"",""ja"")"),"カキ")</f>
        <v>カキ</v>
      </c>
    </row>
    <row r="2330" spans="1:3" ht="18" customHeight="1" x14ac:dyDescent="0.3">
      <c r="A2330" s="1">
        <v>11</v>
      </c>
      <c r="B2330" s="1" t="s">
        <v>1922</v>
      </c>
      <c r="C2330" s="1" t="str">
        <f ca="1">IFERROR(__xludf.DUMMYFUNCTION("GOOGLETRANSLATE(B2345,""en"",""ja"")"),"組織された")</f>
        <v>組織された</v>
      </c>
    </row>
    <row r="2331" spans="1:3" ht="18" customHeight="1" x14ac:dyDescent="0.3">
      <c r="A2331" s="1">
        <v>11</v>
      </c>
      <c r="B2331" s="1" t="s">
        <v>1923</v>
      </c>
      <c r="C2331" s="1" t="str">
        <f ca="1">IFERROR(__xludf.DUMMYFUNCTION("GOOGLETRANSLATE(B2346,""en"",""ja"")"),"団体")</f>
        <v>団体</v>
      </c>
    </row>
    <row r="2332" spans="1:3" ht="18" customHeight="1" x14ac:dyDescent="0.3">
      <c r="A2332" s="1">
        <v>11</v>
      </c>
      <c r="B2332" s="1" t="s">
        <v>1924</v>
      </c>
      <c r="C2332" s="1" t="str">
        <f ca="1">IFERROR(__xludf.DUMMYFUNCTION("GOOGLETRANSLATE(B2347,""en"",""ja"")"),"受注")</f>
        <v>受注</v>
      </c>
    </row>
    <row r="2333" spans="1:3" ht="18" customHeight="1" x14ac:dyDescent="0.3">
      <c r="A2333" s="1">
        <v>11</v>
      </c>
      <c r="B2333" s="1" t="s">
        <v>1925</v>
      </c>
      <c r="C2333" s="1" t="str">
        <f ca="1">IFERROR(__xludf.DUMMYFUNCTION("GOOGLETRANSLATE(B2348,""en"",""ja"")"),"反対します")</f>
        <v>反対します</v>
      </c>
    </row>
    <row r="2334" spans="1:3" ht="18" customHeight="1" x14ac:dyDescent="0.3">
      <c r="A2334" s="1">
        <v>11</v>
      </c>
      <c r="B2334" s="1" t="s">
        <v>491</v>
      </c>
      <c r="C2334" s="1" t="str">
        <f ca="1">IFERROR(__xludf.DUMMYFUNCTION("GOOGLETRANSLATE(B2349,""en"",""ja"")"),"一度")</f>
        <v>一度</v>
      </c>
    </row>
    <row r="2335" spans="1:3" ht="18" customHeight="1" x14ac:dyDescent="0.3">
      <c r="A2335" s="1">
        <v>11</v>
      </c>
      <c r="B2335" s="1" t="s">
        <v>1926</v>
      </c>
      <c r="C2335" s="1" t="str">
        <f ca="1">IFERROR(__xludf.DUMMYFUNCTION("GOOGLETRANSLATE(B2350,""en"",""ja"")"),"オフィス")</f>
        <v>オフィス</v>
      </c>
    </row>
    <row r="2336" spans="1:3" ht="18" customHeight="1" x14ac:dyDescent="0.3">
      <c r="A2336" s="1">
        <v>11</v>
      </c>
      <c r="B2336" s="1" t="s">
        <v>1927</v>
      </c>
      <c r="C2336" s="1" t="str">
        <f ca="1">IFERROR(__xludf.DUMMYFUNCTION("GOOGLETRANSLATE(B2351,""en"",""ja"")"),"時には")</f>
        <v>時には</v>
      </c>
    </row>
    <row r="2337" spans="1:3" ht="18" customHeight="1" x14ac:dyDescent="0.3">
      <c r="A2337" s="1">
        <v>11</v>
      </c>
      <c r="B2337" s="1" t="s">
        <v>1928</v>
      </c>
      <c r="C2337" s="1" t="str">
        <f ca="1">IFERROR(__xludf.DUMMYFUNCTION("GOOGLETRANSLATE(B2352,""en"",""ja"")"),"観察する")</f>
        <v>観察する</v>
      </c>
    </row>
    <row r="2338" spans="1:3" ht="18" customHeight="1" x14ac:dyDescent="0.3">
      <c r="A2338" s="1">
        <v>11</v>
      </c>
      <c r="B2338" s="1" t="s">
        <v>1929</v>
      </c>
      <c r="C2338" s="1" t="str">
        <f ca="1">IFERROR(__xludf.DUMMYFUNCTION("GOOGLETRANSLATE(B2353,""en"",""ja"")"),"どこにも")</f>
        <v>どこにも</v>
      </c>
    </row>
    <row r="2339" spans="1:3" ht="18" customHeight="1" x14ac:dyDescent="0.3">
      <c r="A2339" s="1">
        <v>11</v>
      </c>
      <c r="B2339" s="1" t="s">
        <v>1930</v>
      </c>
      <c r="C2339" s="1" t="str">
        <f ca="1">IFERROR(__xludf.DUMMYFUNCTION("GOOGLETRANSLATE(B2354,""en"",""ja"")"),"注意")</f>
        <v>注意</v>
      </c>
    </row>
    <row r="2340" spans="1:3" ht="18" customHeight="1" x14ac:dyDescent="0.3">
      <c r="A2340" s="1">
        <v>11</v>
      </c>
      <c r="B2340" s="1" t="s">
        <v>1931</v>
      </c>
      <c r="C2340" s="1" t="str">
        <f ca="1">IFERROR(__xludf.DUMMYFUNCTION("GOOGLETRANSLATE(B2355,""en"",""ja"")"),"中性")</f>
        <v>中性</v>
      </c>
    </row>
    <row r="2341" spans="1:3" ht="18" customHeight="1" x14ac:dyDescent="0.3">
      <c r="A2341" s="1">
        <v>11</v>
      </c>
      <c r="B2341" s="1" t="s">
        <v>1780</v>
      </c>
      <c r="C2341" s="1" t="str">
        <f ca="1">IFERROR(__xludf.DUMMYFUNCTION("GOOGLETRANSLATE(B2356,""en"",""ja"")"),"ネイティブ")</f>
        <v>ネイティブ</v>
      </c>
    </row>
    <row r="2342" spans="1:3" ht="18" customHeight="1" x14ac:dyDescent="0.3">
      <c r="A2342" s="1">
        <v>11</v>
      </c>
      <c r="B2342" s="1" t="s">
        <v>945</v>
      </c>
      <c r="C2342" s="1" t="str">
        <f ca="1">IFERROR(__xludf.DUMMYFUNCTION("GOOGLETRANSLATE(B2357,""en"",""ja"")"),"米航空宇宙局（NASA）")</f>
        <v>米航空宇宙局（NASA）</v>
      </c>
    </row>
    <row r="2343" spans="1:3" ht="18" customHeight="1" x14ac:dyDescent="0.3">
      <c r="A2343" s="1">
        <v>11</v>
      </c>
      <c r="B2343" s="1" t="s">
        <v>1932</v>
      </c>
      <c r="C2343" s="1" t="str">
        <f ca="1">IFERROR(__xludf.DUMMYFUNCTION("GOOGLETRANSLATE(B2358,""en"",""ja"")"),"方法")</f>
        <v>方法</v>
      </c>
    </row>
    <row r="2344" spans="1:3" ht="18" customHeight="1" x14ac:dyDescent="0.3">
      <c r="A2344" s="1">
        <v>11</v>
      </c>
      <c r="B2344" s="1" t="s">
        <v>1933</v>
      </c>
      <c r="C2344" s="1" t="str">
        <f ca="1">IFERROR(__xludf.DUMMYFUNCTION("GOOGLETRANSLATE(B2359,""en"",""ja"")"),"会います")</f>
        <v>会います</v>
      </c>
    </row>
    <row r="2345" spans="1:3" ht="18" customHeight="1" x14ac:dyDescent="0.3">
      <c r="A2345" s="1">
        <v>11</v>
      </c>
      <c r="B2345" s="1" t="s">
        <v>1934</v>
      </c>
      <c r="C2345" s="1" t="str">
        <f ca="1">IFERROR(__xludf.DUMMYFUNCTION("GOOGLETRANSLATE(B2360,""en"",""ja"")"),"材料")</f>
        <v>材料</v>
      </c>
    </row>
    <row r="2346" spans="1:3" ht="18" customHeight="1" x14ac:dyDescent="0.3">
      <c r="A2346" s="1">
        <v>11</v>
      </c>
      <c r="B2346" s="1" t="s">
        <v>1935</v>
      </c>
      <c r="C2346" s="1" t="str">
        <f ca="1">IFERROR(__xludf.DUMMYFUNCTION("GOOGLETRANSLATE(B2361,""en"",""ja"")"),"既婚")</f>
        <v>既婚</v>
      </c>
    </row>
    <row r="2347" spans="1:3" ht="18" customHeight="1" x14ac:dyDescent="0.3">
      <c r="A2347" s="1">
        <v>11</v>
      </c>
      <c r="B2347" s="1" t="s">
        <v>1936</v>
      </c>
      <c r="C2347" s="1" t="str">
        <f ca="1">IFERROR(__xludf.DUMMYFUNCTION("GOOGLETRANSLATE(B2362,""en"",""ja"")"),"メーカー")</f>
        <v>メーカー</v>
      </c>
    </row>
    <row r="2348" spans="1:3" ht="18" customHeight="1" x14ac:dyDescent="0.3">
      <c r="A2348" s="1">
        <v>11</v>
      </c>
      <c r="B2348" s="1" t="s">
        <v>1937</v>
      </c>
      <c r="C2348" s="1" t="str">
        <f ca="1">IFERROR(__xludf.DUMMYFUNCTION("GOOGLETRANSLATE(B2363,""en"",""ja"")"),"損失")</f>
        <v>損失</v>
      </c>
    </row>
    <row r="2349" spans="1:3" ht="18" customHeight="1" x14ac:dyDescent="0.3">
      <c r="A2349" s="1">
        <v>11</v>
      </c>
      <c r="B2349" s="1" t="s">
        <v>1938</v>
      </c>
      <c r="C2349" s="1" t="str">
        <f ca="1">IFERROR(__xludf.DUMMYFUNCTION("GOOGLETRANSLATE(B2364,""en"",""ja"")"),"リンク")</f>
        <v>リンク</v>
      </c>
    </row>
    <row r="2350" spans="1:3" ht="18" customHeight="1" x14ac:dyDescent="0.3">
      <c r="A2350" s="1">
        <v>11</v>
      </c>
      <c r="B2350" s="1" t="s">
        <v>1939</v>
      </c>
      <c r="C2350" s="1" t="str">
        <f ca="1">IFERROR(__xludf.DUMMYFUNCTION("GOOGLETRANSLATE(B2365,""en"",""ja"")"),"横たわる")</f>
        <v>横たわる</v>
      </c>
    </row>
    <row r="2351" spans="1:3" ht="18" customHeight="1" x14ac:dyDescent="0.3">
      <c r="A2351" s="1">
        <v>11</v>
      </c>
      <c r="B2351" s="1" t="s">
        <v>1940</v>
      </c>
      <c r="C2351" s="1" t="str">
        <f ca="1">IFERROR(__xludf.DUMMYFUNCTION("GOOGLETRANSLATE(B2366,""en"",""ja"")"),"レディ")</f>
        <v>レディ</v>
      </c>
    </row>
    <row r="2352" spans="1:3" ht="18" customHeight="1" x14ac:dyDescent="0.3">
      <c r="A2352" s="1">
        <v>11</v>
      </c>
      <c r="B2352" s="1" t="s">
        <v>1941</v>
      </c>
      <c r="C2352" s="1" t="str">
        <f ca="1">IFERROR(__xludf.DUMMYFUNCTION("GOOGLETRANSLATE(B2367,""en"",""ja"")"),"労働")</f>
        <v>労働</v>
      </c>
    </row>
    <row r="2353" spans="1:3" ht="18" customHeight="1" x14ac:dyDescent="0.3">
      <c r="A2353" s="1">
        <v>11</v>
      </c>
      <c r="B2353" s="1" t="s">
        <v>1548</v>
      </c>
      <c r="C2353" s="1" t="str">
        <f ca="1">IFERROR(__xludf.DUMMYFUNCTION("GOOGLETRANSLATE(B2368,""en"",""ja"")"),"王国")</f>
        <v>王国</v>
      </c>
    </row>
    <row r="2354" spans="1:3" ht="18" customHeight="1" x14ac:dyDescent="0.3">
      <c r="A2354" s="1">
        <v>11</v>
      </c>
      <c r="B2354" s="1" t="s">
        <v>1942</v>
      </c>
      <c r="C2354" s="1" t="str">
        <f ca="1">IFERROR(__xludf.DUMMYFUNCTION("GOOGLETRANSLATE(B2369,""en"",""ja"")"),"喜び")</f>
        <v>喜び</v>
      </c>
    </row>
    <row r="2355" spans="1:3" ht="18" customHeight="1" x14ac:dyDescent="0.3">
      <c r="A2355" s="1">
        <v>11</v>
      </c>
      <c r="B2355" s="1" t="s">
        <v>1943</v>
      </c>
      <c r="C2355" s="1" t="str">
        <f ca="1">IFERROR(__xludf.DUMMYFUNCTION("GOOGLETRANSLATE(B2370,""en"",""ja"")"),"ジェット")</f>
        <v>ジェット</v>
      </c>
    </row>
    <row r="2356" spans="1:3" ht="18" customHeight="1" x14ac:dyDescent="0.3">
      <c r="A2356" s="1">
        <v>11</v>
      </c>
      <c r="B2356" s="1" t="s">
        <v>1944</v>
      </c>
      <c r="C2356" s="1" t="str">
        <f ca="1">IFERROR(__xludf.DUMMYFUNCTION("GOOGLETRANSLATE(B2371,""en"",""ja"")"),"ジェーン")</f>
        <v>ジェーン</v>
      </c>
    </row>
    <row r="2357" spans="1:3" ht="18" customHeight="1" x14ac:dyDescent="0.3">
      <c r="A2357" s="1">
        <v>11</v>
      </c>
      <c r="B2357" s="1" t="s">
        <v>1945</v>
      </c>
      <c r="C2357" s="1" t="str">
        <f ca="1">IFERROR(__xludf.DUMMYFUNCTION("GOOGLETRANSLATE(B2372,""en"",""ja"")"),"アイテム")</f>
        <v>アイテム</v>
      </c>
    </row>
    <row r="2358" spans="1:3" ht="18" customHeight="1" x14ac:dyDescent="0.3">
      <c r="A2358" s="1">
        <v>11</v>
      </c>
      <c r="B2358" s="1" t="s">
        <v>5</v>
      </c>
      <c r="C2358" s="1" t="str">
        <f ca="1">IFERROR(__xludf.DUMMYFUNCTION("GOOGLETRANSLATE(B2373,""en"",""ja"")"),"に")</f>
        <v>に</v>
      </c>
    </row>
    <row r="2359" spans="1:3" ht="18" customHeight="1" x14ac:dyDescent="0.3">
      <c r="A2359" s="1">
        <v>11</v>
      </c>
      <c r="B2359" s="1" t="s">
        <v>1946</v>
      </c>
      <c r="C2359" s="1" t="str">
        <f ca="1">IFERROR(__xludf.DUMMYFUNCTION("GOOGLETRANSLATE(B2374,""en"",""ja"")"),"導入")</f>
        <v>導入</v>
      </c>
    </row>
    <row r="2360" spans="1:3" ht="18" customHeight="1" x14ac:dyDescent="0.3">
      <c r="A2360" s="1">
        <v>11</v>
      </c>
      <c r="B2360" s="1" t="s">
        <v>1947</v>
      </c>
      <c r="C2360" s="1" t="str">
        <f ca="1">IFERROR(__xludf.DUMMYFUNCTION("GOOGLETRANSLATE(B2375,""en"",""ja"")"),"集中的な")</f>
        <v>集中的な</v>
      </c>
    </row>
    <row r="2361" spans="1:3" ht="18" customHeight="1" x14ac:dyDescent="0.3">
      <c r="A2361" s="1">
        <v>11</v>
      </c>
      <c r="B2361" s="1" t="s">
        <v>1948</v>
      </c>
      <c r="C2361" s="1" t="str">
        <f ca="1">IFERROR(__xludf.DUMMYFUNCTION("GOOGLETRANSLATE(B2376,""en"",""ja"")"),"器械")</f>
        <v>器械</v>
      </c>
    </row>
    <row r="2362" spans="1:3" ht="18" customHeight="1" x14ac:dyDescent="0.3">
      <c r="A2362" s="1">
        <v>11</v>
      </c>
      <c r="B2362" s="1" t="s">
        <v>1949</v>
      </c>
      <c r="C2362" s="1" t="str">
        <f ca="1">IFERROR(__xludf.DUMMYFUNCTION("GOOGLETRANSLATE(B2377,""en"",""ja"")"),"示します")</f>
        <v>示します</v>
      </c>
    </row>
    <row r="2363" spans="1:3" ht="18" customHeight="1" x14ac:dyDescent="0.3">
      <c r="A2363" s="1">
        <v>11</v>
      </c>
      <c r="B2363" s="1" t="s">
        <v>493</v>
      </c>
      <c r="C2363" s="1" t="str">
        <f ca="1">IFERROR(__xludf.DUMMYFUNCTION("GOOGLETRANSLATE(B2378,""en"",""ja"")"),"所得")</f>
        <v>所得</v>
      </c>
    </row>
    <row r="2364" spans="1:3" ht="18" customHeight="1" x14ac:dyDescent="0.3">
      <c r="A2364" s="1">
        <v>11</v>
      </c>
      <c r="B2364" s="1" t="s">
        <v>1950</v>
      </c>
      <c r="C2364" s="1" t="str">
        <f ca="1">IFERROR(__xludf.DUMMYFUNCTION("GOOGLETRANSLATE(B2379,""en"",""ja"")"),"ハクスリー")</f>
        <v>ハクスリー</v>
      </c>
    </row>
    <row r="2365" spans="1:3" ht="18" customHeight="1" x14ac:dyDescent="0.3">
      <c r="A2365" s="1">
        <v>11</v>
      </c>
      <c r="B2365" s="1" t="s">
        <v>1951</v>
      </c>
      <c r="C2365" s="1" t="str">
        <f ca="1">IFERROR(__xludf.DUMMYFUNCTION("GOOGLETRANSLATE(B2380,""en"",""ja"")"),"望む")</f>
        <v>望む</v>
      </c>
    </row>
    <row r="2366" spans="1:3" ht="18" customHeight="1" x14ac:dyDescent="0.3">
      <c r="A2366" s="1">
        <v>11</v>
      </c>
      <c r="B2366" s="1" t="s">
        <v>770</v>
      </c>
      <c r="C2366" s="1" t="str">
        <f ca="1">IFERROR(__xludf.DUMMYFUNCTION("GOOGLETRANSLATE(B2381,""en"",""ja"")"),"ハード")</f>
        <v>ハード</v>
      </c>
    </row>
    <row r="2367" spans="1:3" ht="18" customHeight="1" x14ac:dyDescent="0.3">
      <c r="A2367" s="1">
        <v>11</v>
      </c>
      <c r="B2367" s="1" t="s">
        <v>1952</v>
      </c>
      <c r="C2367" s="1" t="str">
        <f ca="1">IFERROR(__xludf.DUMMYFUNCTION("GOOGLETRANSLATE(B2382,""en"",""ja"")"),"接地")</f>
        <v>接地</v>
      </c>
    </row>
    <row r="2368" spans="1:3" ht="18" customHeight="1" x14ac:dyDescent="0.3">
      <c r="A2368" s="1">
        <v>11</v>
      </c>
      <c r="B2368" s="1" t="s">
        <v>1953</v>
      </c>
      <c r="C2368" s="1" t="str">
        <f ca="1">IFERROR(__xludf.DUMMYFUNCTION("GOOGLETRANSLATE(B2383,""en"",""ja"")"),"大幅に")</f>
        <v>大幅に</v>
      </c>
    </row>
    <row r="2369" spans="1:3" ht="18" customHeight="1" x14ac:dyDescent="0.3">
      <c r="A2369" s="1">
        <v>11</v>
      </c>
      <c r="B2369" s="1" t="s">
        <v>1954</v>
      </c>
      <c r="C2369" s="1" t="str">
        <f ca="1">IFERROR(__xludf.DUMMYFUNCTION("GOOGLETRANSLATE(B2384,""en"",""ja"")"),"グラフィック")</f>
        <v>グラフィック</v>
      </c>
    </row>
    <row r="2370" spans="1:3" ht="18" customHeight="1" x14ac:dyDescent="0.3">
      <c r="A2370" s="1">
        <v>11</v>
      </c>
      <c r="B2370" s="1" t="s">
        <v>1955</v>
      </c>
      <c r="C2370" s="1" t="str">
        <f ca="1">IFERROR(__xludf.DUMMYFUNCTION("GOOGLETRANSLATE(B2385,""en"",""ja"")"),"ガバナンス")</f>
        <v>ガバナンス</v>
      </c>
    </row>
    <row r="2371" spans="1:3" ht="18" customHeight="1" x14ac:dyDescent="0.3">
      <c r="A2371" s="1">
        <v>11</v>
      </c>
      <c r="B2371" s="1" t="s">
        <v>1956</v>
      </c>
      <c r="C2371" s="1" t="str">
        <f ca="1">IFERROR(__xludf.DUMMYFUNCTION("GOOGLETRANSLATE(B2386,""en"",""ja"")"),"天才")</f>
        <v>天才</v>
      </c>
    </row>
    <row r="2372" spans="1:3" ht="18" customHeight="1" x14ac:dyDescent="0.3">
      <c r="A2372" s="1">
        <v>11</v>
      </c>
      <c r="B2372" s="1" t="s">
        <v>21</v>
      </c>
      <c r="C2372" s="1" t="str">
        <f ca="1">IFERROR(__xludf.DUMMYFUNCTION("GOOGLETRANSLATE(B2387,""en"",""ja"")"),"から")</f>
        <v>から</v>
      </c>
    </row>
    <row r="2373" spans="1:3" ht="18" customHeight="1" x14ac:dyDescent="0.3">
      <c r="A2373" s="1">
        <v>11</v>
      </c>
      <c r="B2373" s="1" t="s">
        <v>1957</v>
      </c>
      <c r="C2373" s="1" t="str">
        <f ca="1">IFERROR(__xludf.DUMMYFUNCTION("GOOGLETRANSLATE(B2388,""en"",""ja"")"),"強制")</f>
        <v>強制</v>
      </c>
    </row>
    <row r="2374" spans="1:3" ht="18" customHeight="1" x14ac:dyDescent="0.3">
      <c r="A2374" s="1">
        <v>11</v>
      </c>
      <c r="B2374" s="1" t="s">
        <v>1958</v>
      </c>
      <c r="C2374" s="1" t="str">
        <f ca="1">IFERROR(__xludf.DUMMYFUNCTION("GOOGLETRANSLATE(B2389,""en"",""ja"")"),"フロー")</f>
        <v>フロー</v>
      </c>
    </row>
    <row r="2375" spans="1:3" ht="18" customHeight="1" x14ac:dyDescent="0.3">
      <c r="A2375" s="1">
        <v>11</v>
      </c>
      <c r="B2375" s="1" t="s">
        <v>1959</v>
      </c>
      <c r="C2375" s="1" t="str">
        <f ca="1">IFERROR(__xludf.DUMMYFUNCTION("GOOGLETRANSLATE(B2390,""en"",""ja"")"),"フライト")</f>
        <v>フライト</v>
      </c>
    </row>
    <row r="2376" spans="1:3" ht="18" customHeight="1" x14ac:dyDescent="0.3">
      <c r="A2376" s="1">
        <v>11</v>
      </c>
      <c r="B2376" s="1" t="s">
        <v>1960</v>
      </c>
      <c r="C2376" s="1" t="str">
        <f ca="1">IFERROR(__xludf.DUMMYFUNCTION("GOOGLETRANSLATE(B2391,""en"",""ja"")"),"金融")</f>
        <v>金融</v>
      </c>
    </row>
    <row r="2377" spans="1:3" ht="18" customHeight="1" x14ac:dyDescent="0.3">
      <c r="A2377" s="1">
        <v>11</v>
      </c>
      <c r="B2377" s="1" t="s">
        <v>1961</v>
      </c>
      <c r="C2377" s="1" t="str">
        <f ca="1">IFERROR(__xludf.DUMMYFUNCTION("GOOGLETRANSLATE(B2392,""en"",""ja"")"),"フィギュア")</f>
        <v>フィギュア</v>
      </c>
    </row>
    <row r="2378" spans="1:3" ht="18" customHeight="1" x14ac:dyDescent="0.3">
      <c r="A2378" s="1">
        <v>11</v>
      </c>
      <c r="B2378" s="1" t="s">
        <v>1962</v>
      </c>
      <c r="C2378" s="1" t="str">
        <f ca="1">IFERROR(__xludf.DUMMYFUNCTION("GOOGLETRANSLATE(B2393,""en"",""ja"")"),"特徴")</f>
        <v>特徴</v>
      </c>
    </row>
    <row r="2379" spans="1:3" ht="18" customHeight="1" x14ac:dyDescent="0.3">
      <c r="A2379" s="1">
        <v>11</v>
      </c>
      <c r="B2379" s="1" t="s">
        <v>1568</v>
      </c>
      <c r="C2379" s="1" t="str">
        <f ca="1">IFERROR(__xludf.DUMMYFUNCTION("GOOGLETRANSLATE(B2394,""en"",""ja"")"),"好ましい")</f>
        <v>好ましい</v>
      </c>
    </row>
    <row r="2380" spans="1:3" ht="18" customHeight="1" x14ac:dyDescent="0.3">
      <c r="A2380" s="1">
        <v>11</v>
      </c>
      <c r="B2380" s="1" t="s">
        <v>1963</v>
      </c>
      <c r="C2380" s="1" t="str">
        <f ca="1">IFERROR(__xludf.DUMMYFUNCTION("GOOGLETRANSLATE(B2395,""en"",""ja"")"),"説明")</f>
        <v>説明</v>
      </c>
    </row>
    <row r="2381" spans="1:3" ht="18" customHeight="1" x14ac:dyDescent="0.3">
      <c r="A2381" s="1">
        <v>11</v>
      </c>
      <c r="B2381" s="1" t="s">
        <v>594</v>
      </c>
      <c r="C2381" s="1" t="str">
        <f ca="1">IFERROR(__xludf.DUMMYFUNCTION("GOOGLETRANSLATE(B2396,""en"",""ja"")"),"今までに")</f>
        <v>今までに</v>
      </c>
    </row>
    <row r="2382" spans="1:3" ht="18" customHeight="1" x14ac:dyDescent="0.3">
      <c r="A2382" s="1">
        <v>11</v>
      </c>
      <c r="B2382" s="1" t="s">
        <v>905</v>
      </c>
      <c r="C2382" s="1" t="str">
        <f ca="1">IFERROR(__xludf.DUMMYFUNCTION("GOOGLETRANSLATE(B2397,""en"",""ja"")"),"イベント")</f>
        <v>イベント</v>
      </c>
    </row>
    <row r="2383" spans="1:3" ht="18" customHeight="1" x14ac:dyDescent="0.3">
      <c r="A2383" s="1">
        <v>11</v>
      </c>
      <c r="B2383" s="1" t="s">
        <v>387</v>
      </c>
      <c r="C2383" s="1" t="str">
        <f ca="1">IFERROR(__xludf.DUMMYFUNCTION("GOOGLETRANSLATE(B2398,""en"",""ja"")"),"不可欠")</f>
        <v>不可欠</v>
      </c>
    </row>
    <row r="2384" spans="1:3" ht="18" customHeight="1" x14ac:dyDescent="0.3">
      <c r="A2384" s="1">
        <v>11</v>
      </c>
      <c r="B2384" s="1" t="s">
        <v>1964</v>
      </c>
      <c r="C2384" s="1" t="str">
        <f ca="1">IFERROR(__xludf.DUMMYFUNCTION("GOOGLETRANSLATE(B2399,""en"",""ja"")"),"エンティティ")</f>
        <v>エンティティ</v>
      </c>
    </row>
    <row r="2385" spans="1:3" ht="18" customHeight="1" x14ac:dyDescent="0.3">
      <c r="A2385" s="1">
        <v>11</v>
      </c>
      <c r="B2385" s="1" t="s">
        <v>1965</v>
      </c>
      <c r="C2385" s="1" t="str">
        <f ca="1">IFERROR(__xludf.DUMMYFUNCTION("GOOGLETRANSLATE(B2400,""en"",""ja"")"),"入る")</f>
        <v>入る</v>
      </c>
    </row>
    <row r="2386" spans="1:3" ht="18" customHeight="1" x14ac:dyDescent="0.3">
      <c r="A2386" s="1">
        <v>11</v>
      </c>
      <c r="B2386" s="1" t="s">
        <v>1966</v>
      </c>
      <c r="C2386" s="1" t="str">
        <f ca="1">IFERROR(__xludf.DUMMYFUNCTION("GOOGLETRANSLATE(B2401,""en"",""ja"")"),"強化")</f>
        <v>強化</v>
      </c>
    </row>
    <row r="2387" spans="1:3" ht="18" customHeight="1" x14ac:dyDescent="0.3">
      <c r="A2387" s="1">
        <v>11</v>
      </c>
      <c r="B2387" s="1" t="s">
        <v>1967</v>
      </c>
      <c r="C2387" s="1" t="str">
        <f ca="1">IFERROR(__xludf.DUMMYFUNCTION("GOOGLETRANSLATE(B2402,""en"",""ja"")"),"敵")</f>
        <v>敵</v>
      </c>
    </row>
    <row r="2388" spans="1:3" ht="18" customHeight="1" x14ac:dyDescent="0.3">
      <c r="A2388" s="1">
        <v>11</v>
      </c>
      <c r="B2388" s="1" t="s">
        <v>1693</v>
      </c>
      <c r="C2388" s="1" t="str">
        <f ca="1">IFERROR(__xludf.DUMMYFUNCTION("GOOGLETRANSLATE(B2403,""en"",""ja"")"),"奨励します")</f>
        <v>奨励します</v>
      </c>
    </row>
    <row r="2389" spans="1:3" ht="18" customHeight="1" x14ac:dyDescent="0.3">
      <c r="A2389" s="1">
        <v>11</v>
      </c>
      <c r="B2389" s="1" t="s">
        <v>1968</v>
      </c>
      <c r="C2389" s="1" t="str">
        <f ca="1">IFERROR(__xludf.DUMMYFUNCTION("GOOGLETRANSLATE(B2404,""en"",""ja"")"),"経済的に")</f>
        <v>経済的に</v>
      </c>
    </row>
    <row r="2390" spans="1:3" ht="18" customHeight="1" x14ac:dyDescent="0.3">
      <c r="A2390" s="1">
        <v>11</v>
      </c>
      <c r="B2390" s="1" t="s">
        <v>1969</v>
      </c>
      <c r="C2390" s="1" t="str">
        <f ca="1">IFERROR(__xludf.DUMMYFUNCTION("GOOGLETRANSLATE(B2405,""en"",""ja"")"),"得ます")</f>
        <v>得ます</v>
      </c>
    </row>
    <row r="2391" spans="1:3" ht="18" customHeight="1" x14ac:dyDescent="0.3">
      <c r="A2391" s="1">
        <v>11</v>
      </c>
      <c r="B2391" s="1" t="s">
        <v>1970</v>
      </c>
      <c r="C2391" s="1" t="str">
        <f ca="1">IFERROR(__xludf.DUMMYFUNCTION("GOOGLETRANSLATE(B2406,""en"",""ja"")"),"ドライ")</f>
        <v>ドライ</v>
      </c>
    </row>
    <row r="2392" spans="1:3" ht="18" customHeight="1" x14ac:dyDescent="0.3">
      <c r="A2392" s="1">
        <v>11</v>
      </c>
      <c r="B2392" s="1" t="s">
        <v>1971</v>
      </c>
      <c r="C2392" s="1" t="str">
        <f ca="1">IFERROR(__xludf.DUMMYFUNCTION("GOOGLETRANSLATE(B2407,""en"",""ja"")"),"飲酒")</f>
        <v>飲酒</v>
      </c>
    </row>
    <row r="2393" spans="1:3" ht="18" customHeight="1" x14ac:dyDescent="0.3">
      <c r="A2393" s="1">
        <v>11</v>
      </c>
      <c r="B2393" s="1" t="s">
        <v>1972</v>
      </c>
      <c r="C2393" s="1" t="str">
        <f ca="1">IFERROR(__xludf.DUMMYFUNCTION("GOOGLETRANSLATE(B2408,""en"",""ja"")"),"劇的")</f>
        <v>劇的</v>
      </c>
    </row>
    <row r="2394" spans="1:3" ht="18" customHeight="1" x14ac:dyDescent="0.3">
      <c r="A2394" s="1">
        <v>11</v>
      </c>
      <c r="B2394" s="1" t="s">
        <v>1973</v>
      </c>
      <c r="C2394" s="1" t="str">
        <f ca="1">IFERROR(__xludf.DUMMYFUNCTION("GOOGLETRANSLATE(B2409,""en"",""ja"")"),"数十")</f>
        <v>数十</v>
      </c>
    </row>
    <row r="2395" spans="1:3" ht="18" customHeight="1" x14ac:dyDescent="0.3">
      <c r="A2395" s="1">
        <v>11</v>
      </c>
      <c r="B2395" s="1" t="s">
        <v>1974</v>
      </c>
      <c r="C2395" s="1" t="str">
        <f ca="1">IFERROR(__xludf.DUMMYFUNCTION("GOOGLETRANSLATE(B2410,""en"",""ja"")"),"離婚")</f>
        <v>離婚</v>
      </c>
    </row>
    <row r="2396" spans="1:3" ht="18" customHeight="1" x14ac:dyDescent="0.3">
      <c r="A2396" s="1">
        <v>11</v>
      </c>
      <c r="B2396" s="1" t="s">
        <v>1585</v>
      </c>
      <c r="C2396" s="1" t="str">
        <f ca="1">IFERROR(__xludf.DUMMYFUNCTION("GOOGLETRANSLATE(B2411,""en"",""ja"")"),"神")</f>
        <v>神</v>
      </c>
    </row>
    <row r="2397" spans="1:3" ht="18" customHeight="1" x14ac:dyDescent="0.3">
      <c r="A2397" s="1">
        <v>11</v>
      </c>
      <c r="B2397" s="1" t="s">
        <v>1975</v>
      </c>
      <c r="C2397" s="1" t="str">
        <f ca="1">IFERROR(__xludf.DUMMYFUNCTION("GOOGLETRANSLATE(B2412,""en"",""ja"")"),"多様性")</f>
        <v>多様性</v>
      </c>
    </row>
    <row r="2398" spans="1:3" ht="18" customHeight="1" x14ac:dyDescent="0.3">
      <c r="A2398" s="1">
        <v>11</v>
      </c>
      <c r="B2398" s="1" t="s">
        <v>1976</v>
      </c>
      <c r="C2398" s="1" t="str">
        <f ca="1">IFERROR(__xludf.DUMMYFUNCTION("GOOGLETRANSLATE(B2413,""en"",""ja"")"),"独特")</f>
        <v>独特</v>
      </c>
    </row>
    <row r="2399" spans="1:3" ht="18" customHeight="1" x14ac:dyDescent="0.3">
      <c r="A2399" s="1">
        <v>11</v>
      </c>
      <c r="B2399" s="1" t="s">
        <v>1977</v>
      </c>
      <c r="C2399" s="1" t="str">
        <f ca="1">IFERROR(__xludf.DUMMYFUNCTION("GOOGLETRANSLATE(B2414,""en"",""ja"")"),"崩壊")</f>
        <v>崩壊</v>
      </c>
    </row>
    <row r="2400" spans="1:3" ht="18" customHeight="1" x14ac:dyDescent="0.3">
      <c r="A2400" s="1">
        <v>11</v>
      </c>
      <c r="B2400" s="1" t="s">
        <v>1978</v>
      </c>
      <c r="C2400" s="1" t="str">
        <f ca="1">IFERROR(__xludf.DUMMYFUNCTION("GOOGLETRANSLATE(B2415,""en"",""ja"")"),"討論")</f>
        <v>討論</v>
      </c>
    </row>
    <row r="2401" spans="1:3" ht="18" customHeight="1" x14ac:dyDescent="0.3">
      <c r="A2401" s="1">
        <v>11</v>
      </c>
      <c r="B2401" s="1" t="s">
        <v>1979</v>
      </c>
      <c r="C2401" s="1" t="str">
        <f ca="1">IFERROR(__xludf.DUMMYFUNCTION("GOOGLETRANSLATE(B2416,""en"",""ja"")"),"二酸化")</f>
        <v>二酸化</v>
      </c>
    </row>
    <row r="2402" spans="1:3" ht="18" customHeight="1" x14ac:dyDescent="0.3">
      <c r="A2402" s="1">
        <v>11</v>
      </c>
      <c r="B2402" s="1" t="s">
        <v>1020</v>
      </c>
      <c r="C2402" s="1" t="str">
        <f ca="1">IFERROR(__xludf.DUMMYFUNCTION("GOOGLETRANSLATE(B2417,""en"",""ja"")"),"差")</f>
        <v>差</v>
      </c>
    </row>
    <row r="2403" spans="1:3" ht="18" customHeight="1" x14ac:dyDescent="0.3">
      <c r="A2403" s="1">
        <v>11</v>
      </c>
      <c r="B2403" s="1" t="s">
        <v>408</v>
      </c>
      <c r="C2403" s="1" t="str">
        <f ca="1">IFERROR(__xludf.DUMMYFUNCTION("GOOGLETRANSLATE(B2418,""en"",""ja"")"),"発展させる")</f>
        <v>発展させる</v>
      </c>
    </row>
    <row r="2404" spans="1:3" ht="18" customHeight="1" x14ac:dyDescent="0.3">
      <c r="A2404" s="1">
        <v>11</v>
      </c>
      <c r="B2404" s="1" t="s">
        <v>1980</v>
      </c>
      <c r="C2404" s="1" t="str">
        <f ca="1">IFERROR(__xludf.DUMMYFUNCTION("GOOGLETRANSLATE(B2419,""en"",""ja"")"),"デザイナー")</f>
        <v>デザイナー</v>
      </c>
    </row>
    <row r="2405" spans="1:3" ht="18" customHeight="1" x14ac:dyDescent="0.3">
      <c r="A2405" s="1">
        <v>11</v>
      </c>
      <c r="B2405" s="1" t="s">
        <v>1981</v>
      </c>
      <c r="C2405" s="1" t="str">
        <f ca="1">IFERROR(__xludf.DUMMYFUNCTION("GOOGLETRANSLATE(B2420,""en"",""ja"")"),"依存")</f>
        <v>依存</v>
      </c>
    </row>
    <row r="2406" spans="1:3" ht="18" customHeight="1" x14ac:dyDescent="0.3">
      <c r="A2406" s="1">
        <v>11</v>
      </c>
      <c r="B2406" s="1" t="s">
        <v>963</v>
      </c>
      <c r="C2406" s="1" t="str">
        <f ca="1">IFERROR(__xludf.DUMMYFUNCTION("GOOGLETRANSLATE(B2421,""en"",""ja"")"),"決定")</f>
        <v>決定</v>
      </c>
    </row>
    <row r="2407" spans="1:3" ht="18" customHeight="1" x14ac:dyDescent="0.3">
      <c r="A2407" s="1">
        <v>11</v>
      </c>
      <c r="B2407" s="1" t="s">
        <v>1982</v>
      </c>
      <c r="C2407" s="1" t="str">
        <f ca="1">IFERROR(__xludf.DUMMYFUNCTION("GOOGLETRANSLATE(B2422,""en"",""ja"")"),"日々")</f>
        <v>日々</v>
      </c>
    </row>
    <row r="2408" spans="1:3" ht="18" customHeight="1" x14ac:dyDescent="0.3">
      <c r="A2408" s="1">
        <v>11</v>
      </c>
      <c r="B2408" s="1" t="s">
        <v>1983</v>
      </c>
      <c r="C2408" s="1" t="str">
        <f ca="1">IFERROR(__xludf.DUMMYFUNCTION("GOOGLETRANSLATE(B2423,""en"",""ja"")"),"芯")</f>
        <v>芯</v>
      </c>
    </row>
    <row r="2409" spans="1:3" ht="18" customHeight="1" x14ac:dyDescent="0.3">
      <c r="A2409" s="1">
        <v>11</v>
      </c>
      <c r="B2409" s="1" t="s">
        <v>1984</v>
      </c>
      <c r="C2409" s="1" t="str">
        <f ca="1">IFERROR(__xludf.DUMMYFUNCTION("GOOGLETRANSLATE(B2424,""en"",""ja"")"),"便利")</f>
        <v>便利</v>
      </c>
    </row>
    <row r="2410" spans="1:3" ht="18" customHeight="1" x14ac:dyDescent="0.3">
      <c r="A2410" s="1">
        <v>11</v>
      </c>
      <c r="B2410" s="1" t="s">
        <v>1985</v>
      </c>
      <c r="C2410" s="1" t="str">
        <f ca="1">IFERROR(__xludf.DUMMYFUNCTION("GOOGLETRANSLATE(B2425,""en"",""ja"")"),"反対")</f>
        <v>反対</v>
      </c>
    </row>
    <row r="2411" spans="1:3" ht="18" customHeight="1" x14ac:dyDescent="0.3">
      <c r="A2411" s="1">
        <v>11</v>
      </c>
      <c r="B2411" s="1" t="s">
        <v>1986</v>
      </c>
      <c r="C2411" s="1" t="str">
        <f ca="1">IFERROR(__xludf.DUMMYFUNCTION("GOOGLETRANSLATE(B2426,""en"",""ja"")"),"絶えず")</f>
        <v>絶えず</v>
      </c>
    </row>
    <row r="2412" spans="1:3" ht="18" customHeight="1" x14ac:dyDescent="0.3">
      <c r="A2412" s="1">
        <v>11</v>
      </c>
      <c r="B2412" s="1" t="s">
        <v>1987</v>
      </c>
      <c r="C2412" s="1" t="str">
        <f ca="1">IFERROR(__xludf.DUMMYFUNCTION("GOOGLETRANSLATE(B2427,""en"",""ja"")"),"文脈上の")</f>
        <v>文脈上の</v>
      </c>
    </row>
    <row r="2413" spans="1:3" ht="18" customHeight="1" x14ac:dyDescent="0.3">
      <c r="A2413" s="1">
        <v>11</v>
      </c>
      <c r="B2413" s="1" t="s">
        <v>1988</v>
      </c>
      <c r="C2413" s="1" t="str">
        <f ca="1">IFERROR(__xludf.DUMMYFUNCTION("GOOGLETRANSLATE(B2428,""en"",""ja"")"),"保守派")</f>
        <v>保守派</v>
      </c>
    </row>
    <row r="2414" spans="1:3" ht="18" customHeight="1" x14ac:dyDescent="0.3">
      <c r="A2414" s="1">
        <v>11</v>
      </c>
      <c r="B2414" s="1" t="s">
        <v>1989</v>
      </c>
      <c r="C2414" s="1" t="str">
        <f ca="1">IFERROR(__xludf.DUMMYFUNCTION("GOOGLETRANSLATE(B2429,""en"",""ja"")"),"保全")</f>
        <v>保全</v>
      </c>
    </row>
    <row r="2415" spans="1:3" ht="18" customHeight="1" x14ac:dyDescent="0.3">
      <c r="A2415" s="1">
        <v>11</v>
      </c>
      <c r="B2415" s="1" t="s">
        <v>1990</v>
      </c>
      <c r="C2415" s="1" t="str">
        <f ca="1">IFERROR(__xludf.DUMMYFUNCTION("GOOGLETRANSLATE(B2430,""en"",""ja"")"),"結果")</f>
        <v>結果</v>
      </c>
    </row>
    <row r="2416" spans="1:3" ht="18" customHeight="1" x14ac:dyDescent="0.3">
      <c r="A2416" s="1">
        <v>11</v>
      </c>
      <c r="B2416" s="1" t="s">
        <v>1991</v>
      </c>
      <c r="C2416" s="1" t="str">
        <f ca="1">IFERROR(__xludf.DUMMYFUNCTION("GOOGLETRANSLATE(B2431,""en"",""ja"")"),"同意")</f>
        <v>同意</v>
      </c>
    </row>
    <row r="2417" spans="1:3" ht="18" customHeight="1" x14ac:dyDescent="0.3">
      <c r="A2417" s="1">
        <v>11</v>
      </c>
      <c r="B2417" s="1" t="s">
        <v>1992</v>
      </c>
      <c r="C2417" s="1" t="str">
        <f ca="1">IFERROR(__xludf.DUMMYFUNCTION("GOOGLETRANSLATE(B2432,""en"",""ja"")"),"コンフィギュレーション")</f>
        <v>コンフィギュレーション</v>
      </c>
    </row>
    <row r="2418" spans="1:3" ht="18" customHeight="1" x14ac:dyDescent="0.3">
      <c r="A2418" s="1">
        <v>11</v>
      </c>
      <c r="B2418" s="1" t="s">
        <v>369</v>
      </c>
      <c r="C2418" s="1" t="str">
        <f ca="1">IFERROR(__xludf.DUMMYFUNCTION("GOOGLETRANSLATE(B2433,""en"",""ja"")"),"コンピューター")</f>
        <v>コンピューター</v>
      </c>
    </row>
    <row r="2419" spans="1:3" ht="18" customHeight="1" x14ac:dyDescent="0.3">
      <c r="A2419" s="1">
        <v>11</v>
      </c>
      <c r="B2419" s="1" t="s">
        <v>301</v>
      </c>
      <c r="C2419" s="1" t="str">
        <f ca="1">IFERROR(__xludf.DUMMYFUNCTION("GOOGLETRANSLATE(B2434,""en"",""ja"")"),"繁雑")</f>
        <v>繁雑</v>
      </c>
    </row>
    <row r="2420" spans="1:3" ht="18" customHeight="1" x14ac:dyDescent="0.3">
      <c r="A2420" s="1">
        <v>11</v>
      </c>
      <c r="B2420" s="1" t="s">
        <v>1993</v>
      </c>
      <c r="C2420" s="1" t="str">
        <f ca="1">IFERROR(__xludf.DUMMYFUNCTION("GOOGLETRANSLATE(B2435,""en"",""ja"")"),"完成")</f>
        <v>完成</v>
      </c>
    </row>
    <row r="2421" spans="1:3" ht="18" customHeight="1" x14ac:dyDescent="0.3">
      <c r="A2421" s="1">
        <v>11</v>
      </c>
      <c r="B2421" s="1" t="s">
        <v>1994</v>
      </c>
      <c r="C2421" s="1" t="str">
        <f ca="1">IFERROR(__xludf.DUMMYFUNCTION("GOOGLETRANSLATE(B2436,""en"",""ja"")"),"比較")</f>
        <v>比較</v>
      </c>
    </row>
    <row r="2422" spans="1:3" ht="18" customHeight="1" x14ac:dyDescent="0.3">
      <c r="A2422" s="1">
        <v>11</v>
      </c>
      <c r="B2422" s="1" t="s">
        <v>917</v>
      </c>
      <c r="C2422" s="1" t="str">
        <f ca="1">IFERROR(__xludf.DUMMYFUNCTION("GOOGLETRANSLATE(B2437,""en"",""ja"")"),"カレッジ")</f>
        <v>カレッジ</v>
      </c>
    </row>
    <row r="2423" spans="1:3" ht="18" customHeight="1" x14ac:dyDescent="0.3">
      <c r="A2423" s="1">
        <v>11</v>
      </c>
      <c r="B2423" s="1" t="s">
        <v>1023</v>
      </c>
      <c r="C2423" s="1" t="str">
        <f ca="1">IFERROR(__xludf.DUMMYFUNCTION("GOOGLETRANSLATE(B2438,""en"",""ja"")"),"集合的な")</f>
        <v>集合的な</v>
      </c>
    </row>
    <row r="2424" spans="1:3" ht="18" customHeight="1" x14ac:dyDescent="0.3">
      <c r="A2424" s="1">
        <v>11</v>
      </c>
      <c r="B2424" s="1" t="s">
        <v>1995</v>
      </c>
      <c r="C2424" s="1" t="str">
        <f ca="1">IFERROR(__xludf.DUMMYFUNCTION("GOOGLETRANSLATE(B2439,""en"",""ja"")"),"閉じる")</f>
        <v>閉じる</v>
      </c>
    </row>
    <row r="2425" spans="1:3" ht="18" customHeight="1" x14ac:dyDescent="0.3">
      <c r="A2425" s="1">
        <v>11</v>
      </c>
      <c r="B2425" s="1" t="s">
        <v>1996</v>
      </c>
      <c r="C2425" s="1" t="str">
        <f ca="1">IFERROR(__xludf.DUMMYFUNCTION("GOOGLETRANSLATE(B2441,""en"",""ja"")"),"選択")</f>
        <v>選択</v>
      </c>
    </row>
    <row r="2426" spans="1:3" ht="18" customHeight="1" x14ac:dyDescent="0.3">
      <c r="A2426" s="1">
        <v>11</v>
      </c>
      <c r="B2426" s="1" t="s">
        <v>1997</v>
      </c>
      <c r="C2426" s="1" t="str">
        <f ca="1">IFERROR(__xludf.DUMMYFUNCTION("GOOGLETRANSLATE(B2442,""en"",""ja"")"),"チャクラ")</f>
        <v>チャクラ</v>
      </c>
    </row>
    <row r="2427" spans="1:3" ht="18" customHeight="1" x14ac:dyDescent="0.3">
      <c r="A2427" s="1">
        <v>11</v>
      </c>
      <c r="B2427" s="1" t="s">
        <v>1998</v>
      </c>
      <c r="C2427" s="1" t="str">
        <f ca="1">IFERROR(__xludf.DUMMYFUNCTION("GOOGLETRANSLATE(B2443,""en"",""ja"")"),"鎖")</f>
        <v>鎖</v>
      </c>
    </row>
    <row r="2428" spans="1:3" ht="18" customHeight="1" x14ac:dyDescent="0.3">
      <c r="A2428" s="1">
        <v>11</v>
      </c>
      <c r="B2428" s="1" t="s">
        <v>1153</v>
      </c>
      <c r="C2428" s="1" t="str">
        <f ca="1">IFERROR(__xludf.DUMMYFUNCTION("GOOGLETRANSLATE(B2444,""en"",""ja"")"),"細胞")</f>
        <v>細胞</v>
      </c>
    </row>
    <row r="2429" spans="1:3" ht="18" customHeight="1" x14ac:dyDescent="0.3">
      <c r="A2429" s="1">
        <v>11</v>
      </c>
      <c r="B2429" s="1" t="s">
        <v>1999</v>
      </c>
      <c r="C2429" s="1" t="str">
        <f ca="1">IFERROR(__xludf.DUMMYFUNCTION("GOOGLETRANSLATE(B2445,""en"",""ja"")"),"カテゴリー")</f>
        <v>カテゴリー</v>
      </c>
    </row>
    <row r="2430" spans="1:3" ht="18" customHeight="1" x14ac:dyDescent="0.3">
      <c r="A2430" s="1">
        <v>11</v>
      </c>
      <c r="B2430" s="1" t="s">
        <v>2000</v>
      </c>
      <c r="C2430" s="1" t="str">
        <f ca="1">IFERROR(__xludf.DUMMYFUNCTION("GOOGLETRANSLATE(B2446,""en"",""ja"")"),"注意深いです")</f>
        <v>注意深いです</v>
      </c>
    </row>
    <row r="2431" spans="1:3" ht="18" customHeight="1" x14ac:dyDescent="0.3">
      <c r="A2431" s="1">
        <v>11</v>
      </c>
      <c r="B2431" s="1" t="s">
        <v>2001</v>
      </c>
      <c r="C2431" s="1" t="str">
        <f ca="1">IFERROR(__xludf.DUMMYFUNCTION("GOOGLETRANSLATE(B2447,""en"",""ja"")"),"炭素")</f>
        <v>炭素</v>
      </c>
    </row>
    <row r="2432" spans="1:3" ht="18" customHeight="1" x14ac:dyDescent="0.3">
      <c r="A2432" s="1">
        <v>11</v>
      </c>
      <c r="B2432" s="1" t="s">
        <v>2002</v>
      </c>
      <c r="C2432" s="1" t="str">
        <f ca="1">IFERROR(__xludf.DUMMYFUNCTION("GOOGLETRANSLATE(B2448,""en"",""ja"")"),"購入")</f>
        <v>購入</v>
      </c>
    </row>
    <row r="2433" spans="1:3" ht="18" customHeight="1" x14ac:dyDescent="0.3">
      <c r="A2433" s="1">
        <v>11</v>
      </c>
      <c r="B2433" s="1" t="s">
        <v>2003</v>
      </c>
      <c r="C2433" s="1" t="str">
        <f ca="1">IFERROR(__xludf.DUMMYFUNCTION("GOOGLETRANSLATE(B2449,""en"",""ja"")"),"かさ")</f>
        <v>かさ</v>
      </c>
    </row>
    <row r="2434" spans="1:3" ht="18" customHeight="1" x14ac:dyDescent="0.3">
      <c r="A2434" s="1">
        <v>11</v>
      </c>
      <c r="B2434" s="1" t="s">
        <v>2004</v>
      </c>
      <c r="C2434" s="1" t="str">
        <f ca="1">IFERROR(__xludf.DUMMYFUNCTION("GOOGLETRANSLATE(B2450,""en"",""ja"")"),"英国")</f>
        <v>英国</v>
      </c>
    </row>
    <row r="2435" spans="1:3" ht="18" customHeight="1" x14ac:dyDescent="0.3">
      <c r="A2435" s="1">
        <v>11</v>
      </c>
      <c r="B2435" s="1" t="s">
        <v>2005</v>
      </c>
      <c r="C2435" s="1" t="str">
        <f ca="1">IFERROR(__xludf.DUMMYFUNCTION("GOOGLETRANSLATE(B2451,""en"",""ja"")"),"生物学")</f>
        <v>生物学</v>
      </c>
    </row>
    <row r="2436" spans="1:3" ht="18" customHeight="1" x14ac:dyDescent="0.3">
      <c r="A2436" s="1">
        <v>11</v>
      </c>
      <c r="B2436" s="1" t="s">
        <v>2006</v>
      </c>
      <c r="C2436" s="1" t="str">
        <f ca="1">IFERROR(__xludf.DUMMYFUNCTION("GOOGLETRANSLATE(B2452,""en"",""ja"")"),"行動")</f>
        <v>行動</v>
      </c>
    </row>
    <row r="2437" spans="1:3" ht="18" customHeight="1" x14ac:dyDescent="0.3">
      <c r="A2437" s="1">
        <v>11</v>
      </c>
      <c r="B2437" s="1" t="s">
        <v>2007</v>
      </c>
      <c r="C2437" s="1" t="str">
        <f ca="1">IFERROR(__xludf.DUMMYFUNCTION("GOOGLETRANSLATE(B2453,""en"",""ja"")"),"評価します")</f>
        <v>評価します</v>
      </c>
    </row>
    <row r="2438" spans="1:3" ht="18" customHeight="1" x14ac:dyDescent="0.3">
      <c r="A2438" s="1">
        <v>11</v>
      </c>
      <c r="B2438" s="1" t="s">
        <v>334</v>
      </c>
      <c r="C2438" s="1" t="str">
        <f ca="1">IFERROR(__xludf.DUMMYFUNCTION("GOOGLETRANSLATE(B2454,""en"",""ja"")"),"周りに")</f>
        <v>周りに</v>
      </c>
    </row>
    <row r="2439" spans="1:3" ht="18" customHeight="1" x14ac:dyDescent="0.3">
      <c r="A2439" s="1">
        <v>11</v>
      </c>
      <c r="B2439" s="1" t="s">
        <v>2008</v>
      </c>
      <c r="C2439" s="1" t="str">
        <f ca="1">IFERROR(__xludf.DUMMYFUNCTION("GOOGLETRANSLATE(B2455,""en"",""ja"")"),"生じます")</f>
        <v>生じます</v>
      </c>
    </row>
    <row r="2440" spans="1:3" ht="18" customHeight="1" x14ac:dyDescent="0.3">
      <c r="A2440" s="1">
        <v>11</v>
      </c>
      <c r="B2440" s="1" t="s">
        <v>688</v>
      </c>
      <c r="C2440" s="1" t="str">
        <f ca="1">IFERROR(__xludf.DUMMYFUNCTION("GOOGLETRANSLATE(B2456,""en"",""ja"")"),"回答")</f>
        <v>回答</v>
      </c>
    </row>
    <row r="2441" spans="1:3" ht="18" customHeight="1" x14ac:dyDescent="0.3">
      <c r="A2441" s="1">
        <v>11</v>
      </c>
      <c r="B2441" s="1" t="s">
        <v>2009</v>
      </c>
      <c r="C2441" s="1" t="str">
        <f ca="1">IFERROR(__xludf.DUMMYFUNCTION("GOOGLETRANSLATE(B2457,""en"",""ja"")"),"アメリカ")</f>
        <v>アメリカ</v>
      </c>
    </row>
    <row r="2442" spans="1:3" ht="18" customHeight="1" x14ac:dyDescent="0.3">
      <c r="A2442" s="1">
        <v>11</v>
      </c>
      <c r="B2442" s="1" t="s">
        <v>2010</v>
      </c>
      <c r="C2442" s="1" t="str">
        <f ca="1">IFERROR(__xludf.DUMMYFUNCTION("GOOGLETRANSLATE(B2458,""en"",""ja"")"),"そばに")</f>
        <v>そばに</v>
      </c>
    </row>
    <row r="2443" spans="1:3" ht="18" customHeight="1" x14ac:dyDescent="0.3">
      <c r="A2443" s="1">
        <v>11</v>
      </c>
      <c r="B2443" s="1" t="s">
        <v>2011</v>
      </c>
      <c r="C2443" s="1" t="str">
        <f ca="1">IFERROR(__xludf.DUMMYFUNCTION("GOOGLETRANSLATE(B2459,""en"",""ja"")"),"豊かな")</f>
        <v>豊かな</v>
      </c>
    </row>
    <row r="2444" spans="1:3" ht="18" customHeight="1" x14ac:dyDescent="0.3">
      <c r="A2444" s="1">
        <v>11</v>
      </c>
      <c r="B2444" s="1" t="s">
        <v>2012</v>
      </c>
      <c r="C2444" s="1" t="str">
        <f ca="1">IFERROR(__xludf.DUMMYFUNCTION("GOOGLETRANSLATE(B2460,""en"",""ja"")"),"加入")</f>
        <v>加入</v>
      </c>
    </row>
    <row r="2445" spans="1:3" ht="18" customHeight="1" x14ac:dyDescent="0.3">
      <c r="A2445" s="1">
        <v>11</v>
      </c>
      <c r="B2445" s="1" t="s">
        <v>2013</v>
      </c>
      <c r="C2445" s="1" t="str">
        <f ca="1">IFERROR(__xludf.DUMMYFUNCTION("GOOGLETRANSLATE(B2461,""en"",""ja"")"),"影響")</f>
        <v>影響</v>
      </c>
    </row>
    <row r="2446" spans="1:3" ht="18" customHeight="1" x14ac:dyDescent="0.3">
      <c r="A2446" s="1">
        <v>11</v>
      </c>
      <c r="B2446" s="1" t="s">
        <v>2014</v>
      </c>
      <c r="C2446" s="1" t="str">
        <f ca="1">IFERROR(__xludf.DUMMYFUNCTION("GOOGLETRANSLATE(B2462,""en"",""ja"")"),"隣接")</f>
        <v>隣接</v>
      </c>
    </row>
    <row r="2447" spans="1:3" ht="18" customHeight="1" x14ac:dyDescent="0.3">
      <c r="A2447" s="1">
        <v>11</v>
      </c>
      <c r="B2447" s="1" t="s">
        <v>2015</v>
      </c>
      <c r="C2447" s="1" t="str">
        <f ca="1">IFERROR(__xludf.DUMMYFUNCTION("GOOGLETRANSLATE(B2463,""en"",""ja"")"),"追加")</f>
        <v>追加</v>
      </c>
    </row>
    <row r="2448" spans="1:3" ht="18" customHeight="1" x14ac:dyDescent="0.3">
      <c r="A2448" s="1">
        <v>11</v>
      </c>
      <c r="B2448" s="1" t="s">
        <v>2016</v>
      </c>
      <c r="C2448" s="1" t="str">
        <f ca="1">IFERROR(__xludf.DUMMYFUNCTION("GOOGLETRANSLATE(B2464,""en"",""ja"")"),"演技")</f>
        <v>演技</v>
      </c>
    </row>
    <row r="2449" spans="1:3" ht="18" customHeight="1" x14ac:dyDescent="0.3">
      <c r="A2449" s="1">
        <v>11</v>
      </c>
      <c r="B2449" s="1" t="s">
        <v>2017</v>
      </c>
      <c r="C2449" s="1" t="str">
        <f ca="1">IFERROR(__xludf.DUMMYFUNCTION("GOOGLETRANSLATE(B2465,""en"",""ja"")"),"成し遂げる")</f>
        <v>成し遂げる</v>
      </c>
    </row>
    <row r="2450" spans="1:3" ht="18" customHeight="1" x14ac:dyDescent="0.3">
      <c r="A2450" s="1">
        <v>11</v>
      </c>
      <c r="B2450" s="1" t="s">
        <v>2018</v>
      </c>
      <c r="C2450" s="1" t="str">
        <f ca="1">IFERROR(__xludf.DUMMYFUNCTION("GOOGLETRANSLATE(B2466,""en"",""ja"")"),"事故")</f>
        <v>事故</v>
      </c>
    </row>
    <row r="2451" spans="1:3" ht="18" customHeight="1" x14ac:dyDescent="0.3">
      <c r="A2451" s="1">
        <v>10</v>
      </c>
      <c r="B2451" s="1" t="s">
        <v>49</v>
      </c>
      <c r="C2451" s="1" t="str">
        <f ca="1">IFERROR(__xludf.DUMMYFUNCTION("GOOGLETRANSLATE(B2467,""en"",""ja"")"),"君は")</f>
        <v>君は</v>
      </c>
    </row>
    <row r="2452" spans="1:3" ht="18" customHeight="1" x14ac:dyDescent="0.3">
      <c r="A2452" s="1">
        <v>10</v>
      </c>
      <c r="B2452" s="1" t="s">
        <v>2019</v>
      </c>
      <c r="C2452" s="1" t="str">
        <f ca="1">IFERROR(__xludf.DUMMYFUNCTION("GOOGLETRANSLATE(B2468,""en"",""ja"")"),"書き込み")</f>
        <v>書き込み</v>
      </c>
    </row>
    <row r="2453" spans="1:3" ht="18" customHeight="1" x14ac:dyDescent="0.3">
      <c r="A2453" s="1">
        <v>10</v>
      </c>
      <c r="B2453" s="1" t="s">
        <v>2020</v>
      </c>
      <c r="C2453" s="1" t="str">
        <f ca="1">IFERROR(__xludf.DUMMYFUNCTION("GOOGLETRANSLATE(B2469,""en"",""ja"")"),"作家")</f>
        <v>作家</v>
      </c>
    </row>
    <row r="2454" spans="1:3" ht="18" customHeight="1" x14ac:dyDescent="0.3">
      <c r="A2454" s="1">
        <v>10</v>
      </c>
      <c r="B2454" s="1" t="s">
        <v>2021</v>
      </c>
      <c r="C2454" s="1" t="str">
        <f ca="1">IFERROR(__xludf.DUMMYFUNCTION("GOOGLETRANSLATE(B2470,""en"",""ja"")"),"ウィンストン")</f>
        <v>ウィンストン</v>
      </c>
    </row>
    <row r="2455" spans="1:3" ht="18" customHeight="1" x14ac:dyDescent="0.3">
      <c r="A2455" s="1">
        <v>10</v>
      </c>
      <c r="B2455" s="1" t="s">
        <v>2022</v>
      </c>
      <c r="C2455" s="1" t="str">
        <f ca="1">IFERROR(__xludf.DUMMYFUNCTION("GOOGLETRANSLATE(B2471,""en"",""ja"")"),"喜んで")</f>
        <v>喜んで</v>
      </c>
    </row>
    <row r="2456" spans="1:3" ht="18" customHeight="1" x14ac:dyDescent="0.3">
      <c r="A2456" s="1">
        <v>10</v>
      </c>
      <c r="B2456" s="1" t="s">
        <v>2023</v>
      </c>
      <c r="C2456" s="1" t="str">
        <f ca="1">IFERROR(__xludf.DUMMYFUNCTION("GOOGLETRANSLATE(B2472,""en"",""ja"")"),"野生動物")</f>
        <v>野生動物</v>
      </c>
    </row>
    <row r="2457" spans="1:3" ht="18" customHeight="1" x14ac:dyDescent="0.3">
      <c r="A2457" s="1">
        <v>10</v>
      </c>
      <c r="B2457" s="1" t="s">
        <v>2024</v>
      </c>
      <c r="C2457" s="1" t="str">
        <f ca="1">IFERROR(__xludf.DUMMYFUNCTION("GOOGLETRANSLATE(B2473,""en"",""ja"")"),"どこ")</f>
        <v>どこ</v>
      </c>
    </row>
    <row r="2458" spans="1:3" ht="18" customHeight="1" x14ac:dyDescent="0.3">
      <c r="A2458" s="1">
        <v>10</v>
      </c>
      <c r="B2458" s="1" t="s">
        <v>1615</v>
      </c>
      <c r="C2458" s="1" t="str">
        <f ca="1">IFERROR(__xludf.DUMMYFUNCTION("GOOGLETRANSLATE(B2474,""en"",""ja"")"),"重量")</f>
        <v>重量</v>
      </c>
    </row>
    <row r="2459" spans="1:3" ht="18" customHeight="1" x14ac:dyDescent="0.3">
      <c r="A2459" s="1">
        <v>10</v>
      </c>
      <c r="B2459" s="1" t="s">
        <v>1497</v>
      </c>
      <c r="C2459" s="1" t="str">
        <f ca="1">IFERROR(__xludf.DUMMYFUNCTION("GOOGLETRANSLATE(B2475,""en"",""ja"")"),"ビジョン")</f>
        <v>ビジョン</v>
      </c>
    </row>
    <row r="2460" spans="1:3" ht="18" customHeight="1" x14ac:dyDescent="0.3">
      <c r="A2460" s="1">
        <v>10</v>
      </c>
      <c r="B2460" s="1" t="s">
        <v>2025</v>
      </c>
      <c r="C2460" s="1" t="str">
        <f ca="1">IFERROR(__xludf.DUMMYFUNCTION("GOOGLETRANSLATE(B2476,""en"",""ja"")"),"犠牲者")</f>
        <v>犠牲者</v>
      </c>
    </row>
    <row r="2461" spans="1:3" ht="18" customHeight="1" x14ac:dyDescent="0.3">
      <c r="A2461" s="1">
        <v>10</v>
      </c>
      <c r="B2461" s="1" t="s">
        <v>2026</v>
      </c>
      <c r="C2461" s="1" t="str">
        <f ca="1">IFERROR(__xludf.DUMMYFUNCTION("GOOGLETRANSLATE(B2477,""en"",""ja"")"),"変")</f>
        <v>変</v>
      </c>
    </row>
    <row r="2462" spans="1:3" ht="18" customHeight="1" x14ac:dyDescent="0.3">
      <c r="A2462" s="1">
        <v>10</v>
      </c>
      <c r="B2462" s="1" t="s">
        <v>2027</v>
      </c>
      <c r="C2462" s="1" t="str">
        <f ca="1">IFERROR(__xludf.DUMMYFUNCTION("GOOGLETRANSLATE(B2478,""en"",""ja"")"),"ない限り、")</f>
        <v>ない限り、</v>
      </c>
    </row>
    <row r="2463" spans="1:3" ht="18" customHeight="1" x14ac:dyDescent="0.3">
      <c r="A2463" s="1">
        <v>10</v>
      </c>
      <c r="B2463" s="1" t="s">
        <v>2028</v>
      </c>
      <c r="C2463" s="1" t="str">
        <f ca="1">IFERROR(__xludf.DUMMYFUNCTION("GOOGLETRANSLATE(B2479,""en"",""ja"")"),"統一")</f>
        <v>統一</v>
      </c>
    </row>
    <row r="2464" spans="1:3" ht="18" customHeight="1" x14ac:dyDescent="0.3">
      <c r="A2464" s="1">
        <v>10</v>
      </c>
      <c r="B2464" s="1" t="s">
        <v>370</v>
      </c>
      <c r="C2464" s="1" t="str">
        <f ca="1">IFERROR(__xludf.DUMMYFUNCTION("GOOGLETRANSLATE(B2480,""en"",""ja"")"),"理解する")</f>
        <v>理解する</v>
      </c>
    </row>
    <row r="2465" spans="1:3" ht="18" customHeight="1" x14ac:dyDescent="0.3">
      <c r="A2465" s="1">
        <v>10</v>
      </c>
      <c r="B2465" s="1" t="s">
        <v>2029</v>
      </c>
      <c r="C2465" s="1" t="str">
        <f ca="1">IFERROR(__xludf.DUMMYFUNCTION("GOOGLETRANSLATE(B2481,""en"",""ja"")"),"究極")</f>
        <v>究極</v>
      </c>
    </row>
    <row r="2466" spans="1:3" ht="18" customHeight="1" x14ac:dyDescent="0.3">
      <c r="A2466" s="1">
        <v>10</v>
      </c>
      <c r="B2466" s="1" t="s">
        <v>2030</v>
      </c>
      <c r="C2466" s="1" t="str">
        <f ca="1">IFERROR(__xludf.DUMMYFUNCTION("GOOGLETRANSLATE(B2482,""en"",""ja"")"),"二回")</f>
        <v>二回</v>
      </c>
    </row>
    <row r="2467" spans="1:3" ht="18" customHeight="1" x14ac:dyDescent="0.3">
      <c r="A2467" s="1">
        <v>10</v>
      </c>
      <c r="B2467" s="1" t="s">
        <v>2031</v>
      </c>
      <c r="C2467" s="1" t="str">
        <f ca="1">IFERROR(__xludf.DUMMYFUNCTION("GOOGLETRANSLATE(B2483,""en"",""ja"")"),"旋回")</f>
        <v>旋回</v>
      </c>
    </row>
    <row r="2468" spans="1:3" ht="18" customHeight="1" x14ac:dyDescent="0.3">
      <c r="A2468" s="1">
        <v>10</v>
      </c>
      <c r="B2468" s="1" t="s">
        <v>2032</v>
      </c>
      <c r="C2468" s="1" t="str">
        <f ca="1">IFERROR(__xludf.DUMMYFUNCTION("GOOGLETRANSLATE(B2484,""en"",""ja"")"),"投入")</f>
        <v>投入</v>
      </c>
    </row>
    <row r="2469" spans="1:3" ht="18" customHeight="1" x14ac:dyDescent="0.3">
      <c r="A2469" s="1">
        <v>10</v>
      </c>
      <c r="B2469" s="1" t="s">
        <v>1735</v>
      </c>
      <c r="C2469" s="1" t="str">
        <f ca="1">IFERROR(__xludf.DUMMYFUNCTION("GOOGLETRANSLATE(B2485,""en"",""ja"")"),"トランク")</f>
        <v>トランク</v>
      </c>
    </row>
    <row r="2470" spans="1:3" ht="18" customHeight="1" x14ac:dyDescent="0.3">
      <c r="A2470" s="1">
        <v>10</v>
      </c>
      <c r="B2470" s="1" t="s">
        <v>2033</v>
      </c>
      <c r="C2470" s="1" t="str">
        <f ca="1">IFERROR(__xludf.DUMMYFUNCTION("GOOGLETRANSLATE(B2486,""en"",""ja"")"),"部族")</f>
        <v>部族</v>
      </c>
    </row>
    <row r="2471" spans="1:3" ht="18" customHeight="1" x14ac:dyDescent="0.3">
      <c r="A2471" s="1">
        <v>10</v>
      </c>
      <c r="B2471" s="1" t="s">
        <v>2034</v>
      </c>
      <c r="C2471" s="1" t="str">
        <f ca="1">IFERROR(__xludf.DUMMYFUNCTION("GOOGLETRANSLATE(B2487,""en"",""ja"")"),"トライアル")</f>
        <v>トライアル</v>
      </c>
    </row>
    <row r="2472" spans="1:3" ht="18" customHeight="1" x14ac:dyDescent="0.3">
      <c r="A2472" s="1">
        <v>10</v>
      </c>
      <c r="B2472" s="1" t="s">
        <v>2035</v>
      </c>
      <c r="C2472" s="1" t="str">
        <f ca="1">IFERROR(__xludf.DUMMYFUNCTION("GOOGLETRANSLATE(B2488,""en"",""ja"")"),"全体主義の")</f>
        <v>全体主義の</v>
      </c>
    </row>
    <row r="2473" spans="1:3" ht="18" customHeight="1" x14ac:dyDescent="0.3">
      <c r="A2473" s="1">
        <v>10</v>
      </c>
      <c r="B2473" s="1" t="s">
        <v>402</v>
      </c>
      <c r="C2473" s="1" t="str">
        <f ca="1">IFERROR(__xludf.DUMMYFUNCTION("GOOGLETRANSLATE(B2489,""en"",""ja"")"),"傾向")</f>
        <v>傾向</v>
      </c>
    </row>
    <row r="2474" spans="1:3" ht="18" customHeight="1" x14ac:dyDescent="0.3">
      <c r="A2474" s="1">
        <v>10</v>
      </c>
      <c r="B2474" s="1" t="s">
        <v>2036</v>
      </c>
      <c r="C2474" s="1" t="str">
        <f ca="1">IFERROR(__xludf.DUMMYFUNCTION("GOOGLETRANSLATE(B2490,""en"",""ja"")"),"伝えます")</f>
        <v>伝えます</v>
      </c>
    </row>
    <row r="2475" spans="1:3" ht="18" customHeight="1" x14ac:dyDescent="0.3">
      <c r="A2475" s="1">
        <v>10</v>
      </c>
      <c r="B2475" s="1" t="s">
        <v>2037</v>
      </c>
      <c r="C2475" s="1" t="str">
        <f ca="1">IFERROR(__xludf.DUMMYFUNCTION("GOOGLETRANSLATE(B2491,""en"",""ja"")"),"同期")</f>
        <v>同期</v>
      </c>
    </row>
    <row r="2476" spans="1:3" ht="18" customHeight="1" x14ac:dyDescent="0.3">
      <c r="A2476" s="1">
        <v>10</v>
      </c>
      <c r="B2476" s="1" t="s">
        <v>2038</v>
      </c>
      <c r="C2476" s="1" t="str">
        <f ca="1">IFERROR(__xludf.DUMMYFUNCTION("GOOGLETRANSLATE(B2492,""en"",""ja"")"),"SV")</f>
        <v>SV</v>
      </c>
    </row>
    <row r="2477" spans="1:3" ht="18" customHeight="1" x14ac:dyDescent="0.3">
      <c r="A2477" s="1">
        <v>10</v>
      </c>
      <c r="B2477" s="1" t="s">
        <v>1097</v>
      </c>
      <c r="C2477" s="1" t="str">
        <f ca="1">IFERROR(__xludf.DUMMYFUNCTION("GOOGLETRANSLATE(B2493,""en"",""ja"")"),"サプライ")</f>
        <v>サプライ</v>
      </c>
    </row>
    <row r="2478" spans="1:3" ht="18" customHeight="1" x14ac:dyDescent="0.3">
      <c r="A2478" s="1">
        <v>10</v>
      </c>
      <c r="B2478" s="1" t="s">
        <v>2039</v>
      </c>
      <c r="C2478" s="1" t="str">
        <f ca="1">IFERROR(__xludf.DUMMYFUNCTION("GOOGLETRANSLATE(B2494,""en"",""ja"")"),"優れました")</f>
        <v>優れました</v>
      </c>
    </row>
    <row r="2479" spans="1:3" ht="18" customHeight="1" x14ac:dyDescent="0.3">
      <c r="A2479" s="1">
        <v>10</v>
      </c>
      <c r="B2479" s="1" t="s">
        <v>2040</v>
      </c>
      <c r="C2479" s="1" t="str">
        <f ca="1">IFERROR(__xludf.DUMMYFUNCTION("GOOGLETRANSLATE(B2495,""en"",""ja"")"),"まとめたもので")</f>
        <v>まとめたもので</v>
      </c>
    </row>
    <row r="2480" spans="1:3" ht="18" customHeight="1" x14ac:dyDescent="0.3">
      <c r="A2480" s="1">
        <v>10</v>
      </c>
      <c r="B2480" s="1" t="s">
        <v>2041</v>
      </c>
      <c r="C2480" s="1" t="str">
        <f ca="1">IFERROR(__xludf.DUMMYFUNCTION("GOOGLETRANSLATE(B2496,""en"",""ja"")"),"成功")</f>
        <v>成功</v>
      </c>
    </row>
    <row r="2481" spans="1:3" ht="18" customHeight="1" x14ac:dyDescent="0.3">
      <c r="A2481" s="1">
        <v>10</v>
      </c>
      <c r="B2481" s="1" t="s">
        <v>2042</v>
      </c>
      <c r="C2481" s="1" t="str">
        <f ca="1">IFERROR(__xludf.DUMMYFUNCTION("GOOGLETRANSLATE(B2497,""en"",""ja"")"),"微妙")</f>
        <v>微妙</v>
      </c>
    </row>
    <row r="2482" spans="1:3" ht="18" customHeight="1" x14ac:dyDescent="0.3">
      <c r="A2482" s="1">
        <v>10</v>
      </c>
      <c r="B2482" s="1" t="s">
        <v>2043</v>
      </c>
      <c r="C2482" s="1" t="str">
        <f ca="1">IFERROR(__xludf.DUMMYFUNCTION("GOOGLETRANSLATE(B2498,""en"",""ja"")"),"立ち往生")</f>
        <v>立ち往生</v>
      </c>
    </row>
    <row r="2483" spans="1:3" ht="18" customHeight="1" x14ac:dyDescent="0.3">
      <c r="A2483" s="1">
        <v>10</v>
      </c>
      <c r="B2483" s="1" t="s">
        <v>2044</v>
      </c>
      <c r="C2483" s="1" t="str">
        <f ca="1">IFERROR(__xludf.DUMMYFUNCTION("GOOGLETRANSLATE(B2499,""en"",""ja"")"),"より強く")</f>
        <v>より強く</v>
      </c>
    </row>
    <row r="2484" spans="1:3" ht="18" customHeight="1" x14ac:dyDescent="0.3">
      <c r="A2484" s="1">
        <v>10</v>
      </c>
      <c r="B2484" s="1" t="s">
        <v>372</v>
      </c>
      <c r="C2484" s="1" t="str">
        <f ca="1">IFERROR(__xludf.DUMMYFUNCTION("GOOGLETRANSLATE(B2500,""en"",""ja"")"),"強い")</f>
        <v>強い</v>
      </c>
    </row>
    <row r="2485" spans="1:3" ht="18" customHeight="1" x14ac:dyDescent="0.3">
      <c r="A2485" s="1">
        <v>10</v>
      </c>
      <c r="B2485" s="1" t="s">
        <v>150</v>
      </c>
      <c r="C2485" s="1" t="str">
        <f ca="1">IFERROR(__xludf.DUMMYFUNCTION("GOOGLETRANSLATE(B2501,""en"",""ja"")"),"やはり")</f>
        <v>やはり</v>
      </c>
    </row>
    <row r="2486" spans="1:3" ht="18" customHeight="1" x14ac:dyDescent="0.3">
      <c r="A2486" s="1">
        <v>10</v>
      </c>
      <c r="B2486" s="1" t="s">
        <v>2045</v>
      </c>
      <c r="C2486" s="1" t="str">
        <f ca="1">IFERROR(__xludf.DUMMYFUNCTION("GOOGLETRANSLATE(B2502,""en"",""ja"")"),"ステップ")</f>
        <v>ステップ</v>
      </c>
    </row>
    <row r="2487" spans="1:3" ht="18" customHeight="1" x14ac:dyDescent="0.3">
      <c r="A2487" s="1">
        <v>10</v>
      </c>
      <c r="B2487" s="1" t="s">
        <v>1890</v>
      </c>
      <c r="C2487" s="1" t="str">
        <f ca="1">IFERROR(__xludf.DUMMYFUNCTION("GOOGLETRANSLATE(B2503,""en"",""ja"")"),"スタンド")</f>
        <v>スタンド</v>
      </c>
    </row>
    <row r="2488" spans="1:3" ht="18" customHeight="1" x14ac:dyDescent="0.3">
      <c r="A2488" s="1">
        <v>10</v>
      </c>
      <c r="B2488" s="1" t="s">
        <v>2046</v>
      </c>
      <c r="C2488" s="1" t="str">
        <f ca="1">IFERROR(__xludf.DUMMYFUNCTION("GOOGLETRANSLATE(B2504,""en"",""ja"")"),"ステークス")</f>
        <v>ステークス</v>
      </c>
    </row>
    <row r="2489" spans="1:3" ht="18" customHeight="1" x14ac:dyDescent="0.3">
      <c r="A2489" s="1">
        <v>10</v>
      </c>
      <c r="B2489" s="1" t="s">
        <v>2047</v>
      </c>
      <c r="C2489" s="1" t="str">
        <f ca="1">IFERROR(__xludf.DUMMYFUNCTION("GOOGLETRANSLATE(B2505,""en"",""ja"")"),"ステージ")</f>
        <v>ステージ</v>
      </c>
    </row>
    <row r="2490" spans="1:3" ht="18" customHeight="1" x14ac:dyDescent="0.3">
      <c r="A2490" s="1">
        <v>10</v>
      </c>
      <c r="B2490" s="1" t="s">
        <v>2048</v>
      </c>
      <c r="C2490" s="1" t="str">
        <f ca="1">IFERROR(__xludf.DUMMYFUNCTION("GOOGLETRANSLATE(B2506,""en"",""ja"")"),"スピリチュアル")</f>
        <v>スピリチュアル</v>
      </c>
    </row>
    <row r="2491" spans="1:3" ht="18" customHeight="1" x14ac:dyDescent="0.3">
      <c r="A2491" s="1">
        <v>10</v>
      </c>
      <c r="B2491" s="1" t="s">
        <v>818</v>
      </c>
      <c r="C2491" s="1" t="str">
        <f ca="1">IFERROR(__xludf.DUMMYFUNCTION("GOOGLETRANSLATE(B2507,""en"",""ja"")"),"費やす")</f>
        <v>費やす</v>
      </c>
    </row>
    <row r="2492" spans="1:3" ht="18" customHeight="1" x14ac:dyDescent="0.3">
      <c r="A2492" s="1">
        <v>10</v>
      </c>
      <c r="B2492" s="1" t="s">
        <v>2049</v>
      </c>
      <c r="C2492" s="1" t="str">
        <f ca="1">IFERROR(__xludf.DUMMYFUNCTION("GOOGLETRANSLATE(B2508,""en"",""ja"")"),"専門家")</f>
        <v>専門家</v>
      </c>
    </row>
    <row r="2493" spans="1:3" ht="18" customHeight="1" x14ac:dyDescent="0.3">
      <c r="A2493" s="1">
        <v>10</v>
      </c>
      <c r="B2493" s="1" t="s">
        <v>2050</v>
      </c>
      <c r="C2493" s="1" t="str">
        <f ca="1">IFERROR(__xludf.DUMMYFUNCTION("GOOGLETRANSLATE(B2509,""en"",""ja"")"),"スペースクラフト")</f>
        <v>スペースクラフト</v>
      </c>
    </row>
    <row r="2494" spans="1:3" ht="18" customHeight="1" x14ac:dyDescent="0.3">
      <c r="A2494" s="1">
        <v>10</v>
      </c>
      <c r="B2494" s="1" t="s">
        <v>2051</v>
      </c>
      <c r="C2494" s="1" t="str">
        <f ca="1">IFERROR(__xludf.DUMMYFUNCTION("GOOGLETRANSLATE(B2510,""en"",""ja"")"),"販売")</f>
        <v>販売</v>
      </c>
    </row>
    <row r="2495" spans="1:3" ht="18" customHeight="1" x14ac:dyDescent="0.3">
      <c r="A2495" s="1">
        <v>10</v>
      </c>
      <c r="B2495" s="1" t="s">
        <v>2052</v>
      </c>
      <c r="C2495" s="1" t="str">
        <f ca="1">IFERROR(__xludf.DUMMYFUNCTION("GOOGLETRANSLATE(B2511,""en"",""ja"")"),"ゆっくり")</f>
        <v>ゆっくり</v>
      </c>
    </row>
    <row r="2496" spans="1:3" ht="18" customHeight="1" x14ac:dyDescent="0.3">
      <c r="A2496" s="1">
        <v>10</v>
      </c>
      <c r="B2496" s="1" t="s">
        <v>1165</v>
      </c>
      <c r="C2496" s="1" t="str">
        <f ca="1">IFERROR(__xludf.DUMMYFUNCTION("GOOGLETRANSLATE(B2512,""en"",""ja"")"),"罪")</f>
        <v>罪</v>
      </c>
    </row>
    <row r="2497" spans="1:3" ht="18" customHeight="1" x14ac:dyDescent="0.3">
      <c r="A2497" s="1">
        <v>10</v>
      </c>
      <c r="B2497" s="1" t="s">
        <v>2053</v>
      </c>
      <c r="C2497" s="1" t="str">
        <f ca="1">IFERROR(__xludf.DUMMYFUNCTION("GOOGLETRANSLATE(B2513,""en"",""ja"")"),"文章")</f>
        <v>文章</v>
      </c>
    </row>
    <row r="2498" spans="1:3" ht="18" customHeight="1" x14ac:dyDescent="0.3">
      <c r="A2498" s="1">
        <v>10</v>
      </c>
      <c r="B2498" s="1" t="s">
        <v>2054</v>
      </c>
      <c r="C2498" s="1" t="str">
        <f ca="1">IFERROR(__xludf.DUMMYFUNCTION("GOOGLETRANSLATE(B2514,""en"",""ja"")"),"握ります")</f>
        <v>握ります</v>
      </c>
    </row>
    <row r="2499" spans="1:3" ht="18" customHeight="1" x14ac:dyDescent="0.3">
      <c r="A2499" s="1">
        <v>10</v>
      </c>
      <c r="B2499" s="1" t="s">
        <v>2055</v>
      </c>
      <c r="C2499" s="1" t="str">
        <f ca="1">IFERROR(__xludf.DUMMYFUNCTION("GOOGLETRANSLATE(B2515,""en"",""ja"")"),"沈渣")</f>
        <v>沈渣</v>
      </c>
    </row>
    <row r="2500" spans="1:3" ht="18" customHeight="1" x14ac:dyDescent="0.3">
      <c r="A2500" s="1">
        <v>10</v>
      </c>
      <c r="B2500" s="1" t="s">
        <v>1524</v>
      </c>
      <c r="C2500" s="1" t="str">
        <f ca="1">IFERROR(__xludf.DUMMYFUNCTION("GOOGLETRANSLATE(B2516,""en"",""ja"")"),"シナリオ")</f>
        <v>シナリオ</v>
      </c>
    </row>
    <row r="2501" spans="1:3" ht="18" customHeight="1" x14ac:dyDescent="0.3">
      <c r="A2501" s="1">
        <v>10</v>
      </c>
      <c r="B2501" s="1" t="s">
        <v>2056</v>
      </c>
      <c r="C2501" s="1" t="str">
        <f ca="1">IFERROR(__xludf.DUMMYFUNCTION("GOOGLETRANSLATE(B2517,""en"",""ja"")"),"スキャン")</f>
        <v>スキャン</v>
      </c>
    </row>
    <row r="2502" spans="1:3" ht="18" customHeight="1" x14ac:dyDescent="0.3">
      <c r="A2502" s="1">
        <v>10</v>
      </c>
      <c r="B2502" s="1" t="s">
        <v>2057</v>
      </c>
      <c r="C2502" s="1" t="str">
        <f ca="1">IFERROR(__xludf.DUMMYFUNCTION("GOOGLETRANSLATE(B2518,""en"",""ja"")"),"満たします")</f>
        <v>満たします</v>
      </c>
    </row>
    <row r="2503" spans="1:3" ht="18" customHeight="1" x14ac:dyDescent="0.3">
      <c r="A2503" s="1">
        <v>10</v>
      </c>
      <c r="B2503" s="1" t="s">
        <v>2058</v>
      </c>
      <c r="C2503" s="1" t="str">
        <f ca="1">IFERROR(__xludf.DUMMYFUNCTION("GOOGLETRANSLATE(B2519,""en"",""ja"")"),"サンプル")</f>
        <v>サンプル</v>
      </c>
    </row>
    <row r="2504" spans="1:3" ht="18" customHeight="1" x14ac:dyDescent="0.3">
      <c r="A2504" s="1">
        <v>10</v>
      </c>
      <c r="B2504" s="1" t="s">
        <v>2059</v>
      </c>
      <c r="C2504" s="1" t="str">
        <f ca="1">IFERROR(__xludf.DUMMYFUNCTION("GOOGLETRANSLATE(B2520,""en"",""ja"")"),"繰り返し")</f>
        <v>繰り返し</v>
      </c>
    </row>
    <row r="2505" spans="1:3" ht="18" customHeight="1" x14ac:dyDescent="0.3">
      <c r="A2505" s="1">
        <v>10</v>
      </c>
      <c r="B2505" s="1" t="s">
        <v>2060</v>
      </c>
      <c r="C2505" s="1" t="str">
        <f ca="1">IFERROR(__xludf.DUMMYFUNCTION("GOOGLETRANSLATE(B2521,""en"",""ja"")"),"リニューアル")</f>
        <v>リニューアル</v>
      </c>
    </row>
    <row r="2506" spans="1:3" ht="18" customHeight="1" x14ac:dyDescent="0.3">
      <c r="A2506" s="1">
        <v>10</v>
      </c>
      <c r="B2506" s="1" t="s">
        <v>437</v>
      </c>
      <c r="C2506" s="1" t="str">
        <f ca="1">IFERROR(__xludf.DUMMYFUNCTION("GOOGLETRANSLATE(B2522,""en"",""ja"")"),"宗教的な")</f>
        <v>宗教的な</v>
      </c>
    </row>
    <row r="2507" spans="1:3" ht="18" customHeight="1" x14ac:dyDescent="0.3">
      <c r="A2507" s="1">
        <v>10</v>
      </c>
      <c r="B2507" s="1" t="s">
        <v>2061</v>
      </c>
      <c r="C2507" s="1" t="str">
        <f ca="1">IFERROR(__xludf.DUMMYFUNCTION("GOOGLETRANSLATE(B2523,""en"",""ja"")"),"信頼性のある")</f>
        <v>信頼性のある</v>
      </c>
    </row>
    <row r="2508" spans="1:3" ht="18" customHeight="1" x14ac:dyDescent="0.3">
      <c r="A2508" s="1">
        <v>10</v>
      </c>
      <c r="B2508" s="1" t="s">
        <v>457</v>
      </c>
      <c r="C2508" s="1" t="str">
        <f ca="1">IFERROR(__xludf.DUMMYFUNCTION("GOOGLETRANSLATE(B2524,""en"",""ja"")"),"相対的")</f>
        <v>相対的</v>
      </c>
    </row>
    <row r="2509" spans="1:3" ht="18" customHeight="1" x14ac:dyDescent="0.3">
      <c r="A2509" s="1">
        <v>10</v>
      </c>
      <c r="B2509" s="1" t="s">
        <v>884</v>
      </c>
      <c r="C2509" s="1" t="str">
        <f ca="1">IFERROR(__xludf.DUMMYFUNCTION("GOOGLETRANSLATE(B2525,""en"",""ja"")"),"関係")</f>
        <v>関係</v>
      </c>
    </row>
    <row r="2510" spans="1:3" ht="18" customHeight="1" x14ac:dyDescent="0.3">
      <c r="A2510" s="1">
        <v>10</v>
      </c>
      <c r="B2510" s="1" t="s">
        <v>2062</v>
      </c>
      <c r="C2510" s="1" t="str">
        <f ca="1">IFERROR(__xludf.DUMMYFUNCTION("GOOGLETRANSLATE(B2526,""en"",""ja"")"),"拒絶します")</f>
        <v>拒絶します</v>
      </c>
    </row>
    <row r="2511" spans="1:3" ht="18" customHeight="1" x14ac:dyDescent="0.3">
      <c r="A2511" s="1">
        <v>10</v>
      </c>
      <c r="B2511" s="1" t="s">
        <v>2063</v>
      </c>
      <c r="C2511" s="1" t="str">
        <f ca="1">IFERROR(__xludf.DUMMYFUNCTION("GOOGLETRANSLATE(B2527,""en"",""ja"")"),"強化する")</f>
        <v>強化する</v>
      </c>
    </row>
    <row r="2512" spans="1:3" ht="18" customHeight="1" x14ac:dyDescent="0.3">
      <c r="A2512" s="1">
        <v>10</v>
      </c>
      <c r="B2512" s="1" t="s">
        <v>2064</v>
      </c>
      <c r="C2512" s="1" t="str">
        <f ca="1">IFERROR(__xludf.DUMMYFUNCTION("GOOGLETRANSLATE(B2528,""en"",""ja"")"),"改革")</f>
        <v>改革</v>
      </c>
    </row>
    <row r="2513" spans="1:3" ht="18" customHeight="1" x14ac:dyDescent="0.3">
      <c r="A2513" s="1">
        <v>10</v>
      </c>
      <c r="B2513" s="1" t="s">
        <v>2065</v>
      </c>
      <c r="C2513" s="1" t="str">
        <f ca="1">IFERROR(__xludf.DUMMYFUNCTION("GOOGLETRANSLATE(B2529,""en"",""ja"")"),"削減")</f>
        <v>削減</v>
      </c>
    </row>
    <row r="2514" spans="1:3" ht="18" customHeight="1" x14ac:dyDescent="0.3">
      <c r="A2514" s="1">
        <v>10</v>
      </c>
      <c r="B2514" s="1" t="s">
        <v>2066</v>
      </c>
      <c r="C2514" s="1" t="str">
        <f ca="1">IFERROR(__xludf.DUMMYFUNCTION("GOOGLETRANSLATE(B2530,""en"",""ja"")"),"削減")</f>
        <v>削減</v>
      </c>
    </row>
    <row r="2515" spans="1:3" ht="18" customHeight="1" x14ac:dyDescent="0.3">
      <c r="A2515" s="1">
        <v>10</v>
      </c>
      <c r="B2515" s="1" t="s">
        <v>570</v>
      </c>
      <c r="C2515" s="1" t="str">
        <f ca="1">IFERROR(__xludf.DUMMYFUNCTION("GOOGLETRANSLATE(B2531,""en"",""ja"")"),"記録")</f>
        <v>記録</v>
      </c>
    </row>
    <row r="2516" spans="1:3" ht="18" customHeight="1" x14ac:dyDescent="0.3">
      <c r="A2516" s="1">
        <v>10</v>
      </c>
      <c r="B2516" s="1" t="s">
        <v>2067</v>
      </c>
      <c r="C2516" s="1" t="str">
        <f ca="1">IFERROR(__xludf.DUMMYFUNCTION("GOOGLETRANSLATE(B2532,""en"",""ja"")"),"推奨")</f>
        <v>推奨</v>
      </c>
    </row>
    <row r="2517" spans="1:3" ht="18" customHeight="1" x14ac:dyDescent="0.3">
      <c r="A2517" s="1">
        <v>10</v>
      </c>
      <c r="B2517" s="1" t="s">
        <v>2068</v>
      </c>
      <c r="C2517" s="1" t="str">
        <f ca="1">IFERROR(__xludf.DUMMYFUNCTION("GOOGLETRANSLATE(B2533,""en"",""ja"")"),"認識")</f>
        <v>認識</v>
      </c>
    </row>
    <row r="2518" spans="1:3" ht="18" customHeight="1" x14ac:dyDescent="0.3">
      <c r="A2518" s="1">
        <v>10</v>
      </c>
      <c r="B2518" s="1" t="s">
        <v>2069</v>
      </c>
      <c r="C2518" s="1" t="str">
        <f ca="1">IFERROR(__xludf.DUMMYFUNCTION("GOOGLETRANSLATE(B2534,""en"",""ja"")"),"受信者")</f>
        <v>受信者</v>
      </c>
    </row>
    <row r="2519" spans="1:3" ht="18" customHeight="1" x14ac:dyDescent="0.3">
      <c r="A2519" s="1">
        <v>10</v>
      </c>
      <c r="B2519" s="1" t="s">
        <v>2070</v>
      </c>
      <c r="C2519" s="1" t="str">
        <f ca="1">IFERROR(__xludf.DUMMYFUNCTION("GOOGLETRANSLATE(B2535,""en"",""ja"")"),"受け取ります")</f>
        <v>受け取ります</v>
      </c>
    </row>
    <row r="2520" spans="1:3" ht="18" customHeight="1" x14ac:dyDescent="0.3">
      <c r="A2520" s="1">
        <v>10</v>
      </c>
      <c r="B2520" s="1" t="s">
        <v>626</v>
      </c>
      <c r="C2520" s="1" t="str">
        <f ca="1">IFERROR(__xludf.DUMMYFUNCTION("GOOGLETRANSLATE(B2536,""en"",""ja"")"),"合理的")</f>
        <v>合理的</v>
      </c>
    </row>
    <row r="2521" spans="1:3" ht="18" customHeight="1" x14ac:dyDescent="0.3">
      <c r="A2521" s="1">
        <v>10</v>
      </c>
      <c r="B2521" s="1" t="s">
        <v>2071</v>
      </c>
      <c r="C2521" s="1" t="str">
        <f ca="1">IFERROR(__xludf.DUMMYFUNCTION("GOOGLETRANSLATE(B2537,""en"",""ja"")"),"実現")</f>
        <v>実現</v>
      </c>
    </row>
    <row r="2522" spans="1:3" ht="18" customHeight="1" x14ac:dyDescent="0.3">
      <c r="A2522" s="1">
        <v>10</v>
      </c>
      <c r="B2522" s="1" t="s">
        <v>2072</v>
      </c>
      <c r="C2522" s="1" t="str">
        <f ca="1">IFERROR(__xludf.DUMMYFUNCTION("GOOGLETRANSLATE(B2538,""en"",""ja"")"),"反応")</f>
        <v>反応</v>
      </c>
    </row>
    <row r="2523" spans="1:3" ht="18" customHeight="1" x14ac:dyDescent="0.3">
      <c r="A2523" s="1">
        <v>10</v>
      </c>
      <c r="B2523" s="1" t="s">
        <v>151</v>
      </c>
      <c r="C2523" s="1" t="str">
        <f ca="1">IFERROR(__xludf.DUMMYFUNCTION("GOOGLETRANSLATE(B2539,""en"",""ja"")"),"かなり")</f>
        <v>かなり</v>
      </c>
    </row>
    <row r="2524" spans="1:3" ht="18" customHeight="1" x14ac:dyDescent="0.3">
      <c r="A2524" s="1">
        <v>10</v>
      </c>
      <c r="B2524" s="1" t="s">
        <v>2073</v>
      </c>
      <c r="C2524" s="1" t="str">
        <f ca="1">IFERROR(__xludf.DUMMYFUNCTION("GOOGLETRANSLATE(B2540,""en"",""ja"")"),"めったにありません")</f>
        <v>めったにありません</v>
      </c>
    </row>
    <row r="2525" spans="1:3" ht="18" customHeight="1" x14ac:dyDescent="0.3">
      <c r="A2525" s="1">
        <v>10</v>
      </c>
      <c r="B2525" s="1" t="s">
        <v>2074</v>
      </c>
      <c r="C2525" s="1" t="str">
        <f ca="1">IFERROR(__xludf.DUMMYFUNCTION("GOOGLETRANSLATE(B2541,""en"",""ja"")"),"調達")</f>
        <v>調達</v>
      </c>
    </row>
    <row r="2526" spans="1:3" ht="18" customHeight="1" x14ac:dyDescent="0.3">
      <c r="A2526" s="1">
        <v>10</v>
      </c>
      <c r="B2526" s="1" t="s">
        <v>2075</v>
      </c>
      <c r="C2526" s="1" t="str">
        <f ca="1">IFERROR(__xludf.DUMMYFUNCTION("GOOGLETRANSLATE(B2542,""en"",""ja"")"),"レイズ")</f>
        <v>レイズ</v>
      </c>
    </row>
    <row r="2527" spans="1:3" ht="18" customHeight="1" x14ac:dyDescent="0.3">
      <c r="A2527" s="1">
        <v>10</v>
      </c>
      <c r="B2527" s="1" t="s">
        <v>2076</v>
      </c>
      <c r="C2527" s="1" t="str">
        <f ca="1">IFERROR(__xludf.DUMMYFUNCTION("GOOGLETRANSLATE(B2543,""en"",""ja"")"),"人種")</f>
        <v>人種</v>
      </c>
    </row>
    <row r="2528" spans="1:3" ht="18" customHeight="1" x14ac:dyDescent="0.3">
      <c r="A2528" s="1">
        <v>10</v>
      </c>
      <c r="B2528" s="1" t="s">
        <v>2077</v>
      </c>
      <c r="C2528" s="1" t="str">
        <f ca="1">IFERROR(__xludf.DUMMYFUNCTION("GOOGLETRANSLATE(B2545,""en"",""ja"")"),"量")</f>
        <v>量</v>
      </c>
    </row>
    <row r="2529" spans="1:3" ht="18" customHeight="1" x14ac:dyDescent="0.3">
      <c r="A2529" s="1">
        <v>10</v>
      </c>
      <c r="B2529" s="1" t="s">
        <v>1768</v>
      </c>
      <c r="C2529" s="1" t="str">
        <f ca="1">IFERROR(__xludf.DUMMYFUNCTION("GOOGLETRANSLATE(B2546,""en"",""ja"")"),"目的")</f>
        <v>目的</v>
      </c>
    </row>
    <row r="2530" spans="1:3" ht="18" customHeight="1" x14ac:dyDescent="0.3">
      <c r="A2530" s="1">
        <v>10</v>
      </c>
      <c r="B2530" s="1" t="s">
        <v>2078</v>
      </c>
      <c r="C2530" s="1" t="str">
        <f ca="1">IFERROR(__xludf.DUMMYFUNCTION("GOOGLETRANSLATE(B2547,""en"",""ja"")"),"ピューリッツァー")</f>
        <v>ピューリッツァー</v>
      </c>
    </row>
    <row r="2531" spans="1:3" ht="18" customHeight="1" x14ac:dyDescent="0.3">
      <c r="A2531" s="1">
        <v>10</v>
      </c>
      <c r="B2531" s="1" t="s">
        <v>2079</v>
      </c>
      <c r="C2531" s="1" t="str">
        <f ca="1">IFERROR(__xludf.DUMMYFUNCTION("GOOGLETRANSLATE(B2548,""en"",""ja"")"),"出版")</f>
        <v>出版</v>
      </c>
    </row>
    <row r="2532" spans="1:3" ht="18" customHeight="1" x14ac:dyDescent="0.3">
      <c r="A2532" s="1">
        <v>10</v>
      </c>
      <c r="B2532" s="1" t="s">
        <v>2080</v>
      </c>
      <c r="C2532" s="1" t="str">
        <f ca="1">IFERROR(__xludf.DUMMYFUNCTION("GOOGLETRANSLATE(B2549,""en"",""ja"")"),"繁栄")</f>
        <v>繁栄</v>
      </c>
    </row>
    <row r="2533" spans="1:3" ht="18" customHeight="1" x14ac:dyDescent="0.3">
      <c r="A2533" s="1">
        <v>10</v>
      </c>
      <c r="B2533" s="1" t="s">
        <v>1432</v>
      </c>
      <c r="C2533" s="1" t="str">
        <f ca="1">IFERROR(__xludf.DUMMYFUNCTION("GOOGLETRANSLATE(B2550,""en"",""ja"")"),"プログラム")</f>
        <v>プログラム</v>
      </c>
    </row>
    <row r="2534" spans="1:3" ht="18" customHeight="1" x14ac:dyDescent="0.3">
      <c r="A2534" s="1">
        <v>10</v>
      </c>
      <c r="B2534" s="1" t="s">
        <v>2081</v>
      </c>
      <c r="C2534" s="1" t="str">
        <f ca="1">IFERROR(__xludf.DUMMYFUNCTION("GOOGLETRANSLATE(B2551,""en"",""ja"")"),"生成")</f>
        <v>生成</v>
      </c>
    </row>
    <row r="2535" spans="1:3" ht="18" customHeight="1" x14ac:dyDescent="0.3">
      <c r="A2535" s="1">
        <v>10</v>
      </c>
      <c r="B2535" s="1" t="s">
        <v>2082</v>
      </c>
      <c r="C2535" s="1" t="str">
        <f ca="1">IFERROR(__xludf.DUMMYFUNCTION("GOOGLETRANSLATE(B2552,""en"",""ja"")"),"プリント")</f>
        <v>プリント</v>
      </c>
    </row>
    <row r="2536" spans="1:3" ht="18" customHeight="1" x14ac:dyDescent="0.3">
      <c r="A2536" s="1">
        <v>10</v>
      </c>
      <c r="B2536" s="1" t="s">
        <v>2083</v>
      </c>
      <c r="C2536" s="1" t="str">
        <f ca="1">IFERROR(__xludf.DUMMYFUNCTION("GOOGLETRANSLATE(B2553,""en"",""ja"")"),"価格")</f>
        <v>価格</v>
      </c>
    </row>
    <row r="2537" spans="1:3" ht="18" customHeight="1" x14ac:dyDescent="0.3">
      <c r="A2537" s="1">
        <v>10</v>
      </c>
      <c r="B2537" s="1" t="s">
        <v>2084</v>
      </c>
      <c r="C2537" s="1" t="str">
        <f ca="1">IFERROR(__xludf.DUMMYFUNCTION("GOOGLETRANSLATE(B2554,""en"",""ja"")"),"防ぐ")</f>
        <v>防ぐ</v>
      </c>
    </row>
    <row r="2538" spans="1:3" ht="18" customHeight="1" x14ac:dyDescent="0.3">
      <c r="A2538" s="1">
        <v>10</v>
      </c>
      <c r="B2538" s="1" t="s">
        <v>2085</v>
      </c>
      <c r="C2538" s="1" t="str">
        <f ca="1">IFERROR(__xludf.DUMMYFUNCTION("GOOGLETRANSLATE(B2555,""en"",""ja"")"),"大統領")</f>
        <v>大統領</v>
      </c>
    </row>
    <row r="2539" spans="1:3" ht="18" customHeight="1" x14ac:dyDescent="0.3">
      <c r="A2539" s="1">
        <v>10</v>
      </c>
      <c r="B2539" s="1" t="s">
        <v>2086</v>
      </c>
      <c r="C2539" s="1" t="str">
        <f ca="1">IFERROR(__xludf.DUMMYFUNCTION("GOOGLETRANSLATE(B2556,""en"",""ja"")"),"プレデター")</f>
        <v>プレデター</v>
      </c>
    </row>
    <row r="2540" spans="1:3" ht="18" customHeight="1" x14ac:dyDescent="0.3">
      <c r="A2540" s="1">
        <v>10</v>
      </c>
      <c r="B2540" s="1" t="s">
        <v>458</v>
      </c>
      <c r="C2540" s="1" t="str">
        <f ca="1">IFERROR(__xludf.DUMMYFUNCTION("GOOGLETRANSLATE(B2557,""en"",""ja"")"),"強いです")</f>
        <v>強いです</v>
      </c>
    </row>
    <row r="2541" spans="1:3" ht="18" customHeight="1" x14ac:dyDescent="0.3">
      <c r="A2541" s="1">
        <v>10</v>
      </c>
      <c r="B2541" s="1" t="s">
        <v>2087</v>
      </c>
      <c r="C2541" s="1" t="str">
        <f ca="1">IFERROR(__xludf.DUMMYFUNCTION("GOOGLETRANSLATE(B2558,""en"",""ja"")"),"写真")</f>
        <v>写真</v>
      </c>
    </row>
    <row r="2542" spans="1:3" ht="18" customHeight="1" x14ac:dyDescent="0.3">
      <c r="A2542" s="1">
        <v>10</v>
      </c>
      <c r="B2542" s="1" t="s">
        <v>798</v>
      </c>
      <c r="C2542" s="1" t="str">
        <f ca="1">IFERROR(__xludf.DUMMYFUNCTION("GOOGLETRANSLATE(B2559,""en"",""ja"")"),"写真")</f>
        <v>写真</v>
      </c>
    </row>
    <row r="2543" spans="1:3" ht="18" customHeight="1" x14ac:dyDescent="0.3">
      <c r="A2543" s="1">
        <v>10</v>
      </c>
      <c r="B2543" s="1" t="s">
        <v>2088</v>
      </c>
      <c r="C2543" s="1" t="str">
        <f ca="1">IFERROR(__xludf.DUMMYFUNCTION("GOOGLETRANSLATE(B2560,""en"",""ja"")"),"永続")</f>
        <v>永続</v>
      </c>
    </row>
    <row r="2544" spans="1:3" ht="18" customHeight="1" x14ac:dyDescent="0.3">
      <c r="A2544" s="1">
        <v>10</v>
      </c>
      <c r="B2544" s="1" t="s">
        <v>2089</v>
      </c>
      <c r="C2544" s="1" t="str">
        <f ca="1">IFERROR(__xludf.DUMMYFUNCTION("GOOGLETRANSLATE(B2561,""en"",""ja"")"),"パーフェクト")</f>
        <v>パーフェクト</v>
      </c>
    </row>
    <row r="2545" spans="1:3" ht="18" customHeight="1" x14ac:dyDescent="0.3">
      <c r="A2545" s="1">
        <v>10</v>
      </c>
      <c r="B2545" s="1" t="s">
        <v>2090</v>
      </c>
      <c r="C2545" s="1" t="str">
        <f ca="1">IFERROR(__xludf.DUMMYFUNCTION("GOOGLETRANSLATE(B2562,""en"",""ja"")"),"PDO")</f>
        <v>PDO</v>
      </c>
    </row>
    <row r="2546" spans="1:3" ht="18" customHeight="1" x14ac:dyDescent="0.3">
      <c r="A2546" s="1">
        <v>10</v>
      </c>
      <c r="B2546" s="1" t="s">
        <v>2091</v>
      </c>
      <c r="C2546" s="1" t="str">
        <f ca="1">IFERROR(__xludf.DUMMYFUNCTION("GOOGLETRANSLATE(B2563,""en"",""ja"")"),"類似点")</f>
        <v>類似点</v>
      </c>
    </row>
    <row r="2547" spans="1:3" ht="18" customHeight="1" x14ac:dyDescent="0.3">
      <c r="A2547" s="1">
        <v>10</v>
      </c>
      <c r="B2547" s="1" t="s">
        <v>106</v>
      </c>
      <c r="C2547" s="1" t="str">
        <f ca="1">IFERROR(__xludf.DUMMYFUNCTION("GOOGLETRANSLATE(B2564,""en"",""ja"")"),"自分の")</f>
        <v>自分の</v>
      </c>
    </row>
    <row r="2548" spans="1:3" ht="18" customHeight="1" x14ac:dyDescent="0.3">
      <c r="A2548" s="1">
        <v>10</v>
      </c>
      <c r="B2548" s="1" t="s">
        <v>2092</v>
      </c>
      <c r="C2548" s="1" t="str">
        <f ca="1">IFERROR(__xludf.DUMMYFUNCTION("GOOGLETRANSLATE(B2565,""en"",""ja"")"),"屋外")</f>
        <v>屋外</v>
      </c>
    </row>
    <row r="2549" spans="1:3" ht="18" customHeight="1" x14ac:dyDescent="0.3">
      <c r="A2549" s="1">
        <v>10</v>
      </c>
      <c r="B2549" s="1" t="s">
        <v>2093</v>
      </c>
      <c r="C2549" s="1" t="str">
        <f ca="1">IFERROR(__xludf.DUMMYFUNCTION("GOOGLETRANSLATE(B2566,""en"",""ja"")"),"元々")</f>
        <v>元々</v>
      </c>
    </row>
    <row r="2550" spans="1:3" ht="18" customHeight="1" x14ac:dyDescent="0.3">
      <c r="A2550" s="1">
        <v>10</v>
      </c>
      <c r="B2550" s="1" t="s">
        <v>511</v>
      </c>
      <c r="C2550" s="1" t="str">
        <f ca="1">IFERROR(__xludf.DUMMYFUNCTION("GOOGLETRANSLATE(B2567,""en"",""ja"")"),"原点")</f>
        <v>原点</v>
      </c>
    </row>
    <row r="2551" spans="1:3" ht="18" customHeight="1" x14ac:dyDescent="0.3">
      <c r="A2551" s="1">
        <v>10</v>
      </c>
      <c r="B2551" s="1" t="s">
        <v>1111</v>
      </c>
      <c r="C2551" s="1" t="str">
        <f ca="1">IFERROR(__xludf.DUMMYFUNCTION("GOOGLETRANSLATE(B2568,""en"",""ja"")"),"器官")</f>
        <v>器官</v>
      </c>
    </row>
    <row r="2552" spans="1:3" ht="18" customHeight="1" x14ac:dyDescent="0.3">
      <c r="A2552" s="1">
        <v>10</v>
      </c>
      <c r="B2552" s="1" t="s">
        <v>2094</v>
      </c>
      <c r="C2552" s="1" t="str">
        <f ca="1">IFERROR(__xludf.DUMMYFUNCTION("GOOGLETRANSLATE(B2569,""en"",""ja"")"),"歳")</f>
        <v>歳</v>
      </c>
    </row>
    <row r="2553" spans="1:3" ht="18" customHeight="1" x14ac:dyDescent="0.3">
      <c r="A2553" s="1">
        <v>10</v>
      </c>
      <c r="B2553" s="1" t="s">
        <v>105</v>
      </c>
      <c r="C2553" s="1" t="str">
        <f ca="1">IFERROR(__xludf.DUMMYFUNCTION("GOOGLETRANSLATE(B2570,""en"",""ja"")"),"しばしば")</f>
        <v>しばしば</v>
      </c>
    </row>
    <row r="2554" spans="1:3" ht="18" customHeight="1" x14ac:dyDescent="0.3">
      <c r="A2554" s="1">
        <v>10</v>
      </c>
      <c r="B2554" s="1" t="s">
        <v>1778</v>
      </c>
      <c r="C2554" s="1" t="str">
        <f ca="1">IFERROR(__xludf.DUMMYFUNCTION("GOOGLETRANSLATE(B2571,""en"",""ja"")"),"時")</f>
        <v>時</v>
      </c>
    </row>
    <row r="2555" spans="1:3" ht="18" customHeight="1" x14ac:dyDescent="0.3">
      <c r="A2555" s="1">
        <v>10</v>
      </c>
      <c r="B2555" s="1" t="s">
        <v>2095</v>
      </c>
      <c r="C2555" s="1" t="str">
        <f ca="1">IFERROR(__xludf.DUMMYFUNCTION("GOOGLETRANSLATE(B2572,""en"",""ja"")"),"リージュ")</f>
        <v>リージュ</v>
      </c>
    </row>
    <row r="2556" spans="1:3" ht="18" customHeight="1" x14ac:dyDescent="0.3">
      <c r="A2556" s="1">
        <v>10</v>
      </c>
      <c r="B2556" s="1" t="s">
        <v>2096</v>
      </c>
      <c r="C2556" s="1" t="str">
        <f ca="1">IFERROR(__xludf.DUMMYFUNCTION("GOOGLETRANSLATE(B2573,""en"",""ja"")"),"異議")</f>
        <v>異議</v>
      </c>
    </row>
    <row r="2557" spans="1:3" ht="18" customHeight="1" x14ac:dyDescent="0.3">
      <c r="A2557" s="1">
        <v>10</v>
      </c>
      <c r="B2557" s="1" t="s">
        <v>2097</v>
      </c>
      <c r="C2557" s="1" t="str">
        <f ca="1">IFERROR(__xludf.DUMMYFUNCTION("GOOGLETRANSLATE(B2574,""en"",""ja"")"),"注目")</f>
        <v>注目</v>
      </c>
    </row>
    <row r="2558" spans="1:3" ht="18" customHeight="1" x14ac:dyDescent="0.3">
      <c r="A2558" s="1">
        <v>10</v>
      </c>
      <c r="B2558" s="1" t="s">
        <v>2098</v>
      </c>
      <c r="C2558" s="1" t="str">
        <f ca="1">IFERROR(__xludf.DUMMYFUNCTION("GOOGLETRANSLATE(B2575,""en"",""ja"")"),"北方")</f>
        <v>北方</v>
      </c>
    </row>
    <row r="2559" spans="1:3" ht="18" customHeight="1" x14ac:dyDescent="0.3">
      <c r="A2559" s="1">
        <v>10</v>
      </c>
      <c r="B2559" s="1" t="s">
        <v>2099</v>
      </c>
      <c r="C2559" s="1" t="str">
        <f ca="1">IFERROR(__xludf.DUMMYFUNCTION("GOOGLETRANSLATE(B2576,""en"",""ja"")"),"北")</f>
        <v>北</v>
      </c>
    </row>
    <row r="2560" spans="1:3" ht="18" customHeight="1" x14ac:dyDescent="0.3">
      <c r="A2560" s="1">
        <v>10</v>
      </c>
      <c r="B2560" s="1" t="s">
        <v>2100</v>
      </c>
      <c r="C2560" s="1" t="str">
        <f ca="1">IFERROR(__xludf.DUMMYFUNCTION("GOOGLETRANSLATE(B2577,""en"",""ja"")"),"規範")</f>
        <v>規範</v>
      </c>
    </row>
    <row r="2561" spans="1:3" ht="18" customHeight="1" x14ac:dyDescent="0.3">
      <c r="A2561" s="1">
        <v>10</v>
      </c>
      <c r="B2561" s="1" t="s">
        <v>2101</v>
      </c>
      <c r="C2561" s="1" t="str">
        <f ca="1">IFERROR(__xludf.DUMMYFUNCTION("GOOGLETRANSLATE(B2578,""en"",""ja"")"),"つまり")</f>
        <v>つまり</v>
      </c>
    </row>
    <row r="2562" spans="1:3" ht="18" customHeight="1" x14ac:dyDescent="0.3">
      <c r="A2562" s="1">
        <v>10</v>
      </c>
      <c r="B2562" s="1" t="s">
        <v>2102</v>
      </c>
      <c r="C2562" s="1" t="str">
        <f ca="1">IFERROR(__xludf.DUMMYFUNCTION("GOOGLETRANSLATE(B2579,""en"",""ja"")"),"ヶ月")</f>
        <v>ヶ月</v>
      </c>
    </row>
    <row r="2563" spans="1:3" ht="18" customHeight="1" x14ac:dyDescent="0.3">
      <c r="A2563" s="1">
        <v>10</v>
      </c>
      <c r="B2563" s="1" t="s">
        <v>2103</v>
      </c>
      <c r="C2563" s="1" t="str">
        <f ca="1">IFERROR(__xludf.DUMMYFUNCTION("GOOGLETRANSLATE(B2580,""en"",""ja"")"),"モンキー")</f>
        <v>モンキー</v>
      </c>
    </row>
    <row r="2564" spans="1:3" ht="18" customHeight="1" x14ac:dyDescent="0.3">
      <c r="A2564" s="1">
        <v>10</v>
      </c>
      <c r="B2564" s="1" t="s">
        <v>2104</v>
      </c>
      <c r="C2564" s="1" t="str">
        <f ca="1">IFERROR(__xludf.DUMMYFUNCTION("GOOGLETRANSLATE(B2581,""en"",""ja"")"),"動員")</f>
        <v>動員</v>
      </c>
    </row>
    <row r="2565" spans="1:3" ht="18" customHeight="1" x14ac:dyDescent="0.3">
      <c r="A2565" s="1">
        <v>10</v>
      </c>
      <c r="B2565" s="1" t="s">
        <v>1117</v>
      </c>
      <c r="C2565" s="1" t="str">
        <f ca="1">IFERROR(__xludf.DUMMYFUNCTION("GOOGLETRANSLATE(B2582,""en"",""ja"")"),"間違い")</f>
        <v>間違い</v>
      </c>
    </row>
    <row r="2566" spans="1:3" ht="18" customHeight="1" x14ac:dyDescent="0.3">
      <c r="A2566" s="1">
        <v>10</v>
      </c>
      <c r="B2566" s="1" t="s">
        <v>2105</v>
      </c>
      <c r="C2566" s="1" t="str">
        <f ca="1">IFERROR(__xludf.DUMMYFUNCTION("GOOGLETRANSLATE(B2583,""en"",""ja"")"),"メカニズム")</f>
        <v>メカニズム</v>
      </c>
    </row>
    <row r="2567" spans="1:3" ht="18" customHeight="1" x14ac:dyDescent="0.3">
      <c r="A2567" s="1">
        <v>10</v>
      </c>
      <c r="B2567" s="1" t="s">
        <v>2106</v>
      </c>
      <c r="C2567" s="1" t="str">
        <f ca="1">IFERROR(__xludf.DUMMYFUNCTION("GOOGLETRANSLATE(B2584,""en"",""ja"")"),"著しく")</f>
        <v>著しく</v>
      </c>
    </row>
    <row r="2568" spans="1:3" ht="18" customHeight="1" x14ac:dyDescent="0.3">
      <c r="A2568" s="1">
        <v>10</v>
      </c>
      <c r="B2568" s="1" t="s">
        <v>2107</v>
      </c>
      <c r="C2568" s="1" t="str">
        <f ca="1">IFERROR(__xludf.DUMMYFUNCTION("GOOGLETRANSLATE(B2585,""en"",""ja"")"),"マーク")</f>
        <v>マーク</v>
      </c>
    </row>
    <row r="2569" spans="1:3" ht="18" customHeight="1" x14ac:dyDescent="0.3">
      <c r="A2569" s="1">
        <v>10</v>
      </c>
      <c r="B2569" s="1" t="s">
        <v>52</v>
      </c>
      <c r="C2569" s="1" t="str">
        <f ca="1">IFERROR(__xludf.DUMMYFUNCTION("GOOGLETRANSLATE(B2586,""en"",""ja"")"),"たくさんの")</f>
        <v>たくさんの</v>
      </c>
    </row>
    <row r="2570" spans="1:3" ht="18" customHeight="1" x14ac:dyDescent="0.3">
      <c r="A2570" s="1">
        <v>10</v>
      </c>
      <c r="B2570" s="1" t="s">
        <v>2108</v>
      </c>
      <c r="C2570" s="1" t="str">
        <f ca="1">IFERROR(__xludf.DUMMYFUNCTION("GOOGLETRANSLATE(B2587,""en"",""ja"")"),"整体")</f>
        <v>整体</v>
      </c>
    </row>
    <row r="2571" spans="1:3" ht="18" customHeight="1" x14ac:dyDescent="0.3">
      <c r="A2571" s="1">
        <v>10</v>
      </c>
      <c r="B2571" s="1" t="s">
        <v>2109</v>
      </c>
      <c r="C2571" s="1" t="str">
        <f ca="1">IFERROR(__xludf.DUMMYFUNCTION("GOOGLETRANSLATE(B2588,""en"",""ja"")"),"化粧")</f>
        <v>化粧</v>
      </c>
    </row>
    <row r="2572" spans="1:3" ht="18" customHeight="1" x14ac:dyDescent="0.3">
      <c r="A2572" s="1">
        <v>10</v>
      </c>
      <c r="B2572" s="1" t="s">
        <v>2110</v>
      </c>
      <c r="C2572" s="1" t="str">
        <f ca="1">IFERROR(__xludf.DUMMYFUNCTION("GOOGLETRANSLATE(B2589,""en"",""ja"")"),"マキャベリ")</f>
        <v>マキャベリ</v>
      </c>
    </row>
    <row r="2573" spans="1:3" ht="18" customHeight="1" x14ac:dyDescent="0.3">
      <c r="A2573" s="1">
        <v>10</v>
      </c>
      <c r="B2573" s="1" t="s">
        <v>2111</v>
      </c>
      <c r="C2573" s="1" t="str">
        <f ca="1">IFERROR(__xludf.DUMMYFUNCTION("GOOGLETRANSLATE(B2590,""en"",""ja"")"),"メートル")</f>
        <v>メートル</v>
      </c>
    </row>
    <row r="2574" spans="1:3" ht="18" customHeight="1" x14ac:dyDescent="0.3">
      <c r="A2574" s="1">
        <v>10</v>
      </c>
      <c r="B2574" s="1" t="s">
        <v>2112</v>
      </c>
      <c r="C2574" s="1" t="str">
        <f ca="1">IFERROR(__xludf.DUMMYFUNCTION("GOOGLETRANSLATE(B2591,""en"",""ja"")"),"最低")</f>
        <v>最低</v>
      </c>
    </row>
    <row r="2575" spans="1:3" ht="18" customHeight="1" x14ac:dyDescent="0.3">
      <c r="A2575" s="1">
        <v>10</v>
      </c>
      <c r="B2575" s="1" t="s">
        <v>1122</v>
      </c>
      <c r="C2575" s="1" t="str">
        <f ca="1">IFERROR(__xludf.DUMMYFUNCTION("GOOGLETRANSLATE(B2592,""en"",""ja"")"),"低いです")</f>
        <v>低いです</v>
      </c>
    </row>
    <row r="2576" spans="1:3" ht="18" customHeight="1" x14ac:dyDescent="0.3">
      <c r="A2576" s="1">
        <v>10</v>
      </c>
      <c r="B2576" s="1" t="s">
        <v>2113</v>
      </c>
      <c r="C2576" s="1" t="str">
        <f ca="1">IFERROR(__xludf.DUMMYFUNCTION("GOOGLETRANSLATE(B2593,""en"",""ja"")"),"ルックス")</f>
        <v>ルックス</v>
      </c>
    </row>
    <row r="2577" spans="1:3" ht="18" customHeight="1" x14ac:dyDescent="0.3">
      <c r="A2577" s="1">
        <v>10</v>
      </c>
      <c r="B2577" s="1" t="s">
        <v>2114</v>
      </c>
      <c r="C2577" s="1" t="str">
        <f ca="1">IFERROR(__xludf.DUMMYFUNCTION("GOOGLETRANSLATE(B2594,""en"",""ja"")"),"言語学者")</f>
        <v>言語学者</v>
      </c>
    </row>
    <row r="2578" spans="1:3" ht="18" customHeight="1" x14ac:dyDescent="0.3">
      <c r="A2578" s="1">
        <v>10</v>
      </c>
      <c r="B2578" s="1" t="s">
        <v>2115</v>
      </c>
      <c r="C2578" s="1" t="str">
        <f ca="1">IFERROR(__xludf.DUMMYFUNCTION("GOOGLETRANSLATE(B2595,""en"",""ja"")"),"言語学")</f>
        <v>言語学</v>
      </c>
    </row>
    <row r="2579" spans="1:3" ht="18" customHeight="1" x14ac:dyDescent="0.3">
      <c r="A2579" s="1">
        <v>10</v>
      </c>
      <c r="B2579" s="1" t="s">
        <v>2116</v>
      </c>
      <c r="C2579" s="1" t="str">
        <f ca="1">IFERROR(__xludf.DUMMYFUNCTION("GOOGLETRANSLATE(B2596,""en"",""ja"")"),"点灯")</f>
        <v>点灯</v>
      </c>
    </row>
    <row r="2580" spans="1:3" ht="18" customHeight="1" x14ac:dyDescent="0.3">
      <c r="A2580" s="1">
        <v>10</v>
      </c>
      <c r="B2580" s="1" t="s">
        <v>2117</v>
      </c>
      <c r="C2580" s="1" t="str">
        <f ca="1">IFERROR(__xludf.DUMMYFUNCTION("GOOGLETRANSLATE(B2597,""en"",""ja"")"),"レーニン")</f>
        <v>レーニン</v>
      </c>
    </row>
    <row r="2581" spans="1:3" ht="18" customHeight="1" x14ac:dyDescent="0.3">
      <c r="A2581" s="1">
        <v>10</v>
      </c>
      <c r="B2581" s="1" t="s">
        <v>2118</v>
      </c>
      <c r="C2581" s="1" t="str">
        <f ca="1">IFERROR(__xludf.DUMMYFUNCTION("GOOGLETRANSLATE(B2598,""en"",""ja"")"),"法的")</f>
        <v>法的</v>
      </c>
    </row>
    <row r="2582" spans="1:3" ht="18" customHeight="1" x14ac:dyDescent="0.3">
      <c r="A2582" s="1">
        <v>10</v>
      </c>
      <c r="B2582" s="1" t="s">
        <v>2119</v>
      </c>
      <c r="C2582" s="1" t="str">
        <f ca="1">IFERROR(__xludf.DUMMYFUNCTION("GOOGLETRANSLATE(B2599,""en"",""ja"")"),"層")</f>
        <v>層</v>
      </c>
    </row>
    <row r="2583" spans="1:3" ht="18" customHeight="1" x14ac:dyDescent="0.3">
      <c r="A2583" s="1">
        <v>10</v>
      </c>
      <c r="B2583" s="1" t="s">
        <v>2120</v>
      </c>
      <c r="C2583" s="1" t="str">
        <f ca="1">IFERROR(__xludf.DUMMYFUNCTION("GOOGLETRANSLATE(B2600,""en"",""ja"")"),"景観")</f>
        <v>景観</v>
      </c>
    </row>
    <row r="2584" spans="1:3" ht="18" customHeight="1" x14ac:dyDescent="0.3">
      <c r="A2584" s="1">
        <v>10</v>
      </c>
      <c r="B2584" s="1" t="s">
        <v>2121</v>
      </c>
      <c r="C2584" s="1" t="str">
        <f ca="1">IFERROR(__xludf.DUMMYFUNCTION("GOOGLETRANSLATE(B2601,""en"",""ja"")"),"ランドスケープ")</f>
        <v>ランドスケープ</v>
      </c>
    </row>
    <row r="2585" spans="1:3" ht="18" customHeight="1" x14ac:dyDescent="0.3">
      <c r="A2585" s="1">
        <v>10</v>
      </c>
      <c r="B2585" s="1" t="s">
        <v>2122</v>
      </c>
      <c r="C2585" s="1" t="str">
        <f ca="1">IFERROR(__xludf.DUMMYFUNCTION("GOOGLETRANSLATE(B2602,""en"",""ja"")"),"子供たち")</f>
        <v>子供たち</v>
      </c>
    </row>
    <row r="2586" spans="1:3" ht="18" customHeight="1" x14ac:dyDescent="0.3">
      <c r="A2586" s="1">
        <v>10</v>
      </c>
      <c r="B2586" s="1" t="s">
        <v>2123</v>
      </c>
      <c r="C2586" s="1" t="str">
        <f ca="1">IFERROR(__xludf.DUMMYFUNCTION("GOOGLETRANSLATE(B2603,""en"",""ja"")"),"ジュリアン")</f>
        <v>ジュリアン</v>
      </c>
    </row>
    <row r="2587" spans="1:3" ht="18" customHeight="1" x14ac:dyDescent="0.3">
      <c r="A2587" s="1">
        <v>10</v>
      </c>
      <c r="B2587" s="1" t="s">
        <v>613</v>
      </c>
      <c r="C2587" s="1" t="str">
        <f ca="1">IFERROR(__xludf.DUMMYFUNCTION("GOOGLETRANSLATE(B2604,""en"",""ja"")"),"自体")</f>
        <v>自体</v>
      </c>
    </row>
    <row r="2588" spans="1:3" ht="18" customHeight="1" x14ac:dyDescent="0.3">
      <c r="A2588" s="1">
        <v>10</v>
      </c>
      <c r="B2588" s="1" t="s">
        <v>2124</v>
      </c>
      <c r="C2588" s="1" t="str">
        <f ca="1">IFERROR(__xludf.DUMMYFUNCTION("GOOGLETRANSLATE(B2605,""en"",""ja"")"),"イタリアの")</f>
        <v>イタリアの</v>
      </c>
    </row>
    <row r="2589" spans="1:3" ht="18" customHeight="1" x14ac:dyDescent="0.3">
      <c r="A2589" s="1">
        <v>10</v>
      </c>
      <c r="B2589" s="1" t="s">
        <v>2125</v>
      </c>
      <c r="C2589" s="1" t="str">
        <f ca="1">IFERROR(__xludf.DUMMYFUNCTION("GOOGLETRANSLATE(B2606,""en"",""ja"")"),"考案")</f>
        <v>考案</v>
      </c>
    </row>
    <row r="2590" spans="1:3" ht="18" customHeight="1" x14ac:dyDescent="0.3">
      <c r="A2590" s="1">
        <v>10</v>
      </c>
      <c r="B2590" s="1" t="s">
        <v>2126</v>
      </c>
      <c r="C2590" s="1" t="str">
        <f ca="1">IFERROR(__xludf.DUMMYFUNCTION("GOOGLETRANSLATE(B2607,""en"",""ja"")"),"前書き")</f>
        <v>前書き</v>
      </c>
    </row>
    <row r="2591" spans="1:3" ht="18" customHeight="1" x14ac:dyDescent="0.3">
      <c r="A2591" s="1">
        <v>10</v>
      </c>
      <c r="B2591" s="1" t="s">
        <v>2127</v>
      </c>
      <c r="C2591" s="1" t="str">
        <f ca="1">IFERROR(__xludf.DUMMYFUNCTION("GOOGLETRANSLATE(B2608,""en"",""ja"")"),"インターナショナル")</f>
        <v>インターナショナル</v>
      </c>
    </row>
    <row r="2592" spans="1:3" ht="18" customHeight="1" x14ac:dyDescent="0.3">
      <c r="A2592" s="1">
        <v>10</v>
      </c>
      <c r="B2592" s="1" t="s">
        <v>2128</v>
      </c>
      <c r="C2592" s="1" t="str">
        <f ca="1">IFERROR(__xludf.DUMMYFUNCTION("GOOGLETRANSLATE(B2609,""en"",""ja"")"),"相互作用")</f>
        <v>相互作用</v>
      </c>
    </row>
    <row r="2593" spans="1:3" ht="18" customHeight="1" x14ac:dyDescent="0.3">
      <c r="A2593" s="1">
        <v>10</v>
      </c>
      <c r="B2593" s="1" t="s">
        <v>2129</v>
      </c>
      <c r="C2593" s="1" t="str">
        <f ca="1">IFERROR(__xludf.DUMMYFUNCTION("GOOGLETRANSLATE(B2610,""en"",""ja"")"),"激化")</f>
        <v>激化</v>
      </c>
    </row>
    <row r="2594" spans="1:3" ht="18" customHeight="1" x14ac:dyDescent="0.3">
      <c r="A2594" s="1">
        <v>10</v>
      </c>
      <c r="B2594" s="1" t="s">
        <v>2130</v>
      </c>
      <c r="C2594" s="1" t="str">
        <f ca="1">IFERROR(__xludf.DUMMYFUNCTION("GOOGLETRANSLATE(B2611,""en"",""ja"")"),"インテリジェント")</f>
        <v>インテリジェント</v>
      </c>
    </row>
    <row r="2595" spans="1:3" ht="18" customHeight="1" x14ac:dyDescent="0.3">
      <c r="A2595" s="1">
        <v>10</v>
      </c>
      <c r="B2595" s="1" t="s">
        <v>2131</v>
      </c>
      <c r="C2595" s="1" t="str">
        <f ca="1">IFERROR(__xludf.DUMMYFUNCTION("GOOGLETRANSLATE(B2612,""en"",""ja"")"),"ING")</f>
        <v>ING</v>
      </c>
    </row>
    <row r="2596" spans="1:3" ht="18" customHeight="1" x14ac:dyDescent="0.3">
      <c r="A2596" s="1">
        <v>10</v>
      </c>
      <c r="B2596" s="1" t="s">
        <v>2132</v>
      </c>
      <c r="C2596" s="1" t="str">
        <f ca="1">IFERROR(__xludf.DUMMYFUNCTION("GOOGLETRANSLATE(B2613,""en"",""ja"")"),"無効")</f>
        <v>無効</v>
      </c>
    </row>
    <row r="2597" spans="1:3" ht="18" customHeight="1" x14ac:dyDescent="0.3">
      <c r="A2597" s="1">
        <v>10</v>
      </c>
      <c r="B2597" s="1" t="s">
        <v>2133</v>
      </c>
      <c r="C2597" s="1" t="str">
        <f ca="1">IFERROR(__xludf.DUMMYFUNCTION("GOOGLETRANSLATE(B2614,""en"",""ja"")"),"土着")</f>
        <v>土着</v>
      </c>
    </row>
    <row r="2598" spans="1:3" ht="18" customHeight="1" x14ac:dyDescent="0.3">
      <c r="A2598" s="1">
        <v>10</v>
      </c>
      <c r="B2598" s="1" t="s">
        <v>2134</v>
      </c>
      <c r="C2598" s="1" t="str">
        <f ca="1">IFERROR(__xludf.DUMMYFUNCTION("GOOGLETRANSLATE(B2615,""en"",""ja"")"),"単独で")</f>
        <v>単独で</v>
      </c>
    </row>
    <row r="2599" spans="1:3" ht="18" customHeight="1" x14ac:dyDescent="0.3">
      <c r="A2599" s="1">
        <v>10</v>
      </c>
      <c r="B2599" s="1" t="s">
        <v>2135</v>
      </c>
      <c r="C2599" s="1" t="str">
        <f ca="1">IFERROR(__xludf.DUMMYFUNCTION("GOOGLETRANSLATE(B2616,""en"",""ja"")"),"支離滅裂")</f>
        <v>支離滅裂</v>
      </c>
    </row>
    <row r="2600" spans="1:3" ht="18" customHeight="1" x14ac:dyDescent="0.3">
      <c r="A2600" s="1">
        <v>10</v>
      </c>
      <c r="B2600" s="1" t="s">
        <v>2136</v>
      </c>
      <c r="C2600" s="1" t="str">
        <f ca="1">IFERROR(__xludf.DUMMYFUNCTION("GOOGLETRANSLATE(B2617,""en"",""ja"")"),"不備")</f>
        <v>不備</v>
      </c>
    </row>
    <row r="2601" spans="1:3" ht="18" customHeight="1" x14ac:dyDescent="0.3">
      <c r="A2601" s="1">
        <v>10</v>
      </c>
      <c r="B2601" s="1" t="s">
        <v>2137</v>
      </c>
      <c r="C2601" s="1" t="str">
        <f ca="1">IFERROR(__xludf.DUMMYFUNCTION("GOOGLETRANSLATE(B2618,""en"",""ja"")"),"暗示")</f>
        <v>暗示</v>
      </c>
    </row>
    <row r="2602" spans="1:3" ht="18" customHeight="1" x14ac:dyDescent="0.3">
      <c r="A2602" s="1">
        <v>10</v>
      </c>
      <c r="B2602" s="1" t="s">
        <v>1802</v>
      </c>
      <c r="C2602" s="1" t="str">
        <f ca="1">IFERROR(__xludf.DUMMYFUNCTION("GOOGLETRANSLATE(B2619,""en"",""ja"")"),"無視します")</f>
        <v>無視します</v>
      </c>
    </row>
    <row r="2603" spans="1:3" ht="18" customHeight="1" x14ac:dyDescent="0.3">
      <c r="A2603" s="1">
        <v>10</v>
      </c>
      <c r="B2603" s="1" t="s">
        <v>1126</v>
      </c>
      <c r="C2603" s="1" t="str">
        <f ca="1">IFERROR(__xludf.DUMMYFUNCTION("GOOGLETRANSLATE(B2620,""en"",""ja"")"),"仮説")</f>
        <v>仮説</v>
      </c>
    </row>
    <row r="2604" spans="1:3" ht="18" customHeight="1" x14ac:dyDescent="0.3">
      <c r="A2604" s="1">
        <v>10</v>
      </c>
      <c r="B2604" s="1" t="s">
        <v>2138</v>
      </c>
      <c r="C2604" s="1" t="str">
        <f ca="1">IFERROR(__xludf.DUMMYFUNCTION("GOOGLETRANSLATE(B2621,""en"",""ja"")"),"ホッブズ")</f>
        <v>ホッブズ</v>
      </c>
    </row>
    <row r="2605" spans="1:3" ht="18" customHeight="1" x14ac:dyDescent="0.3">
      <c r="A2605" s="1">
        <v>10</v>
      </c>
      <c r="B2605" s="1" t="s">
        <v>2139</v>
      </c>
      <c r="C2605" s="1" t="str">
        <f ca="1">IFERROR(__xludf.DUMMYFUNCTION("GOOGLETRANSLATE(B2622,""en"",""ja"")"),"ヒット")</f>
        <v>ヒット</v>
      </c>
    </row>
    <row r="2606" spans="1:3" ht="18" customHeight="1" x14ac:dyDescent="0.3">
      <c r="A2606" s="1">
        <v>10</v>
      </c>
      <c r="B2606" s="1" t="s">
        <v>2140</v>
      </c>
      <c r="C2606" s="1" t="str">
        <f ca="1">IFERROR(__xludf.DUMMYFUNCTION("GOOGLETRANSLATE(B2623,""en"",""ja"")"),"雇わ")</f>
        <v>雇わ</v>
      </c>
    </row>
    <row r="2607" spans="1:3" ht="18" customHeight="1" x14ac:dyDescent="0.3">
      <c r="A2607" s="1">
        <v>10</v>
      </c>
      <c r="B2607" s="1" t="s">
        <v>2141</v>
      </c>
      <c r="C2607" s="1" t="str">
        <f ca="1">IFERROR(__xludf.DUMMYFUNCTION("GOOGLETRANSLATE(B2624,""en"",""ja"")"),"階層")</f>
        <v>階層</v>
      </c>
    </row>
    <row r="2608" spans="1:3" ht="18" customHeight="1" x14ac:dyDescent="0.3">
      <c r="A2608" s="1">
        <v>10</v>
      </c>
      <c r="B2608" s="1" t="s">
        <v>2142</v>
      </c>
      <c r="C2608" s="1" t="str">
        <f ca="1">IFERROR(__xludf.DUMMYFUNCTION("GOOGLETRANSLATE(B2625,""en"",""ja"")"),"異質")</f>
        <v>異質</v>
      </c>
    </row>
    <row r="2609" spans="1:3" ht="18" customHeight="1" x14ac:dyDescent="0.3">
      <c r="A2609" s="1">
        <v>10</v>
      </c>
      <c r="B2609" s="1" t="s">
        <v>2143</v>
      </c>
      <c r="C2609" s="1" t="str">
        <f ca="1">IFERROR(__xludf.DUMMYFUNCTION("GOOGLETRANSLATE(B2626,""en"",""ja"")"),"支援します")</f>
        <v>支援します</v>
      </c>
    </row>
    <row r="2610" spans="1:3" ht="18" customHeight="1" x14ac:dyDescent="0.3">
      <c r="A2610" s="1">
        <v>10</v>
      </c>
      <c r="B2610" s="1" t="s">
        <v>673</v>
      </c>
      <c r="C2610" s="1" t="str">
        <f ca="1">IFERROR(__xludf.DUMMYFUNCTION("GOOGLETRANSLATE(B2627,""en"",""ja"")"),"起こります")</f>
        <v>起こります</v>
      </c>
    </row>
    <row r="2611" spans="1:3" ht="18" customHeight="1" x14ac:dyDescent="0.3">
      <c r="A2611" s="1">
        <v>10</v>
      </c>
      <c r="B2611" s="1" t="s">
        <v>2144</v>
      </c>
      <c r="C2611" s="1" t="str">
        <f ca="1">IFERROR(__xludf.DUMMYFUNCTION("GOOGLETRANSLATE(B2628,""en"",""ja"")"),"ガイド")</f>
        <v>ガイド</v>
      </c>
    </row>
    <row r="2612" spans="1:3" ht="18" customHeight="1" x14ac:dyDescent="0.3">
      <c r="A2612" s="1">
        <v>10</v>
      </c>
      <c r="B2612" s="1" t="s">
        <v>2145</v>
      </c>
      <c r="C2612" s="1" t="str">
        <f ca="1">IFERROR(__xludf.DUMMYFUNCTION("GOOGLETRANSLATE(B2629,""en"",""ja"")"),"ガイダンス")</f>
        <v>ガイダンス</v>
      </c>
    </row>
    <row r="2613" spans="1:3" ht="18" customHeight="1" x14ac:dyDescent="0.3">
      <c r="A2613" s="1">
        <v>10</v>
      </c>
      <c r="B2613" s="1" t="s">
        <v>2146</v>
      </c>
      <c r="C2613" s="1" t="str">
        <f ca="1">IFERROR(__xludf.DUMMYFUNCTION("GOOGLETRANSLATE(B2630,""en"",""ja"")"),"Googleの")</f>
        <v>Googleの</v>
      </c>
    </row>
    <row r="2614" spans="1:3" ht="18" customHeight="1" x14ac:dyDescent="0.3">
      <c r="A2614" s="1">
        <v>10</v>
      </c>
      <c r="B2614" s="1" t="s">
        <v>2147</v>
      </c>
      <c r="C2614" s="1" t="str">
        <f ca="1">IFERROR(__xludf.DUMMYFUNCTION("GOOGLETRANSLATE(B2631,""en"",""ja"")"),"グローバル化")</f>
        <v>グローバル化</v>
      </c>
    </row>
    <row r="2615" spans="1:3" ht="18" customHeight="1" x14ac:dyDescent="0.3">
      <c r="A2615" s="1">
        <v>10</v>
      </c>
      <c r="B2615" s="1" t="s">
        <v>2148</v>
      </c>
      <c r="C2615" s="1" t="str">
        <f ca="1">IFERROR(__xludf.DUMMYFUNCTION("GOOGLETRANSLATE(B2632,""en"",""ja"")"),"ジェスチャー")</f>
        <v>ジェスチャー</v>
      </c>
    </row>
    <row r="2616" spans="1:3" ht="18" customHeight="1" x14ac:dyDescent="0.3">
      <c r="A2616" s="1">
        <v>10</v>
      </c>
      <c r="B2616" s="1" t="s">
        <v>2149</v>
      </c>
      <c r="C2616" s="1" t="str">
        <f ca="1">IFERROR(__xludf.DUMMYFUNCTION("GOOGLETRANSLATE(B2633,""en"",""ja"")"),"地球物理学")</f>
        <v>地球物理学</v>
      </c>
    </row>
    <row r="2617" spans="1:3" ht="18" customHeight="1" x14ac:dyDescent="0.3">
      <c r="A2617" s="1">
        <v>10</v>
      </c>
      <c r="B2617" s="1" t="s">
        <v>2150</v>
      </c>
      <c r="C2617" s="1" t="str">
        <f ca="1">IFERROR(__xludf.DUMMYFUNCTION("GOOGLETRANSLATE(B2634,""en"",""ja"")"),"獲得")</f>
        <v>獲得</v>
      </c>
    </row>
    <row r="2618" spans="1:3" ht="18" customHeight="1" x14ac:dyDescent="0.3">
      <c r="A2618" s="1">
        <v>10</v>
      </c>
      <c r="B2618" s="1" t="s">
        <v>1283</v>
      </c>
      <c r="C2618" s="1" t="str">
        <f ca="1">IFERROR(__xludf.DUMMYFUNCTION("GOOGLETRANSLATE(B2635,""en"",""ja"")"),"いっぱい")</f>
        <v>いっぱい</v>
      </c>
    </row>
    <row r="2619" spans="1:3" ht="18" customHeight="1" x14ac:dyDescent="0.3">
      <c r="A2619" s="1">
        <v>10</v>
      </c>
      <c r="B2619" s="1" t="s">
        <v>2151</v>
      </c>
      <c r="C2619" s="1" t="str">
        <f ca="1">IFERROR(__xludf.DUMMYFUNCTION("GOOGLETRANSLATE(B2636,""en"",""ja"")"),"果たします")</f>
        <v>果たします</v>
      </c>
    </row>
    <row r="2620" spans="1:3" ht="18" customHeight="1" x14ac:dyDescent="0.3">
      <c r="A2620" s="1">
        <v>10</v>
      </c>
      <c r="B2620" s="1" t="s">
        <v>2152</v>
      </c>
      <c r="C2620" s="1" t="str">
        <f ca="1">IFERROR(__xludf.DUMMYFUNCTION("GOOGLETRANSLATE(B2637,""en"",""ja"")"),"果物")</f>
        <v>果物</v>
      </c>
    </row>
    <row r="2621" spans="1:3" ht="18" customHeight="1" x14ac:dyDescent="0.3">
      <c r="A2621" s="1">
        <v>10</v>
      </c>
      <c r="B2621" s="1" t="s">
        <v>2153</v>
      </c>
      <c r="C2621" s="1" t="str">
        <f ca="1">IFERROR(__xludf.DUMMYFUNCTION("GOOGLETRANSLATE(B2638,""en"",""ja"")"),"しばしば")</f>
        <v>しばしば</v>
      </c>
    </row>
    <row r="2622" spans="1:3" ht="18" customHeight="1" x14ac:dyDescent="0.3">
      <c r="A2622" s="1">
        <v>10</v>
      </c>
      <c r="B2622" s="1" t="s">
        <v>2154</v>
      </c>
      <c r="C2622" s="1" t="str">
        <f ca="1">IFERROR(__xludf.DUMMYFUNCTION("GOOGLETRANSLATE(B2639,""en"",""ja"")"),"自由に")</f>
        <v>自由に</v>
      </c>
    </row>
    <row r="2623" spans="1:3" ht="18" customHeight="1" x14ac:dyDescent="0.3">
      <c r="A2623" s="1">
        <v>10</v>
      </c>
      <c r="B2623" s="1" t="s">
        <v>2155</v>
      </c>
      <c r="C2623" s="1" t="str">
        <f ca="1">IFERROR(__xludf.DUMMYFUNCTION("GOOGLETRANSLATE(B2640,""en"",""ja"")"),"フランシス")</f>
        <v>フランシス</v>
      </c>
    </row>
    <row r="2624" spans="1:3" ht="18" customHeight="1" x14ac:dyDescent="0.3">
      <c r="A2624" s="1">
        <v>10</v>
      </c>
      <c r="B2624" s="1" t="s">
        <v>2156</v>
      </c>
      <c r="C2624" s="1" t="str">
        <f ca="1">IFERROR(__xludf.DUMMYFUNCTION("GOOGLETRANSLATE(B2641,""en"",""ja"")"),"フレームワーク")</f>
        <v>フレームワーク</v>
      </c>
    </row>
    <row r="2625" spans="1:3" ht="18" customHeight="1" x14ac:dyDescent="0.3">
      <c r="A2625" s="1">
        <v>10</v>
      </c>
      <c r="B2625" s="1" t="s">
        <v>2157</v>
      </c>
      <c r="C2625" s="1" t="str">
        <f ca="1">IFERROR(__xludf.DUMMYFUNCTION("GOOGLETRANSLATE(B2642,""en"",""ja"")"),"フォーカス")</f>
        <v>フォーカス</v>
      </c>
    </row>
    <row r="2626" spans="1:3" ht="18" customHeight="1" x14ac:dyDescent="0.3">
      <c r="A2626" s="1">
        <v>10</v>
      </c>
      <c r="B2626" s="1" t="s">
        <v>2158</v>
      </c>
      <c r="C2626" s="1" t="str">
        <f ca="1">IFERROR(__xludf.DUMMYFUNCTION("GOOGLETRANSLATE(B2643,""en"",""ja"")"),"洪水")</f>
        <v>洪水</v>
      </c>
    </row>
    <row r="2627" spans="1:3" ht="18" customHeight="1" x14ac:dyDescent="0.3">
      <c r="A2627" s="1">
        <v>10</v>
      </c>
      <c r="B2627" s="1" t="s">
        <v>2159</v>
      </c>
      <c r="C2627" s="1" t="str">
        <f ca="1">IFERROR(__xludf.DUMMYFUNCTION("GOOGLETRANSLATE(B2644,""en"",""ja"")"),"逃げます")</f>
        <v>逃げます</v>
      </c>
    </row>
    <row r="2628" spans="1:3" ht="18" customHeight="1" x14ac:dyDescent="0.3">
      <c r="A2628" s="1">
        <v>10</v>
      </c>
      <c r="B2628" s="1" t="s">
        <v>2160</v>
      </c>
      <c r="C2628" s="1" t="str">
        <f ca="1">IFERROR(__xludf.DUMMYFUNCTION("GOOGLETRANSLATE(B2645,""en"",""ja"")"),"平らな")</f>
        <v>平らな</v>
      </c>
    </row>
    <row r="2629" spans="1:3" ht="18" customHeight="1" x14ac:dyDescent="0.3">
      <c r="A2629" s="1">
        <v>10</v>
      </c>
      <c r="B2629" s="1" t="s">
        <v>2161</v>
      </c>
      <c r="C2629" s="1" t="str">
        <f ca="1">IFERROR(__xludf.DUMMYFUNCTION("GOOGLETRANSLATE(B2646,""en"",""ja"")"),"田畑")</f>
        <v>田畑</v>
      </c>
    </row>
    <row r="2630" spans="1:3" ht="18" customHeight="1" x14ac:dyDescent="0.3">
      <c r="A2630" s="1">
        <v>10</v>
      </c>
      <c r="B2630" s="1" t="s">
        <v>2162</v>
      </c>
      <c r="C2630" s="1" t="str">
        <f ca="1">IFERROR(__xludf.DUMMYFUNCTION("GOOGLETRANSLATE(B2647,""en"",""ja"")"),"恐ろしいです")</f>
        <v>恐ろしいです</v>
      </c>
    </row>
    <row r="2631" spans="1:3" ht="18" customHeight="1" x14ac:dyDescent="0.3">
      <c r="A2631" s="1">
        <v>10</v>
      </c>
      <c r="B2631" s="1" t="s">
        <v>2163</v>
      </c>
      <c r="C2631" s="1" t="str">
        <f ca="1">IFERROR(__xludf.DUMMYFUNCTION("GOOGLETRANSLATE(B2648,""en"",""ja"")"),"ファッション")</f>
        <v>ファッション</v>
      </c>
    </row>
    <row r="2632" spans="1:3" ht="18" customHeight="1" x14ac:dyDescent="0.3">
      <c r="A2632" s="1">
        <v>10</v>
      </c>
      <c r="B2632" s="1" t="s">
        <v>2164</v>
      </c>
      <c r="C2632" s="1" t="str">
        <f ca="1">IFERROR(__xludf.DUMMYFUNCTION("GOOGLETRANSLATE(B2649,""en"",""ja"")"),"ファルコン")</f>
        <v>ファルコン</v>
      </c>
    </row>
    <row r="2633" spans="1:3" ht="18" customHeight="1" x14ac:dyDescent="0.3">
      <c r="A2633" s="1">
        <v>10</v>
      </c>
      <c r="B2633" s="1" t="s">
        <v>2165</v>
      </c>
      <c r="C2633" s="1" t="str">
        <f ca="1">IFERROR(__xludf.DUMMYFUNCTION("GOOGLETRANSLATE(B2650,""en"",""ja"")"),"失敗")</f>
        <v>失敗</v>
      </c>
    </row>
    <row r="2634" spans="1:3" ht="18" customHeight="1" x14ac:dyDescent="0.3">
      <c r="A2634" s="1">
        <v>10</v>
      </c>
      <c r="B2634" s="1" t="s">
        <v>2166</v>
      </c>
      <c r="C2634" s="1" t="str">
        <f ca="1">IFERROR(__xludf.DUMMYFUNCTION("GOOGLETRANSLATE(B2651,""en"",""ja"")"),"工場")</f>
        <v>工場</v>
      </c>
    </row>
    <row r="2635" spans="1:3" ht="18" customHeight="1" x14ac:dyDescent="0.3">
      <c r="A2635" s="1">
        <v>10</v>
      </c>
      <c r="B2635" s="1" t="s">
        <v>2167</v>
      </c>
      <c r="C2635" s="1" t="str">
        <f ca="1">IFERROR(__xludf.DUMMYFUNCTION("GOOGLETRANSLATE(B2652,""en"",""ja"")"),"顔")</f>
        <v>顔</v>
      </c>
    </row>
    <row r="2636" spans="1:3" ht="18" customHeight="1" x14ac:dyDescent="0.3">
      <c r="A2636" s="1">
        <v>10</v>
      </c>
      <c r="B2636" s="1" t="s">
        <v>2168</v>
      </c>
      <c r="C2636" s="1" t="str">
        <f ca="1">IFERROR(__xludf.DUMMYFUNCTION("GOOGLETRANSLATE(B2653,""en"",""ja"")"),"眼")</f>
        <v>眼</v>
      </c>
    </row>
    <row r="2637" spans="1:3" ht="18" customHeight="1" x14ac:dyDescent="0.3">
      <c r="A2637" s="1">
        <v>10</v>
      </c>
      <c r="B2637" s="1" t="s">
        <v>2169</v>
      </c>
      <c r="C2637" s="1" t="str">
        <f ca="1">IFERROR(__xludf.DUMMYFUNCTION("GOOGLETRANSLATE(B2655,""en"",""ja"")"),"取り立てます")</f>
        <v>取り立てます</v>
      </c>
    </row>
    <row r="2638" spans="1:3" ht="18" customHeight="1" x14ac:dyDescent="0.3">
      <c r="A2638" s="1">
        <v>10</v>
      </c>
      <c r="B2638" s="1" t="s">
        <v>1138</v>
      </c>
      <c r="C2638" s="1" t="str">
        <f ca="1">IFERROR(__xludf.DUMMYFUNCTION("GOOGLETRANSLATE(B2656,""en"",""ja"")"),"エクステント")</f>
        <v>エクステント</v>
      </c>
    </row>
    <row r="2639" spans="1:3" ht="18" customHeight="1" x14ac:dyDescent="0.3">
      <c r="A2639" s="1">
        <v>10</v>
      </c>
      <c r="B2639" s="1" t="s">
        <v>2170</v>
      </c>
      <c r="C2639" s="1" t="str">
        <f ca="1">IFERROR(__xludf.DUMMYFUNCTION("GOOGLETRANSLATE(B2657,""en"",""ja"")"),"探検")</f>
        <v>探検</v>
      </c>
    </row>
    <row r="2640" spans="1:3" ht="18" customHeight="1" x14ac:dyDescent="0.3">
      <c r="A2640" s="1">
        <v>10</v>
      </c>
      <c r="B2640" s="1" t="s">
        <v>2171</v>
      </c>
      <c r="C2640" s="1" t="str">
        <f ca="1">IFERROR(__xludf.DUMMYFUNCTION("GOOGLETRANSLATE(B2658,""en"",""ja"")"),"搾取")</f>
        <v>搾取</v>
      </c>
    </row>
    <row r="2641" spans="1:3" ht="18" customHeight="1" x14ac:dyDescent="0.3">
      <c r="A2641" s="1">
        <v>10</v>
      </c>
      <c r="B2641" s="1" t="s">
        <v>2172</v>
      </c>
      <c r="C2641" s="1" t="str">
        <f ca="1">IFERROR(__xludf.DUMMYFUNCTION("GOOGLETRANSLATE(B2659,""en"",""ja"")"),"期待")</f>
        <v>期待</v>
      </c>
    </row>
    <row r="2642" spans="1:3" ht="18" customHeight="1" x14ac:dyDescent="0.3">
      <c r="A2642" s="1">
        <v>10</v>
      </c>
      <c r="B2642" s="1" t="s">
        <v>2173</v>
      </c>
      <c r="C2642" s="1" t="str">
        <f ca="1">IFERROR(__xludf.DUMMYFUNCTION("GOOGLETRANSLATE(B2660,""en"",""ja"")"),"脱出")</f>
        <v>脱出</v>
      </c>
    </row>
    <row r="2643" spans="1:3" ht="18" customHeight="1" x14ac:dyDescent="0.3">
      <c r="A2643" s="1">
        <v>10</v>
      </c>
      <c r="B2643" s="1" t="s">
        <v>2174</v>
      </c>
      <c r="C2643" s="1" t="str">
        <f ca="1">IFERROR(__xludf.DUMMYFUNCTION("GOOGLETRANSLATE(B2661,""en"",""ja"")"),"排他的に")</f>
        <v>排他的に</v>
      </c>
    </row>
    <row r="2644" spans="1:3" ht="18" customHeight="1" x14ac:dyDescent="0.3">
      <c r="A2644" s="1">
        <v>10</v>
      </c>
      <c r="B2644" s="1" t="s">
        <v>2175</v>
      </c>
      <c r="C2644" s="1" t="str">
        <f ca="1">IFERROR(__xludf.DUMMYFUNCTION("GOOGLETRANSLATE(B2662,""en"",""ja"")"),"精密")</f>
        <v>精密</v>
      </c>
    </row>
    <row r="2645" spans="1:3" ht="18" customHeight="1" x14ac:dyDescent="0.3">
      <c r="A2645" s="1">
        <v>10</v>
      </c>
      <c r="B2645" s="1" t="s">
        <v>2176</v>
      </c>
      <c r="C2645" s="1" t="str">
        <f ca="1">IFERROR(__xludf.DUMMYFUNCTION("GOOGLETRANSLATE(B2663,""en"",""ja"")"),"結局")</f>
        <v>結局</v>
      </c>
    </row>
    <row r="2646" spans="1:3" ht="18" customHeight="1" x14ac:dyDescent="0.3">
      <c r="A2646" s="1">
        <v>10</v>
      </c>
      <c r="B2646" s="1" t="s">
        <v>1017</v>
      </c>
      <c r="C2646" s="1" t="str">
        <f ca="1">IFERROR(__xludf.DUMMYFUNCTION("GOOGLETRANSLATE(B2664,""en"",""ja"")"),"評価します")</f>
        <v>評価します</v>
      </c>
    </row>
    <row r="2647" spans="1:3" ht="18" customHeight="1" x14ac:dyDescent="0.3">
      <c r="A2647" s="1">
        <v>10</v>
      </c>
      <c r="B2647" s="1" t="s">
        <v>678</v>
      </c>
      <c r="C2647" s="1" t="str">
        <f ca="1">IFERROR(__xludf.DUMMYFUNCTION("GOOGLETRANSLATE(B2665,""en"",""ja"")"),"欧州の")</f>
        <v>欧州の</v>
      </c>
    </row>
    <row r="2648" spans="1:3" ht="18" customHeight="1" x14ac:dyDescent="0.3">
      <c r="A2648" s="1">
        <v>10</v>
      </c>
      <c r="B2648" s="1" t="s">
        <v>778</v>
      </c>
      <c r="C2648" s="1" t="str">
        <f ca="1">IFERROR(__xludf.DUMMYFUNCTION("GOOGLETRANSLATE(B2666,""en"",""ja"")"),"ヨーロッパ")</f>
        <v>ヨーロッパ</v>
      </c>
    </row>
    <row r="2649" spans="1:3" ht="18" customHeight="1" x14ac:dyDescent="0.3">
      <c r="A2649" s="1">
        <v>10</v>
      </c>
      <c r="B2649" s="1" t="s">
        <v>2177</v>
      </c>
      <c r="C2649" s="1" t="str">
        <f ca="1">IFERROR(__xludf.DUMMYFUNCTION("GOOGLETRANSLATE(B2667,""en"",""ja"")"),"優生学")</f>
        <v>優生学</v>
      </c>
    </row>
    <row r="2650" spans="1:3" ht="18" customHeight="1" x14ac:dyDescent="0.3">
      <c r="A2650" s="1">
        <v>10</v>
      </c>
      <c r="B2650" s="1" t="s">
        <v>2178</v>
      </c>
      <c r="C2650" s="1" t="str">
        <f ca="1">IFERROR(__xludf.DUMMYFUNCTION("GOOGLETRANSLATE(B2668,""en"",""ja"")"),"エスニック")</f>
        <v>エスニック</v>
      </c>
    </row>
    <row r="2651" spans="1:3" ht="18" customHeight="1" x14ac:dyDescent="0.3">
      <c r="A2651" s="1">
        <v>10</v>
      </c>
      <c r="B2651" s="1" t="s">
        <v>2179</v>
      </c>
      <c r="C2651" s="1" t="str">
        <f ca="1">IFERROR(__xludf.DUMMYFUNCTION("GOOGLETRANSLATE(B2669,""en"",""ja"")"),"推定")</f>
        <v>推定</v>
      </c>
    </row>
    <row r="2652" spans="1:3" ht="18" customHeight="1" x14ac:dyDescent="0.3">
      <c r="A2652" s="1">
        <v>10</v>
      </c>
      <c r="B2652" s="1" t="s">
        <v>2180</v>
      </c>
      <c r="C2652" s="1" t="str">
        <f ca="1">IFERROR(__xludf.DUMMYFUNCTION("GOOGLETRANSLATE(B2670,""en"",""ja"")"),"尊敬")</f>
        <v>尊敬</v>
      </c>
    </row>
    <row r="2653" spans="1:3" ht="18" customHeight="1" x14ac:dyDescent="0.3">
      <c r="A2653" s="1">
        <v>10</v>
      </c>
      <c r="B2653" s="1" t="s">
        <v>2181</v>
      </c>
      <c r="C2653" s="1" t="str">
        <f ca="1">IFERROR(__xludf.DUMMYFUNCTION("GOOGLETRANSLATE(B2671,""en"",""ja"")"),"起業家")</f>
        <v>起業家</v>
      </c>
    </row>
    <row r="2654" spans="1:3" ht="18" customHeight="1" x14ac:dyDescent="0.3">
      <c r="A2654" s="1">
        <v>10</v>
      </c>
      <c r="B2654" s="1" t="s">
        <v>2182</v>
      </c>
      <c r="C2654" s="1" t="str">
        <f ca="1">IFERROR(__xludf.DUMMYFUNCTION("GOOGLETRANSLATE(B2672,""en"",""ja"")"),"定着")</f>
        <v>定着</v>
      </c>
    </row>
    <row r="2655" spans="1:3" ht="18" customHeight="1" x14ac:dyDescent="0.3">
      <c r="A2655" s="1">
        <v>10</v>
      </c>
      <c r="B2655" s="1" t="s">
        <v>2183</v>
      </c>
      <c r="C2655" s="1" t="str">
        <f ca="1">IFERROR(__xludf.DUMMYFUNCTION("GOOGLETRANSLATE(B2673,""en"",""ja"")"),"エンターテインメント")</f>
        <v>エンターテインメント</v>
      </c>
    </row>
    <row r="2656" spans="1:3" ht="18" customHeight="1" x14ac:dyDescent="0.3">
      <c r="A2656" s="1">
        <v>10</v>
      </c>
      <c r="B2656" s="1" t="s">
        <v>2184</v>
      </c>
      <c r="C2656" s="1" t="str">
        <f ca="1">IFERROR(__xludf.DUMMYFUNCTION("GOOGLETRANSLATE(B2674,""en"",""ja"")"),"遭遇")</f>
        <v>遭遇</v>
      </c>
    </row>
    <row r="2657" spans="1:3" ht="18" customHeight="1" x14ac:dyDescent="0.3">
      <c r="A2657" s="1">
        <v>10</v>
      </c>
      <c r="B2657" s="1" t="s">
        <v>2185</v>
      </c>
      <c r="C2657" s="1" t="str">
        <f ca="1">IFERROR(__xludf.DUMMYFUNCTION("GOOGLETRANSLATE(B2675,""en"",""ja"")"),"採用")</f>
        <v>採用</v>
      </c>
    </row>
    <row r="2658" spans="1:3" ht="18" customHeight="1" x14ac:dyDescent="0.3">
      <c r="A2658" s="1">
        <v>10</v>
      </c>
      <c r="B2658" s="1" t="s">
        <v>2186</v>
      </c>
      <c r="C2658" s="1" t="str">
        <f ca="1">IFERROR(__xludf.DUMMYFUNCTION("GOOGLETRANSLATE(B2676,""en"",""ja"")"),"標高")</f>
        <v>標高</v>
      </c>
    </row>
    <row r="2659" spans="1:3" ht="18" customHeight="1" x14ac:dyDescent="0.3">
      <c r="A2659" s="1">
        <v>10</v>
      </c>
      <c r="B2659" s="1" t="s">
        <v>2187</v>
      </c>
      <c r="C2659" s="1" t="str">
        <f ca="1">IFERROR(__xludf.DUMMYFUNCTION("GOOGLETRANSLATE(B2677,""en"",""ja"")"),"自己中心的な")</f>
        <v>自己中心的な</v>
      </c>
    </row>
    <row r="2660" spans="1:3" ht="18" customHeight="1" x14ac:dyDescent="0.3">
      <c r="A2660" s="1">
        <v>10</v>
      </c>
      <c r="B2660" s="1" t="s">
        <v>2188</v>
      </c>
      <c r="C2660" s="1" t="str">
        <f ca="1">IFERROR(__xludf.DUMMYFUNCTION("GOOGLETRANSLATE(B2678,""en"",""ja"")"),"経済")</f>
        <v>経済</v>
      </c>
    </row>
    <row r="2661" spans="1:3" ht="18" customHeight="1" x14ac:dyDescent="0.3">
      <c r="A2661" s="1">
        <v>10</v>
      </c>
      <c r="B2661" s="1" t="s">
        <v>2189</v>
      </c>
      <c r="C2661" s="1" t="str">
        <f ca="1">IFERROR(__xludf.DUMMYFUNCTION("GOOGLETRANSLATE(B2679,""en"",""ja"")"),"劇的")</f>
        <v>劇的</v>
      </c>
    </row>
    <row r="2662" spans="1:3" ht="18" customHeight="1" x14ac:dyDescent="0.3">
      <c r="A2662" s="1">
        <v>10</v>
      </c>
      <c r="B2662" s="1" t="s">
        <v>2190</v>
      </c>
      <c r="C2662" s="1" t="str">
        <f ca="1">IFERROR(__xludf.DUMMYFUNCTION("GOOGLETRANSLATE(B2680,""en"",""ja"")"),"支配")</f>
        <v>支配</v>
      </c>
    </row>
    <row r="2663" spans="1:3" ht="18" customHeight="1" x14ac:dyDescent="0.3">
      <c r="A2663" s="1">
        <v>10</v>
      </c>
      <c r="B2663" s="1" t="s">
        <v>2191</v>
      </c>
      <c r="C2663" s="1" t="str">
        <f ca="1">IFERROR(__xludf.DUMMYFUNCTION("GOOGLETRANSLATE(B2681,""en"",""ja"")"),"優性")</f>
        <v>優性</v>
      </c>
    </row>
    <row r="2664" spans="1:3" ht="18" customHeight="1" x14ac:dyDescent="0.3">
      <c r="A2664" s="1">
        <v>10</v>
      </c>
      <c r="B2664" s="1" t="s">
        <v>2192</v>
      </c>
      <c r="C2664" s="1" t="str">
        <f ca="1">IFERROR(__xludf.DUMMYFUNCTION("GOOGLETRANSLATE(B2682,""en"",""ja"")"),"分布")</f>
        <v>分布</v>
      </c>
    </row>
    <row r="2665" spans="1:3" ht="18" customHeight="1" x14ac:dyDescent="0.3">
      <c r="A2665" s="1">
        <v>10</v>
      </c>
      <c r="B2665" s="1" t="s">
        <v>2193</v>
      </c>
      <c r="C2665" s="1" t="str">
        <f ca="1">IFERROR(__xludf.DUMMYFUNCTION("GOOGLETRANSLATE(B2683,""en"",""ja"")"),"発見する")</f>
        <v>発見する</v>
      </c>
    </row>
    <row r="2666" spans="1:3" ht="18" customHeight="1" x14ac:dyDescent="0.3">
      <c r="A2666" s="1">
        <v>10</v>
      </c>
      <c r="B2666" s="1" t="s">
        <v>2194</v>
      </c>
      <c r="C2666" s="1" t="str">
        <f ca="1">IFERROR(__xludf.DUMMYFUNCTION("GOOGLETRANSLATE(B2684,""en"",""ja"")"),"ジレンマ")</f>
        <v>ジレンマ</v>
      </c>
    </row>
    <row r="2667" spans="1:3" ht="18" customHeight="1" x14ac:dyDescent="0.3">
      <c r="A2667" s="1">
        <v>10</v>
      </c>
      <c r="B2667" s="1" t="s">
        <v>2195</v>
      </c>
      <c r="C2667" s="1" t="str">
        <f ca="1">IFERROR(__xludf.DUMMYFUNCTION("GOOGLETRANSLATE(B2685,""en"",""ja"")"),"開発")</f>
        <v>開発</v>
      </c>
    </row>
    <row r="2668" spans="1:3" ht="18" customHeight="1" x14ac:dyDescent="0.3">
      <c r="A2668" s="1">
        <v>10</v>
      </c>
      <c r="B2668" s="1" t="s">
        <v>2196</v>
      </c>
      <c r="C2668" s="1" t="str">
        <f ca="1">IFERROR(__xludf.DUMMYFUNCTION("GOOGLETRANSLATE(B2686,""en"",""ja"")"),"定めます")</f>
        <v>定めます</v>
      </c>
    </row>
    <row r="2669" spans="1:3" ht="18" customHeight="1" x14ac:dyDescent="0.3">
      <c r="A2669" s="1">
        <v>10</v>
      </c>
      <c r="B2669" s="1" t="s">
        <v>2197</v>
      </c>
      <c r="C2669" s="1" t="str">
        <f ca="1">IFERROR(__xludf.DUMMYFUNCTION("GOOGLETRANSLATE(B2687,""en"",""ja"")"),"検出")</f>
        <v>検出</v>
      </c>
    </row>
    <row r="2670" spans="1:3" ht="18" customHeight="1" x14ac:dyDescent="0.3">
      <c r="A2670" s="1">
        <v>10</v>
      </c>
      <c r="B2670" s="1" t="s">
        <v>2198</v>
      </c>
      <c r="C2670" s="1" t="str">
        <f ca="1">IFERROR(__xludf.DUMMYFUNCTION("GOOGLETRANSLATE(B2688,""en"",""ja"")"),"先")</f>
        <v>先</v>
      </c>
    </row>
    <row r="2671" spans="1:3" ht="18" customHeight="1" x14ac:dyDescent="0.3">
      <c r="A2671" s="1">
        <v>10</v>
      </c>
      <c r="B2671" s="1" t="s">
        <v>2199</v>
      </c>
      <c r="C2671" s="1" t="str">
        <f ca="1">IFERROR(__xludf.DUMMYFUNCTION("GOOGLETRANSLATE(B2689,""en"",""ja"")"),"暴君")</f>
        <v>暴君</v>
      </c>
    </row>
    <row r="2672" spans="1:3" ht="18" customHeight="1" x14ac:dyDescent="0.3">
      <c r="A2672" s="1">
        <v>10</v>
      </c>
      <c r="B2672" s="1" t="s">
        <v>1840</v>
      </c>
      <c r="C2672" s="1" t="str">
        <f ca="1">IFERROR(__xludf.DUMMYFUNCTION("GOOGLETRANSLATE(B2690,""en"",""ja"")"),"慾望")</f>
        <v>慾望</v>
      </c>
    </row>
    <row r="2673" spans="1:3" ht="18" customHeight="1" x14ac:dyDescent="0.3">
      <c r="A2673" s="1">
        <v>10</v>
      </c>
      <c r="B2673" s="1" t="s">
        <v>2200</v>
      </c>
      <c r="C2673" s="1" t="str">
        <f ca="1">IFERROR(__xludf.DUMMYFUNCTION("GOOGLETRANSLATE(B2691,""en"",""ja"")"),"派生")</f>
        <v>派生</v>
      </c>
    </row>
    <row r="2674" spans="1:3" ht="18" customHeight="1" x14ac:dyDescent="0.3">
      <c r="A2674" s="1">
        <v>10</v>
      </c>
      <c r="B2674" s="1" t="s">
        <v>2201</v>
      </c>
      <c r="C2674" s="1" t="str">
        <f ca="1">IFERROR(__xludf.DUMMYFUNCTION("GOOGLETRANSLATE(B2692,""en"",""ja"")"),"民主党")</f>
        <v>民主党</v>
      </c>
    </row>
    <row r="2675" spans="1:3" ht="18" customHeight="1" x14ac:dyDescent="0.3">
      <c r="A2675" s="1">
        <v>10</v>
      </c>
      <c r="B2675" s="1" t="s">
        <v>2202</v>
      </c>
      <c r="C2675" s="1" t="str">
        <f ca="1">IFERROR(__xludf.DUMMYFUNCTION("GOOGLETRANSLATE(B2693,""en"",""ja"")"),"減少")</f>
        <v>減少</v>
      </c>
    </row>
    <row r="2676" spans="1:3" ht="18" customHeight="1" x14ac:dyDescent="0.3">
      <c r="A2676" s="1">
        <v>10</v>
      </c>
      <c r="B2676" s="1" t="s">
        <v>2203</v>
      </c>
      <c r="C2676" s="1" t="str">
        <f ca="1">IFERROR(__xludf.DUMMYFUNCTION("GOOGLETRANSLATE(B2694,""en"",""ja"")"),"決めます")</f>
        <v>決めます</v>
      </c>
    </row>
    <row r="2677" spans="1:3" ht="18" customHeight="1" x14ac:dyDescent="0.3">
      <c r="A2677" s="1">
        <v>10</v>
      </c>
      <c r="B2677" s="1" t="s">
        <v>2204</v>
      </c>
      <c r="C2677" s="1" t="str">
        <f ca="1">IFERROR(__xludf.DUMMYFUNCTION("GOOGLETRANSLATE(B2695,""en"",""ja"")"),"切る")</f>
        <v>切る</v>
      </c>
    </row>
    <row r="2678" spans="1:3" ht="18" customHeight="1" x14ac:dyDescent="0.3">
      <c r="A2678" s="1">
        <v>10</v>
      </c>
      <c r="B2678" s="1" t="s">
        <v>2205</v>
      </c>
      <c r="C2678" s="1" t="str">
        <f ca="1">IFERROR(__xludf.DUMMYFUNCTION("GOOGLETRANSLATE(B2696,""en"",""ja"")"),"カスタム")</f>
        <v>カスタム</v>
      </c>
    </row>
    <row r="2679" spans="1:3" ht="18" customHeight="1" x14ac:dyDescent="0.3">
      <c r="A2679" s="1">
        <v>10</v>
      </c>
      <c r="B2679" s="1" t="s">
        <v>2206</v>
      </c>
      <c r="C2679" s="1" t="str">
        <f ca="1">IFERROR(__xludf.DUMMYFUNCTION("GOOGLETRANSLATE(B2697,""en"",""ja"")"),"田舎")</f>
        <v>田舎</v>
      </c>
    </row>
    <row r="2680" spans="1:3" ht="18" customHeight="1" x14ac:dyDescent="0.3">
      <c r="A2680" s="1">
        <v>10</v>
      </c>
      <c r="B2680" s="1" t="s">
        <v>2207</v>
      </c>
      <c r="C2680" s="1" t="str">
        <f ca="1">IFERROR(__xludf.DUMMYFUNCTION("GOOGLETRANSLATE(B2698,""en"",""ja"")"),"対応")</f>
        <v>対応</v>
      </c>
    </row>
    <row r="2681" spans="1:3" ht="18" customHeight="1" x14ac:dyDescent="0.3">
      <c r="A2681" s="1">
        <v>10</v>
      </c>
      <c r="B2681" s="1" t="s">
        <v>80</v>
      </c>
      <c r="C2681" s="1" t="str">
        <f ca="1">IFERROR(__xludf.DUMMYFUNCTION("GOOGLETRANSLATE(B2699,""en"",""ja"")"),"たぶん......だろう")</f>
        <v>たぶん......だろう</v>
      </c>
    </row>
    <row r="2682" spans="1:3" ht="18" customHeight="1" x14ac:dyDescent="0.3">
      <c r="A2682" s="1">
        <v>10</v>
      </c>
      <c r="B2682" s="1" t="s">
        <v>2208</v>
      </c>
      <c r="C2682" s="1" t="str">
        <f ca="1">IFERROR(__xludf.DUMMYFUNCTION("GOOGLETRANSLATE(B2700,""en"",""ja"")"),"座標")</f>
        <v>座標</v>
      </c>
    </row>
    <row r="2683" spans="1:3" ht="18" customHeight="1" x14ac:dyDescent="0.3">
      <c r="A2683" s="1">
        <v>10</v>
      </c>
      <c r="B2683" s="1" t="s">
        <v>598</v>
      </c>
      <c r="C2683" s="1" t="str">
        <f ca="1">IFERROR(__xludf.DUMMYFUNCTION("GOOGLETRANSLATE(B2701,""en"",""ja"")"),"コンテンツ")</f>
        <v>コンテンツ</v>
      </c>
    </row>
    <row r="2684" spans="1:3" ht="18" customHeight="1" x14ac:dyDescent="0.3">
      <c r="A2684" s="1">
        <v>10</v>
      </c>
      <c r="B2684" s="1" t="s">
        <v>2209</v>
      </c>
      <c r="C2684" s="1" t="str">
        <f ca="1">IFERROR(__xludf.DUMMYFUNCTION("GOOGLETRANSLATE(B2702,""en"",""ja"")"),"消費者")</f>
        <v>消費者</v>
      </c>
    </row>
    <row r="2685" spans="1:3" ht="18" customHeight="1" x14ac:dyDescent="0.3">
      <c r="A2685" s="1">
        <v>10</v>
      </c>
      <c r="B2685" s="1" t="s">
        <v>2210</v>
      </c>
      <c r="C2685" s="1" t="str">
        <f ca="1">IFERROR(__xludf.DUMMYFUNCTION("GOOGLETRANSLATE(B2704,""en"",""ja"")"),"接続")</f>
        <v>接続</v>
      </c>
    </row>
    <row r="2686" spans="1:3" ht="18" customHeight="1" x14ac:dyDescent="0.3">
      <c r="A2686" s="1">
        <v>10</v>
      </c>
      <c r="B2686" s="1" t="s">
        <v>1992</v>
      </c>
      <c r="C2686" s="1" t="str">
        <f ca="1">IFERROR(__xludf.DUMMYFUNCTION("GOOGLETRANSLATE(B2705,""en"",""ja"")"),"コンフィギュレーション")</f>
        <v>コンフィギュレーション</v>
      </c>
    </row>
    <row r="2687" spans="1:3" ht="18" customHeight="1" x14ac:dyDescent="0.3">
      <c r="A2687" s="1">
        <v>10</v>
      </c>
      <c r="B2687" s="1" t="s">
        <v>324</v>
      </c>
      <c r="C2687" s="1" t="str">
        <f ca="1">IFERROR(__xludf.DUMMYFUNCTION("GOOGLETRANSLATE(B2706,""en"",""ja"")"),"概念")</f>
        <v>概念</v>
      </c>
    </row>
    <row r="2688" spans="1:3" ht="18" customHeight="1" x14ac:dyDescent="0.3">
      <c r="A2688" s="1">
        <v>10</v>
      </c>
      <c r="B2688" s="1" t="s">
        <v>1847</v>
      </c>
      <c r="C2688" s="1" t="str">
        <f ca="1">IFERROR(__xludf.DUMMYFUNCTION("GOOGLETRANSLATE(B2707,""en"",""ja"")"),"複雑")</f>
        <v>複雑</v>
      </c>
    </row>
    <row r="2689" spans="1:3" ht="18" customHeight="1" x14ac:dyDescent="0.3">
      <c r="A2689" s="1">
        <v>10</v>
      </c>
      <c r="B2689" s="1" t="s">
        <v>2211</v>
      </c>
      <c r="C2689" s="1" t="str">
        <f ca="1">IFERROR(__xludf.DUMMYFUNCTION("GOOGLETRANSLATE(B2708,""en"",""ja"")"),"比較します")</f>
        <v>比較します</v>
      </c>
    </row>
    <row r="2690" spans="1:3" ht="18" customHeight="1" x14ac:dyDescent="0.3">
      <c r="A2690" s="1">
        <v>10</v>
      </c>
      <c r="B2690" s="1" t="s">
        <v>967</v>
      </c>
      <c r="C2690" s="1" t="str">
        <f ca="1">IFERROR(__xludf.DUMMYFUNCTION("GOOGLETRANSLATE(B2709,""en"",""ja"")"),"会社")</f>
        <v>会社</v>
      </c>
    </row>
    <row r="2691" spans="1:3" ht="18" customHeight="1" x14ac:dyDescent="0.3">
      <c r="A2691" s="1">
        <v>10</v>
      </c>
      <c r="B2691" s="1" t="s">
        <v>2212</v>
      </c>
      <c r="C2691" s="1" t="str">
        <f ca="1">IFERROR(__xludf.DUMMYFUNCTION("GOOGLETRANSLATE(B2710,""en"",""ja"")"),"コミュニティ")</f>
        <v>コミュニティ</v>
      </c>
    </row>
    <row r="2692" spans="1:3" ht="18" customHeight="1" x14ac:dyDescent="0.3">
      <c r="A2692" s="1">
        <v>10</v>
      </c>
      <c r="B2692" s="1" t="s">
        <v>2213</v>
      </c>
      <c r="C2692" s="1" t="str">
        <f ca="1">IFERROR(__xludf.DUMMYFUNCTION("GOOGLETRANSLATE(B2711,""en"",""ja"")"),"関与する")</f>
        <v>関与する</v>
      </c>
    </row>
    <row r="2693" spans="1:3" ht="18" customHeight="1" x14ac:dyDescent="0.3">
      <c r="A2693" s="1">
        <v>10</v>
      </c>
      <c r="B2693" s="1" t="s">
        <v>2214</v>
      </c>
      <c r="C2693" s="1" t="str">
        <f ca="1">IFERROR(__xludf.DUMMYFUNCTION("GOOGLETRANSLATE(B2712,""en"",""ja"")"),"コミットメント")</f>
        <v>コミットメント</v>
      </c>
    </row>
    <row r="2694" spans="1:3" ht="18" customHeight="1" x14ac:dyDescent="0.3">
      <c r="A2694" s="1">
        <v>10</v>
      </c>
      <c r="B2694" s="1" t="s">
        <v>2215</v>
      </c>
      <c r="C2694" s="1" t="str">
        <f ca="1">IFERROR(__xludf.DUMMYFUNCTION("GOOGLETRANSLATE(B2713,""en"",""ja"")"),"コミット")</f>
        <v>コミット</v>
      </c>
    </row>
    <row r="2695" spans="1:3" ht="18" customHeight="1" x14ac:dyDescent="0.3">
      <c r="A2695" s="1">
        <v>10</v>
      </c>
      <c r="B2695" s="1" t="s">
        <v>498</v>
      </c>
      <c r="C2695" s="1" t="str">
        <f ca="1">IFERROR(__xludf.DUMMYFUNCTION("GOOGLETRANSLATE(B2714,""en"",""ja"")"),"商業の")</f>
        <v>商業の</v>
      </c>
    </row>
    <row r="2696" spans="1:3" ht="18" customHeight="1" x14ac:dyDescent="0.3">
      <c r="A2696" s="1">
        <v>10</v>
      </c>
      <c r="B2696" s="1" t="s">
        <v>1223</v>
      </c>
      <c r="C2696" s="1" t="str">
        <f ca="1">IFERROR(__xludf.DUMMYFUNCTION("GOOGLETRANSLATE(B2715,""en"",""ja"")"),"コンバイン")</f>
        <v>コンバイン</v>
      </c>
    </row>
    <row r="2697" spans="1:3" ht="18" customHeight="1" x14ac:dyDescent="0.3">
      <c r="A2697" s="1">
        <v>10</v>
      </c>
      <c r="B2697" s="1" t="s">
        <v>2216</v>
      </c>
      <c r="C2697" s="1" t="str">
        <f ca="1">IFERROR(__xludf.DUMMYFUNCTION("GOOGLETRANSLATE(B2716,""en"",""ja"")"),"鱈")</f>
        <v>鱈</v>
      </c>
    </row>
    <row r="2698" spans="1:3" ht="18" customHeight="1" x14ac:dyDescent="0.3">
      <c r="A2698" s="1">
        <v>10</v>
      </c>
      <c r="B2698" s="1" t="s">
        <v>2217</v>
      </c>
      <c r="C2698" s="1" t="str">
        <f ca="1">IFERROR(__xludf.DUMMYFUNCTION("GOOGLETRANSLATE(B2717,""en"",""ja"")"),"クリック")</f>
        <v>クリック</v>
      </c>
    </row>
    <row r="2699" spans="1:3" ht="18" customHeight="1" x14ac:dyDescent="0.3">
      <c r="A2699" s="1">
        <v>10</v>
      </c>
      <c r="B2699" s="1" t="s">
        <v>785</v>
      </c>
      <c r="C2699" s="1" t="str">
        <f ca="1">IFERROR(__xludf.DUMMYFUNCTION("GOOGLETRANSLATE(B2718,""en"",""ja"")"),"クラス")</f>
        <v>クラス</v>
      </c>
    </row>
    <row r="2700" spans="1:3" ht="18" customHeight="1" x14ac:dyDescent="0.3">
      <c r="A2700" s="1">
        <v>10</v>
      </c>
      <c r="B2700" s="1" t="s">
        <v>1150</v>
      </c>
      <c r="C2700" s="1" t="str">
        <f ca="1">IFERROR(__xludf.DUMMYFUNCTION("GOOGLETRANSLATE(B2719,""en"",""ja"")"),"請求")</f>
        <v>請求</v>
      </c>
    </row>
    <row r="2701" spans="1:3" ht="18" customHeight="1" x14ac:dyDescent="0.3">
      <c r="A2701" s="1">
        <v>10</v>
      </c>
      <c r="B2701" s="1" t="s">
        <v>2218</v>
      </c>
      <c r="C2701" s="1" t="str">
        <f ca="1">IFERROR(__xludf.DUMMYFUNCTION("GOOGLETRANSLATE(B2720,""en"",""ja"")"),"サークル")</f>
        <v>サークル</v>
      </c>
    </row>
    <row r="2702" spans="1:3" ht="18" customHeight="1" x14ac:dyDescent="0.3">
      <c r="A2702" s="1">
        <v>10</v>
      </c>
      <c r="B2702" s="1" t="s">
        <v>2219</v>
      </c>
      <c r="C2702" s="1" t="str">
        <f ca="1">IFERROR(__xludf.DUMMYFUNCTION("GOOGLETRANSLATE(B2721,""en"",""ja"")"),"チャーチル")</f>
        <v>チャーチル</v>
      </c>
    </row>
    <row r="2703" spans="1:3" ht="18" customHeight="1" x14ac:dyDescent="0.3">
      <c r="A2703" s="1">
        <v>10</v>
      </c>
      <c r="B2703" s="1" t="s">
        <v>865</v>
      </c>
      <c r="C2703" s="1" t="str">
        <f ca="1">IFERROR(__xludf.DUMMYFUNCTION("GOOGLETRANSLATE(B2722,""en"",""ja"")"),"教会")</f>
        <v>教会</v>
      </c>
    </row>
    <row r="2704" spans="1:3" ht="18" customHeight="1" x14ac:dyDescent="0.3">
      <c r="A2704" s="1">
        <v>10</v>
      </c>
      <c r="B2704" s="1" t="s">
        <v>2220</v>
      </c>
      <c r="C2704" s="1" t="str">
        <f ca="1">IFERROR(__xludf.DUMMYFUNCTION("GOOGLETRANSLATE(B2723,""en"",""ja"")"),"選択")</f>
        <v>選択</v>
      </c>
    </row>
    <row r="2705" spans="1:3" ht="18" customHeight="1" x14ac:dyDescent="0.3">
      <c r="A2705" s="1">
        <v>10</v>
      </c>
      <c r="B2705" s="1" t="s">
        <v>2221</v>
      </c>
      <c r="C2705" s="1" t="str">
        <f ca="1">IFERROR(__xludf.DUMMYFUNCTION("GOOGLETRANSLATE(B2724,""en"",""ja"")"),"チャネル")</f>
        <v>チャネル</v>
      </c>
    </row>
    <row r="2706" spans="1:3" ht="18" customHeight="1" x14ac:dyDescent="0.3">
      <c r="A2706" s="1">
        <v>10</v>
      </c>
      <c r="B2706" s="1" t="s">
        <v>1486</v>
      </c>
      <c r="C2706" s="1" t="str">
        <f ca="1">IFERROR(__xludf.DUMMYFUNCTION("GOOGLETRANSLATE(B2725,""en"",""ja"")"),"お手入れ")</f>
        <v>お手入れ</v>
      </c>
    </row>
    <row r="2707" spans="1:3" ht="18" customHeight="1" x14ac:dyDescent="0.3">
      <c r="A2707" s="1">
        <v>10</v>
      </c>
      <c r="B2707" s="1" t="s">
        <v>2222</v>
      </c>
      <c r="C2707" s="1" t="str">
        <f ca="1">IFERROR(__xludf.DUMMYFUNCTION("GOOGLETRANSLATE(B2726,""en"",""ja"")"),"人")</f>
        <v>人</v>
      </c>
    </row>
    <row r="2708" spans="1:3" ht="18" customHeight="1" x14ac:dyDescent="0.3">
      <c r="A2708" s="1">
        <v>10</v>
      </c>
      <c r="B2708" s="1" t="s">
        <v>2223</v>
      </c>
      <c r="C2708" s="1" t="str">
        <f ca="1">IFERROR(__xludf.DUMMYFUNCTION("GOOGLETRANSLATE(B2727,""en"",""ja"")"),"放送")</f>
        <v>放送</v>
      </c>
    </row>
    <row r="2709" spans="1:3" ht="18" customHeight="1" x14ac:dyDescent="0.3">
      <c r="A2709" s="1">
        <v>10</v>
      </c>
      <c r="B2709" s="1" t="s">
        <v>2224</v>
      </c>
      <c r="C2709" s="1" t="str">
        <f ca="1">IFERROR(__xludf.DUMMYFUNCTION("GOOGLETRANSLATE(B2728,""en"",""ja"")"),"繁殖")</f>
        <v>繁殖</v>
      </c>
    </row>
    <row r="2710" spans="1:3" ht="18" customHeight="1" x14ac:dyDescent="0.3">
      <c r="A2710" s="1">
        <v>10</v>
      </c>
      <c r="B2710" s="1" t="s">
        <v>2225</v>
      </c>
      <c r="C2710" s="1" t="str">
        <f ca="1">IFERROR(__xludf.DUMMYFUNCTION("GOOGLETRANSLATE(B2729,""en"",""ja"")"),"ボックス")</f>
        <v>ボックス</v>
      </c>
    </row>
    <row r="2711" spans="1:3" ht="18" customHeight="1" x14ac:dyDescent="0.3">
      <c r="A2711" s="1">
        <v>10</v>
      </c>
      <c r="B2711" s="1" t="s">
        <v>1853</v>
      </c>
      <c r="C2711" s="1" t="str">
        <f ca="1">IFERROR(__xludf.DUMMYFUNCTION("GOOGLETRANSLATE(B2730,""en"",""ja"")"),"ボトルネック")</f>
        <v>ボトルネック</v>
      </c>
    </row>
    <row r="2712" spans="1:3" ht="18" customHeight="1" x14ac:dyDescent="0.3">
      <c r="A2712" s="1">
        <v>10</v>
      </c>
      <c r="B2712" s="1" t="s">
        <v>2226</v>
      </c>
      <c r="C2712" s="1" t="str">
        <f ca="1">IFERROR(__xludf.DUMMYFUNCTION("GOOGLETRANSLATE(B2731,""en"",""ja"")"),"十億")</f>
        <v>十億</v>
      </c>
    </row>
    <row r="2713" spans="1:3" ht="18" customHeight="1" x14ac:dyDescent="0.3">
      <c r="A2713" s="1">
        <v>10</v>
      </c>
      <c r="B2713" s="1" t="s">
        <v>2227</v>
      </c>
      <c r="C2713" s="1" t="str">
        <f ca="1">IFERROR(__xludf.DUMMYFUNCTION("GOOGLETRANSLATE(B2732,""en"",""ja"")"),"残高")</f>
        <v>残高</v>
      </c>
    </row>
    <row r="2714" spans="1:3" ht="18" customHeight="1" x14ac:dyDescent="0.3">
      <c r="A2714" s="1">
        <v>10</v>
      </c>
      <c r="B2714" s="1" t="s">
        <v>2228</v>
      </c>
      <c r="C2714" s="1" t="str">
        <f ca="1">IFERROR(__xludf.DUMMYFUNCTION("GOOGLETRANSLATE(B2733,""en"",""ja"")"),"バッジ")</f>
        <v>バッジ</v>
      </c>
    </row>
    <row r="2715" spans="1:3" ht="18" customHeight="1" x14ac:dyDescent="0.3">
      <c r="A2715" s="1">
        <v>10</v>
      </c>
      <c r="B2715" s="1" t="s">
        <v>2229</v>
      </c>
      <c r="C2715" s="1" t="str">
        <f ca="1">IFERROR(__xludf.DUMMYFUNCTION("GOOGLETRANSLATE(B2734,""en"",""ja"")"),"バッジ")</f>
        <v>バッジ</v>
      </c>
    </row>
    <row r="2716" spans="1:3" ht="18" customHeight="1" x14ac:dyDescent="0.3">
      <c r="A2716" s="1">
        <v>10</v>
      </c>
      <c r="B2716" s="1" t="s">
        <v>2230</v>
      </c>
      <c r="C2716" s="1" t="str">
        <f ca="1">IFERROR(__xludf.DUMMYFUNCTION("GOOGLETRANSLATE(B2735,""en"",""ja"")"),"ベーコン")</f>
        <v>ベーコン</v>
      </c>
    </row>
    <row r="2717" spans="1:3" ht="18" customHeight="1" x14ac:dyDescent="0.3">
      <c r="A2717" s="1">
        <v>10</v>
      </c>
      <c r="B2717" s="1" t="s">
        <v>355</v>
      </c>
      <c r="C2717" s="1" t="str">
        <f ca="1">IFERROR(__xludf.DUMMYFUNCTION("GOOGLETRANSLATE(B2736,""en"",""ja"")"),"バック")</f>
        <v>バック</v>
      </c>
    </row>
    <row r="2718" spans="1:3" ht="18" customHeight="1" x14ac:dyDescent="0.3">
      <c r="A2718" s="1">
        <v>10</v>
      </c>
      <c r="B2718" s="1" t="s">
        <v>2231</v>
      </c>
      <c r="C2718" s="1" t="str">
        <f ca="1">IFERROR(__xludf.DUMMYFUNCTION("GOOGLETRANSLATE(B2737,""en"",""ja"")"),"著者")</f>
        <v>著者</v>
      </c>
    </row>
    <row r="2719" spans="1:3" ht="18" customHeight="1" x14ac:dyDescent="0.3">
      <c r="A2719" s="1">
        <v>10</v>
      </c>
      <c r="B2719" s="1" t="s">
        <v>2232</v>
      </c>
      <c r="C2719" s="1" t="str">
        <f ca="1">IFERROR(__xludf.DUMMYFUNCTION("GOOGLETRANSLATE(B2738,""en"",""ja"")"),"未遂")</f>
        <v>未遂</v>
      </c>
    </row>
    <row r="2720" spans="1:3" ht="18" customHeight="1" x14ac:dyDescent="0.3">
      <c r="A2720" s="1">
        <v>10</v>
      </c>
      <c r="B2720" s="1" t="s">
        <v>2233</v>
      </c>
      <c r="C2720" s="1" t="str">
        <f ca="1">IFERROR(__xludf.DUMMYFUNCTION("GOOGLETRANSLATE(B2739,""en"",""ja"")"),"アタッチメント")</f>
        <v>アタッチメント</v>
      </c>
    </row>
    <row r="2721" spans="1:3" ht="18" customHeight="1" x14ac:dyDescent="0.3">
      <c r="A2721" s="1">
        <v>10</v>
      </c>
      <c r="B2721" s="1" t="s">
        <v>2234</v>
      </c>
      <c r="C2721" s="1" t="str">
        <f ca="1">IFERROR(__xludf.DUMMYFUNCTION("GOOGLETRANSLATE(B2741,""en"",""ja"")"),"仮定")</f>
        <v>仮定</v>
      </c>
    </row>
    <row r="2722" spans="1:3" ht="18" customHeight="1" x14ac:dyDescent="0.3">
      <c r="A2722" s="1">
        <v>10</v>
      </c>
      <c r="B2722" s="1" t="s">
        <v>2235</v>
      </c>
      <c r="C2722" s="1" t="str">
        <f ca="1">IFERROR(__xludf.DUMMYFUNCTION("GOOGLETRANSLATE(B2742,""en"",""ja"")"),"割り当てられました")</f>
        <v>割り当てられました</v>
      </c>
    </row>
    <row r="2723" spans="1:3" ht="18" customHeight="1" x14ac:dyDescent="0.3">
      <c r="A2723" s="1">
        <v>10</v>
      </c>
      <c r="B2723" s="1" t="s">
        <v>2236</v>
      </c>
      <c r="C2723" s="1" t="str">
        <f ca="1">IFERROR(__xludf.DUMMYFUNCTION("GOOGLETRANSLATE(B2743,""en"",""ja"")"),"願望")</f>
        <v>願望</v>
      </c>
    </row>
    <row r="2724" spans="1:3" ht="18" customHeight="1" x14ac:dyDescent="0.3">
      <c r="A2724" s="1">
        <v>10</v>
      </c>
      <c r="B2724" s="1" t="s">
        <v>2237</v>
      </c>
      <c r="C2724" s="1" t="str">
        <f ca="1">IFERROR(__xludf.DUMMYFUNCTION("GOOGLETRANSLATE(B2744,""en"",""ja"")"),"腕")</f>
        <v>腕</v>
      </c>
    </row>
    <row r="2725" spans="1:3" ht="18" customHeight="1" x14ac:dyDescent="0.3">
      <c r="A2725" s="1">
        <v>10</v>
      </c>
      <c r="B2725" s="1" t="s">
        <v>2238</v>
      </c>
      <c r="C2725" s="1" t="str">
        <f ca="1">IFERROR(__xludf.DUMMYFUNCTION("GOOGLETRANSLATE(B2745,""en"",""ja"")"),"主張します")</f>
        <v>主張します</v>
      </c>
    </row>
    <row r="2726" spans="1:3" ht="18" customHeight="1" x14ac:dyDescent="0.3">
      <c r="A2726" s="1">
        <v>10</v>
      </c>
      <c r="B2726" s="1" t="s">
        <v>2239</v>
      </c>
      <c r="C2726" s="1" t="str">
        <f ca="1">IFERROR(__xludf.DUMMYFUNCTION("GOOGLETRANSLATE(B2746,""en"",""ja"")"),"明らかに")</f>
        <v>明らかに</v>
      </c>
    </row>
    <row r="2727" spans="1:3" ht="18" customHeight="1" x14ac:dyDescent="0.3">
      <c r="A2727" s="1">
        <v>10</v>
      </c>
      <c r="B2727" s="1" t="s">
        <v>2240</v>
      </c>
      <c r="C2727" s="1" t="str">
        <f ca="1">IFERROR(__xludf.DUMMYFUNCTION("GOOGLETRANSLATE(B2747,""en"",""ja"")"),"新たに")</f>
        <v>新たに</v>
      </c>
    </row>
    <row r="2728" spans="1:3" ht="18" customHeight="1" x14ac:dyDescent="0.3">
      <c r="A2728" s="1">
        <v>10</v>
      </c>
      <c r="B2728" s="1" t="s">
        <v>2241</v>
      </c>
      <c r="C2728" s="1" t="str">
        <f ca="1">IFERROR(__xludf.DUMMYFUNCTION("GOOGLETRANSLATE(B2748,""en"",""ja"")"),"解剖学")</f>
        <v>解剖学</v>
      </c>
    </row>
    <row r="2729" spans="1:3" ht="18" customHeight="1" x14ac:dyDescent="0.3">
      <c r="A2729" s="1">
        <v>10</v>
      </c>
      <c r="B2729" s="1" t="s">
        <v>2242</v>
      </c>
      <c r="C2729" s="1" t="str">
        <f ca="1">IFERROR(__xludf.DUMMYFUNCTION("GOOGLETRANSLATE(B2749,""en"",""ja"")"),"あいまいな")</f>
        <v>あいまいな</v>
      </c>
    </row>
    <row r="2730" spans="1:3" ht="18" customHeight="1" x14ac:dyDescent="0.3">
      <c r="A2730" s="1">
        <v>10</v>
      </c>
      <c r="B2730" s="1" t="s">
        <v>2243</v>
      </c>
      <c r="C2730" s="1" t="str">
        <f ca="1">IFERROR(__xludf.DUMMYFUNCTION("GOOGLETRANSLATE(B2750,""en"",""ja"")"),"警戒心")</f>
        <v>警戒心</v>
      </c>
    </row>
    <row r="2731" spans="1:3" ht="18" customHeight="1" x14ac:dyDescent="0.3">
      <c r="A2731" s="1">
        <v>10</v>
      </c>
      <c r="B2731" s="1" t="s">
        <v>162</v>
      </c>
      <c r="C2731" s="1" t="str">
        <f ca="1">IFERROR(__xludf.DUMMYFUNCTION("GOOGLETRANSLATE(B2751,""en"",""ja"")"),"に対して")</f>
        <v>に対して</v>
      </c>
    </row>
    <row r="2732" spans="1:3" ht="18" customHeight="1" x14ac:dyDescent="0.3">
      <c r="A2732" s="1">
        <v>10</v>
      </c>
      <c r="B2732" s="1" t="s">
        <v>2244</v>
      </c>
      <c r="C2732" s="1" t="str">
        <f ca="1">IFERROR(__xludf.DUMMYFUNCTION("GOOGLETRANSLATE(B2752,""en"",""ja"")"),"影響を及ぼす")</f>
        <v>影響を及ぼす</v>
      </c>
    </row>
    <row r="2733" spans="1:3" ht="18" customHeight="1" x14ac:dyDescent="0.3">
      <c r="A2733" s="1">
        <v>10</v>
      </c>
      <c r="B2733" s="1" t="s">
        <v>2245</v>
      </c>
      <c r="C2733" s="1" t="str">
        <f ca="1">IFERROR(__xludf.DUMMYFUNCTION("GOOGLETRANSLATE(B2753,""en"",""ja"")"),"宣伝します")</f>
        <v>宣伝します</v>
      </c>
    </row>
    <row r="2734" spans="1:3" ht="18" customHeight="1" x14ac:dyDescent="0.3">
      <c r="A2734" s="1">
        <v>10</v>
      </c>
      <c r="B2734" s="1" t="s">
        <v>2246</v>
      </c>
      <c r="C2734" s="1" t="str">
        <f ca="1">IFERROR(__xludf.DUMMYFUNCTION("GOOGLETRANSLATE(B2754,""en"",""ja"")"),"利点")</f>
        <v>利点</v>
      </c>
    </row>
    <row r="2735" spans="1:3" ht="18" customHeight="1" x14ac:dyDescent="0.3">
      <c r="A2735" s="1">
        <v>10</v>
      </c>
      <c r="B2735" s="1" t="s">
        <v>2247</v>
      </c>
      <c r="C2735" s="1" t="str">
        <f ca="1">IFERROR(__xludf.DUMMYFUNCTION("GOOGLETRANSLATE(B2755,""en"",""ja"")"),"認めます")</f>
        <v>認めます</v>
      </c>
    </row>
    <row r="2736" spans="1:3" ht="18" customHeight="1" x14ac:dyDescent="0.3">
      <c r="A2736" s="1">
        <v>10</v>
      </c>
      <c r="B2736" s="1" t="s">
        <v>2248</v>
      </c>
      <c r="C2736" s="1" t="str">
        <f ca="1">IFERROR(__xludf.DUMMYFUNCTION("GOOGLETRANSLATE(B2756,""en"",""ja"")"),"感嘆")</f>
        <v>感嘆</v>
      </c>
    </row>
    <row r="2737" spans="1:3" ht="18" customHeight="1" x14ac:dyDescent="0.3">
      <c r="A2737" s="1">
        <v>10</v>
      </c>
      <c r="B2737" s="1" t="s">
        <v>1313</v>
      </c>
      <c r="C2737" s="1" t="str">
        <f ca="1">IFERROR(__xludf.DUMMYFUNCTION("GOOGLETRANSLATE(B2757,""en"",""ja"")"),"アクション")</f>
        <v>アクション</v>
      </c>
    </row>
    <row r="2738" spans="1:3" ht="18" customHeight="1" x14ac:dyDescent="0.3">
      <c r="A2738" s="1">
        <v>10</v>
      </c>
      <c r="B2738" s="1" t="s">
        <v>2249</v>
      </c>
      <c r="C2738" s="1" t="str">
        <f ca="1">IFERROR(__xludf.DUMMYFUNCTION("GOOGLETRANSLATE(B2758,""en"",""ja"")"),"正確さ")</f>
        <v>正確さ</v>
      </c>
    </row>
    <row r="2739" spans="1:3" ht="18" customHeight="1" x14ac:dyDescent="0.3">
      <c r="A2739" s="1">
        <v>10</v>
      </c>
      <c r="B2739" s="1" t="s">
        <v>2250</v>
      </c>
      <c r="C2739" s="1" t="str">
        <f ca="1">IFERROR(__xludf.DUMMYFUNCTION("GOOGLETRANSLATE(B2759,""en"",""ja"")"),"学者")</f>
        <v>学者</v>
      </c>
    </row>
    <row r="2740" spans="1:3" ht="18" customHeight="1" x14ac:dyDescent="0.3">
      <c r="A2740" s="1">
        <v>10</v>
      </c>
      <c r="B2740" s="1" t="s">
        <v>202</v>
      </c>
      <c r="C2740" s="1" t="str">
        <f ca="1">IFERROR(__xludf.DUMMYFUNCTION("GOOGLETRANSLATE(B2760,""en"",""ja"")"),"できます")</f>
        <v>できます</v>
      </c>
    </row>
    <row r="2741" spans="1:3" ht="18" customHeight="1" x14ac:dyDescent="0.3">
      <c r="A2741" s="1">
        <v>10</v>
      </c>
      <c r="B2741" s="1" t="s">
        <v>541</v>
      </c>
      <c r="C2741" s="1" t="str">
        <f ca="1">IFERROR(__xludf.DUMMYFUNCTION("GOOGLETRANSLATE(B2761,""en"",""ja"")"),"能力")</f>
        <v>能力</v>
      </c>
    </row>
    <row r="2742" spans="1:3" ht="18" customHeight="1" x14ac:dyDescent="0.3">
      <c r="A2742" s="1">
        <v>9</v>
      </c>
      <c r="B2742" s="1" t="s">
        <v>2251</v>
      </c>
      <c r="C2742" s="1" t="str">
        <f ca="1">IFERROR(__xludf.DUMMYFUNCTION("GOOGLETRANSLATE(B2762,""en"",""ja"")"),"文")</f>
        <v>文</v>
      </c>
    </row>
    <row r="2743" spans="1:3" ht="18" customHeight="1" x14ac:dyDescent="0.3">
      <c r="A2743" s="1">
        <v>9</v>
      </c>
      <c r="B2743" s="1" t="s">
        <v>2252</v>
      </c>
      <c r="C2743" s="1" t="str">
        <f ca="1">IFERROR(__xludf.DUMMYFUNCTION("GOOGLETRANSLATE(B2763,""en"",""ja"")"),"世界的に")</f>
        <v>世界的に</v>
      </c>
    </row>
    <row r="2744" spans="1:3" ht="18" customHeight="1" x14ac:dyDescent="0.3">
      <c r="A2744" s="1">
        <v>9</v>
      </c>
      <c r="B2744" s="1" t="s">
        <v>2253</v>
      </c>
      <c r="C2744" s="1" t="str">
        <f ca="1">IFERROR(__xludf.DUMMYFUNCTION("GOOGLETRANSLATE(B2764,""en"",""ja"")"),"女性")</f>
        <v>女性</v>
      </c>
    </row>
    <row r="2745" spans="1:3" ht="18" customHeight="1" x14ac:dyDescent="0.3">
      <c r="A2745" s="1">
        <v>9</v>
      </c>
      <c r="B2745" s="1" t="s">
        <v>2254</v>
      </c>
      <c r="C2745" s="1" t="str">
        <f ca="1">IFERROR(__xludf.DUMMYFUNCTION("GOOGLETRANSLATE(B2765,""en"",""ja"")"),"意欲")</f>
        <v>意欲</v>
      </c>
    </row>
    <row r="2746" spans="1:3" ht="18" customHeight="1" x14ac:dyDescent="0.3">
      <c r="A2746" s="1">
        <v>9</v>
      </c>
      <c r="B2746" s="1" t="s">
        <v>1495</v>
      </c>
      <c r="C2746" s="1" t="str">
        <f ca="1">IFERROR(__xludf.DUMMYFUNCTION("GOOGLETRANSLATE(B2766,""en"",""ja"")"),"野生")</f>
        <v>野生</v>
      </c>
    </row>
    <row r="2747" spans="1:3" ht="18" customHeight="1" x14ac:dyDescent="0.3">
      <c r="A2747" s="1">
        <v>9</v>
      </c>
      <c r="B2747" s="1" t="s">
        <v>2255</v>
      </c>
      <c r="C2747" s="1" t="str">
        <f ca="1">IFERROR(__xludf.DUMMYFUNCTION("GOOGLETRANSLATE(B2767,""en"",""ja"")"),"福祉")</f>
        <v>福祉</v>
      </c>
    </row>
    <row r="2748" spans="1:3" ht="18" customHeight="1" x14ac:dyDescent="0.3">
      <c r="A2748" s="1">
        <v>9</v>
      </c>
      <c r="B2748" s="1" t="s">
        <v>2256</v>
      </c>
      <c r="C2748" s="1" t="str">
        <f ca="1">IFERROR(__xludf.DUMMYFUNCTION("GOOGLETRANSLATE(B2768,""en"",""ja"")"),"週間")</f>
        <v>週間</v>
      </c>
    </row>
    <row r="2749" spans="1:3" ht="18" customHeight="1" x14ac:dyDescent="0.3">
      <c r="A2749" s="1">
        <v>9</v>
      </c>
      <c r="B2749" s="1" t="s">
        <v>2257</v>
      </c>
      <c r="C2749" s="1" t="str">
        <f ca="1">IFERROR(__xludf.DUMMYFUNCTION("GOOGLETRANSLATE(B2769,""en"",""ja"")"),"裕福な")</f>
        <v>裕福な</v>
      </c>
    </row>
    <row r="2750" spans="1:3" ht="18" customHeight="1" x14ac:dyDescent="0.3">
      <c r="A2750" s="1">
        <v>9</v>
      </c>
      <c r="B2750" s="1" t="s">
        <v>2258</v>
      </c>
      <c r="C2750" s="1" t="str">
        <f ca="1">IFERROR(__xludf.DUMMYFUNCTION("GOOGLETRANSLATE(B2770,""en"",""ja"")"),"弱体化")</f>
        <v>弱体化</v>
      </c>
    </row>
    <row r="2751" spans="1:3" ht="18" customHeight="1" x14ac:dyDescent="0.3">
      <c r="A2751" s="1">
        <v>9</v>
      </c>
      <c r="B2751" s="1" t="s">
        <v>833</v>
      </c>
      <c r="C2751" s="1" t="str">
        <f ca="1">IFERROR(__xludf.DUMMYFUNCTION("GOOGLETRANSLATE(B2771,""en"",""ja"")"),"無駄")</f>
        <v>無駄</v>
      </c>
    </row>
    <row r="2752" spans="1:3" ht="18" customHeight="1" x14ac:dyDescent="0.3">
      <c r="A2752" s="1">
        <v>9</v>
      </c>
      <c r="B2752" s="1" t="s">
        <v>2259</v>
      </c>
      <c r="C2752" s="1" t="str">
        <f ca="1">IFERROR(__xludf.DUMMYFUNCTION("GOOGLETRANSLATE(B2772,""en"",""ja"")"),"欲しいです")</f>
        <v>欲しいです</v>
      </c>
    </row>
    <row r="2753" spans="1:3" ht="18" customHeight="1" x14ac:dyDescent="0.3">
      <c r="A2753" s="1">
        <v>9</v>
      </c>
      <c r="B2753" s="1" t="s">
        <v>2260</v>
      </c>
      <c r="C2753" s="1" t="str">
        <f ca="1">IFERROR(__xludf.DUMMYFUNCTION("GOOGLETRANSLATE(B2773,""en"",""ja"")"),"ウォーキング")</f>
        <v>ウォーキング</v>
      </c>
    </row>
    <row r="2754" spans="1:3" ht="18" customHeight="1" x14ac:dyDescent="0.3">
      <c r="A2754" s="1">
        <v>9</v>
      </c>
      <c r="B2754" s="1" t="s">
        <v>2261</v>
      </c>
      <c r="C2754" s="1" t="str">
        <f ca="1">IFERROR(__xludf.DUMMYFUNCTION("GOOGLETRANSLATE(B2774,""en"",""ja"")"),"視覚化")</f>
        <v>視覚化</v>
      </c>
    </row>
    <row r="2755" spans="1:3" ht="18" customHeight="1" x14ac:dyDescent="0.3">
      <c r="A2755" s="1">
        <v>9</v>
      </c>
      <c r="B2755" s="1" t="s">
        <v>2262</v>
      </c>
      <c r="C2755" s="1" t="str">
        <f ca="1">IFERROR(__xludf.DUMMYFUNCTION("GOOGLETRANSLATE(B2775,""en"",""ja"")"),"目に見えます")</f>
        <v>目に見えます</v>
      </c>
    </row>
    <row r="2756" spans="1:3" ht="18" customHeight="1" x14ac:dyDescent="0.3">
      <c r="A2756" s="1">
        <v>9</v>
      </c>
      <c r="B2756" s="1" t="s">
        <v>2263</v>
      </c>
      <c r="C2756" s="1" t="str">
        <f ca="1">IFERROR(__xludf.DUMMYFUNCTION("GOOGLETRANSLATE(B2776,""en"",""ja"")"),"村")</f>
        <v>村</v>
      </c>
    </row>
    <row r="2757" spans="1:3" ht="18" customHeight="1" x14ac:dyDescent="0.3">
      <c r="A2757" s="1">
        <v>9</v>
      </c>
      <c r="B2757" s="1" t="s">
        <v>2264</v>
      </c>
      <c r="C2757" s="1" t="str">
        <f ca="1">IFERROR(__xludf.DUMMYFUNCTION("GOOGLETRANSLATE(B2777,""en"",""ja"")"),"観点")</f>
        <v>観点</v>
      </c>
    </row>
    <row r="2758" spans="1:3" ht="18" customHeight="1" x14ac:dyDescent="0.3">
      <c r="A2758" s="1">
        <v>9</v>
      </c>
      <c r="B2758" s="1" t="s">
        <v>2265</v>
      </c>
      <c r="C2758" s="1" t="str">
        <f ca="1">IFERROR(__xludf.DUMMYFUNCTION("GOOGLETRANSLATE(B2778,""en"",""ja"")"),"変数")</f>
        <v>変数</v>
      </c>
    </row>
    <row r="2759" spans="1:3" ht="18" customHeight="1" x14ac:dyDescent="0.3">
      <c r="A2759" s="1">
        <v>9</v>
      </c>
      <c r="B2759" s="1" t="s">
        <v>2266</v>
      </c>
      <c r="C2759" s="1" t="str">
        <f ca="1">IFERROR(__xludf.DUMMYFUNCTION("GOOGLETRANSLATE(B2779,""en"",""ja"")"),"不本意")</f>
        <v>不本意</v>
      </c>
    </row>
    <row r="2760" spans="1:3" ht="18" customHeight="1" x14ac:dyDescent="0.3">
      <c r="A2760" s="1">
        <v>9</v>
      </c>
      <c r="B2760" s="1" t="s">
        <v>2267</v>
      </c>
      <c r="C2760" s="1" t="str">
        <f ca="1">IFERROR(__xludf.DUMMYFUNCTION("GOOGLETRANSLATE(B2780,""en"",""ja"")"),"異常")</f>
        <v>異常</v>
      </c>
    </row>
    <row r="2761" spans="1:3" ht="18" customHeight="1" x14ac:dyDescent="0.3">
      <c r="A2761" s="1">
        <v>9</v>
      </c>
      <c r="B2761" s="1" t="s">
        <v>2268</v>
      </c>
      <c r="C2761" s="1" t="str">
        <f ca="1">IFERROR(__xludf.DUMMYFUNCTION("GOOGLETRANSLATE(B2781,""en"",""ja"")"),"意外と")</f>
        <v>意外と</v>
      </c>
    </row>
    <row r="2762" spans="1:3" ht="18" customHeight="1" x14ac:dyDescent="0.3">
      <c r="A2762" s="1">
        <v>9</v>
      </c>
      <c r="B2762" s="1" t="s">
        <v>2269</v>
      </c>
      <c r="C2762" s="1" t="str">
        <f ca="1">IFERROR(__xludf.DUMMYFUNCTION("GOOGLETRANSLATE(B2782,""en"",""ja"")"),"輸送")</f>
        <v>輸送</v>
      </c>
    </row>
    <row r="2763" spans="1:3" ht="18" customHeight="1" x14ac:dyDescent="0.3">
      <c r="A2763" s="1">
        <v>9</v>
      </c>
      <c r="B2763" s="1" t="s">
        <v>2270</v>
      </c>
      <c r="C2763" s="1" t="str">
        <f ca="1">IFERROR(__xludf.DUMMYFUNCTION("GOOGLETRANSLATE(B2783,""en"",""ja"")"),"変換")</f>
        <v>変換</v>
      </c>
    </row>
    <row r="2764" spans="1:3" ht="18" customHeight="1" x14ac:dyDescent="0.3">
      <c r="A2764" s="1">
        <v>9</v>
      </c>
      <c r="B2764" s="1" t="s">
        <v>2271</v>
      </c>
      <c r="C2764" s="1" t="str">
        <f ca="1">IFERROR(__xludf.DUMMYFUNCTION("GOOGLETRANSLATE(B2784,""en"",""ja"")"),"追跡")</f>
        <v>追跡</v>
      </c>
    </row>
    <row r="2765" spans="1:3" ht="18" customHeight="1" x14ac:dyDescent="0.3">
      <c r="A2765" s="1">
        <v>9</v>
      </c>
      <c r="B2765" s="1" t="s">
        <v>2272</v>
      </c>
      <c r="C2765" s="1" t="str">
        <f ca="1">IFERROR(__xludf.DUMMYFUNCTION("GOOGLETRANSLATE(B2785,""en"",""ja"")"),"トヨタ")</f>
        <v>トヨタ</v>
      </c>
    </row>
    <row r="2766" spans="1:3" ht="18" customHeight="1" x14ac:dyDescent="0.3">
      <c r="A2766" s="1">
        <v>9</v>
      </c>
      <c r="B2766" s="1" t="s">
        <v>2273</v>
      </c>
      <c r="C2766" s="1" t="str">
        <f ca="1">IFERROR(__xludf.DUMMYFUNCTION("GOOGLETRANSLATE(B2786,""en"",""ja"")"),"ン")</f>
        <v>ン</v>
      </c>
    </row>
    <row r="2767" spans="1:3" ht="18" customHeight="1" x14ac:dyDescent="0.3">
      <c r="A2767" s="1">
        <v>9</v>
      </c>
      <c r="B2767" s="1" t="s">
        <v>95</v>
      </c>
      <c r="C2767" s="1" t="str">
        <f ca="1">IFERROR(__xludf.DUMMYFUNCTION("GOOGLETRANSLATE(B2787,""en"",""ja"")"),"使って")</f>
        <v>使って</v>
      </c>
    </row>
    <row r="2768" spans="1:3" ht="18" customHeight="1" x14ac:dyDescent="0.3">
      <c r="A2768" s="1">
        <v>9</v>
      </c>
      <c r="B2768" s="1" t="s">
        <v>337</v>
      </c>
      <c r="C2768" s="1" t="str">
        <f ca="1">IFERROR(__xludf.DUMMYFUNCTION("GOOGLETRANSLATE(B2788,""en"",""ja"")"),"三")</f>
        <v>三</v>
      </c>
    </row>
    <row r="2769" spans="1:3" ht="18" customHeight="1" x14ac:dyDescent="0.3">
      <c r="A2769" s="1">
        <v>9</v>
      </c>
      <c r="B2769" s="1" t="s">
        <v>1738</v>
      </c>
      <c r="C2769" s="1" t="str">
        <f ca="1">IFERROR(__xludf.DUMMYFUNCTION("GOOGLETRANSLATE(B2789,""en"",""ja"")"),"渇き")</f>
        <v>渇き</v>
      </c>
    </row>
    <row r="2770" spans="1:3" ht="18" customHeight="1" x14ac:dyDescent="0.3">
      <c r="A2770" s="1">
        <v>9</v>
      </c>
      <c r="B2770" s="1" t="s">
        <v>2274</v>
      </c>
      <c r="C2770" s="1" t="str">
        <f ca="1">IFERROR(__xludf.DUMMYFUNCTION("GOOGLETRANSLATE(B2790,""en"",""ja"")"),"考えて")</f>
        <v>考えて</v>
      </c>
    </row>
    <row r="2771" spans="1:3" ht="18" customHeight="1" x14ac:dyDescent="0.3">
      <c r="A2771" s="1">
        <v>9</v>
      </c>
      <c r="B2771" s="1" t="s">
        <v>2275</v>
      </c>
      <c r="C2771" s="1" t="str">
        <f ca="1">IFERROR(__xludf.DUMMYFUNCTION("GOOGLETRANSLATE(B2791,""en"",""ja"")"),"その")</f>
        <v>その</v>
      </c>
    </row>
    <row r="2772" spans="1:3" ht="18" customHeight="1" x14ac:dyDescent="0.3">
      <c r="A2772" s="1">
        <v>9</v>
      </c>
      <c r="B2772" s="1" t="s">
        <v>2276</v>
      </c>
      <c r="C2772" s="1" t="str">
        <f ca="1">IFERROR(__xludf.DUMMYFUNCTION("GOOGLETRANSLATE(B2792,""en"",""ja"")"),"十")</f>
        <v>十</v>
      </c>
    </row>
    <row r="2773" spans="1:3" ht="18" customHeight="1" x14ac:dyDescent="0.3">
      <c r="A2773" s="1">
        <v>9</v>
      </c>
      <c r="B2773" s="1" t="s">
        <v>2277</v>
      </c>
      <c r="C2773" s="1" t="str">
        <f ca="1">IFERROR(__xludf.DUMMYFUNCTION("GOOGLETRANSLATE(B2793,""en"",""ja"")"),"傾向があります")</f>
        <v>傾向があります</v>
      </c>
    </row>
    <row r="2774" spans="1:3" ht="18" customHeight="1" x14ac:dyDescent="0.3">
      <c r="A2774" s="1">
        <v>9</v>
      </c>
      <c r="B2774" s="1" t="s">
        <v>2278</v>
      </c>
      <c r="C2774" s="1" t="str">
        <f ca="1">IFERROR(__xludf.DUMMYFUNCTION("GOOGLETRANSLATE(B2794,""en"",""ja"")"),"時間的")</f>
        <v>時間的</v>
      </c>
    </row>
    <row r="2775" spans="1:3" ht="18" customHeight="1" x14ac:dyDescent="0.3">
      <c r="A2775" s="1">
        <v>9</v>
      </c>
      <c r="B2775" s="1" t="s">
        <v>2279</v>
      </c>
      <c r="C2775" s="1" t="str">
        <f ca="1">IFERROR(__xludf.DUMMYFUNCTION("GOOGLETRANSLATE(B2795,""en"",""ja"")"),"教育")</f>
        <v>教育</v>
      </c>
    </row>
    <row r="2776" spans="1:3" ht="18" customHeight="1" x14ac:dyDescent="0.3">
      <c r="A2776" s="1">
        <v>9</v>
      </c>
      <c r="B2776" s="1" t="s">
        <v>2280</v>
      </c>
      <c r="C2776" s="1" t="str">
        <f ca="1">IFERROR(__xludf.DUMMYFUNCTION("GOOGLETRANSLATE(B2796,""en"",""ja"")"),"TCP")</f>
        <v>TCP</v>
      </c>
    </row>
    <row r="2777" spans="1:3" ht="18" customHeight="1" x14ac:dyDescent="0.3">
      <c r="A2777" s="1">
        <v>9</v>
      </c>
      <c r="B2777" s="1" t="s">
        <v>1509</v>
      </c>
      <c r="C2777" s="1" t="str">
        <f ca="1">IFERROR(__xludf.DUMMYFUNCTION("GOOGLETRANSLATE(B2797,""en"",""ja"")"),"シンボル")</f>
        <v>シンボル</v>
      </c>
    </row>
    <row r="2778" spans="1:3" ht="18" customHeight="1" x14ac:dyDescent="0.3">
      <c r="A2778" s="1">
        <v>9</v>
      </c>
      <c r="B2778" s="1" t="s">
        <v>2281</v>
      </c>
      <c r="C2778" s="1" t="str">
        <f ca="1">IFERROR(__xludf.DUMMYFUNCTION("GOOGLETRANSLATE(B2798,""en"",""ja"")"),"適")</f>
        <v>適</v>
      </c>
    </row>
    <row r="2779" spans="1:3" ht="18" customHeight="1" x14ac:dyDescent="0.3">
      <c r="A2779" s="1">
        <v>9</v>
      </c>
      <c r="B2779" s="1" t="s">
        <v>985</v>
      </c>
      <c r="C2779" s="1" t="str">
        <f ca="1">IFERROR(__xludf.DUMMYFUNCTION("GOOGLETRANSLATE(B2799,""en"",""ja"")"),"苦しみます")</f>
        <v>苦しみます</v>
      </c>
    </row>
    <row r="2780" spans="1:3" ht="18" customHeight="1" x14ac:dyDescent="0.3">
      <c r="A2780" s="1">
        <v>9</v>
      </c>
      <c r="B2780" s="1" t="s">
        <v>2282</v>
      </c>
      <c r="C2780" s="1" t="str">
        <f ca="1">IFERROR(__xludf.DUMMYFUNCTION("GOOGLETRANSLATE(B2800,""en"",""ja"")"),"スーダン")</f>
        <v>スーダン</v>
      </c>
    </row>
    <row r="2781" spans="1:3" ht="18" customHeight="1" x14ac:dyDescent="0.3">
      <c r="A2781" s="1">
        <v>9</v>
      </c>
      <c r="B2781" s="1" t="s">
        <v>2283</v>
      </c>
      <c r="C2781" s="1" t="str">
        <f ca="1">IFERROR(__xludf.DUMMYFUNCTION("GOOGLETRANSLATE(B2801,""en"",""ja"")"),"サブ")</f>
        <v>サブ</v>
      </c>
    </row>
    <row r="2782" spans="1:3" ht="18" customHeight="1" x14ac:dyDescent="0.3">
      <c r="A2782" s="1">
        <v>9</v>
      </c>
      <c r="B2782" s="1" t="s">
        <v>2284</v>
      </c>
      <c r="C2782" s="1" t="str">
        <f ca="1">IFERROR(__xludf.DUMMYFUNCTION("GOOGLETRANSLATE(B2802,""en"",""ja"")"),"ストリング")</f>
        <v>ストリング</v>
      </c>
    </row>
    <row r="2783" spans="1:3" ht="18" customHeight="1" x14ac:dyDescent="0.3">
      <c r="A2783" s="1">
        <v>9</v>
      </c>
      <c r="B2783" s="1" t="s">
        <v>2285</v>
      </c>
      <c r="C2783" s="1" t="str">
        <f ca="1">IFERROR(__xludf.DUMMYFUNCTION("GOOGLETRANSLATE(B2803,""en"",""ja"")"),"ストレス")</f>
        <v>ストレス</v>
      </c>
    </row>
    <row r="2784" spans="1:3" ht="18" customHeight="1" x14ac:dyDescent="0.3">
      <c r="A2784" s="1">
        <v>9</v>
      </c>
      <c r="B2784" s="1" t="s">
        <v>2286</v>
      </c>
      <c r="C2784" s="1" t="str">
        <f ca="1">IFERROR(__xludf.DUMMYFUNCTION("GOOGLETRANSLATE(B2804,""en"",""ja"")"),"スタンダード")</f>
        <v>スタンダード</v>
      </c>
    </row>
    <row r="2785" spans="1:3" ht="18" customHeight="1" x14ac:dyDescent="0.3">
      <c r="A2785" s="1">
        <v>9</v>
      </c>
      <c r="B2785" s="1" t="s">
        <v>1099</v>
      </c>
      <c r="C2785" s="1" t="str">
        <f ca="1">IFERROR(__xludf.DUMMYFUNCTION("GOOGLETRANSLATE(B2805,""en"",""ja"")"),"ステージ")</f>
        <v>ステージ</v>
      </c>
    </row>
    <row r="2786" spans="1:3" ht="18" customHeight="1" x14ac:dyDescent="0.3">
      <c r="A2786" s="1">
        <v>9</v>
      </c>
      <c r="B2786" s="1" t="s">
        <v>2287</v>
      </c>
      <c r="C2786" s="1" t="str">
        <f ca="1">IFERROR(__xludf.DUMMYFUNCTION("GOOGLETRANSLATE(B2806,""en"",""ja"")"),"安定しました")</f>
        <v>安定しました</v>
      </c>
    </row>
    <row r="2787" spans="1:3" ht="18" customHeight="1" x14ac:dyDescent="0.3">
      <c r="A2787" s="1">
        <v>9</v>
      </c>
      <c r="B2787" s="1" t="s">
        <v>2288</v>
      </c>
      <c r="C2787" s="1" t="str">
        <f ca="1">IFERROR(__xludf.DUMMYFUNCTION("GOOGLETRANSLATE(B2807,""en"",""ja"")"),"南")</f>
        <v>南</v>
      </c>
    </row>
    <row r="2788" spans="1:3" ht="18" customHeight="1" x14ac:dyDescent="0.3">
      <c r="A2788" s="1">
        <v>9</v>
      </c>
      <c r="B2788" s="1" t="s">
        <v>181</v>
      </c>
      <c r="C2788" s="1" t="str">
        <f ca="1">IFERROR(__xludf.DUMMYFUNCTION("GOOGLETRANSLATE(B2808,""en"",""ja"")"),"何か")</f>
        <v>何か</v>
      </c>
    </row>
    <row r="2789" spans="1:3" ht="18" customHeight="1" x14ac:dyDescent="0.3">
      <c r="A2789" s="1">
        <v>9</v>
      </c>
      <c r="B2789" s="1" t="s">
        <v>569</v>
      </c>
      <c r="C2789" s="1" t="str">
        <f ca="1">IFERROR(__xludf.DUMMYFUNCTION("GOOGLETRANSLATE(B2809,""en"",""ja"")"),"誰か")</f>
        <v>誰か</v>
      </c>
    </row>
    <row r="2790" spans="1:3" ht="18" customHeight="1" x14ac:dyDescent="0.3">
      <c r="A2790" s="1">
        <v>9</v>
      </c>
      <c r="B2790" s="1" t="s">
        <v>2289</v>
      </c>
      <c r="C2790" s="1" t="str">
        <f ca="1">IFERROR(__xludf.DUMMYFUNCTION("GOOGLETRANSLATE(B2810,""en"",""ja"")"),"ソリューション")</f>
        <v>ソリューション</v>
      </c>
    </row>
    <row r="2791" spans="1:3" ht="18" customHeight="1" x14ac:dyDescent="0.3">
      <c r="A2791" s="1">
        <v>9</v>
      </c>
      <c r="B2791" s="1" t="s">
        <v>2290</v>
      </c>
      <c r="C2791" s="1" t="str">
        <f ca="1">IFERROR(__xludf.DUMMYFUNCTION("GOOGLETRANSLATE(B2811,""en"",""ja"")"),"簡素化する")</f>
        <v>簡素化する</v>
      </c>
    </row>
    <row r="2792" spans="1:3" ht="18" customHeight="1" x14ac:dyDescent="0.3">
      <c r="A2792" s="1">
        <v>9</v>
      </c>
      <c r="B2792" s="1" t="s">
        <v>2291</v>
      </c>
      <c r="C2792" s="1" t="str">
        <f ca="1">IFERROR(__xludf.DUMMYFUNCTION("GOOGLETRANSLATE(B2812,""en"",""ja"")"),"両側")</f>
        <v>両側</v>
      </c>
    </row>
    <row r="2793" spans="1:3" ht="18" customHeight="1" x14ac:dyDescent="0.3">
      <c r="A2793" s="1">
        <v>9</v>
      </c>
      <c r="B2793" s="1" t="s">
        <v>2292</v>
      </c>
      <c r="C2793" s="1" t="str">
        <f ca="1">IFERROR(__xludf.DUMMYFUNCTION("GOOGLETRANSLATE(B2813,""en"",""ja"")"),"ショッピング")</f>
        <v>ショッピング</v>
      </c>
    </row>
    <row r="2794" spans="1:3" ht="18" customHeight="1" x14ac:dyDescent="0.3">
      <c r="A2794" s="1">
        <v>9</v>
      </c>
      <c r="B2794" s="1" t="s">
        <v>2293</v>
      </c>
      <c r="C2794" s="1" t="str">
        <f ca="1">IFERROR(__xludf.DUMMYFUNCTION("GOOGLETRANSLATE(B2814,""en"",""ja"")"),"形状")</f>
        <v>形状</v>
      </c>
    </row>
    <row r="2795" spans="1:3" ht="18" customHeight="1" x14ac:dyDescent="0.3">
      <c r="A2795" s="1">
        <v>9</v>
      </c>
      <c r="B2795" s="1" t="s">
        <v>2294</v>
      </c>
      <c r="C2795" s="1" t="str">
        <f ca="1">IFERROR(__xludf.DUMMYFUNCTION("GOOGLETRANSLATE(B2815,""en"",""ja"")"),"70")</f>
        <v>70</v>
      </c>
    </row>
    <row r="2796" spans="1:3" ht="18" customHeight="1" x14ac:dyDescent="0.3">
      <c r="A2796" s="1">
        <v>9</v>
      </c>
      <c r="B2796" s="1" t="s">
        <v>2295</v>
      </c>
      <c r="C2796" s="1" t="str">
        <f ca="1">IFERROR(__xludf.DUMMYFUNCTION("GOOGLETRANSLATE(B2816,""en"",""ja"")"),"一連の")</f>
        <v>一連の</v>
      </c>
    </row>
    <row r="2797" spans="1:3" ht="18" customHeight="1" x14ac:dyDescent="0.3">
      <c r="A2797" s="1">
        <v>9</v>
      </c>
      <c r="B2797" s="1" t="s">
        <v>1632</v>
      </c>
      <c r="C2797" s="1" t="str">
        <f ca="1">IFERROR(__xludf.DUMMYFUNCTION("GOOGLETRANSLATE(B2817,""en"",""ja"")"),"選択")</f>
        <v>選択</v>
      </c>
    </row>
    <row r="2798" spans="1:3" ht="18" customHeight="1" x14ac:dyDescent="0.3">
      <c r="A2798" s="1">
        <v>9</v>
      </c>
      <c r="B2798" s="1" t="s">
        <v>2296</v>
      </c>
      <c r="C2798" s="1" t="str">
        <f ca="1">IFERROR(__xludf.DUMMYFUNCTION("GOOGLETRANSLATE(B2818,""en"",""ja"")"),"選択")</f>
        <v>選択</v>
      </c>
    </row>
    <row r="2799" spans="1:3" ht="18" customHeight="1" x14ac:dyDescent="0.3">
      <c r="A2799" s="1">
        <v>9</v>
      </c>
      <c r="B2799" s="1" t="s">
        <v>2297</v>
      </c>
      <c r="C2799" s="1" t="str">
        <f ca="1">IFERROR(__xludf.DUMMYFUNCTION("GOOGLETRANSLATE(B2819,""en"",""ja"")"),"科学者")</f>
        <v>科学者</v>
      </c>
    </row>
    <row r="2800" spans="1:3" ht="18" customHeight="1" x14ac:dyDescent="0.3">
      <c r="A2800" s="1">
        <v>9</v>
      </c>
      <c r="B2800" s="1" t="s">
        <v>2298</v>
      </c>
      <c r="C2800" s="1" t="str">
        <f ca="1">IFERROR(__xludf.DUMMYFUNCTION("GOOGLETRANSLATE(B2820,""en"",""ja"")"),"科学的に")</f>
        <v>科学的に</v>
      </c>
    </row>
    <row r="2801" spans="1:3" ht="18" customHeight="1" x14ac:dyDescent="0.3">
      <c r="A2801" s="1">
        <v>9</v>
      </c>
      <c r="B2801" s="1" t="s">
        <v>1049</v>
      </c>
      <c r="C2801" s="1" t="str">
        <f ca="1">IFERROR(__xludf.DUMMYFUNCTION("GOOGLETRANSLATE(B2821,""en"",""ja"")"),"鋸")</f>
        <v>鋸</v>
      </c>
    </row>
    <row r="2802" spans="1:3" ht="18" customHeight="1" x14ac:dyDescent="0.3">
      <c r="A2802" s="1">
        <v>9</v>
      </c>
      <c r="B2802" s="1" t="s">
        <v>2299</v>
      </c>
      <c r="C2802" s="1" t="str">
        <f ca="1">IFERROR(__xludf.DUMMYFUNCTION("GOOGLETRANSLATE(B2822,""en"",""ja"")"),"セーブ")</f>
        <v>セーブ</v>
      </c>
    </row>
    <row r="2803" spans="1:3" ht="18" customHeight="1" x14ac:dyDescent="0.3">
      <c r="A2803" s="1">
        <v>9</v>
      </c>
      <c r="B2803" s="1" t="s">
        <v>2300</v>
      </c>
      <c r="C2803" s="1" t="str">
        <f ca="1">IFERROR(__xludf.DUMMYFUNCTION("GOOGLETRANSLATE(B2823,""en"",""ja"")"),"冷酷")</f>
        <v>冷酷</v>
      </c>
    </row>
    <row r="2804" spans="1:3" ht="18" customHeight="1" x14ac:dyDescent="0.3">
      <c r="A2804" s="1">
        <v>9</v>
      </c>
      <c r="B2804" s="1" t="s">
        <v>2301</v>
      </c>
      <c r="C2804" s="1" t="str">
        <f ca="1">IFERROR(__xludf.DUMMYFUNCTION("GOOGLETRANSLATE(B2824,""en"",""ja"")"),"ローマン")</f>
        <v>ローマン</v>
      </c>
    </row>
    <row r="2805" spans="1:3" ht="18" customHeight="1" x14ac:dyDescent="0.3">
      <c r="A2805" s="1">
        <v>9</v>
      </c>
      <c r="B2805" s="1" t="s">
        <v>2302</v>
      </c>
      <c r="C2805" s="1" t="str">
        <f ca="1">IFERROR(__xludf.DUMMYFUNCTION("GOOGLETRANSLATE(B2825,""en"",""ja"")"),"役割")</f>
        <v>役割</v>
      </c>
    </row>
    <row r="2806" spans="1:3" ht="18" customHeight="1" x14ac:dyDescent="0.3">
      <c r="A2806" s="1">
        <v>9</v>
      </c>
      <c r="B2806" s="1" t="s">
        <v>2303</v>
      </c>
      <c r="C2806" s="1" t="str">
        <f ca="1">IFERROR(__xludf.DUMMYFUNCTION("GOOGLETRANSLATE(B2826,""en"",""ja"")"),"反応します")</f>
        <v>反応します</v>
      </c>
    </row>
    <row r="2807" spans="1:3" ht="18" customHeight="1" x14ac:dyDescent="0.3">
      <c r="A2807" s="1">
        <v>9</v>
      </c>
      <c r="B2807" s="1" t="s">
        <v>2304</v>
      </c>
      <c r="C2807" s="1" t="str">
        <f ca="1">IFERROR(__xludf.DUMMYFUNCTION("GOOGLETRANSLATE(B2827,""en"",""ja"")"),"応答")</f>
        <v>応答</v>
      </c>
    </row>
    <row r="2808" spans="1:3" ht="18" customHeight="1" x14ac:dyDescent="0.3">
      <c r="A2808" s="1">
        <v>9</v>
      </c>
      <c r="B2808" s="1" t="s">
        <v>990</v>
      </c>
      <c r="C2808" s="1" t="str">
        <f ca="1">IFERROR(__xludf.DUMMYFUNCTION("GOOGLETRANSLATE(B2829,""en"",""ja"")"),"代表します")</f>
        <v>代表します</v>
      </c>
    </row>
    <row r="2809" spans="1:3" ht="18" customHeight="1" x14ac:dyDescent="0.3">
      <c r="A2809" s="1">
        <v>9</v>
      </c>
      <c r="B2809" s="1" t="s">
        <v>2305</v>
      </c>
      <c r="C2809" s="1" t="str">
        <f ca="1">IFERROR(__xludf.DUMMYFUNCTION("GOOGLETRANSLATE(B2830,""en"",""ja"")"),"置換")</f>
        <v>置換</v>
      </c>
    </row>
    <row r="2810" spans="1:3" ht="18" customHeight="1" x14ac:dyDescent="0.3">
      <c r="A2810" s="1">
        <v>9</v>
      </c>
      <c r="B2810" s="1" t="s">
        <v>2306</v>
      </c>
      <c r="C2810" s="1" t="str">
        <f ca="1">IFERROR(__xludf.DUMMYFUNCTION("GOOGLETRANSLATE(B2831,""en"",""ja"")"),"遠隔")</f>
        <v>遠隔</v>
      </c>
    </row>
    <row r="2811" spans="1:3" ht="18" customHeight="1" x14ac:dyDescent="0.3">
      <c r="A2811" s="1">
        <v>9</v>
      </c>
      <c r="B2811" s="1" t="s">
        <v>2307</v>
      </c>
      <c r="C2811" s="1" t="str">
        <f ca="1">IFERROR(__xludf.DUMMYFUNCTION("GOOGLETRANSLATE(B2832,""en"",""ja"")"),"思い出しました")</f>
        <v>思い出しました</v>
      </c>
    </row>
    <row r="2812" spans="1:3" ht="18" customHeight="1" x14ac:dyDescent="0.3">
      <c r="A2812" s="1">
        <v>9</v>
      </c>
      <c r="B2812" s="1" t="s">
        <v>2308</v>
      </c>
      <c r="C2812" s="1" t="str">
        <f ca="1">IFERROR(__xludf.DUMMYFUNCTION("GOOGLETRANSLATE(B2833,""en"",""ja"")"),"残りました")</f>
        <v>残りました</v>
      </c>
    </row>
    <row r="2813" spans="1:3" ht="18" customHeight="1" x14ac:dyDescent="0.3">
      <c r="A2813" s="1">
        <v>9</v>
      </c>
      <c r="B2813" s="1" t="s">
        <v>2309</v>
      </c>
      <c r="C2813" s="1" t="str">
        <f ca="1">IFERROR(__xludf.DUMMYFUNCTION("GOOGLETRANSLATE(B2834,""en"",""ja"")"),"救済")</f>
        <v>救済</v>
      </c>
    </row>
    <row r="2814" spans="1:3" ht="18" customHeight="1" x14ac:dyDescent="0.3">
      <c r="A2814" s="1">
        <v>9</v>
      </c>
      <c r="B2814" s="1" t="s">
        <v>2310</v>
      </c>
      <c r="C2814" s="1" t="str">
        <f ca="1">IFERROR(__xludf.DUMMYFUNCTION("GOOGLETRANSLATE(B2835,""en"",""ja"")"),"規制")</f>
        <v>規制</v>
      </c>
    </row>
    <row r="2815" spans="1:3" ht="18" customHeight="1" x14ac:dyDescent="0.3">
      <c r="A2815" s="1">
        <v>9</v>
      </c>
      <c r="B2815" s="1" t="s">
        <v>2311</v>
      </c>
      <c r="C2815" s="1" t="str">
        <f ca="1">IFERROR(__xludf.DUMMYFUNCTION("GOOGLETRANSLATE(B2836,""en"",""ja"")"),"調整")</f>
        <v>調整</v>
      </c>
    </row>
    <row r="2816" spans="1:3" ht="18" customHeight="1" x14ac:dyDescent="0.3">
      <c r="A2816" s="1">
        <v>9</v>
      </c>
      <c r="B2816" s="1" t="s">
        <v>2312</v>
      </c>
      <c r="C2816" s="1" t="str">
        <f ca="1">IFERROR(__xludf.DUMMYFUNCTION("GOOGLETRANSLATE(B2837,""en"",""ja"")"),"規制")</f>
        <v>規制</v>
      </c>
    </row>
    <row r="2817" spans="1:3" ht="18" customHeight="1" x14ac:dyDescent="0.3">
      <c r="A2817" s="1">
        <v>9</v>
      </c>
      <c r="B2817" s="1" t="s">
        <v>2313</v>
      </c>
      <c r="C2817" s="1" t="str">
        <f ca="1">IFERROR(__xludf.DUMMYFUNCTION("GOOGLETRANSLATE(B2838,""en"",""ja"")"),"規制します")</f>
        <v>規制します</v>
      </c>
    </row>
    <row r="2818" spans="1:3" ht="18" customHeight="1" x14ac:dyDescent="0.3">
      <c r="A2818" s="1">
        <v>9</v>
      </c>
      <c r="B2818" s="1" t="s">
        <v>2314</v>
      </c>
      <c r="C2818" s="1" t="str">
        <f ca="1">IFERROR(__xludf.DUMMYFUNCTION("GOOGLETRANSLATE(B2839,""en"",""ja"")"),"地域の")</f>
        <v>地域の</v>
      </c>
    </row>
    <row r="2819" spans="1:3" ht="18" customHeight="1" x14ac:dyDescent="0.3">
      <c r="A2819" s="1">
        <v>9</v>
      </c>
      <c r="B2819" s="1" t="s">
        <v>2315</v>
      </c>
      <c r="C2819" s="1" t="str">
        <f ca="1">IFERROR(__xludf.DUMMYFUNCTION("GOOGLETRANSLATE(B2840,""en"",""ja"")"),"体制")</f>
        <v>体制</v>
      </c>
    </row>
    <row r="2820" spans="1:3" ht="18" customHeight="1" x14ac:dyDescent="0.3">
      <c r="A2820" s="1">
        <v>9</v>
      </c>
      <c r="B2820" s="1" t="s">
        <v>2316</v>
      </c>
      <c r="C2820" s="1" t="str">
        <f ca="1">IFERROR(__xludf.DUMMYFUNCTION("GOOGLETRANSLATE(B2841,""en"",""ja"")"),"認識")</f>
        <v>認識</v>
      </c>
    </row>
    <row r="2821" spans="1:3" ht="18" customHeight="1" x14ac:dyDescent="0.3">
      <c r="A2821" s="1">
        <v>9</v>
      </c>
      <c r="B2821" s="1" t="s">
        <v>1907</v>
      </c>
      <c r="C2821" s="1" t="str">
        <f ca="1">IFERROR(__xludf.DUMMYFUNCTION("GOOGLETRANSLATE(B2842,""en"",""ja"")"),"分野")</f>
        <v>分野</v>
      </c>
    </row>
    <row r="2822" spans="1:3" ht="18" customHeight="1" x14ac:dyDescent="0.3">
      <c r="A2822" s="1">
        <v>9</v>
      </c>
      <c r="B2822" s="1" t="s">
        <v>1529</v>
      </c>
      <c r="C2822" s="1" t="str">
        <f ca="1">IFERROR(__xludf.DUMMYFUNCTION("GOOGLETRANSLATE(B2843,""en"",""ja"")"),"気付く")</f>
        <v>気付く</v>
      </c>
    </row>
    <row r="2823" spans="1:3" ht="18" customHeight="1" x14ac:dyDescent="0.3">
      <c r="A2823" s="1">
        <v>9</v>
      </c>
      <c r="B2823" s="1" t="s">
        <v>2317</v>
      </c>
      <c r="C2823" s="1" t="str">
        <f ca="1">IFERROR(__xludf.DUMMYFUNCTION("GOOGLETRANSLATE(B2844,""en"",""ja"")"),"容易に")</f>
        <v>容易に</v>
      </c>
    </row>
    <row r="2824" spans="1:3" ht="18" customHeight="1" x14ac:dyDescent="0.3">
      <c r="A2824" s="1">
        <v>9</v>
      </c>
      <c r="B2824" s="1" t="s">
        <v>2318</v>
      </c>
      <c r="C2824" s="1" t="str">
        <f ca="1">IFERROR(__xludf.DUMMYFUNCTION("GOOGLETRANSLATE(B2845,""en"",""ja"")"),"反応します")</f>
        <v>反応します</v>
      </c>
    </row>
    <row r="2825" spans="1:3" ht="18" customHeight="1" x14ac:dyDescent="0.3">
      <c r="A2825" s="1">
        <v>9</v>
      </c>
      <c r="B2825" s="1" t="s">
        <v>2319</v>
      </c>
      <c r="C2825" s="1" t="str">
        <f ca="1">IFERROR(__xludf.DUMMYFUNCTION("GOOGLETRANSLATE(B2846,""en"",""ja"")"),"料金")</f>
        <v>料金</v>
      </c>
    </row>
    <row r="2826" spans="1:3" ht="18" customHeight="1" x14ac:dyDescent="0.3">
      <c r="A2826" s="1">
        <v>9</v>
      </c>
      <c r="B2826" s="1" t="s">
        <v>2320</v>
      </c>
      <c r="C2826" s="1" t="str">
        <f ca="1">IFERROR(__xludf.DUMMYFUNCTION("GOOGLETRANSLATE(B2847,""en"",""ja"")"),"レア")</f>
        <v>レア</v>
      </c>
    </row>
    <row r="2827" spans="1:3" ht="18" customHeight="1" x14ac:dyDescent="0.3">
      <c r="A2827" s="1">
        <v>9</v>
      </c>
      <c r="B2827" s="1" t="s">
        <v>2321</v>
      </c>
      <c r="C2827" s="1" t="str">
        <f ca="1">IFERROR(__xludf.DUMMYFUNCTION("GOOGLETRANSLATE(B2848,""en"",""ja"")"),"購入")</f>
        <v>購入</v>
      </c>
    </row>
    <row r="2828" spans="1:3" ht="18" customHeight="1" x14ac:dyDescent="0.3">
      <c r="A2828" s="1">
        <v>9</v>
      </c>
      <c r="B2828" s="1" t="s">
        <v>2322</v>
      </c>
      <c r="C2828" s="1" t="str">
        <f ca="1">IFERROR(__xludf.DUMMYFUNCTION("GOOGLETRANSLATE(B2849,""en"",""ja"")"),"心理学")</f>
        <v>心理学</v>
      </c>
    </row>
    <row r="2829" spans="1:3" ht="18" customHeight="1" x14ac:dyDescent="0.3">
      <c r="A2829" s="1">
        <v>9</v>
      </c>
      <c r="B2829" s="1" t="s">
        <v>1428</v>
      </c>
      <c r="C2829" s="1" t="str">
        <f ca="1">IFERROR(__xludf.DUMMYFUNCTION("GOOGLETRANSLATE(B2850,""en"",""ja"")"),"心理学者")</f>
        <v>心理学者</v>
      </c>
    </row>
    <row r="2830" spans="1:3" ht="18" customHeight="1" x14ac:dyDescent="0.3">
      <c r="A2830" s="1">
        <v>9</v>
      </c>
      <c r="B2830" s="1" t="s">
        <v>2323</v>
      </c>
      <c r="C2830" s="1" t="str">
        <f ca="1">IFERROR(__xludf.DUMMYFUNCTION("GOOGLETRANSLATE(B2851,""en"",""ja"")"),"推進")</f>
        <v>推進</v>
      </c>
    </row>
    <row r="2831" spans="1:3" ht="18" customHeight="1" x14ac:dyDescent="0.3">
      <c r="A2831" s="1">
        <v>9</v>
      </c>
      <c r="B2831" s="1" t="s">
        <v>2324</v>
      </c>
      <c r="C2831" s="1" t="str">
        <f ca="1">IFERROR(__xludf.DUMMYFUNCTION("GOOGLETRANSLATE(B2852,""en"",""ja"")"),"プロパティ")</f>
        <v>プロパティ</v>
      </c>
    </row>
    <row r="2832" spans="1:3" ht="18" customHeight="1" x14ac:dyDescent="0.3">
      <c r="A2832" s="1">
        <v>9</v>
      </c>
      <c r="B2832" s="1" t="s">
        <v>2325</v>
      </c>
      <c r="C2832" s="1" t="str">
        <f ca="1">IFERROR(__xludf.DUMMYFUNCTION("GOOGLETRANSLATE(B2853,""en"",""ja"")"),"利益")</f>
        <v>利益</v>
      </c>
    </row>
    <row r="2833" spans="1:3" ht="18" customHeight="1" x14ac:dyDescent="0.3">
      <c r="A2833" s="1">
        <v>9</v>
      </c>
      <c r="B2833" s="1" t="s">
        <v>2326</v>
      </c>
      <c r="C2833" s="1" t="str">
        <f ca="1">IFERROR(__xludf.DUMMYFUNCTION("GOOGLETRANSLATE(B2854,""en"",""ja"")"),"囚人")</f>
        <v>囚人</v>
      </c>
    </row>
    <row r="2834" spans="1:3" ht="18" customHeight="1" x14ac:dyDescent="0.3">
      <c r="A2834" s="1">
        <v>9</v>
      </c>
      <c r="B2834" s="1" t="s">
        <v>2327</v>
      </c>
      <c r="C2834" s="1" t="str">
        <f ca="1">IFERROR(__xludf.DUMMYFUNCTION("GOOGLETRANSLATE(B2855,""en"",""ja"")"),"可愛い")</f>
        <v>可愛い</v>
      </c>
    </row>
    <row r="2835" spans="1:3" ht="18" customHeight="1" x14ac:dyDescent="0.3">
      <c r="A2835" s="1">
        <v>9</v>
      </c>
      <c r="B2835" s="1" t="s">
        <v>2328</v>
      </c>
      <c r="C2835" s="1" t="str">
        <f ca="1">IFERROR(__xludf.DUMMYFUNCTION("GOOGLETRANSLATE(B2856,""en"",""ja"")"),"名門")</f>
        <v>名門</v>
      </c>
    </row>
    <row r="2836" spans="1:3" ht="18" customHeight="1" x14ac:dyDescent="0.3">
      <c r="A2836" s="1">
        <v>9</v>
      </c>
      <c r="B2836" s="1" t="s">
        <v>2329</v>
      </c>
      <c r="C2836" s="1" t="str">
        <f ca="1">IFERROR(__xludf.DUMMYFUNCTION("GOOGLETRANSLATE(B2857,""en"",""ja"")"),"好む")</f>
        <v>好む</v>
      </c>
    </row>
    <row r="2837" spans="1:3" ht="18" customHeight="1" x14ac:dyDescent="0.3">
      <c r="A2837" s="1">
        <v>9</v>
      </c>
      <c r="B2837" s="1" t="s">
        <v>2330</v>
      </c>
      <c r="C2837" s="1" t="str">
        <f ca="1">IFERROR(__xludf.DUMMYFUNCTION("GOOGLETRANSLATE(B2858,""en"",""ja"")"),"予測します")</f>
        <v>予測します</v>
      </c>
    </row>
    <row r="2838" spans="1:3" ht="18" customHeight="1" x14ac:dyDescent="0.3">
      <c r="A2838" s="1">
        <v>9</v>
      </c>
      <c r="B2838" s="1" t="s">
        <v>1769</v>
      </c>
      <c r="C2838" s="1" t="str">
        <f ca="1">IFERROR(__xludf.DUMMYFUNCTION("GOOGLETRANSLATE(B2859,""en"",""ja"")"),"練習")</f>
        <v>練習</v>
      </c>
    </row>
    <row r="2839" spans="1:3" ht="18" customHeight="1" x14ac:dyDescent="0.3">
      <c r="A2839" s="1">
        <v>9</v>
      </c>
      <c r="B2839" s="1" t="s">
        <v>2331</v>
      </c>
      <c r="C2839" s="1" t="str">
        <f ca="1">IFERROR(__xludf.DUMMYFUNCTION("GOOGLETRANSLATE(B2860,""en"",""ja"")"),"実用的")</f>
        <v>実用的</v>
      </c>
    </row>
    <row r="2840" spans="1:3" ht="18" customHeight="1" x14ac:dyDescent="0.3">
      <c r="A2840" s="1">
        <v>9</v>
      </c>
      <c r="B2840" s="1" t="s">
        <v>2332</v>
      </c>
      <c r="C2840" s="1" t="str">
        <f ca="1">IFERROR(__xludf.DUMMYFUNCTION("GOOGLETRANSLATE(B2861,""en"",""ja"")"),"潜在的に")</f>
        <v>潜在的に</v>
      </c>
    </row>
    <row r="2841" spans="1:3" ht="18" customHeight="1" x14ac:dyDescent="0.3">
      <c r="A2841" s="1">
        <v>9</v>
      </c>
      <c r="B2841" s="1" t="s">
        <v>510</v>
      </c>
      <c r="C2841" s="1" t="str">
        <f ca="1">IFERROR(__xludf.DUMMYFUNCTION("GOOGLETRANSLATE(B2862,""en"",""ja"")"),"貧しいです")</f>
        <v>貧しいです</v>
      </c>
    </row>
    <row r="2842" spans="1:3" ht="18" customHeight="1" x14ac:dyDescent="0.3">
      <c r="A2842" s="1">
        <v>9</v>
      </c>
      <c r="B2842" s="1" t="s">
        <v>2333</v>
      </c>
      <c r="C2842" s="1" t="str">
        <f ca="1">IFERROR(__xludf.DUMMYFUNCTION("GOOGLETRANSLATE(B2863,""en"",""ja"")"),"写真")</f>
        <v>写真</v>
      </c>
    </row>
    <row r="2843" spans="1:3" ht="18" customHeight="1" x14ac:dyDescent="0.3">
      <c r="A2843" s="1">
        <v>9</v>
      </c>
      <c r="B2843" s="1" t="s">
        <v>2334</v>
      </c>
      <c r="C2843" s="1" t="str">
        <f ca="1">IFERROR(__xludf.DUMMYFUNCTION("GOOGLETRANSLATE(B2864,""en"",""ja"")"),"電話")</f>
        <v>電話</v>
      </c>
    </row>
    <row r="2844" spans="1:3" ht="18" customHeight="1" x14ac:dyDescent="0.3">
      <c r="A2844" s="1">
        <v>9</v>
      </c>
      <c r="B2844" s="1" t="s">
        <v>2335</v>
      </c>
      <c r="C2844" s="1" t="str">
        <f ca="1">IFERROR(__xludf.DUMMYFUNCTION("GOOGLETRANSLATE(B2865,""en"",""ja"")"),"持続的")</f>
        <v>持続的</v>
      </c>
    </row>
    <row r="2845" spans="1:3" ht="18" customHeight="1" x14ac:dyDescent="0.3">
      <c r="A2845" s="1">
        <v>9</v>
      </c>
      <c r="B2845" s="1" t="s">
        <v>2336</v>
      </c>
      <c r="C2845" s="1" t="str">
        <f ca="1">IFERROR(__xludf.DUMMYFUNCTION("GOOGLETRANSLATE(B2866,""en"",""ja"")"),"許可")</f>
        <v>許可</v>
      </c>
    </row>
    <row r="2846" spans="1:3" ht="18" customHeight="1" x14ac:dyDescent="0.3">
      <c r="A2846" s="1">
        <v>9</v>
      </c>
      <c r="B2846" s="1" t="s">
        <v>2337</v>
      </c>
      <c r="C2846" s="1" t="str">
        <f ca="1">IFERROR(__xludf.DUMMYFUNCTION("GOOGLETRANSLATE(B2867,""en"",""ja"")"),"気付きます")</f>
        <v>気付きます</v>
      </c>
    </row>
    <row r="2847" spans="1:3" ht="18" customHeight="1" x14ac:dyDescent="0.3">
      <c r="A2847" s="1">
        <v>9</v>
      </c>
      <c r="B2847" s="1" t="s">
        <v>2338</v>
      </c>
      <c r="C2847" s="1" t="str">
        <f ca="1">IFERROR(__xludf.DUMMYFUNCTION("GOOGLETRANSLATE(B2868,""en"",""ja"")"),"平和")</f>
        <v>平和</v>
      </c>
    </row>
    <row r="2848" spans="1:3" ht="18" customHeight="1" x14ac:dyDescent="0.3">
      <c r="A2848" s="1">
        <v>9</v>
      </c>
      <c r="B2848" s="1" t="s">
        <v>1182</v>
      </c>
      <c r="C2848" s="1" t="str">
        <f ca="1">IFERROR(__xludf.DUMMYFUNCTION("GOOGLETRANSLATE(B2869,""en"",""ja"")"),"パーソナルコンピュータ")</f>
        <v>パーソナルコンピュータ</v>
      </c>
    </row>
    <row r="2849" spans="1:3" ht="18" customHeight="1" x14ac:dyDescent="0.3">
      <c r="A2849" s="1">
        <v>9</v>
      </c>
      <c r="B2849" s="1" t="s">
        <v>1183</v>
      </c>
      <c r="C2849" s="1" t="str">
        <f ca="1">IFERROR(__xludf.DUMMYFUNCTION("GOOGLETRANSLATE(B2870,""en"",""ja"")"),"特許")</f>
        <v>特許</v>
      </c>
    </row>
    <row r="2850" spans="1:3" ht="18" customHeight="1" x14ac:dyDescent="0.3">
      <c r="A2850" s="1">
        <v>9</v>
      </c>
      <c r="B2850" s="1" t="s">
        <v>2339</v>
      </c>
      <c r="C2850" s="1" t="str">
        <f ca="1">IFERROR(__xludf.DUMMYFUNCTION("GOOGLETRANSLATE(B2871,""en"",""ja"")"),"合格しました")</f>
        <v>合格しました</v>
      </c>
    </row>
    <row r="2851" spans="1:3" ht="18" customHeight="1" x14ac:dyDescent="0.3">
      <c r="A2851" s="1">
        <v>9</v>
      </c>
      <c r="B2851" s="1" t="s">
        <v>2340</v>
      </c>
      <c r="C2851" s="1" t="str">
        <f ca="1">IFERROR(__xludf.DUMMYFUNCTION("GOOGLETRANSLATE(B2872,""en"",""ja"")"),"パス")</f>
        <v>パス</v>
      </c>
    </row>
    <row r="2852" spans="1:3" ht="18" customHeight="1" x14ac:dyDescent="0.3">
      <c r="A2852" s="1">
        <v>9</v>
      </c>
      <c r="B2852" s="1" t="s">
        <v>2341</v>
      </c>
      <c r="C2852" s="1" t="str">
        <f ca="1">IFERROR(__xludf.DUMMYFUNCTION("GOOGLETRANSLATE(B2873,""en"",""ja"")"),"PAS")</f>
        <v>PAS</v>
      </c>
    </row>
    <row r="2853" spans="1:3" ht="18" customHeight="1" x14ac:dyDescent="0.3">
      <c r="A2853" s="1">
        <v>9</v>
      </c>
      <c r="B2853" s="1" t="s">
        <v>890</v>
      </c>
      <c r="C2853" s="1" t="str">
        <f ca="1">IFERROR(__xludf.DUMMYFUNCTION("GOOGLETRANSLATE(B2874,""en"",""ja"")"),"親")</f>
        <v>親</v>
      </c>
    </row>
    <row r="2854" spans="1:3" ht="18" customHeight="1" x14ac:dyDescent="0.3">
      <c r="A2854" s="1">
        <v>9</v>
      </c>
      <c r="B2854" s="1" t="s">
        <v>2342</v>
      </c>
      <c r="C2854" s="1" t="str">
        <f ca="1">IFERROR(__xludf.DUMMYFUNCTION("GOOGLETRANSLATE(B2875,""en"",""ja"")"),"パンパス")</f>
        <v>パンパス</v>
      </c>
    </row>
    <row r="2855" spans="1:3" ht="18" customHeight="1" x14ac:dyDescent="0.3">
      <c r="A2855" s="1">
        <v>9</v>
      </c>
      <c r="B2855" s="1" t="s">
        <v>2343</v>
      </c>
      <c r="C2855" s="1" t="str">
        <f ca="1">IFERROR(__xludf.DUMMYFUNCTION("GOOGLETRANSLATE(B2876,""en"",""ja"")"),"酸素")</f>
        <v>酸素</v>
      </c>
    </row>
    <row r="2856" spans="1:3" ht="18" customHeight="1" x14ac:dyDescent="0.3">
      <c r="A2856" s="1">
        <v>9</v>
      </c>
      <c r="B2856" s="1" t="s">
        <v>2344</v>
      </c>
      <c r="C2856" s="1" t="str">
        <f ca="1">IFERROR(__xludf.DUMMYFUNCTION("GOOGLETRANSLATE(B2878,""en"",""ja"")"),"牛")</f>
        <v>牛</v>
      </c>
    </row>
    <row r="2857" spans="1:3" ht="18" customHeight="1" x14ac:dyDescent="0.3">
      <c r="A2857" s="1">
        <v>9</v>
      </c>
      <c r="B2857" s="1" t="s">
        <v>998</v>
      </c>
      <c r="C2857" s="1" t="str">
        <f ca="1">IFERROR(__xludf.DUMMYFUNCTION("GOOGLETRANSLATE(B2879,""en"",""ja"")"),"打ち勝ちます")</f>
        <v>打ち勝ちます</v>
      </c>
    </row>
    <row r="2858" spans="1:3" ht="18" customHeight="1" x14ac:dyDescent="0.3">
      <c r="A2858" s="1">
        <v>9</v>
      </c>
      <c r="B2858" s="1" t="s">
        <v>2345</v>
      </c>
      <c r="C2858" s="1" t="str">
        <f ca="1">IFERROR(__xludf.DUMMYFUNCTION("GOOGLETRANSLATE(B2880,""en"",""ja"")"),"起源")</f>
        <v>起源</v>
      </c>
    </row>
    <row r="2859" spans="1:3" ht="18" customHeight="1" x14ac:dyDescent="0.3">
      <c r="A2859" s="1">
        <v>9</v>
      </c>
      <c r="B2859" s="1" t="s">
        <v>2346</v>
      </c>
      <c r="C2859" s="1" t="str">
        <f ca="1">IFERROR(__xludf.DUMMYFUNCTION("GOOGLETRANSLATE(B2881,""en"",""ja"")"),"オレンジ")</f>
        <v>オレンジ</v>
      </c>
    </row>
    <row r="2860" spans="1:3" ht="18" customHeight="1" x14ac:dyDescent="0.3">
      <c r="A2860" s="1">
        <v>9</v>
      </c>
      <c r="B2860" s="1" t="s">
        <v>2347</v>
      </c>
      <c r="C2860" s="1" t="str">
        <f ca="1">IFERROR(__xludf.DUMMYFUNCTION("GOOGLETRANSLATE(B2882,""en"",""ja"")"),"オープニング")</f>
        <v>オープニング</v>
      </c>
    </row>
    <row r="2861" spans="1:3" ht="18" customHeight="1" x14ac:dyDescent="0.3">
      <c r="A2861" s="1">
        <v>9</v>
      </c>
      <c r="B2861" s="1" t="s">
        <v>15</v>
      </c>
      <c r="C2861" s="1" t="str">
        <f ca="1">IFERROR(__xludf.DUMMYFUNCTION("GOOGLETRANSLATE(B2883,""en"",""ja"")"),"オン")</f>
        <v>オン</v>
      </c>
    </row>
    <row r="2862" spans="1:3" ht="18" customHeight="1" x14ac:dyDescent="0.3">
      <c r="A2862" s="1">
        <v>9</v>
      </c>
      <c r="B2862" s="1" t="s">
        <v>2348</v>
      </c>
      <c r="C2862" s="1" t="str">
        <f ca="1">IFERROR(__xludf.DUMMYFUNCTION("GOOGLETRANSLATE(B2884,""en"",""ja"")"),"発生")</f>
        <v>発生</v>
      </c>
    </row>
    <row r="2863" spans="1:3" ht="18" customHeight="1" x14ac:dyDescent="0.3">
      <c r="A2863" s="1">
        <v>9</v>
      </c>
      <c r="B2863" s="1" t="s">
        <v>2349</v>
      </c>
      <c r="C2863" s="1" t="str">
        <f ca="1">IFERROR(__xludf.DUMMYFUNCTION("GOOGLETRANSLATE(B2885,""en"",""ja"")"),"発生")</f>
        <v>発生</v>
      </c>
    </row>
    <row r="2864" spans="1:3" ht="18" customHeight="1" x14ac:dyDescent="0.3">
      <c r="A2864" s="1">
        <v>9</v>
      </c>
      <c r="B2864" s="1" t="s">
        <v>2350</v>
      </c>
      <c r="C2864" s="1" t="str">
        <f ca="1">IFERROR(__xludf.DUMMYFUNCTION("GOOGLETRANSLATE(B2886,""en"",""ja"")"),"入手")</f>
        <v>入手</v>
      </c>
    </row>
    <row r="2865" spans="1:3" ht="18" customHeight="1" x14ac:dyDescent="0.3">
      <c r="A2865" s="1">
        <v>9</v>
      </c>
      <c r="B2865" s="1" t="s">
        <v>2351</v>
      </c>
      <c r="C2865" s="1" t="str">
        <f ca="1">IFERROR(__xludf.DUMMYFUNCTION("GOOGLETRANSLATE(B2887,""en"",""ja"")"),"従う")</f>
        <v>従う</v>
      </c>
    </row>
    <row r="2866" spans="1:3" ht="18" customHeight="1" x14ac:dyDescent="0.3">
      <c r="A2866" s="1">
        <v>9</v>
      </c>
      <c r="B2866" s="1" t="s">
        <v>2352</v>
      </c>
      <c r="C2866" s="1" t="str">
        <f ca="1">IFERROR(__xludf.DUMMYFUNCTION("GOOGLETRANSLATE(B2888,""en"",""ja"")"),"O")</f>
        <v>O</v>
      </c>
    </row>
    <row r="2867" spans="1:3" ht="18" customHeight="1" x14ac:dyDescent="0.3">
      <c r="A2867" s="1">
        <v>9</v>
      </c>
      <c r="B2867" s="1" t="s">
        <v>2353</v>
      </c>
      <c r="C2867" s="1" t="str">
        <f ca="1">IFERROR(__xludf.DUMMYFUNCTION("GOOGLETRANSLATE(B2889,""en"",""ja"")"),"数字")</f>
        <v>数字</v>
      </c>
    </row>
    <row r="2868" spans="1:3" ht="18" customHeight="1" x14ac:dyDescent="0.3">
      <c r="A2868" s="1">
        <v>9</v>
      </c>
      <c r="B2868" s="1" t="s">
        <v>2354</v>
      </c>
      <c r="C2868" s="1" t="str">
        <f ca="1">IFERROR(__xludf.DUMMYFUNCTION("GOOGLETRANSLATE(B2890,""en"",""ja"")"),"規範")</f>
        <v>規範</v>
      </c>
    </row>
    <row r="2869" spans="1:3" ht="18" customHeight="1" x14ac:dyDescent="0.3">
      <c r="A2869" s="1">
        <v>9</v>
      </c>
      <c r="B2869" s="1" t="s">
        <v>2355</v>
      </c>
      <c r="C2869" s="1" t="str">
        <f ca="1">IFERROR(__xludf.DUMMYFUNCTION("GOOGLETRANSLATE(B2891,""en"",""ja"")"),"NGO")</f>
        <v>NGO</v>
      </c>
    </row>
    <row r="2870" spans="1:3" ht="18" customHeight="1" x14ac:dyDescent="0.3">
      <c r="A2870" s="1">
        <v>9</v>
      </c>
      <c r="B2870" s="1" t="s">
        <v>1267</v>
      </c>
      <c r="C2870" s="1" t="str">
        <f ca="1">IFERROR(__xludf.DUMMYFUNCTION("GOOGLETRANSLATE(B2892,""en"",""ja"")"),"音楽")</f>
        <v>音楽</v>
      </c>
    </row>
    <row r="2871" spans="1:3" ht="18" customHeight="1" x14ac:dyDescent="0.3">
      <c r="A2871" s="1">
        <v>9</v>
      </c>
      <c r="B2871" s="1" t="s">
        <v>2356</v>
      </c>
      <c r="C2871" s="1" t="str">
        <f ca="1">IFERROR(__xludf.DUMMYFUNCTION("GOOGLETRANSLATE(B2893,""en"",""ja"")"),"複数")</f>
        <v>複数</v>
      </c>
    </row>
    <row r="2872" spans="1:3" ht="18" customHeight="1" x14ac:dyDescent="0.3">
      <c r="A2872" s="1">
        <v>9</v>
      </c>
      <c r="B2872" s="1" t="s">
        <v>2357</v>
      </c>
      <c r="C2872" s="1" t="str">
        <f ca="1">IFERROR(__xludf.DUMMYFUNCTION("GOOGLETRANSLATE(B2894,""en"",""ja"")"),"氏")</f>
        <v>氏</v>
      </c>
    </row>
    <row r="2873" spans="1:3" ht="18" customHeight="1" x14ac:dyDescent="0.3">
      <c r="A2873" s="1">
        <v>9</v>
      </c>
      <c r="B2873" s="1" t="s">
        <v>2358</v>
      </c>
      <c r="C2873" s="1" t="str">
        <f ca="1">IFERROR(__xludf.DUMMYFUNCTION("GOOGLETRANSLATE(B2895,""en"",""ja"")"),"移動します")</f>
        <v>移動します</v>
      </c>
    </row>
    <row r="2874" spans="1:3" ht="18" customHeight="1" x14ac:dyDescent="0.3">
      <c r="A2874" s="1">
        <v>9</v>
      </c>
      <c r="B2874" s="1" t="s">
        <v>2359</v>
      </c>
      <c r="C2874" s="1" t="str">
        <f ca="1">IFERROR(__xludf.DUMMYFUNCTION("GOOGLETRANSLATE(B2896,""en"",""ja"")"),"又")</f>
        <v>又</v>
      </c>
    </row>
    <row r="2875" spans="1:3" ht="18" customHeight="1" x14ac:dyDescent="0.3">
      <c r="A2875" s="1">
        <v>9</v>
      </c>
      <c r="B2875" s="1" t="s">
        <v>2360</v>
      </c>
      <c r="C2875" s="1" t="str">
        <f ca="1">IFERROR(__xludf.DUMMYFUNCTION("GOOGLETRANSLATE(B2897,""en"",""ja"")"),"モード")</f>
        <v>モード</v>
      </c>
    </row>
    <row r="2876" spans="1:3" ht="18" customHeight="1" x14ac:dyDescent="0.3">
      <c r="A2876" s="1">
        <v>9</v>
      </c>
      <c r="B2876" s="1" t="s">
        <v>2361</v>
      </c>
      <c r="C2876" s="1" t="str">
        <f ca="1">IFERROR(__xludf.DUMMYFUNCTION("GOOGLETRANSLATE(B2898,""en"",""ja"")"),"ミンダナオ")</f>
        <v>ミンダナオ</v>
      </c>
    </row>
    <row r="2877" spans="1:3" ht="18" customHeight="1" x14ac:dyDescent="0.3">
      <c r="A2877" s="1">
        <v>9</v>
      </c>
      <c r="B2877" s="1" t="s">
        <v>2362</v>
      </c>
      <c r="C2877" s="1" t="str">
        <f ca="1">IFERROR(__xludf.DUMMYFUNCTION("GOOGLETRANSLATE(B2899,""en"",""ja"")"),"メモリ")</f>
        <v>メモリ</v>
      </c>
    </row>
    <row r="2878" spans="1:3" ht="18" customHeight="1" x14ac:dyDescent="0.3">
      <c r="A2878" s="1">
        <v>9</v>
      </c>
      <c r="B2878" s="1" t="s">
        <v>2363</v>
      </c>
      <c r="C2878" s="1" t="str">
        <f ca="1">IFERROR(__xludf.DUMMYFUNCTION("GOOGLETRANSLATE(B2900,""en"",""ja"")"),"薬")</f>
        <v>薬</v>
      </c>
    </row>
    <row r="2879" spans="1:3" ht="18" customHeight="1" x14ac:dyDescent="0.3">
      <c r="A2879" s="1">
        <v>9</v>
      </c>
      <c r="B2879" s="1" t="s">
        <v>2364</v>
      </c>
      <c r="C2879" s="1" t="str">
        <f ca="1">IFERROR(__xludf.DUMMYFUNCTION("GOOGLETRANSLATE(B2901,""en"",""ja"")"),"材料")</f>
        <v>材料</v>
      </c>
    </row>
    <row r="2880" spans="1:3" ht="18" customHeight="1" x14ac:dyDescent="0.3">
      <c r="A2880" s="1">
        <v>9</v>
      </c>
      <c r="B2880" s="1" t="s">
        <v>2365</v>
      </c>
      <c r="C2880" s="1" t="str">
        <f ca="1">IFERROR(__xludf.DUMMYFUNCTION("GOOGLETRANSLATE(B2902,""en"",""ja"")"),"主人")</f>
        <v>主人</v>
      </c>
    </row>
    <row r="2881" spans="1:3" ht="18" customHeight="1" x14ac:dyDescent="0.3">
      <c r="A2881" s="1">
        <v>9</v>
      </c>
      <c r="B2881" s="1" t="s">
        <v>2366</v>
      </c>
      <c r="C2881" s="1" t="str">
        <f ca="1">IFERROR(__xludf.DUMMYFUNCTION("GOOGLETRANSLATE(B2903,""en"",""ja"")"),"市場")</f>
        <v>市場</v>
      </c>
    </row>
    <row r="2882" spans="1:3" ht="18" customHeight="1" x14ac:dyDescent="0.3">
      <c r="A2882" s="1">
        <v>9</v>
      </c>
      <c r="B2882" s="1" t="s">
        <v>2367</v>
      </c>
      <c r="C2882" s="1" t="str">
        <f ca="1">IFERROR(__xludf.DUMMYFUNCTION("GOOGLETRANSLATE(B2904,""en"",""ja"")"),"メーカー")</f>
        <v>メーカー</v>
      </c>
    </row>
    <row r="2883" spans="1:3" ht="18" customHeight="1" x14ac:dyDescent="0.3">
      <c r="A2883" s="1">
        <v>9</v>
      </c>
      <c r="B2883" s="1" t="s">
        <v>2368</v>
      </c>
      <c r="C2883" s="1" t="str">
        <f ca="1">IFERROR(__xludf.DUMMYFUNCTION("GOOGLETRANSLATE(B2905,""en"",""ja"")"),"保守")</f>
        <v>保守</v>
      </c>
    </row>
    <row r="2884" spans="1:3" ht="18" customHeight="1" x14ac:dyDescent="0.3">
      <c r="A2884" s="1">
        <v>9</v>
      </c>
      <c r="B2884" s="1" t="s">
        <v>1660</v>
      </c>
      <c r="C2884" s="1" t="str">
        <f ca="1">IFERROR(__xludf.DUMMYFUNCTION("GOOGLETRANSLATE(B2906,""en"",""ja"")"),"機械")</f>
        <v>機械</v>
      </c>
    </row>
    <row r="2885" spans="1:3" ht="18" customHeight="1" x14ac:dyDescent="0.3">
      <c r="A2885" s="1">
        <v>9</v>
      </c>
      <c r="B2885" s="1" t="s">
        <v>2369</v>
      </c>
      <c r="C2885" s="1" t="str">
        <f ca="1">IFERROR(__xludf.DUMMYFUNCTION("GOOGLETRANSLATE(B2907,""en"",""ja"")"),"たくさんの")</f>
        <v>たくさんの</v>
      </c>
    </row>
    <row r="2886" spans="1:3" ht="18" customHeight="1" x14ac:dyDescent="0.3">
      <c r="A2886" s="1">
        <v>9</v>
      </c>
      <c r="B2886" s="1" t="s">
        <v>2370</v>
      </c>
      <c r="C2886" s="1" t="str">
        <f ca="1">IFERROR(__xludf.DUMMYFUNCTION("GOOGLETRANSLATE(B2908,""en"",""ja"")"),"憧れ")</f>
        <v>憧れ</v>
      </c>
    </row>
    <row r="2887" spans="1:3" ht="18" customHeight="1" x14ac:dyDescent="0.3">
      <c r="A2887" s="1">
        <v>9</v>
      </c>
      <c r="B2887" s="1" t="s">
        <v>2371</v>
      </c>
      <c r="C2887" s="1" t="str">
        <f ca="1">IFERROR(__xludf.DUMMYFUNCTION("GOOGLETRANSLATE(B2909,""en"",""ja"")"),"位置")</f>
        <v>位置</v>
      </c>
    </row>
    <row r="2888" spans="1:3" ht="18" customHeight="1" x14ac:dyDescent="0.3">
      <c r="A2888" s="1">
        <v>9</v>
      </c>
      <c r="B2888" s="1" t="s">
        <v>394</v>
      </c>
      <c r="C2888" s="1" t="str">
        <f ca="1">IFERROR(__xludf.DUMMYFUNCTION("GOOGLETRANSLATE(B2910,""en"",""ja"")"),"少し")</f>
        <v>少し</v>
      </c>
    </row>
    <row r="2889" spans="1:3" ht="18" customHeight="1" x14ac:dyDescent="0.3">
      <c r="A2889" s="1">
        <v>9</v>
      </c>
      <c r="B2889" s="1" t="s">
        <v>2372</v>
      </c>
      <c r="C2889" s="1" t="str">
        <f ca="1">IFERROR(__xludf.DUMMYFUNCTION("GOOGLETRANSLATE(B2911,""en"",""ja"")"),"ライオン")</f>
        <v>ライオン</v>
      </c>
    </row>
    <row r="2890" spans="1:3" ht="18" customHeight="1" x14ac:dyDescent="0.3">
      <c r="A2890" s="1">
        <v>9</v>
      </c>
      <c r="B2890" s="1" t="s">
        <v>574</v>
      </c>
      <c r="C2890" s="1" t="str">
        <f ca="1">IFERROR(__xludf.DUMMYFUNCTION("GOOGLETRANSLATE(B2912,""en"",""ja"")"),"最終")</f>
        <v>最終</v>
      </c>
    </row>
    <row r="2891" spans="1:3" ht="18" customHeight="1" x14ac:dyDescent="0.3">
      <c r="A2891" s="1">
        <v>9</v>
      </c>
      <c r="B2891" s="1" t="s">
        <v>2373</v>
      </c>
      <c r="C2891" s="1" t="str">
        <f ca="1">IFERROR(__xludf.DUMMYFUNCTION("GOOGLETRANSLATE(B2913,""en"",""ja"")"),"欠けていました")</f>
        <v>欠けていました</v>
      </c>
    </row>
    <row r="2892" spans="1:3" ht="18" customHeight="1" x14ac:dyDescent="0.3">
      <c r="A2892" s="1">
        <v>9</v>
      </c>
      <c r="B2892" s="1" t="s">
        <v>2374</v>
      </c>
      <c r="C2892" s="1" t="str">
        <f ca="1">IFERROR(__xludf.DUMMYFUNCTION("GOOGLETRANSLATE(B2914,""en"",""ja"")"),"リットル")</f>
        <v>リットル</v>
      </c>
    </row>
    <row r="2893" spans="1:3" ht="18" customHeight="1" x14ac:dyDescent="0.3">
      <c r="A2893" s="1">
        <v>9</v>
      </c>
      <c r="B2893" s="1" t="s">
        <v>2375</v>
      </c>
      <c r="C2893" s="1" t="str">
        <f ca="1">IFERROR(__xludf.DUMMYFUNCTION("GOOGLETRANSLATE(B2915,""en"",""ja"")"),"審査")</f>
        <v>審査</v>
      </c>
    </row>
    <row r="2894" spans="1:3" ht="18" customHeight="1" x14ac:dyDescent="0.3">
      <c r="A2894" s="1">
        <v>9</v>
      </c>
      <c r="B2894" s="1" t="s">
        <v>2376</v>
      </c>
      <c r="C2894" s="1" t="str">
        <f ca="1">IFERROR(__xludf.DUMMYFUNCTION("GOOGLETRANSLATE(B2916,""en"",""ja"")"),"加わります")</f>
        <v>加わります</v>
      </c>
    </row>
    <row r="2895" spans="1:3" ht="18" customHeight="1" x14ac:dyDescent="0.3">
      <c r="A2895" s="1">
        <v>9</v>
      </c>
      <c r="B2895" s="1" t="s">
        <v>2377</v>
      </c>
      <c r="C2895" s="1" t="str">
        <f ca="1">IFERROR(__xludf.DUMMYFUNCTION("GOOGLETRANSLATE(B2917,""en"",""ja"")"),"日本語")</f>
        <v>日本語</v>
      </c>
    </row>
    <row r="2896" spans="1:3" ht="18" customHeight="1" x14ac:dyDescent="0.3">
      <c r="A2896" s="1">
        <v>9</v>
      </c>
      <c r="B2896" s="1" t="s">
        <v>2378</v>
      </c>
      <c r="C2896" s="1" t="str">
        <f ca="1">IFERROR(__xludf.DUMMYFUNCTION("GOOGLETRANSLATE(B2918,""en"",""ja"")"),"潅漑")</f>
        <v>潅漑</v>
      </c>
    </row>
    <row r="2897" spans="1:3" ht="18" customHeight="1" x14ac:dyDescent="0.3">
      <c r="A2897" s="1">
        <v>9</v>
      </c>
      <c r="B2897" s="1" t="s">
        <v>2379</v>
      </c>
      <c r="C2897" s="1" t="str">
        <f ca="1">IFERROR(__xludf.DUMMYFUNCTION("GOOGLETRANSLATE(B2919,""en"",""ja"")"),"関係")</f>
        <v>関係</v>
      </c>
    </row>
    <row r="2898" spans="1:3" ht="18" customHeight="1" x14ac:dyDescent="0.3">
      <c r="A2898" s="1">
        <v>9</v>
      </c>
      <c r="B2898" s="1" t="s">
        <v>2380</v>
      </c>
      <c r="C2898" s="1" t="str">
        <f ca="1">IFERROR(__xludf.DUMMYFUNCTION("GOOGLETRANSLATE(B2920,""en"",""ja"")"),"干渉")</f>
        <v>干渉</v>
      </c>
    </row>
    <row r="2899" spans="1:3" ht="18" customHeight="1" x14ac:dyDescent="0.3">
      <c r="A2899" s="1">
        <v>9</v>
      </c>
      <c r="B2899" s="1" t="s">
        <v>2381</v>
      </c>
      <c r="C2899" s="1" t="str">
        <f ca="1">IFERROR(__xludf.DUMMYFUNCTION("GOOGLETRANSLATE(B2922,""en"",""ja"")"),"異種交配")</f>
        <v>異種交配</v>
      </c>
    </row>
    <row r="2900" spans="1:3" ht="18" customHeight="1" x14ac:dyDescent="0.3">
      <c r="A2900" s="1">
        <v>9</v>
      </c>
      <c r="B2900" s="1" t="s">
        <v>2382</v>
      </c>
      <c r="C2900" s="1" t="str">
        <f ca="1">IFERROR(__xludf.DUMMYFUNCTION("GOOGLETRANSLATE(B2923,""en"",""ja"")"),"当初、")</f>
        <v>当初、</v>
      </c>
    </row>
    <row r="2901" spans="1:3" ht="18" customHeight="1" x14ac:dyDescent="0.3">
      <c r="A2901" s="1">
        <v>9</v>
      </c>
      <c r="B2901" s="1" t="s">
        <v>2383</v>
      </c>
      <c r="C2901" s="1" t="str">
        <f ca="1">IFERROR(__xludf.DUMMYFUNCTION("GOOGLETRANSLATE(B2924,""en"",""ja"")"),"遺伝性の")</f>
        <v>遺伝性の</v>
      </c>
    </row>
    <row r="2902" spans="1:3" ht="18" customHeight="1" x14ac:dyDescent="0.3">
      <c r="A2902" s="1">
        <v>9</v>
      </c>
      <c r="B2902" s="1" t="s">
        <v>2384</v>
      </c>
      <c r="C2902" s="1" t="str">
        <f ca="1">IFERROR(__xludf.DUMMYFUNCTION("GOOGLETRANSLATE(B2925,""en"",""ja"")"),"固有")</f>
        <v>固有</v>
      </c>
    </row>
    <row r="2903" spans="1:3" ht="18" customHeight="1" x14ac:dyDescent="0.3">
      <c r="A2903" s="1">
        <v>9</v>
      </c>
      <c r="B2903" s="1" t="s">
        <v>2385</v>
      </c>
      <c r="C2903" s="1" t="str">
        <f ca="1">IFERROR(__xludf.DUMMYFUNCTION("GOOGLETRANSLATE(B2926,""en"",""ja"")"),"通知します")</f>
        <v>通知します</v>
      </c>
    </row>
    <row r="2904" spans="1:3" ht="18" customHeight="1" x14ac:dyDescent="0.3">
      <c r="A2904" s="1">
        <v>9</v>
      </c>
      <c r="B2904" s="1" t="s">
        <v>2386</v>
      </c>
      <c r="C2904" s="1" t="str">
        <f ca="1">IFERROR(__xludf.DUMMYFUNCTION("GOOGLETRANSLATE(B2927,""en"",""ja"")"),"ふけます")</f>
        <v>ふけます</v>
      </c>
    </row>
    <row r="2905" spans="1:3" ht="18" customHeight="1" x14ac:dyDescent="0.3">
      <c r="A2905" s="1">
        <v>9</v>
      </c>
      <c r="B2905" s="1" t="s">
        <v>2387</v>
      </c>
      <c r="C2905" s="1" t="str">
        <f ca="1">IFERROR(__xludf.DUMMYFUNCTION("GOOGLETRANSLATE(B2928,""en"",""ja"")"),"個人主義")</f>
        <v>個人主義</v>
      </c>
    </row>
    <row r="2906" spans="1:3" ht="18" customHeight="1" x14ac:dyDescent="0.3">
      <c r="A2906" s="1">
        <v>9</v>
      </c>
      <c r="B2906" s="1" t="s">
        <v>2388</v>
      </c>
      <c r="C2906" s="1" t="str">
        <f ca="1">IFERROR(__xludf.DUMMYFUNCTION("GOOGLETRANSLATE(B2929,""en"",""ja"")"),"増加")</f>
        <v>増加</v>
      </c>
    </row>
    <row r="2907" spans="1:3" ht="18" customHeight="1" x14ac:dyDescent="0.3">
      <c r="A2907" s="1">
        <v>9</v>
      </c>
      <c r="B2907" s="1" t="s">
        <v>2389</v>
      </c>
      <c r="C2907" s="1" t="str">
        <f ca="1">IFERROR(__xludf.DUMMYFUNCTION("GOOGLETRANSLATE(B2930,""en"",""ja"")"),"改善")</f>
        <v>改善</v>
      </c>
    </row>
    <row r="2908" spans="1:3" ht="18" customHeight="1" x14ac:dyDescent="0.3">
      <c r="A2908" s="1">
        <v>9</v>
      </c>
      <c r="B2908" s="1" t="s">
        <v>2390</v>
      </c>
      <c r="C2908" s="1" t="str">
        <f ca="1">IFERROR(__xludf.DUMMYFUNCTION("GOOGLETRANSLATE(B2931,""en"",""ja"")"),"想像")</f>
        <v>想像</v>
      </c>
    </row>
    <row r="2909" spans="1:3" ht="18" customHeight="1" x14ac:dyDescent="0.3">
      <c r="A2909" s="1">
        <v>9</v>
      </c>
      <c r="B2909" s="1" t="s">
        <v>576</v>
      </c>
      <c r="C2909" s="1" t="str">
        <f ca="1">IFERROR(__xludf.DUMMYFUNCTION("GOOGLETRANSLATE(B2932,""en"",""ja"")"),"識別")</f>
        <v>識別</v>
      </c>
    </row>
    <row r="2910" spans="1:3" ht="18" customHeight="1" x14ac:dyDescent="0.3">
      <c r="A2910" s="1">
        <v>9</v>
      </c>
      <c r="B2910" s="1" t="s">
        <v>2391</v>
      </c>
      <c r="C2910" s="1" t="str">
        <f ca="1">IFERROR(__xludf.DUMMYFUNCTION("GOOGLETRANSLATE(B2933,""en"",""ja"")"),"理想的には、")</f>
        <v>理想的には、</v>
      </c>
    </row>
    <row r="2911" spans="1:3" ht="18" customHeight="1" x14ac:dyDescent="0.3">
      <c r="A2911" s="1">
        <v>9</v>
      </c>
      <c r="B2911" s="1" t="s">
        <v>89</v>
      </c>
      <c r="C2911" s="1" t="str">
        <f ca="1">IFERROR(__xludf.DUMMYFUNCTION("GOOGLETRANSLATE(B2934,""en"",""ja"")"),"私")</f>
        <v>私</v>
      </c>
    </row>
    <row r="2912" spans="1:3" ht="18" customHeight="1" x14ac:dyDescent="0.3">
      <c r="A2912" s="1">
        <v>9</v>
      </c>
      <c r="B2912" s="1" t="s">
        <v>2392</v>
      </c>
      <c r="C2912" s="1" t="str">
        <f ca="1">IFERROR(__xludf.DUMMYFUNCTION("GOOGLETRANSLATE(B2935,""en"",""ja"")"),"熱く")</f>
        <v>熱く</v>
      </c>
    </row>
    <row r="2913" spans="1:3" ht="18" customHeight="1" x14ac:dyDescent="0.3">
      <c r="A2913" s="1">
        <v>9</v>
      </c>
      <c r="B2913" s="1" t="s">
        <v>2393</v>
      </c>
      <c r="C2913" s="1" t="str">
        <f ca="1">IFERROR(__xludf.DUMMYFUNCTION("GOOGLETRANSLATE(B2936,""en"",""ja"")"),"ホルモン")</f>
        <v>ホルモン</v>
      </c>
    </row>
    <row r="2914" spans="1:3" ht="18" customHeight="1" x14ac:dyDescent="0.3">
      <c r="A2914" s="1">
        <v>9</v>
      </c>
      <c r="B2914" s="1" t="s">
        <v>854</v>
      </c>
      <c r="C2914" s="1" t="str">
        <f ca="1">IFERROR(__xludf.DUMMYFUNCTION("GOOGLETRANSLATE(B2937,""en"",""ja"")"),"ホルモン")</f>
        <v>ホルモン</v>
      </c>
    </row>
    <row r="2915" spans="1:3" ht="18" customHeight="1" x14ac:dyDescent="0.3">
      <c r="A2915" s="1">
        <v>9</v>
      </c>
      <c r="B2915" s="1" t="s">
        <v>1808</v>
      </c>
      <c r="C2915" s="1" t="str">
        <f ca="1">IFERROR(__xludf.DUMMYFUNCTION("GOOGLETRANSLATE(B2938,""en"",""ja"")"),"それゆえに")</f>
        <v>それゆえに</v>
      </c>
    </row>
    <row r="2916" spans="1:3" ht="18" customHeight="1" x14ac:dyDescent="0.3">
      <c r="A2916" s="1">
        <v>9</v>
      </c>
      <c r="B2916" s="1" t="s">
        <v>2394</v>
      </c>
      <c r="C2916" s="1" t="str">
        <f ca="1">IFERROR(__xludf.DUMMYFUNCTION("GOOGLETRANSLATE(B2939,""en"",""ja"")"),"ことができます")</f>
        <v>ことができます</v>
      </c>
    </row>
    <row r="2917" spans="1:3" ht="18" customHeight="1" x14ac:dyDescent="0.3">
      <c r="A2917" s="1">
        <v>9</v>
      </c>
      <c r="B2917" s="1" t="s">
        <v>2395</v>
      </c>
      <c r="C2917" s="1" t="str">
        <f ca="1">IFERROR(__xludf.DUMMYFUNCTION("GOOGLETRANSLATE(B2940,""en"",""ja"")"),"高さ")</f>
        <v>高さ</v>
      </c>
    </row>
    <row r="2918" spans="1:3" ht="18" customHeight="1" x14ac:dyDescent="0.3">
      <c r="A2918" s="1">
        <v>9</v>
      </c>
      <c r="B2918" s="1" t="s">
        <v>2396</v>
      </c>
      <c r="C2918" s="1" t="str">
        <f ca="1">IFERROR(__xludf.DUMMYFUNCTION("GOOGLETRANSLATE(B2941,""en"",""ja"")"),"鷹")</f>
        <v>鷹</v>
      </c>
    </row>
    <row r="2919" spans="1:3" ht="18" customHeight="1" x14ac:dyDescent="0.3">
      <c r="A2919" s="1">
        <v>9</v>
      </c>
      <c r="B2919" s="1" t="s">
        <v>2397</v>
      </c>
      <c r="C2919" s="1" t="str">
        <f ca="1">IFERROR(__xludf.DUMMYFUNCTION("GOOGLETRANSLATE(B2942,""en"",""ja"")"),"取り扱い")</f>
        <v>取り扱い</v>
      </c>
    </row>
    <row r="2920" spans="1:3" ht="18" customHeight="1" x14ac:dyDescent="0.3">
      <c r="A2920" s="1">
        <v>9</v>
      </c>
      <c r="B2920" s="1" t="s">
        <v>2398</v>
      </c>
      <c r="C2920" s="1" t="str">
        <f ca="1">IFERROR(__xludf.DUMMYFUNCTION("GOOGLETRANSLATE(B2943,""en"",""ja"")"),"徐々に")</f>
        <v>徐々に</v>
      </c>
    </row>
    <row r="2921" spans="1:3" ht="18" customHeight="1" x14ac:dyDescent="0.3">
      <c r="A2921" s="1">
        <v>9</v>
      </c>
      <c r="B2921" s="1" t="s">
        <v>1955</v>
      </c>
      <c r="C2921" s="1" t="str">
        <f ca="1">IFERROR(__xludf.DUMMYFUNCTION("GOOGLETRANSLATE(B2944,""en"",""ja"")"),"ガバナンス")</f>
        <v>ガバナンス</v>
      </c>
    </row>
    <row r="2922" spans="1:3" ht="18" customHeight="1" x14ac:dyDescent="0.3">
      <c r="A2922" s="1">
        <v>9</v>
      </c>
      <c r="B2922" s="1" t="s">
        <v>2399</v>
      </c>
      <c r="C2922" s="1" t="str">
        <f ca="1">IFERROR(__xludf.DUMMYFUNCTION("GOOGLETRANSLATE(B2945,""en"",""ja"")"),"ゴードン")</f>
        <v>ゴードン</v>
      </c>
    </row>
    <row r="2923" spans="1:3" ht="18" customHeight="1" x14ac:dyDescent="0.3">
      <c r="A2923" s="1">
        <v>9</v>
      </c>
      <c r="B2923" s="1" t="s">
        <v>2400</v>
      </c>
      <c r="C2923" s="1" t="str">
        <f ca="1">IFERROR(__xludf.DUMMYFUNCTION("GOOGLETRANSLATE(B2946,""en"",""ja"")"),"ゴーン")</f>
        <v>ゴーン</v>
      </c>
    </row>
    <row r="2924" spans="1:3" ht="18" customHeight="1" x14ac:dyDescent="0.3">
      <c r="A2924" s="1">
        <v>9</v>
      </c>
      <c r="B2924" s="1" t="s">
        <v>1956</v>
      </c>
      <c r="C2924" s="1" t="str">
        <f ca="1">IFERROR(__xludf.DUMMYFUNCTION("GOOGLETRANSLATE(B2947,""en"",""ja"")"),"天才")</f>
        <v>天才</v>
      </c>
    </row>
    <row r="2925" spans="1:3" ht="18" customHeight="1" x14ac:dyDescent="0.3">
      <c r="A2925" s="1">
        <v>9</v>
      </c>
      <c r="B2925" s="1" t="s">
        <v>2401</v>
      </c>
      <c r="C2925" s="1" t="str">
        <f ca="1">IFERROR(__xludf.DUMMYFUNCTION("GOOGLETRANSLATE(B2948,""en"",""ja"")"),"ギャップ")</f>
        <v>ギャップ</v>
      </c>
    </row>
    <row r="2926" spans="1:3" ht="18" customHeight="1" x14ac:dyDescent="0.3">
      <c r="A2926" s="1">
        <v>9</v>
      </c>
      <c r="B2926" s="1" t="s">
        <v>2402</v>
      </c>
      <c r="C2926" s="1" t="str">
        <f ca="1">IFERROR(__xludf.DUMMYFUNCTION("GOOGLETRANSLATE(B2949,""en"",""ja"")"),"ゲーム")</f>
        <v>ゲーム</v>
      </c>
    </row>
    <row r="2927" spans="1:3" ht="18" customHeight="1" x14ac:dyDescent="0.3">
      <c r="A2927" s="1">
        <v>9</v>
      </c>
      <c r="B2927" s="1" t="s">
        <v>2403</v>
      </c>
      <c r="C2927" s="1" t="str">
        <f ca="1">IFERROR(__xludf.DUMMYFUNCTION("GOOGLETRANSLATE(B2950,""en"",""ja"")"),"機能の")</f>
        <v>機能の</v>
      </c>
    </row>
    <row r="2928" spans="1:3" ht="18" customHeight="1" x14ac:dyDescent="0.3">
      <c r="A2928" s="1">
        <v>9</v>
      </c>
      <c r="B2928" s="1" t="s">
        <v>2404</v>
      </c>
      <c r="C2928" s="1" t="str">
        <f ca="1">IFERROR(__xludf.DUMMYFUNCTION("GOOGLETRANSLATE(B2951,""en"",""ja"")"),"フォスター")</f>
        <v>フォスター</v>
      </c>
    </row>
    <row r="2929" spans="1:3" ht="18" customHeight="1" x14ac:dyDescent="0.3">
      <c r="A2929" s="1">
        <v>9</v>
      </c>
      <c r="B2929" s="1" t="s">
        <v>1815</v>
      </c>
      <c r="C2929" s="1" t="str">
        <f ca="1">IFERROR(__xludf.DUMMYFUNCTION("GOOGLETRANSLATE(B2952,""en"",""ja"")"),"フットプリント")</f>
        <v>フットプリント</v>
      </c>
    </row>
    <row r="2930" spans="1:3" ht="18" customHeight="1" x14ac:dyDescent="0.3">
      <c r="A2930" s="1">
        <v>9</v>
      </c>
      <c r="B2930" s="1" t="s">
        <v>2405</v>
      </c>
      <c r="C2930" s="1" t="str">
        <f ca="1">IFERROR(__xludf.DUMMYFUNCTION("GOOGLETRANSLATE(B2953,""en"",""ja"")"),"修繕")</f>
        <v>修繕</v>
      </c>
    </row>
    <row r="2931" spans="1:3" ht="18" customHeight="1" x14ac:dyDescent="0.3">
      <c r="A2931" s="1">
        <v>9</v>
      </c>
      <c r="B2931" s="1" t="s">
        <v>1136</v>
      </c>
      <c r="C2931" s="1" t="str">
        <f ca="1">IFERROR(__xludf.DUMMYFUNCTION("GOOGLETRANSLATE(B2954,""en"",""ja"")"),"映画")</f>
        <v>映画</v>
      </c>
    </row>
    <row r="2932" spans="1:3" ht="18" customHeight="1" x14ac:dyDescent="0.3">
      <c r="A2932" s="1">
        <v>9</v>
      </c>
      <c r="B2932" s="1" t="s">
        <v>1961</v>
      </c>
      <c r="C2932" s="1" t="str">
        <f ca="1">IFERROR(__xludf.DUMMYFUNCTION("GOOGLETRANSLATE(B2955,""en"",""ja"")"),"フィギュア")</f>
        <v>フィギュア</v>
      </c>
    </row>
    <row r="2933" spans="1:3" ht="18" customHeight="1" x14ac:dyDescent="0.3">
      <c r="A2933" s="1">
        <v>9</v>
      </c>
      <c r="B2933" s="1" t="s">
        <v>2406</v>
      </c>
      <c r="C2933" s="1" t="str">
        <f ca="1">IFERROR(__xludf.DUMMYFUNCTION("GOOGLETRANSLATE(B2956,""en"",""ja"")"),"第五の")</f>
        <v>第五の</v>
      </c>
    </row>
    <row r="2934" spans="1:3" ht="18" customHeight="1" x14ac:dyDescent="0.3">
      <c r="A2934" s="1">
        <v>9</v>
      </c>
      <c r="B2934" s="1" t="s">
        <v>2407</v>
      </c>
      <c r="C2934" s="1" t="str">
        <f ca="1">IFERROR(__xludf.DUMMYFUNCTION("GOOGLETRANSLATE(B2957,""en"",""ja"")"),"女性")</f>
        <v>女性</v>
      </c>
    </row>
    <row r="2935" spans="1:3" ht="18" customHeight="1" x14ac:dyDescent="0.3">
      <c r="A2935" s="1">
        <v>9</v>
      </c>
      <c r="B2935" s="1" t="s">
        <v>2408</v>
      </c>
      <c r="C2935" s="1" t="str">
        <f ca="1">IFERROR(__xludf.DUMMYFUNCTION("GOOGLETRANSLATE(B2958,""en"",""ja"")"),"ファッション")</f>
        <v>ファッション</v>
      </c>
    </row>
    <row r="2936" spans="1:3" ht="18" customHeight="1" x14ac:dyDescent="0.3">
      <c r="A2936" s="1">
        <v>9</v>
      </c>
      <c r="B2936" s="1" t="s">
        <v>2409</v>
      </c>
      <c r="C2936" s="1" t="str">
        <f ca="1">IFERROR(__xludf.DUMMYFUNCTION("GOOGLETRANSLATE(B2959,""en"",""ja"")"),"名高いです")</f>
        <v>名高いです</v>
      </c>
    </row>
    <row r="2937" spans="1:3" ht="18" customHeight="1" x14ac:dyDescent="0.3">
      <c r="A2937" s="1">
        <v>9</v>
      </c>
      <c r="B2937" s="1" t="s">
        <v>1287</v>
      </c>
      <c r="C2937" s="1" t="str">
        <f ca="1">IFERROR(__xludf.DUMMYFUNCTION("GOOGLETRANSLATE(B2960,""en"",""ja"")"),"不合格")</f>
        <v>不合格</v>
      </c>
    </row>
    <row r="2938" spans="1:3" ht="18" customHeight="1" x14ac:dyDescent="0.3">
      <c r="A2938" s="1">
        <v>9</v>
      </c>
      <c r="B2938" s="1" t="s">
        <v>2410</v>
      </c>
      <c r="C2938" s="1" t="str">
        <f ca="1">IFERROR(__xludf.DUMMYFUNCTION("GOOGLETRANSLATE(B2961,""en"",""ja"")"),"因子")</f>
        <v>因子</v>
      </c>
    </row>
    <row r="2939" spans="1:3" ht="18" customHeight="1" x14ac:dyDescent="0.3">
      <c r="A2939" s="1">
        <v>9</v>
      </c>
      <c r="B2939" s="1" t="s">
        <v>2411</v>
      </c>
      <c r="C2939" s="1" t="str">
        <f ca="1">IFERROR(__xludf.DUMMYFUNCTION("GOOGLETRANSLATE(B2963,""en"",""ja"")"),"エクストラ")</f>
        <v>エクストラ</v>
      </c>
    </row>
    <row r="2940" spans="1:3" ht="18" customHeight="1" x14ac:dyDescent="0.3">
      <c r="A2940" s="1">
        <v>9</v>
      </c>
      <c r="B2940" s="1" t="s">
        <v>2412</v>
      </c>
      <c r="C2940" s="1" t="str">
        <f ca="1">IFERROR(__xludf.DUMMYFUNCTION("GOOGLETRANSLATE(B2964,""en"",""ja"")"),"拡張")</f>
        <v>拡張</v>
      </c>
    </row>
    <row r="2941" spans="1:3" ht="18" customHeight="1" x14ac:dyDescent="0.3">
      <c r="A2941" s="1">
        <v>9</v>
      </c>
      <c r="B2941" s="1" t="s">
        <v>956</v>
      </c>
      <c r="C2941" s="1" t="str">
        <f ca="1">IFERROR(__xludf.DUMMYFUNCTION("GOOGLETRANSLATE(B2965,""en"",""ja"")"),"表現")</f>
        <v>表現</v>
      </c>
    </row>
    <row r="2942" spans="1:3" ht="18" customHeight="1" x14ac:dyDescent="0.3">
      <c r="A2942" s="1">
        <v>9</v>
      </c>
      <c r="B2942" s="1" t="s">
        <v>2413</v>
      </c>
      <c r="C2942" s="1" t="str">
        <f ca="1">IFERROR(__xludf.DUMMYFUNCTION("GOOGLETRANSLATE(B2966,""en"",""ja"")"),"急行")</f>
        <v>急行</v>
      </c>
    </row>
    <row r="2943" spans="1:3" ht="18" customHeight="1" x14ac:dyDescent="0.3">
      <c r="A2943" s="1">
        <v>9</v>
      </c>
      <c r="B2943" s="1" t="s">
        <v>2414</v>
      </c>
      <c r="C2943" s="1" t="str">
        <f ca="1">IFERROR(__xludf.DUMMYFUNCTION("GOOGLETRANSLATE(B2967,""en"",""ja"")"),"指数")</f>
        <v>指数</v>
      </c>
    </row>
    <row r="2944" spans="1:3" ht="18" customHeight="1" x14ac:dyDescent="0.3">
      <c r="A2944" s="1">
        <v>9</v>
      </c>
      <c r="B2944" s="1" t="s">
        <v>712</v>
      </c>
      <c r="C2944" s="1" t="str">
        <f ca="1">IFERROR(__xludf.DUMMYFUNCTION("GOOGLETRANSLATE(B2968,""en"",""ja"")"),"説明します")</f>
        <v>説明します</v>
      </c>
    </row>
    <row r="2945" spans="1:3" ht="18" customHeight="1" x14ac:dyDescent="0.3">
      <c r="A2945" s="1">
        <v>9</v>
      </c>
      <c r="B2945" s="1" t="s">
        <v>1572</v>
      </c>
      <c r="C2945" s="1" t="str">
        <f ca="1">IFERROR(__xludf.DUMMYFUNCTION("GOOGLETRANSLATE(B2969,""en"",""ja"")"),"高価な")</f>
        <v>高価な</v>
      </c>
    </row>
    <row r="2946" spans="1:3" ht="18" customHeight="1" x14ac:dyDescent="0.3">
      <c r="A2946" s="1">
        <v>9</v>
      </c>
      <c r="B2946" s="1" t="s">
        <v>1016</v>
      </c>
      <c r="C2946" s="1" t="str">
        <f ca="1">IFERROR(__xludf.DUMMYFUNCTION("GOOGLETRANSLATE(B2970,""en"",""ja"")"),"期待します")</f>
        <v>期待します</v>
      </c>
    </row>
    <row r="2947" spans="1:3" ht="18" customHeight="1" x14ac:dyDescent="0.3">
      <c r="A2947" s="1">
        <v>9</v>
      </c>
      <c r="B2947" s="1" t="s">
        <v>2173</v>
      </c>
      <c r="C2947" s="1" t="str">
        <f ca="1">IFERROR(__xludf.DUMMYFUNCTION("GOOGLETRANSLATE(B2971,""en"",""ja"")"),"脱出")</f>
        <v>脱出</v>
      </c>
    </row>
    <row r="2948" spans="1:3" ht="18" customHeight="1" x14ac:dyDescent="0.3">
      <c r="A2948" s="1">
        <v>9</v>
      </c>
      <c r="B2948" s="1" t="s">
        <v>2415</v>
      </c>
      <c r="C2948" s="1" t="str">
        <f ca="1">IFERROR(__xludf.DUMMYFUNCTION("GOOGLETRANSLATE(B2972,""en"",""ja"")"),"過大")</f>
        <v>過大</v>
      </c>
    </row>
    <row r="2949" spans="1:3" ht="18" customHeight="1" x14ac:dyDescent="0.3">
      <c r="A2949" s="1">
        <v>9</v>
      </c>
      <c r="B2949" s="1" t="s">
        <v>2416</v>
      </c>
      <c r="C2949" s="1" t="str">
        <f ca="1">IFERROR(__xludf.DUMMYFUNCTION("GOOGLETRANSLATE(B2973,""en"",""ja"")"),"環境")</f>
        <v>環境</v>
      </c>
    </row>
    <row r="2950" spans="1:3" ht="18" customHeight="1" x14ac:dyDescent="0.3">
      <c r="A2950" s="1">
        <v>9</v>
      </c>
      <c r="B2950" s="1" t="s">
        <v>2417</v>
      </c>
      <c r="C2950" s="1" t="str">
        <f ca="1">IFERROR(__xludf.DUMMYFUNCTION("GOOGLETRANSLATE(B2974,""en"",""ja"")"),"入口")</f>
        <v>入口</v>
      </c>
    </row>
    <row r="2951" spans="1:3" ht="18" customHeight="1" x14ac:dyDescent="0.3">
      <c r="A2951" s="1">
        <v>9</v>
      </c>
      <c r="B2951" s="1" t="s">
        <v>2418</v>
      </c>
      <c r="C2951" s="1" t="str">
        <f ca="1">IFERROR(__xludf.DUMMYFUNCTION("GOOGLETRANSLATE(B2975,""en"",""ja"")"),"エンジニアリング")</f>
        <v>エンジニアリング</v>
      </c>
    </row>
    <row r="2952" spans="1:3" ht="18" customHeight="1" x14ac:dyDescent="0.3">
      <c r="A2952" s="1">
        <v>9</v>
      </c>
      <c r="B2952" s="1" t="s">
        <v>2419</v>
      </c>
      <c r="C2952" s="1" t="str">
        <f ca="1">IFERROR(__xludf.DUMMYFUNCTION("GOOGLETRANSLATE(B2976,""en"",""ja"")"),"網羅")</f>
        <v>網羅</v>
      </c>
    </row>
    <row r="2953" spans="1:3" ht="18" customHeight="1" x14ac:dyDescent="0.3">
      <c r="A2953" s="1">
        <v>9</v>
      </c>
      <c r="B2953" s="1" t="s">
        <v>2420</v>
      </c>
      <c r="C2953" s="1" t="str">
        <f ca="1">IFERROR(__xludf.DUMMYFUNCTION("GOOGLETRANSLATE(B2977,""en"",""ja"")"),"制定")</f>
        <v>制定</v>
      </c>
    </row>
    <row r="2954" spans="1:3" ht="18" customHeight="1" x14ac:dyDescent="0.3">
      <c r="A2954" s="1">
        <v>9</v>
      </c>
      <c r="B2954" s="1" t="s">
        <v>2421</v>
      </c>
      <c r="C2954" s="1" t="str">
        <f ca="1">IFERROR(__xludf.DUMMYFUNCTION("GOOGLETRANSLATE(B2978,""en"",""ja"")"),"採用")</f>
        <v>採用</v>
      </c>
    </row>
    <row r="2955" spans="1:3" ht="18" customHeight="1" x14ac:dyDescent="0.3">
      <c r="A2955" s="1">
        <v>9</v>
      </c>
      <c r="B2955" s="1" t="s">
        <v>2422</v>
      </c>
      <c r="C2955" s="1" t="str">
        <f ca="1">IFERROR(__xludf.DUMMYFUNCTION("GOOGLETRANSLATE(B2979,""en"",""ja"")"),"感情の")</f>
        <v>感情の</v>
      </c>
    </row>
    <row r="2956" spans="1:3" ht="18" customHeight="1" x14ac:dyDescent="0.3">
      <c r="A2956" s="1">
        <v>9</v>
      </c>
      <c r="B2956" s="1" t="s">
        <v>2423</v>
      </c>
      <c r="C2956" s="1" t="str">
        <f ca="1">IFERROR(__xludf.DUMMYFUNCTION("GOOGLETRANSLATE(B2980,""en"",""ja"")"),"EI")</f>
        <v>EI</v>
      </c>
    </row>
    <row r="2957" spans="1:3" ht="18" customHeight="1" x14ac:dyDescent="0.3">
      <c r="A2957" s="1">
        <v>9</v>
      </c>
      <c r="B2957" s="1" t="s">
        <v>2424</v>
      </c>
      <c r="C2957" s="1" t="str">
        <f ca="1">IFERROR(__xludf.DUMMYFUNCTION("GOOGLETRANSLATE(B2981,""en"",""ja"")"),"縁")</f>
        <v>縁</v>
      </c>
    </row>
    <row r="2958" spans="1:3" ht="18" customHeight="1" x14ac:dyDescent="0.3">
      <c r="A2958" s="1">
        <v>9</v>
      </c>
      <c r="B2958" s="1" t="s">
        <v>2425</v>
      </c>
      <c r="C2958" s="1" t="str">
        <f ca="1">IFERROR(__xludf.DUMMYFUNCTION("GOOGLETRANSLATE(B2982,""en"",""ja"")"),"疑問に思う")</f>
        <v>疑問に思う</v>
      </c>
    </row>
    <row r="2959" spans="1:3" ht="18" customHeight="1" x14ac:dyDescent="0.3">
      <c r="A2959" s="1">
        <v>9</v>
      </c>
      <c r="B2959" s="1" t="s">
        <v>1376</v>
      </c>
      <c r="C2959" s="1" t="str">
        <f ca="1">IFERROR(__xludf.DUMMYFUNCTION("GOOGLETRANSLATE(B2983,""en"",""ja"")"),"区別")</f>
        <v>区別</v>
      </c>
    </row>
    <row r="2960" spans="1:3" ht="18" customHeight="1" x14ac:dyDescent="0.3">
      <c r="A2960" s="1">
        <v>9</v>
      </c>
      <c r="B2960" s="1" t="s">
        <v>2426</v>
      </c>
      <c r="C2960" s="1" t="str">
        <f ca="1">IFERROR(__xludf.DUMMYFUNCTION("GOOGLETRANSLATE(B2984,""en"",""ja"")"),"異なっ")</f>
        <v>異なっ</v>
      </c>
    </row>
    <row r="2961" spans="1:3" ht="18" customHeight="1" x14ac:dyDescent="0.3">
      <c r="A2961" s="1">
        <v>9</v>
      </c>
      <c r="B2961" s="1" t="s">
        <v>2427</v>
      </c>
      <c r="C2961" s="1" t="str">
        <f ca="1">IFERROR(__xludf.DUMMYFUNCTION("GOOGLETRANSLATE(B2985,""en"",""ja"")"),"異なる")</f>
        <v>異なる</v>
      </c>
    </row>
    <row r="2962" spans="1:3" ht="18" customHeight="1" x14ac:dyDescent="0.3">
      <c r="A2962" s="1">
        <v>9</v>
      </c>
      <c r="B2962" s="1" t="s">
        <v>2428</v>
      </c>
      <c r="C2962" s="1" t="str">
        <f ca="1">IFERROR(__xludf.DUMMYFUNCTION("GOOGLETRANSLATE(B2986,""en"",""ja"")"),"ダイアログ")</f>
        <v>ダイアログ</v>
      </c>
    </row>
    <row r="2963" spans="1:3" ht="18" customHeight="1" x14ac:dyDescent="0.3">
      <c r="A2963" s="1">
        <v>9</v>
      </c>
      <c r="B2963" s="1" t="s">
        <v>2429</v>
      </c>
      <c r="C2963" s="1" t="str">
        <f ca="1">IFERROR(__xludf.DUMMYFUNCTION("GOOGLETRANSLATE(B2987,""en"",""ja"")"),"決定")</f>
        <v>決定</v>
      </c>
    </row>
    <row r="2964" spans="1:3" ht="18" customHeight="1" x14ac:dyDescent="0.3">
      <c r="A2964" s="1">
        <v>9</v>
      </c>
      <c r="B2964" s="1" t="s">
        <v>2430</v>
      </c>
      <c r="C2964" s="1" t="str">
        <f ca="1">IFERROR(__xludf.DUMMYFUNCTION("GOOGLETRANSLATE(B2988,""en"",""ja"")"),"判定する")</f>
        <v>判定する</v>
      </c>
    </row>
    <row r="2965" spans="1:3" ht="18" customHeight="1" x14ac:dyDescent="0.3">
      <c r="A2965" s="1">
        <v>9</v>
      </c>
      <c r="B2965" s="1" t="s">
        <v>2431</v>
      </c>
      <c r="C2965" s="1" t="str">
        <f ca="1">IFERROR(__xludf.DUMMYFUNCTION("GOOGLETRANSLATE(B2989,""en"",""ja"")"),"詳細に")</f>
        <v>詳細に</v>
      </c>
    </row>
    <row r="2966" spans="1:3" ht="18" customHeight="1" x14ac:dyDescent="0.3">
      <c r="A2966" s="1">
        <v>9</v>
      </c>
      <c r="B2966" s="1" t="s">
        <v>2432</v>
      </c>
      <c r="C2966" s="1" t="str">
        <f ca="1">IFERROR(__xludf.DUMMYFUNCTION("GOOGLETRANSLATE(B2990,""en"",""ja"")"),"密")</f>
        <v>密</v>
      </c>
    </row>
    <row r="2967" spans="1:3" ht="18" customHeight="1" x14ac:dyDescent="0.3">
      <c r="A2967" s="1">
        <v>9</v>
      </c>
      <c r="B2967" s="1" t="s">
        <v>2433</v>
      </c>
      <c r="C2967" s="1" t="str">
        <f ca="1">IFERROR(__xludf.DUMMYFUNCTION("GOOGLETRANSLATE(B2991,""en"",""ja"")"),"否定します")</f>
        <v>否定します</v>
      </c>
    </row>
    <row r="2968" spans="1:3" ht="18" customHeight="1" x14ac:dyDescent="0.3">
      <c r="A2968" s="1">
        <v>9</v>
      </c>
      <c r="B2968" s="1" t="s">
        <v>2434</v>
      </c>
      <c r="C2968" s="1" t="str">
        <f ca="1">IFERROR(__xludf.DUMMYFUNCTION("GOOGLETRANSLATE(B2992,""en"",""ja"")"),"拒否されました")</f>
        <v>拒否されました</v>
      </c>
    </row>
    <row r="2969" spans="1:3" ht="18" customHeight="1" x14ac:dyDescent="0.3">
      <c r="A2969" s="1">
        <v>9</v>
      </c>
      <c r="B2969" s="1" t="s">
        <v>1588</v>
      </c>
      <c r="C2969" s="1" t="str">
        <f ca="1">IFERROR(__xludf.DUMMYFUNCTION("GOOGLETRANSLATE(B2993,""en"",""ja"")"),"要求する")</f>
        <v>要求する</v>
      </c>
    </row>
    <row r="2970" spans="1:3" ht="18" customHeight="1" x14ac:dyDescent="0.3">
      <c r="A2970" s="1">
        <v>9</v>
      </c>
      <c r="B2970" s="1" t="s">
        <v>2435</v>
      </c>
      <c r="C2970" s="1" t="str">
        <f ca="1">IFERROR(__xludf.DUMMYFUNCTION("GOOGLETRANSLATE(B2994,""en"",""ja"")"),"定義")</f>
        <v>定義</v>
      </c>
    </row>
    <row r="2971" spans="1:3" ht="18" customHeight="1" x14ac:dyDescent="0.3">
      <c r="A2971" s="1">
        <v>9</v>
      </c>
      <c r="B2971" s="1" t="s">
        <v>2436</v>
      </c>
      <c r="C2971" s="1" t="str">
        <f ca="1">IFERROR(__xludf.DUMMYFUNCTION("GOOGLETRANSLATE(B2996,""en"",""ja"")"),"ダビデ")</f>
        <v>ダビデ</v>
      </c>
    </row>
    <row r="2972" spans="1:3" ht="18" customHeight="1" x14ac:dyDescent="0.3">
      <c r="A2972" s="1">
        <v>9</v>
      </c>
      <c r="B2972" s="1" t="s">
        <v>2437</v>
      </c>
      <c r="C2972" s="1" t="str">
        <f ca="1">IFERROR(__xludf.DUMMYFUNCTION("GOOGLETRANSLATE(B2997,""en"",""ja"")"),"ダメージ")</f>
        <v>ダメージ</v>
      </c>
    </row>
    <row r="2973" spans="1:3" ht="18" customHeight="1" x14ac:dyDescent="0.3">
      <c r="A2973" s="1">
        <v>9</v>
      </c>
      <c r="B2973" s="1" t="s">
        <v>2438</v>
      </c>
      <c r="C2973" s="1" t="str">
        <f ca="1">IFERROR(__xludf.DUMMYFUNCTION("GOOGLETRANSLATE(B2998,""en"",""ja"")"),"現在")</f>
        <v>現在</v>
      </c>
    </row>
    <row r="2974" spans="1:3" ht="18" customHeight="1" x14ac:dyDescent="0.3">
      <c r="A2974" s="1">
        <v>9</v>
      </c>
      <c r="B2974" s="1" t="s">
        <v>2439</v>
      </c>
      <c r="C2974" s="1" t="str">
        <f ca="1">IFERROR(__xludf.DUMMYFUNCTION("GOOGLETRANSLATE(B2999,""en"",""ja"")"),"クロス")</f>
        <v>クロス</v>
      </c>
    </row>
    <row r="2975" spans="1:3" ht="18" customHeight="1" x14ac:dyDescent="0.3">
      <c r="A2975" s="1">
        <v>9</v>
      </c>
      <c r="B2975" s="1" t="s">
        <v>2440</v>
      </c>
      <c r="C2975" s="1" t="str">
        <f ca="1">IFERROR(__xludf.DUMMYFUNCTION("GOOGLETRANSLATE(B3000,""en"",""ja"")"),"批評家")</f>
        <v>批評家</v>
      </c>
    </row>
    <row r="2976" spans="1:3" ht="18" customHeight="1" x14ac:dyDescent="0.3">
      <c r="A2976" s="1">
        <v>9</v>
      </c>
      <c r="B2976" s="1" t="s">
        <v>2441</v>
      </c>
      <c r="C2976" s="1" t="str">
        <f ca="1">IFERROR(__xludf.DUMMYFUNCTION("GOOGLETRANSLATE(B3001,""en"",""ja"")"),"批判")</f>
        <v>批判</v>
      </c>
    </row>
    <row r="2977" spans="1:3" ht="18" customHeight="1" x14ac:dyDescent="0.3">
      <c r="A2977" s="1">
        <v>9</v>
      </c>
      <c r="B2977" s="1" t="s">
        <v>2442</v>
      </c>
      <c r="C2977" s="1" t="str">
        <f ca="1">IFERROR(__xludf.DUMMYFUNCTION("GOOGLETRANSLATE(B3002,""en"",""ja"")"),"創造的")</f>
        <v>創造的</v>
      </c>
    </row>
    <row r="2978" spans="1:3" ht="18" customHeight="1" x14ac:dyDescent="0.3">
      <c r="A2978" s="1">
        <v>9</v>
      </c>
      <c r="B2978" s="1" t="s">
        <v>2443</v>
      </c>
      <c r="C2978" s="1" t="str">
        <f ca="1">IFERROR(__xludf.DUMMYFUNCTION("GOOGLETRANSLATE(B3003,""en"",""ja"")"),"カバー")</f>
        <v>カバー</v>
      </c>
    </row>
    <row r="2979" spans="1:3" ht="18" customHeight="1" x14ac:dyDescent="0.3">
      <c r="A2979" s="1">
        <v>9</v>
      </c>
      <c r="B2979" s="1" t="s">
        <v>2444</v>
      </c>
      <c r="C2979" s="1" t="str">
        <f ca="1">IFERROR(__xludf.DUMMYFUNCTION("GOOGLETRANSLATE(B3004,""en"",""ja"")"),"求婚")</f>
        <v>求婚</v>
      </c>
    </row>
    <row r="2980" spans="1:3" ht="18" customHeight="1" x14ac:dyDescent="0.3">
      <c r="A2980" s="1">
        <v>9</v>
      </c>
      <c r="B2980" s="1" t="s">
        <v>2445</v>
      </c>
      <c r="C2980" s="1" t="str">
        <f ca="1">IFERROR(__xludf.DUMMYFUNCTION("GOOGLETRANSLATE(B3005,""en"",""ja"")"),"結合されました")</f>
        <v>結合されました</v>
      </c>
    </row>
    <row r="2981" spans="1:3" ht="18" customHeight="1" x14ac:dyDescent="0.3">
      <c r="A2981" s="1">
        <v>9</v>
      </c>
      <c r="B2981" s="1" t="s">
        <v>2446</v>
      </c>
      <c r="C2981" s="1" t="str">
        <f ca="1">IFERROR(__xludf.DUMMYFUNCTION("GOOGLETRANSLATE(B3006,""en"",""ja"")"),"正しい")</f>
        <v>正しい</v>
      </c>
    </row>
    <row r="2982" spans="1:3" ht="18" customHeight="1" x14ac:dyDescent="0.3">
      <c r="A2982" s="1">
        <v>9</v>
      </c>
      <c r="B2982" s="1" t="s">
        <v>2447</v>
      </c>
      <c r="C2982" s="1" t="str">
        <f ca="1">IFERROR(__xludf.DUMMYFUNCTION("GOOGLETRANSLATE(B3007,""en"",""ja"")"),"汚染されました")</f>
        <v>汚染されました</v>
      </c>
    </row>
    <row r="2983" spans="1:3" ht="18" customHeight="1" x14ac:dyDescent="0.3">
      <c r="A2983" s="1">
        <v>9</v>
      </c>
      <c r="B2983" s="1" t="s">
        <v>2448</v>
      </c>
      <c r="C2983" s="1" t="str">
        <f ca="1">IFERROR(__xludf.DUMMYFUNCTION("GOOGLETRANSLATE(B3008,""en"",""ja"")"),"含みます")</f>
        <v>含みます</v>
      </c>
    </row>
    <row r="2984" spans="1:3" ht="18" customHeight="1" x14ac:dyDescent="0.3">
      <c r="A2984" s="1">
        <v>9</v>
      </c>
      <c r="B2984" s="1" t="s">
        <v>2449</v>
      </c>
      <c r="C2984" s="1" t="str">
        <f ca="1">IFERROR(__xludf.DUMMYFUNCTION("GOOGLETRANSLATE(B3009,""en"",""ja"")"),"保守的")</f>
        <v>保守的</v>
      </c>
    </row>
    <row r="2985" spans="1:3" ht="18" customHeight="1" x14ac:dyDescent="0.3">
      <c r="A2985" s="1">
        <v>9</v>
      </c>
      <c r="B2985" s="1" t="s">
        <v>2450</v>
      </c>
      <c r="C2985" s="1" t="str">
        <f ca="1">IFERROR(__xludf.DUMMYFUNCTION("GOOGLETRANSLATE(B3010,""en"",""ja"")"),"意識して")</f>
        <v>意識して</v>
      </c>
    </row>
    <row r="2986" spans="1:3" ht="18" customHeight="1" x14ac:dyDescent="0.3">
      <c r="A2986" s="1">
        <v>9</v>
      </c>
      <c r="B2986" s="1" t="s">
        <v>2451</v>
      </c>
      <c r="C2986" s="1" t="str">
        <f ca="1">IFERROR(__xludf.DUMMYFUNCTION("GOOGLETRANSLATE(B3011,""en"",""ja"")"),"従います")</f>
        <v>従います</v>
      </c>
    </row>
    <row r="2987" spans="1:3" ht="18" customHeight="1" x14ac:dyDescent="0.3">
      <c r="A2987" s="1">
        <v>9</v>
      </c>
      <c r="B2987" s="1" t="s">
        <v>2452</v>
      </c>
      <c r="C2987" s="1" t="str">
        <f ca="1">IFERROR(__xludf.DUMMYFUNCTION("GOOGLETRANSLATE(B3012,""en"",""ja"")"),"集中")</f>
        <v>集中</v>
      </c>
    </row>
    <row r="2988" spans="1:3" ht="18" customHeight="1" x14ac:dyDescent="0.3">
      <c r="A2988" s="1">
        <v>9</v>
      </c>
      <c r="B2988" s="1" t="s">
        <v>1022</v>
      </c>
      <c r="C2988" s="1" t="str">
        <f ca="1">IFERROR(__xludf.DUMMYFUNCTION("GOOGLETRANSLATE(B3013,""en"",""ja"")"),"コミュニケーター")</f>
        <v>コミュニケーター</v>
      </c>
    </row>
    <row r="2989" spans="1:3" ht="18" customHeight="1" x14ac:dyDescent="0.3">
      <c r="A2989" s="1">
        <v>9</v>
      </c>
      <c r="B2989" s="1" t="s">
        <v>2453</v>
      </c>
      <c r="C2989" s="1" t="str">
        <f ca="1">IFERROR(__xludf.DUMMYFUNCTION("GOOGLETRANSLATE(B3014,""en"",""ja"")"),"コラボレイティブ")</f>
        <v>コラボレイティブ</v>
      </c>
    </row>
    <row r="2990" spans="1:3" ht="18" customHeight="1" x14ac:dyDescent="0.3">
      <c r="A2990" s="1">
        <v>9</v>
      </c>
      <c r="B2990" s="1" t="s">
        <v>2454</v>
      </c>
      <c r="C2990" s="1" t="str">
        <f ca="1">IFERROR(__xludf.DUMMYFUNCTION("GOOGLETRANSLATE(B3015,""en"",""ja"")"),"共存")</f>
        <v>共存</v>
      </c>
    </row>
    <row r="2991" spans="1:3" ht="18" customHeight="1" x14ac:dyDescent="0.3">
      <c r="A2991" s="1">
        <v>9</v>
      </c>
      <c r="B2991" s="1" t="s">
        <v>2455</v>
      </c>
      <c r="C2991" s="1" t="str">
        <f ca="1">IFERROR(__xludf.DUMMYFUNCTION("GOOGLETRANSLATE(B3016,""en"",""ja"")"),"教室")</f>
        <v>教室</v>
      </c>
    </row>
    <row r="2992" spans="1:3" ht="18" customHeight="1" x14ac:dyDescent="0.3">
      <c r="A2992" s="1">
        <v>9</v>
      </c>
      <c r="B2992" s="1" t="s">
        <v>2456</v>
      </c>
      <c r="C2992" s="1" t="str">
        <f ca="1">IFERROR(__xludf.DUMMYFUNCTION("GOOGLETRANSLATE(B3018,""en"",""ja"")"),"文明")</f>
        <v>文明</v>
      </c>
    </row>
    <row r="2993" spans="1:3" ht="18" customHeight="1" x14ac:dyDescent="0.3">
      <c r="A2993" s="1">
        <v>9</v>
      </c>
      <c r="B2993" s="1" t="s">
        <v>2457</v>
      </c>
      <c r="C2993" s="1" t="str">
        <f ca="1">IFERROR(__xludf.DUMMYFUNCTION("GOOGLETRANSLATE(B3019,""en"",""ja"")"),"キリスト教徒")</f>
        <v>キリスト教徒</v>
      </c>
    </row>
    <row r="2994" spans="1:3" ht="18" customHeight="1" x14ac:dyDescent="0.3">
      <c r="A2994" s="1">
        <v>9</v>
      </c>
      <c r="B2994" s="1" t="s">
        <v>2458</v>
      </c>
      <c r="C2994" s="1" t="str">
        <f ca="1">IFERROR(__xludf.DUMMYFUNCTION("GOOGLETRANSLATE(B3020,""en"",""ja"")"),"特徴づけます")</f>
        <v>特徴づけます</v>
      </c>
    </row>
    <row r="2995" spans="1:3" ht="18" customHeight="1" x14ac:dyDescent="0.3">
      <c r="A2995" s="1">
        <v>9</v>
      </c>
      <c r="B2995" s="1" t="s">
        <v>2459</v>
      </c>
      <c r="C2995" s="1" t="str">
        <f ca="1">IFERROR(__xludf.DUMMYFUNCTION("GOOGLETRANSLATE(B3021,""en"",""ja"")"),"チャンネル")</f>
        <v>チャンネル</v>
      </c>
    </row>
    <row r="2996" spans="1:3" ht="18" customHeight="1" x14ac:dyDescent="0.3">
      <c r="A2996" s="1">
        <v>9</v>
      </c>
      <c r="B2996" s="1" t="s">
        <v>2460</v>
      </c>
      <c r="C2996" s="1" t="str">
        <f ca="1">IFERROR(__xludf.DUMMYFUNCTION("GOOGLETRANSLATE(B3022,""en"",""ja"")"),"機会")</f>
        <v>機会</v>
      </c>
    </row>
    <row r="2997" spans="1:3" ht="18" customHeight="1" x14ac:dyDescent="0.3">
      <c r="A2997" s="1">
        <v>9</v>
      </c>
      <c r="B2997" s="1" t="s">
        <v>2461</v>
      </c>
      <c r="C2997" s="1" t="str">
        <f ca="1">IFERROR(__xludf.DUMMYFUNCTION("GOOGLETRANSLATE(B3023,""en"",""ja"")"),"原因")</f>
        <v>原因</v>
      </c>
    </row>
    <row r="2998" spans="1:3" ht="18" customHeight="1" x14ac:dyDescent="0.3">
      <c r="A2998" s="1">
        <v>9</v>
      </c>
      <c r="B2998" s="1" t="s">
        <v>2462</v>
      </c>
      <c r="C2998" s="1" t="str">
        <f ca="1">IFERROR(__xludf.DUMMYFUNCTION("GOOGLETRANSLATE(B3024,""en"",""ja"")"),"カーター")</f>
        <v>カーター</v>
      </c>
    </row>
    <row r="2999" spans="1:3" ht="18" customHeight="1" x14ac:dyDescent="0.3">
      <c r="A2999" s="1">
        <v>9</v>
      </c>
      <c r="B2999" s="1" t="s">
        <v>2463</v>
      </c>
      <c r="C2999" s="1" t="str">
        <f ca="1">IFERROR(__xludf.DUMMYFUNCTION("GOOGLETRANSLATE(B3025,""en"",""ja"")"),"注意深く")</f>
        <v>注意深く</v>
      </c>
    </row>
    <row r="3000" spans="1:3" ht="18" customHeight="1" x14ac:dyDescent="0.3">
      <c r="A3000" s="1">
        <v>9</v>
      </c>
      <c r="B3000" s="1" t="s">
        <v>1303</v>
      </c>
      <c r="C3000" s="1" t="str">
        <f ca="1">IFERROR(__xludf.DUMMYFUNCTION("GOOGLETRANSLATE(B3026,""en"",""ja"")"),"計算")</f>
        <v>計算</v>
      </c>
    </row>
    <row r="3001" spans="1:3" ht="18" customHeight="1" x14ac:dyDescent="0.3">
      <c r="A3001" s="1">
        <v>9</v>
      </c>
      <c r="B3001" s="1" t="s">
        <v>2464</v>
      </c>
      <c r="C3001" s="1" t="str">
        <f ca="1">IFERROR(__xludf.DUMMYFUNCTION("GOOGLETRANSLATE(B3027,""en"",""ja"")"),"BTO")</f>
        <v>BTO</v>
      </c>
    </row>
    <row r="3002" spans="1:3" ht="18" customHeight="1" x14ac:dyDescent="0.3">
      <c r="A3002" s="1">
        <v>9</v>
      </c>
      <c r="B3002" s="1" t="s">
        <v>2465</v>
      </c>
      <c r="C3002" s="1" t="str">
        <f ca="1">IFERROR(__xludf.DUMMYFUNCTION("GOOGLETRANSLATE(B3028,""en"",""ja"")"),"壊れた")</f>
        <v>壊れた</v>
      </c>
    </row>
    <row r="3003" spans="1:3" ht="18" customHeight="1" x14ac:dyDescent="0.3">
      <c r="A3003" s="1">
        <v>9</v>
      </c>
      <c r="B3003" s="1" t="s">
        <v>2466</v>
      </c>
      <c r="C3003" s="1" t="str">
        <f ca="1">IFERROR(__xludf.DUMMYFUNCTION("GOOGLETRANSLATE(B3029,""en"",""ja"")"),"ブレークスルー")</f>
        <v>ブレークスルー</v>
      </c>
    </row>
    <row r="3004" spans="1:3" ht="18" customHeight="1" x14ac:dyDescent="0.3">
      <c r="A3004" s="1">
        <v>9</v>
      </c>
      <c r="B3004" s="1" t="s">
        <v>2467</v>
      </c>
      <c r="C3004" s="1" t="str">
        <f ca="1">IFERROR(__xludf.DUMMYFUNCTION("GOOGLETRANSLATE(B3030,""en"",""ja"")"),"責め")</f>
        <v>責め</v>
      </c>
    </row>
    <row r="3005" spans="1:3" ht="18" customHeight="1" x14ac:dyDescent="0.3">
      <c r="A3005" s="1">
        <v>9</v>
      </c>
      <c r="B3005" s="1" t="s">
        <v>500</v>
      </c>
      <c r="C3005" s="1" t="str">
        <f ca="1">IFERROR(__xludf.DUMMYFUNCTION("GOOGLETRANSLATE(B3031,""en"",""ja"")"),"ベネフィット")</f>
        <v>ベネフィット</v>
      </c>
    </row>
    <row r="3006" spans="1:3" ht="18" customHeight="1" x14ac:dyDescent="0.3">
      <c r="A3006" s="1">
        <v>9</v>
      </c>
      <c r="B3006" s="1" t="s">
        <v>2468</v>
      </c>
      <c r="C3006" s="1" t="str">
        <f ca="1">IFERROR(__xludf.DUMMYFUNCTION("GOOGLETRANSLATE(B3032,""en"",""ja"")"),"信念")</f>
        <v>信念</v>
      </c>
    </row>
    <row r="3007" spans="1:3" ht="18" customHeight="1" x14ac:dyDescent="0.3">
      <c r="A3007" s="1">
        <v>9</v>
      </c>
      <c r="B3007" s="1" t="s">
        <v>2469</v>
      </c>
      <c r="C3007" s="1" t="str">
        <f ca="1">IFERROR(__xludf.DUMMYFUNCTION("GOOGLETRANSLATE(B3033,""en"",""ja"")"),"バリア")</f>
        <v>バリア</v>
      </c>
    </row>
    <row r="3008" spans="1:3" ht="18" customHeight="1" x14ac:dyDescent="0.3">
      <c r="A3008" s="1">
        <v>9</v>
      </c>
      <c r="B3008" s="1" t="s">
        <v>501</v>
      </c>
      <c r="C3008" s="1" t="str">
        <f ca="1">IFERROR(__xludf.DUMMYFUNCTION("GOOGLETRANSLATE(B3034,""en"",""ja"")"),"バングラデシュ")</f>
        <v>バングラデシュ</v>
      </c>
    </row>
    <row r="3009" spans="1:3" ht="18" customHeight="1" x14ac:dyDescent="0.3">
      <c r="A3009" s="1">
        <v>9</v>
      </c>
      <c r="B3009" s="1" t="s">
        <v>2470</v>
      </c>
      <c r="C3009" s="1" t="str">
        <f ca="1">IFERROR(__xludf.DUMMYFUNCTION("GOOGLETRANSLATE(B3035,""en"",""ja"")"),"バックグラウンド")</f>
        <v>バックグラウンド</v>
      </c>
    </row>
    <row r="3010" spans="1:3" ht="18" customHeight="1" x14ac:dyDescent="0.3">
      <c r="A3010" s="1">
        <v>9</v>
      </c>
      <c r="B3010" s="1" t="s">
        <v>2471</v>
      </c>
      <c r="C3010" s="1" t="str">
        <f ca="1">IFERROR(__xludf.DUMMYFUNCTION("GOOGLETRANSLATE(B3036,""en"",""ja"")"),"属性")</f>
        <v>属性</v>
      </c>
    </row>
    <row r="3011" spans="1:3" ht="18" customHeight="1" x14ac:dyDescent="0.3">
      <c r="A3011" s="1">
        <v>9</v>
      </c>
      <c r="B3011" s="1" t="s">
        <v>2472</v>
      </c>
      <c r="C3011" s="1" t="str">
        <f ca="1">IFERROR(__xludf.DUMMYFUNCTION("GOOGLETRANSLATE(B3037,""en"",""ja"")"),"態度")</f>
        <v>態度</v>
      </c>
    </row>
    <row r="3012" spans="1:3" ht="18" customHeight="1" x14ac:dyDescent="0.3">
      <c r="A3012" s="1">
        <v>9</v>
      </c>
      <c r="B3012" s="1" t="s">
        <v>1713</v>
      </c>
      <c r="C3012" s="1" t="str">
        <f ca="1">IFERROR(__xludf.DUMMYFUNCTION("GOOGLETRANSLATE(B3038,""en"",""ja"")"),"姿勢")</f>
        <v>姿勢</v>
      </c>
    </row>
    <row r="3013" spans="1:3" ht="18" customHeight="1" x14ac:dyDescent="0.3">
      <c r="A3013" s="1">
        <v>9</v>
      </c>
      <c r="B3013" s="1" t="s">
        <v>2473</v>
      </c>
      <c r="C3013" s="1" t="str">
        <f ca="1">IFERROR(__xludf.DUMMYFUNCTION("GOOGLETRANSLATE(B3039,""en"",""ja"")"),"しよう")</f>
        <v>しよう</v>
      </c>
    </row>
    <row r="3014" spans="1:3" ht="18" customHeight="1" x14ac:dyDescent="0.3">
      <c r="A3014" s="1">
        <v>9</v>
      </c>
      <c r="B3014" s="1" t="s">
        <v>2474</v>
      </c>
      <c r="C3014" s="1" t="str">
        <f ca="1">IFERROR(__xludf.DUMMYFUNCTION("GOOGLETRANSLATE(B3040,""en"",""ja"")"),"割当")</f>
        <v>割当</v>
      </c>
    </row>
    <row r="3015" spans="1:3" ht="18" customHeight="1" x14ac:dyDescent="0.3">
      <c r="A3015" s="1">
        <v>9</v>
      </c>
      <c r="B3015" s="1" t="s">
        <v>2475</v>
      </c>
      <c r="C3015" s="1" t="str">
        <f ca="1">IFERROR(__xludf.DUMMYFUNCTION("GOOGLETRANSLATE(B3041,""en"",""ja"")"),"貴族")</f>
        <v>貴族</v>
      </c>
    </row>
    <row r="3016" spans="1:3" ht="18" customHeight="1" x14ac:dyDescent="0.3">
      <c r="A3016" s="1">
        <v>9</v>
      </c>
      <c r="B3016" s="1" t="s">
        <v>1227</v>
      </c>
      <c r="C3016" s="1" t="str">
        <f ca="1">IFERROR(__xludf.DUMMYFUNCTION("GOOGLETRANSLATE(B3042,""en"",""ja"")"),"引数")</f>
        <v>引数</v>
      </c>
    </row>
    <row r="3017" spans="1:3" ht="18" customHeight="1" x14ac:dyDescent="0.3">
      <c r="A3017" s="1">
        <v>9</v>
      </c>
      <c r="B3017" s="1" t="s">
        <v>2476</v>
      </c>
      <c r="C3017" s="1" t="str">
        <f ca="1">IFERROR(__xludf.DUMMYFUNCTION("GOOGLETRANSLATE(B3043,""en"",""ja"")"),"見かけ上")</f>
        <v>見かけ上</v>
      </c>
    </row>
    <row r="3018" spans="1:3" ht="18" customHeight="1" x14ac:dyDescent="0.3">
      <c r="A3018" s="1">
        <v>9</v>
      </c>
      <c r="B3018" s="1" t="s">
        <v>2477</v>
      </c>
      <c r="C3018" s="1" t="str">
        <f ca="1">IFERROR(__xludf.DUMMYFUNCTION("GOOGLETRANSLATE(B3044,""en"",""ja"")"),"分析します")</f>
        <v>分析します</v>
      </c>
    </row>
    <row r="3019" spans="1:3" ht="18" customHeight="1" x14ac:dyDescent="0.3">
      <c r="A3019" s="1">
        <v>9</v>
      </c>
      <c r="B3019" s="1" t="s">
        <v>2478</v>
      </c>
      <c r="C3019" s="1" t="str">
        <f ca="1">IFERROR(__xludf.DUMMYFUNCTION("GOOGLETRANSLATE(B3045,""en"",""ja"")"),"午前")</f>
        <v>午前</v>
      </c>
    </row>
    <row r="3020" spans="1:3" ht="18" customHeight="1" x14ac:dyDescent="0.3">
      <c r="A3020" s="1">
        <v>9</v>
      </c>
      <c r="B3020" s="1" t="s">
        <v>2479</v>
      </c>
      <c r="C3020" s="1" t="str">
        <f ca="1">IFERROR(__xludf.DUMMYFUNCTION("GOOGLETRANSLATE(B3046,""en"",""ja"")"),"生きています")</f>
        <v>生きています</v>
      </c>
    </row>
    <row r="3021" spans="1:3" ht="18" customHeight="1" x14ac:dyDescent="0.3">
      <c r="A3021" s="1">
        <v>9</v>
      </c>
      <c r="B3021" s="1" t="s">
        <v>2480</v>
      </c>
      <c r="C3021" s="1" t="str">
        <f ca="1">IFERROR(__xludf.DUMMYFUNCTION("GOOGLETRANSLATE(B3047,""en"",""ja"")"),"代理店")</f>
        <v>代理店</v>
      </c>
    </row>
    <row r="3022" spans="1:3" ht="18" customHeight="1" x14ac:dyDescent="0.3">
      <c r="A3022" s="1">
        <v>9</v>
      </c>
      <c r="B3022" s="1" t="s">
        <v>1031</v>
      </c>
      <c r="C3022" s="1" t="str">
        <f ca="1">IFERROR(__xludf.DUMMYFUNCTION("GOOGLETRANSLATE(B3048,""en"",""ja"")"),"利点")</f>
        <v>利点</v>
      </c>
    </row>
    <row r="3023" spans="1:3" ht="18" customHeight="1" x14ac:dyDescent="0.3">
      <c r="A3023" s="1">
        <v>9</v>
      </c>
      <c r="B3023" s="1" t="s">
        <v>2481</v>
      </c>
      <c r="C3023" s="1" t="str">
        <f ca="1">IFERROR(__xludf.DUMMYFUNCTION("GOOGLETRANSLATE(B3049,""en"",""ja"")"),"高度")</f>
        <v>高度</v>
      </c>
    </row>
    <row r="3024" spans="1:3" ht="18" customHeight="1" x14ac:dyDescent="0.3">
      <c r="A3024" s="1">
        <v>9</v>
      </c>
      <c r="B3024" s="1" t="s">
        <v>924</v>
      </c>
      <c r="C3024" s="1" t="str">
        <f ca="1">IFERROR(__xludf.DUMMYFUNCTION("GOOGLETRANSLATE(B3050,""en"",""ja"")"),"前進")</f>
        <v>前進</v>
      </c>
    </row>
    <row r="3025" spans="1:3" ht="18" customHeight="1" x14ac:dyDescent="0.3">
      <c r="A3025" s="1">
        <v>9</v>
      </c>
      <c r="B3025" s="1" t="s">
        <v>2482</v>
      </c>
      <c r="C3025" s="1" t="str">
        <f ca="1">IFERROR(__xludf.DUMMYFUNCTION("GOOGLETRANSLATE(B3051,""en"",""ja"")"),"大人")</f>
        <v>大人</v>
      </c>
    </row>
    <row r="3026" spans="1:3" ht="18" customHeight="1" x14ac:dyDescent="0.3">
      <c r="A3026" s="1">
        <v>9</v>
      </c>
      <c r="B3026" s="1" t="s">
        <v>2483</v>
      </c>
      <c r="C3026" s="1" t="str">
        <f ca="1">IFERROR(__xludf.DUMMYFUNCTION("GOOGLETRANSLATE(B3052,""en"",""ja"")"),"採用")</f>
        <v>採用</v>
      </c>
    </row>
    <row r="3027" spans="1:3" ht="18" customHeight="1" x14ac:dyDescent="0.3">
      <c r="A3027" s="1">
        <v>9</v>
      </c>
      <c r="B3027" s="1" t="s">
        <v>1861</v>
      </c>
      <c r="C3027" s="1" t="str">
        <f ca="1">IFERROR(__xludf.DUMMYFUNCTION("GOOGLETRANSLATE(B3053,""en"",""ja"")"),"調節します")</f>
        <v>調節します</v>
      </c>
    </row>
    <row r="3028" spans="1:3" ht="18" customHeight="1" x14ac:dyDescent="0.3">
      <c r="A3028" s="1">
        <v>9</v>
      </c>
      <c r="B3028" s="1" t="s">
        <v>1088</v>
      </c>
      <c r="C3028" s="1" t="str">
        <f ca="1">IFERROR(__xludf.DUMMYFUNCTION("GOOGLETRANSLATE(B3054,""en"",""ja"")"),"住所")</f>
        <v>住所</v>
      </c>
    </row>
    <row r="3029" spans="1:3" ht="18" customHeight="1" x14ac:dyDescent="0.3">
      <c r="A3029" s="1">
        <v>9</v>
      </c>
      <c r="B3029" s="1" t="s">
        <v>1032</v>
      </c>
      <c r="C3029" s="1" t="str">
        <f ca="1">IFERROR(__xludf.DUMMYFUNCTION("GOOGLETRANSLATE(B3055,""en"",""ja"")"),"追加")</f>
        <v>追加</v>
      </c>
    </row>
    <row r="3030" spans="1:3" ht="18" customHeight="1" x14ac:dyDescent="0.3">
      <c r="A3030" s="1">
        <v>9</v>
      </c>
      <c r="B3030" s="1" t="s">
        <v>2484</v>
      </c>
      <c r="C3030" s="1" t="str">
        <f ca="1">IFERROR(__xludf.DUMMYFUNCTION("GOOGLETRANSLATE(B3056,""en"",""ja"")"),"収容します")</f>
        <v>収容します</v>
      </c>
    </row>
    <row r="3031" spans="1:3" ht="18" customHeight="1" x14ac:dyDescent="0.3">
      <c r="A3031" s="1">
        <v>9</v>
      </c>
      <c r="B3031" s="1" t="s">
        <v>2485</v>
      </c>
      <c r="C3031" s="1" t="str">
        <f ca="1">IFERROR(__xludf.DUMMYFUNCTION("GOOGLETRANSLATE(B3057,""en"",""ja"")"),"事故")</f>
        <v>事故</v>
      </c>
    </row>
    <row r="3032" spans="1:3" ht="18" customHeight="1" x14ac:dyDescent="0.3">
      <c r="A3032" s="1">
        <v>9</v>
      </c>
      <c r="B3032" s="1" t="s">
        <v>2486</v>
      </c>
      <c r="C3032" s="1" t="str">
        <f ca="1">IFERROR(__xludf.DUMMYFUNCTION("GOOGLETRANSLATE(B3058,""en"",""ja"")"),"放棄します")</f>
        <v>放棄します</v>
      </c>
    </row>
    <row r="3033" spans="1:3" ht="18" customHeight="1" x14ac:dyDescent="0.3">
      <c r="A3033" s="1">
        <v>8</v>
      </c>
      <c r="B3033" s="1" t="s">
        <v>2487</v>
      </c>
      <c r="C3033" s="1" t="str">
        <f ca="1">IFERROR(__xludf.DUMMYFUNCTION("GOOGLETRANSLATE(B3059,""en"",""ja"")"),"あなたがしています")</f>
        <v>あなたがしています</v>
      </c>
    </row>
    <row r="3034" spans="1:3" ht="18" customHeight="1" x14ac:dyDescent="0.3">
      <c r="A3034" s="1">
        <v>8</v>
      </c>
      <c r="B3034" s="1" t="s">
        <v>1866</v>
      </c>
      <c r="C3034" s="1" t="str">
        <f ca="1">IFERROR(__xludf.DUMMYFUNCTION("GOOGLETRANSLATE(B3060,""en"",""ja"")"),"書く")</f>
        <v>書く</v>
      </c>
    </row>
    <row r="3035" spans="1:3" ht="18" customHeight="1" x14ac:dyDescent="0.3">
      <c r="A3035" s="1">
        <v>8</v>
      </c>
      <c r="B3035" s="1" t="s">
        <v>2488</v>
      </c>
      <c r="C3035" s="1" t="str">
        <f ca="1">IFERROR(__xludf.DUMMYFUNCTION("GOOGLETRANSLATE(B3061,""en"",""ja"")"),"残骸")</f>
        <v>残骸</v>
      </c>
    </row>
    <row r="3036" spans="1:3" ht="18" customHeight="1" x14ac:dyDescent="0.3">
      <c r="A3036" s="1">
        <v>8</v>
      </c>
      <c r="B3036" s="1" t="s">
        <v>2489</v>
      </c>
      <c r="C3036" s="1" t="str">
        <f ca="1">IFERROR(__xludf.DUMMYFUNCTION("GOOGLETRANSLATE(B3062,""en"",""ja"")"),"世界観")</f>
        <v>世界観</v>
      </c>
    </row>
    <row r="3037" spans="1:3" ht="18" customHeight="1" x14ac:dyDescent="0.3">
      <c r="A3037" s="1">
        <v>8</v>
      </c>
      <c r="B3037" s="1" t="s">
        <v>2490</v>
      </c>
      <c r="C3037" s="1" t="str">
        <f ca="1">IFERROR(__xludf.DUMMYFUNCTION("GOOGLETRANSLATE(B3063,""en"",""ja"")"),"不思議")</f>
        <v>不思議</v>
      </c>
    </row>
    <row r="3038" spans="1:3" ht="18" customHeight="1" x14ac:dyDescent="0.3">
      <c r="A3038" s="1">
        <v>8</v>
      </c>
      <c r="B3038" s="1" t="s">
        <v>2491</v>
      </c>
      <c r="C3038" s="1" t="str">
        <f ca="1">IFERROR(__xludf.DUMMYFUNCTION("GOOGLETRANSLATE(B3064,""en"",""ja"")"),"知恵")</f>
        <v>知恵</v>
      </c>
    </row>
    <row r="3039" spans="1:3" ht="18" customHeight="1" x14ac:dyDescent="0.3">
      <c r="A3039" s="1">
        <v>8</v>
      </c>
      <c r="B3039" s="1" t="s">
        <v>2492</v>
      </c>
      <c r="C3039" s="1" t="str">
        <f ca="1">IFERROR(__xludf.DUMMYFUNCTION("GOOGLETRANSLATE(B3065,""en"",""ja"")"),"ワイヤード")</f>
        <v>ワイヤード</v>
      </c>
    </row>
    <row r="3040" spans="1:3" ht="18" customHeight="1" x14ac:dyDescent="0.3">
      <c r="A3040" s="1">
        <v>8</v>
      </c>
      <c r="B3040" s="1" t="s">
        <v>40</v>
      </c>
      <c r="C3040" s="1" t="str">
        <f ca="1">IFERROR(__xludf.DUMMYFUNCTION("GOOGLETRANSLATE(B3066,""en"",""ja"")"),"何")</f>
        <v>何</v>
      </c>
    </row>
    <row r="3041" spans="1:3" ht="18" customHeight="1" x14ac:dyDescent="0.3">
      <c r="A3041" s="1">
        <v>8</v>
      </c>
      <c r="B3041" s="1" t="s">
        <v>1092</v>
      </c>
      <c r="C3041" s="1" t="str">
        <f ca="1">IFERROR(__xludf.DUMMYFUNCTION("GOOGLETRANSLATE(B3067,""en"",""ja"")"),"富")</f>
        <v>富</v>
      </c>
    </row>
    <row r="3042" spans="1:3" ht="18" customHeight="1" x14ac:dyDescent="0.3">
      <c r="A3042" s="1">
        <v>8</v>
      </c>
      <c r="B3042" s="1" t="s">
        <v>2493</v>
      </c>
      <c r="C3042" s="1" t="str">
        <f ca="1">IFERROR(__xludf.DUMMYFUNCTION("GOOGLETRANSLATE(B3068,""en"",""ja"")"),"弱い")</f>
        <v>弱い</v>
      </c>
    </row>
    <row r="3043" spans="1:3" ht="18" customHeight="1" x14ac:dyDescent="0.3">
      <c r="A3043" s="1">
        <v>8</v>
      </c>
      <c r="B3043" s="1" t="s">
        <v>1729</v>
      </c>
      <c r="C3043" s="1" t="str">
        <f ca="1">IFERROR(__xludf.DUMMYFUNCTION("GOOGLETRANSLATE(B3069,""en"",""ja"")"),"発声")</f>
        <v>発声</v>
      </c>
    </row>
    <row r="3044" spans="1:3" ht="18" customHeight="1" x14ac:dyDescent="0.3">
      <c r="A3044" s="1">
        <v>8</v>
      </c>
      <c r="B3044" s="1" t="s">
        <v>2494</v>
      </c>
      <c r="C3044" s="1" t="str">
        <f ca="1">IFERROR(__xludf.DUMMYFUNCTION("GOOGLETRANSLATE(B3070,""en"",""ja"")"),"訪問")</f>
        <v>訪問</v>
      </c>
    </row>
    <row r="3045" spans="1:3" ht="18" customHeight="1" x14ac:dyDescent="0.3">
      <c r="A3045" s="1">
        <v>8</v>
      </c>
      <c r="B3045" s="1" t="s">
        <v>2263</v>
      </c>
      <c r="C3045" s="1" t="str">
        <f ca="1">IFERROR(__xludf.DUMMYFUNCTION("GOOGLETRANSLATE(B3071,""en"",""ja"")"),"村")</f>
        <v>村</v>
      </c>
    </row>
    <row r="3046" spans="1:3" ht="18" customHeight="1" x14ac:dyDescent="0.3">
      <c r="A3046" s="1">
        <v>8</v>
      </c>
      <c r="B3046" s="1" t="s">
        <v>2495</v>
      </c>
      <c r="C3046" s="1" t="str">
        <f ca="1">IFERROR(__xludf.DUMMYFUNCTION("GOOGLETRANSLATE(B3072,""en"",""ja"")"),"バイキング")</f>
        <v>バイキング</v>
      </c>
    </row>
    <row r="3047" spans="1:3" ht="18" customHeight="1" x14ac:dyDescent="0.3">
      <c r="A3047" s="1">
        <v>8</v>
      </c>
      <c r="B3047" s="1" t="s">
        <v>2496</v>
      </c>
      <c r="C3047" s="1" t="str">
        <f ca="1">IFERROR(__xludf.DUMMYFUNCTION("GOOGLETRANSLATE(B3073,""en"",""ja"")"),"ビデオ")</f>
        <v>ビデオ</v>
      </c>
    </row>
    <row r="3048" spans="1:3" ht="18" customHeight="1" x14ac:dyDescent="0.3">
      <c r="A3048" s="1">
        <v>8</v>
      </c>
      <c r="B3048" s="1" t="s">
        <v>2497</v>
      </c>
      <c r="C3048" s="1" t="str">
        <f ca="1">IFERROR(__xludf.DUMMYFUNCTION("GOOGLETRANSLATE(B3074,""en"",""ja"")"),"勝利")</f>
        <v>勝利</v>
      </c>
    </row>
    <row r="3049" spans="1:3" ht="18" customHeight="1" x14ac:dyDescent="0.3">
      <c r="A3049" s="1">
        <v>8</v>
      </c>
      <c r="B3049" s="1" t="s">
        <v>2498</v>
      </c>
      <c r="C3049" s="1" t="str">
        <f ca="1">IFERROR(__xludf.DUMMYFUNCTION("GOOGLETRANSLATE(B3075,""en"",""ja"")"),"経由")</f>
        <v>経由</v>
      </c>
    </row>
    <row r="3050" spans="1:3" ht="18" customHeight="1" x14ac:dyDescent="0.3">
      <c r="A3050" s="1">
        <v>8</v>
      </c>
      <c r="B3050" s="1" t="s">
        <v>2499</v>
      </c>
      <c r="C3050" s="1" t="str">
        <f ca="1">IFERROR(__xludf.DUMMYFUNCTION("GOOGLETRANSLATE(B3076,""en"",""ja"")"),"変わります")</f>
        <v>変わります</v>
      </c>
    </row>
    <row r="3051" spans="1:3" ht="18" customHeight="1" x14ac:dyDescent="0.3">
      <c r="A3051" s="1">
        <v>8</v>
      </c>
      <c r="B3051" s="1" t="s">
        <v>2500</v>
      </c>
      <c r="C3051" s="1" t="str">
        <f ca="1">IFERROR(__xludf.DUMMYFUNCTION("GOOGLETRANSLATE(B3078,""en"",""ja"")"),"衝動")</f>
        <v>衝動</v>
      </c>
    </row>
    <row r="3052" spans="1:3" ht="18" customHeight="1" x14ac:dyDescent="0.3">
      <c r="A3052" s="1">
        <v>8</v>
      </c>
      <c r="B3052" s="1" t="s">
        <v>2501</v>
      </c>
      <c r="C3052" s="1" t="str">
        <f ca="1">IFERROR(__xludf.DUMMYFUNCTION("GOOGLETRANSLATE(B3079,""en"",""ja"")"),"都市化")</f>
        <v>都市化</v>
      </c>
    </row>
    <row r="3053" spans="1:3" ht="18" customHeight="1" x14ac:dyDescent="0.3">
      <c r="A3053" s="1">
        <v>8</v>
      </c>
      <c r="B3053" s="1" t="s">
        <v>2502</v>
      </c>
      <c r="C3053" s="1" t="str">
        <f ca="1">IFERROR(__xludf.DUMMYFUNCTION("GOOGLETRANSLATE(B3080,""en"",""ja"")"),"保護されていません")</f>
        <v>保護されていません</v>
      </c>
    </row>
    <row r="3054" spans="1:3" ht="18" customHeight="1" x14ac:dyDescent="0.3">
      <c r="A3054" s="1">
        <v>8</v>
      </c>
      <c r="B3054" s="1" t="s">
        <v>2503</v>
      </c>
      <c r="C3054" s="1" t="str">
        <f ca="1">IFERROR(__xludf.DUMMYFUNCTION("GOOGLETRANSLATE(B3081,""en"",""ja"")"),"予測不可能な")</f>
        <v>予測不可能な</v>
      </c>
    </row>
    <row r="3055" spans="1:3" ht="18" customHeight="1" x14ac:dyDescent="0.3">
      <c r="A3055" s="1">
        <v>8</v>
      </c>
      <c r="B3055" s="1" t="s">
        <v>2504</v>
      </c>
      <c r="C3055" s="1" t="str">
        <f ca="1">IFERROR(__xludf.DUMMYFUNCTION("GOOGLETRANSLATE(B3082,""en"",""ja"")"),"未曾有")</f>
        <v>未曾有</v>
      </c>
    </row>
    <row r="3056" spans="1:3" ht="18" customHeight="1" x14ac:dyDescent="0.3">
      <c r="A3056" s="1">
        <v>8</v>
      </c>
      <c r="B3056" s="1" t="s">
        <v>317</v>
      </c>
      <c r="C3056" s="1" t="str">
        <f ca="1">IFERROR(__xludf.DUMMYFUNCTION("GOOGLETRANSLATE(B3083,""en"",""ja"")"),"大学")</f>
        <v>大学</v>
      </c>
    </row>
    <row r="3057" spans="1:3" ht="18" customHeight="1" x14ac:dyDescent="0.3">
      <c r="A3057" s="1">
        <v>8</v>
      </c>
      <c r="B3057" s="1" t="s">
        <v>2505</v>
      </c>
      <c r="C3057" s="1" t="str">
        <f ca="1">IFERROR(__xludf.DUMMYFUNCTION("GOOGLETRANSLATE(B3084,""en"",""ja"")"),"不幸")</f>
        <v>不幸</v>
      </c>
    </row>
    <row r="3058" spans="1:3" ht="18" customHeight="1" x14ac:dyDescent="0.3">
      <c r="A3058" s="1">
        <v>8</v>
      </c>
      <c r="B3058" s="1" t="s">
        <v>2506</v>
      </c>
      <c r="C3058" s="1" t="str">
        <f ca="1">IFERROR(__xludf.DUMMYFUNCTION("GOOGLETRANSLATE(B3085,""en"",""ja"")"),"施行")</f>
        <v>施行</v>
      </c>
    </row>
    <row r="3059" spans="1:3" ht="18" customHeight="1" x14ac:dyDescent="0.3">
      <c r="A3059" s="1">
        <v>8</v>
      </c>
      <c r="B3059" s="1" t="s">
        <v>2507</v>
      </c>
      <c r="C3059" s="1" t="str">
        <f ca="1">IFERROR(__xludf.DUMMYFUNCTION("GOOGLETRANSLATE(B3086,""en"",""ja"")"),"恵まれません")</f>
        <v>恵まれません</v>
      </c>
    </row>
    <row r="3060" spans="1:3" ht="18" customHeight="1" x14ac:dyDescent="0.3">
      <c r="A3060" s="1">
        <v>8</v>
      </c>
      <c r="B3060" s="1" t="s">
        <v>2508</v>
      </c>
      <c r="C3060" s="1" t="str">
        <f ca="1">IFERROR(__xludf.DUMMYFUNCTION("GOOGLETRANSLATE(B3087,""en"",""ja"")"),"ツイン")</f>
        <v>ツイン</v>
      </c>
    </row>
    <row r="3061" spans="1:3" ht="18" customHeight="1" x14ac:dyDescent="0.3">
      <c r="A3061" s="1">
        <v>8</v>
      </c>
      <c r="B3061" s="1" t="s">
        <v>2509</v>
      </c>
      <c r="C3061" s="1" t="str">
        <f ca="1">IFERROR(__xludf.DUMMYFUNCTION("GOOGLETRANSLATE(B3088,""en"",""ja"")"),"真に")</f>
        <v>真に</v>
      </c>
    </row>
    <row r="3062" spans="1:3" ht="18" customHeight="1" x14ac:dyDescent="0.3">
      <c r="A3062" s="1">
        <v>8</v>
      </c>
      <c r="B3062" s="1" t="s">
        <v>2510</v>
      </c>
      <c r="C3062" s="1" t="str">
        <f ca="1">IFERROR(__xludf.DUMMYFUNCTION("GOOGLETRANSLATE(B3089,""en"",""ja"")"),"困っ")</f>
        <v>困っ</v>
      </c>
    </row>
    <row r="3063" spans="1:3" ht="18" customHeight="1" x14ac:dyDescent="0.3">
      <c r="A3063" s="1">
        <v>8</v>
      </c>
      <c r="B3063" s="1" t="s">
        <v>2511</v>
      </c>
      <c r="C3063" s="1" t="str">
        <f ca="1">IFERROR(__xludf.DUMMYFUNCTION("GOOGLETRANSLATE(B3090,""en"",""ja"")"),"翻訳")</f>
        <v>翻訳</v>
      </c>
    </row>
    <row r="3064" spans="1:3" ht="18" customHeight="1" x14ac:dyDescent="0.3">
      <c r="A3064" s="1">
        <v>8</v>
      </c>
      <c r="B3064" s="1" t="s">
        <v>2512</v>
      </c>
      <c r="C3064" s="1" t="str">
        <f ca="1">IFERROR(__xludf.DUMMYFUNCTION("GOOGLETRANSLATE(B3091,""en"",""ja"")"),"遷移")</f>
        <v>遷移</v>
      </c>
    </row>
    <row r="3065" spans="1:3" ht="18" customHeight="1" x14ac:dyDescent="0.3">
      <c r="A3065" s="1">
        <v>8</v>
      </c>
      <c r="B3065" s="1" t="s">
        <v>2513</v>
      </c>
      <c r="C3065" s="1" t="str">
        <f ca="1">IFERROR(__xludf.DUMMYFUNCTION("GOOGLETRANSLATE(B3092,""en"",""ja"")"),"トランプル")</f>
        <v>トランプル</v>
      </c>
    </row>
    <row r="3066" spans="1:3" ht="18" customHeight="1" x14ac:dyDescent="0.3">
      <c r="A3066" s="1">
        <v>8</v>
      </c>
      <c r="B3066" s="1" t="s">
        <v>2514</v>
      </c>
      <c r="C3066" s="1" t="str">
        <f ca="1">IFERROR(__xludf.DUMMYFUNCTION("GOOGLETRANSLATE(B3093,""en"",""ja"")"),"悲劇")</f>
        <v>悲劇</v>
      </c>
    </row>
    <row r="3067" spans="1:3" ht="18" customHeight="1" x14ac:dyDescent="0.3">
      <c r="A3067" s="1">
        <v>8</v>
      </c>
      <c r="B3067" s="1" t="s">
        <v>2515</v>
      </c>
      <c r="C3067" s="1" t="str">
        <f ca="1">IFERROR(__xludf.DUMMYFUNCTION("GOOGLETRANSLATE(B3094,""en"",""ja"")"),"伝統")</f>
        <v>伝統</v>
      </c>
    </row>
    <row r="3068" spans="1:3" ht="18" customHeight="1" x14ac:dyDescent="0.3">
      <c r="A3068" s="1">
        <v>8</v>
      </c>
      <c r="B3068" s="1" t="s">
        <v>1737</v>
      </c>
      <c r="C3068" s="1" t="str">
        <f ca="1">IFERROR(__xludf.DUMMYFUNCTION("GOOGLETRANSLATE(B3095,""en"",""ja"")"),"町")</f>
        <v>町</v>
      </c>
    </row>
    <row r="3069" spans="1:3" ht="18" customHeight="1" x14ac:dyDescent="0.3">
      <c r="A3069" s="1">
        <v>8</v>
      </c>
      <c r="B3069" s="1" t="s">
        <v>2516</v>
      </c>
      <c r="C3069" s="1" t="str">
        <f ca="1">IFERROR(__xludf.DUMMYFUNCTION("GOOGLETRANSLATE(B3096,""en"",""ja"")"),"ティト")</f>
        <v>ティト</v>
      </c>
    </row>
    <row r="3070" spans="1:3" ht="18" customHeight="1" x14ac:dyDescent="0.3">
      <c r="A3070" s="1">
        <v>8</v>
      </c>
      <c r="B3070" s="1" t="s">
        <v>2517</v>
      </c>
      <c r="C3070" s="1" t="str">
        <f ca="1">IFERROR(__xludf.DUMMYFUNCTION("GOOGLETRANSLATE(B3097,""en"",""ja"")"),"あります")</f>
        <v>あります</v>
      </c>
    </row>
    <row r="3071" spans="1:3" ht="18" customHeight="1" x14ac:dyDescent="0.3">
      <c r="A3071" s="1">
        <v>8</v>
      </c>
      <c r="B3071" s="1" t="s">
        <v>2518</v>
      </c>
      <c r="C3071" s="1" t="str">
        <f ca="1">IFERROR(__xludf.DUMMYFUNCTION("GOOGLETRANSLATE(B3098,""en"",""ja"")"),"感謝")</f>
        <v>感謝</v>
      </c>
    </row>
    <row r="3072" spans="1:3" ht="18" customHeight="1" x14ac:dyDescent="0.3">
      <c r="A3072" s="1">
        <v>8</v>
      </c>
      <c r="B3072" s="1" t="s">
        <v>2519</v>
      </c>
      <c r="C3072" s="1" t="str">
        <f ca="1">IFERROR(__xludf.DUMMYFUNCTION("GOOGLETRANSLATE(B3099,""en"",""ja"")"),"技術的に")</f>
        <v>技術的に</v>
      </c>
    </row>
    <row r="3073" spans="1:3" ht="18" customHeight="1" x14ac:dyDescent="0.3">
      <c r="A3073" s="1">
        <v>8</v>
      </c>
      <c r="B3073" s="1" t="s">
        <v>2520</v>
      </c>
      <c r="C3073" s="1" t="str">
        <f ca="1">IFERROR(__xludf.DUMMYFUNCTION("GOOGLETRANSLATE(B3100,""en"",""ja"")"),"チーム")</f>
        <v>チーム</v>
      </c>
    </row>
    <row r="3074" spans="1:3" ht="18" customHeight="1" x14ac:dyDescent="0.3">
      <c r="A3074" s="1">
        <v>8</v>
      </c>
      <c r="B3074" s="1" t="s">
        <v>2521</v>
      </c>
      <c r="C3074" s="1" t="str">
        <f ca="1">IFERROR(__xludf.DUMMYFUNCTION("GOOGLETRANSLATE(B3101,""en"",""ja"")"),"テープ")</f>
        <v>テープ</v>
      </c>
    </row>
    <row r="3075" spans="1:3" ht="18" customHeight="1" x14ac:dyDescent="0.3">
      <c r="A3075" s="1">
        <v>8</v>
      </c>
      <c r="B3075" s="1" t="s">
        <v>2522</v>
      </c>
      <c r="C3075" s="1" t="str">
        <f ca="1">IFERROR(__xludf.DUMMYFUNCTION("GOOGLETRANSLATE(B3102,""en"",""ja"")"),"トーク")</f>
        <v>トーク</v>
      </c>
    </row>
    <row r="3076" spans="1:3" ht="18" customHeight="1" x14ac:dyDescent="0.3">
      <c r="A3076" s="1">
        <v>8</v>
      </c>
      <c r="B3076" s="1" t="s">
        <v>2523</v>
      </c>
      <c r="C3076" s="1" t="str">
        <f ca="1">IFERROR(__xludf.DUMMYFUNCTION("GOOGLETRANSLATE(B3103,""en"",""ja"")"),"スイング")</f>
        <v>スイング</v>
      </c>
    </row>
    <row r="3077" spans="1:3" ht="18" customHeight="1" x14ac:dyDescent="0.3">
      <c r="A3077" s="1">
        <v>8</v>
      </c>
      <c r="B3077" s="1" t="s">
        <v>2524</v>
      </c>
      <c r="C3077" s="1" t="str">
        <f ca="1">IFERROR(__xludf.DUMMYFUNCTION("GOOGLETRANSLATE(B3104,""en"",""ja"")"),"サスティーン")</f>
        <v>サスティーン</v>
      </c>
    </row>
    <row r="3078" spans="1:3" ht="18" customHeight="1" x14ac:dyDescent="0.3">
      <c r="A3078" s="1">
        <v>8</v>
      </c>
      <c r="B3078" s="1" t="s">
        <v>2525</v>
      </c>
      <c r="C3078" s="1" t="str">
        <f ca="1">IFERROR(__xludf.DUMMYFUNCTION("GOOGLETRANSLATE(B3105,""en"",""ja"")"),"一時停止")</f>
        <v>一時停止</v>
      </c>
    </row>
    <row r="3079" spans="1:3" ht="18" customHeight="1" x14ac:dyDescent="0.3">
      <c r="A3079" s="1">
        <v>8</v>
      </c>
      <c r="B3079" s="1" t="s">
        <v>2526</v>
      </c>
      <c r="C3079" s="1" t="str">
        <f ca="1">IFERROR(__xludf.DUMMYFUNCTION("GOOGLETRANSLATE(B3106,""en"",""ja"")"),"影響を受けやすいです")</f>
        <v>影響を受けやすいです</v>
      </c>
    </row>
    <row r="3080" spans="1:3" ht="18" customHeight="1" x14ac:dyDescent="0.3">
      <c r="A3080" s="1">
        <v>8</v>
      </c>
      <c r="B3080" s="1" t="s">
        <v>2527</v>
      </c>
      <c r="C3080" s="1" t="str">
        <f ca="1">IFERROR(__xludf.DUMMYFUNCTION("GOOGLETRANSLATE(B3107,""en"",""ja"")"),"示唆")</f>
        <v>示唆</v>
      </c>
    </row>
    <row r="3081" spans="1:3" ht="18" customHeight="1" x14ac:dyDescent="0.3">
      <c r="A3081" s="1">
        <v>8</v>
      </c>
      <c r="B3081" s="1" t="s">
        <v>1412</v>
      </c>
      <c r="C3081" s="1" t="str">
        <f ca="1">IFERROR(__xludf.DUMMYFUNCTION("GOOGLETRANSLATE(B3108,""en"",""ja"")"),"うまく")</f>
        <v>うまく</v>
      </c>
    </row>
    <row r="3082" spans="1:3" ht="18" customHeight="1" x14ac:dyDescent="0.3">
      <c r="A3082" s="1">
        <v>8</v>
      </c>
      <c r="B3082" s="1" t="s">
        <v>2528</v>
      </c>
      <c r="C3082" s="1" t="str">
        <f ca="1">IFERROR(__xludf.DUMMYFUNCTION("GOOGLETRANSLATE(B3109,""en"",""ja"")"),"代替")</f>
        <v>代替</v>
      </c>
    </row>
    <row r="3083" spans="1:3" ht="18" customHeight="1" x14ac:dyDescent="0.3">
      <c r="A3083" s="1">
        <v>8</v>
      </c>
      <c r="B3083" s="1" t="s">
        <v>2529</v>
      </c>
      <c r="C3083" s="1" t="str">
        <f ca="1">IFERROR(__xludf.DUMMYFUNCTION("GOOGLETRANSLATE(B3110,""en"",""ja"")"),"提出")</f>
        <v>提出</v>
      </c>
    </row>
    <row r="3084" spans="1:3" ht="18" customHeight="1" x14ac:dyDescent="0.3">
      <c r="A3084" s="1">
        <v>8</v>
      </c>
      <c r="B3084" s="1" t="s">
        <v>2530</v>
      </c>
      <c r="C3084" s="1" t="str">
        <f ca="1">IFERROR(__xludf.DUMMYFUNCTION("GOOGLETRANSLATE(B3111,""en"",""ja"")"),"水没")</f>
        <v>水没</v>
      </c>
    </row>
    <row r="3085" spans="1:3" ht="18" customHeight="1" x14ac:dyDescent="0.3">
      <c r="A3085" s="1">
        <v>8</v>
      </c>
      <c r="B3085" s="1" t="s">
        <v>663</v>
      </c>
      <c r="C3085" s="1" t="str">
        <f ca="1">IFERROR(__xludf.DUMMYFUNCTION("GOOGLETRANSLATE(B3112,""en"",""ja"")"),"闘い")</f>
        <v>闘い</v>
      </c>
    </row>
    <row r="3086" spans="1:3" ht="18" customHeight="1" x14ac:dyDescent="0.3">
      <c r="A3086" s="1">
        <v>8</v>
      </c>
      <c r="B3086" s="1" t="s">
        <v>2531</v>
      </c>
      <c r="C3086" s="1" t="str">
        <f ca="1">IFERROR(__xludf.DUMMYFUNCTION("GOOGLETRANSLATE(B3113,""en"",""ja"")"),"強く")</f>
        <v>強く</v>
      </c>
    </row>
    <row r="3087" spans="1:3" ht="18" customHeight="1" x14ac:dyDescent="0.3">
      <c r="A3087" s="1">
        <v>8</v>
      </c>
      <c r="B3087" s="1" t="s">
        <v>2532</v>
      </c>
      <c r="C3087" s="1" t="str">
        <f ca="1">IFERROR(__xludf.DUMMYFUNCTION("GOOGLETRANSLATE(B3114,""en"",""ja"")"),"戦略")</f>
        <v>戦略</v>
      </c>
    </row>
    <row r="3088" spans="1:3" ht="18" customHeight="1" x14ac:dyDescent="0.3">
      <c r="A3088" s="1">
        <v>8</v>
      </c>
      <c r="B3088" s="1" t="s">
        <v>1886</v>
      </c>
      <c r="C3088" s="1" t="str">
        <f ca="1">IFERROR(__xludf.DUMMYFUNCTION("GOOGLETRANSLATE(B3115,""en"",""ja"")"),"物語")</f>
        <v>物語</v>
      </c>
    </row>
    <row r="3089" spans="1:3" ht="18" customHeight="1" x14ac:dyDescent="0.3">
      <c r="A3089" s="1">
        <v>8</v>
      </c>
      <c r="B3089" s="1" t="s">
        <v>1887</v>
      </c>
      <c r="C3089" s="1" t="str">
        <f ca="1">IFERROR(__xludf.DUMMYFUNCTION("GOOGLETRANSLATE(B3116,""en"",""ja"")"),"結石")</f>
        <v>結石</v>
      </c>
    </row>
    <row r="3090" spans="1:3" ht="18" customHeight="1" x14ac:dyDescent="0.3">
      <c r="A3090" s="1">
        <v>8</v>
      </c>
      <c r="B3090" s="1" t="s">
        <v>2533</v>
      </c>
      <c r="C3090" s="1" t="str">
        <f ca="1">IFERROR(__xludf.DUMMYFUNCTION("GOOGLETRANSLATE(B3117,""en"",""ja"")"),"規定します")</f>
        <v>規定します</v>
      </c>
    </row>
    <row r="3091" spans="1:3" ht="18" customHeight="1" x14ac:dyDescent="0.3">
      <c r="A3091" s="1">
        <v>8</v>
      </c>
      <c r="B3091" s="1" t="s">
        <v>1327</v>
      </c>
      <c r="C3091" s="1" t="str">
        <f ca="1">IFERROR(__xludf.DUMMYFUNCTION("GOOGLETRANSLATE(B3118,""en"",""ja"")"),"駅")</f>
        <v>駅</v>
      </c>
    </row>
    <row r="3092" spans="1:3" ht="18" customHeight="1" x14ac:dyDescent="0.3">
      <c r="A3092" s="1">
        <v>8</v>
      </c>
      <c r="B3092" s="1" t="s">
        <v>2534</v>
      </c>
      <c r="C3092" s="1" t="str">
        <f ca="1">IFERROR(__xludf.DUMMYFUNCTION("GOOGLETRANSLATE(B3119,""en"",""ja"")"),"開始")</f>
        <v>開始</v>
      </c>
    </row>
    <row r="3093" spans="1:3" ht="18" customHeight="1" x14ac:dyDescent="0.3">
      <c r="A3093" s="1">
        <v>8</v>
      </c>
      <c r="B3093" s="1" t="s">
        <v>2535</v>
      </c>
      <c r="C3093" s="1" t="str">
        <f ca="1">IFERROR(__xludf.DUMMYFUNCTION("GOOGLETRANSLATE(B3120,""en"",""ja"")"),"平方")</f>
        <v>平方</v>
      </c>
    </row>
    <row r="3094" spans="1:3" ht="18" customHeight="1" x14ac:dyDescent="0.3">
      <c r="A3094" s="1">
        <v>8</v>
      </c>
      <c r="B3094" s="1" t="s">
        <v>2536</v>
      </c>
      <c r="C3094" s="1" t="str">
        <f ca="1">IFERROR(__xludf.DUMMYFUNCTION("GOOGLETRANSLATE(B3121,""en"",""ja"")"),"スパイ")</f>
        <v>スパイ</v>
      </c>
    </row>
    <row r="3095" spans="1:3" ht="18" customHeight="1" x14ac:dyDescent="0.3">
      <c r="A3095" s="1">
        <v>8</v>
      </c>
      <c r="B3095" s="1" t="s">
        <v>2537</v>
      </c>
      <c r="C3095" s="1" t="str">
        <f ca="1">IFERROR(__xludf.DUMMYFUNCTION("GOOGLETRANSLATE(B3122,""en"",""ja"")"),"普及")</f>
        <v>普及</v>
      </c>
    </row>
    <row r="3096" spans="1:3" ht="18" customHeight="1" x14ac:dyDescent="0.3">
      <c r="A3096" s="1">
        <v>8</v>
      </c>
      <c r="B3096" s="1" t="s">
        <v>2538</v>
      </c>
      <c r="C3096" s="1" t="str">
        <f ca="1">IFERROR(__xludf.DUMMYFUNCTION("GOOGLETRANSLATE(B3123,""en"",""ja"")"),"スピノザ")</f>
        <v>スピノザ</v>
      </c>
    </row>
    <row r="3097" spans="1:3" ht="18" customHeight="1" x14ac:dyDescent="0.3">
      <c r="A3097" s="1">
        <v>8</v>
      </c>
      <c r="B3097" s="1" t="s">
        <v>2539</v>
      </c>
      <c r="C3097" s="1" t="str">
        <f ca="1">IFERROR(__xludf.DUMMYFUNCTION("GOOGLETRANSLATE(B3124,""en"",""ja"")"),"スピン")</f>
        <v>スピン</v>
      </c>
    </row>
    <row r="3098" spans="1:3" ht="18" customHeight="1" x14ac:dyDescent="0.3">
      <c r="A3098" s="1">
        <v>8</v>
      </c>
      <c r="B3098" s="1" t="s">
        <v>1627</v>
      </c>
      <c r="C3098" s="1" t="str">
        <f ca="1">IFERROR(__xludf.DUMMYFUNCTION("GOOGLETRANSLATE(B3125,""en"",""ja"")"),"スピーチ")</f>
        <v>スピーチ</v>
      </c>
    </row>
    <row r="3099" spans="1:3" ht="18" customHeight="1" x14ac:dyDescent="0.3">
      <c r="A3099" s="1">
        <v>8</v>
      </c>
      <c r="B3099" s="1" t="s">
        <v>2540</v>
      </c>
      <c r="C3099" s="1" t="str">
        <f ca="1">IFERROR(__xludf.DUMMYFUNCTION("GOOGLETRANSLATE(B3126,""en"",""ja"")"),"推測")</f>
        <v>推測</v>
      </c>
    </row>
    <row r="3100" spans="1:3" ht="18" customHeight="1" x14ac:dyDescent="0.3">
      <c r="A3100" s="1">
        <v>8</v>
      </c>
      <c r="B3100" s="1" t="s">
        <v>2541</v>
      </c>
      <c r="C3100" s="1" t="str">
        <f ca="1">IFERROR(__xludf.DUMMYFUNCTION("GOOGLETRANSLATE(B3127,""en"",""ja"")"),"雀")</f>
        <v>雀</v>
      </c>
    </row>
    <row r="3101" spans="1:3" ht="18" customHeight="1" x14ac:dyDescent="0.3">
      <c r="A3101" s="1">
        <v>8</v>
      </c>
      <c r="B3101" s="1" t="s">
        <v>2542</v>
      </c>
      <c r="C3101" s="1" t="str">
        <f ca="1">IFERROR(__xludf.DUMMYFUNCTION("GOOGLETRANSLATE(B3129,""en"",""ja"")"),"スペイン")</f>
        <v>スペイン</v>
      </c>
    </row>
    <row r="3102" spans="1:3" ht="18" customHeight="1" x14ac:dyDescent="0.3">
      <c r="A3102" s="1">
        <v>8</v>
      </c>
      <c r="B3102" s="1" t="s">
        <v>2543</v>
      </c>
      <c r="C3102" s="1" t="str">
        <f ca="1">IFERROR(__xludf.DUMMYFUNCTION("GOOGLETRANSLATE(B3130,""en"",""ja"")"),"鳴禽")</f>
        <v>鳴禽</v>
      </c>
    </row>
    <row r="3103" spans="1:3" ht="18" customHeight="1" x14ac:dyDescent="0.3">
      <c r="A3103" s="1">
        <v>8</v>
      </c>
      <c r="B3103" s="1" t="s">
        <v>1519</v>
      </c>
      <c r="C3103" s="1" t="str">
        <f ca="1">IFERROR(__xludf.DUMMYFUNCTION("GOOGLETRANSLATE(B3131,""en"",""ja"")"),"解決")</f>
        <v>解決</v>
      </c>
    </row>
    <row r="3104" spans="1:3" ht="18" customHeight="1" x14ac:dyDescent="0.3">
      <c r="A3104" s="1">
        <v>8</v>
      </c>
      <c r="B3104" s="1" t="s">
        <v>2544</v>
      </c>
      <c r="C3104" s="1" t="str">
        <f ca="1">IFERROR(__xludf.DUMMYFUNCTION("GOOGLETRANSLATE(B3132,""en"",""ja"")"),"送信請求")</f>
        <v>送信請求</v>
      </c>
    </row>
    <row r="3105" spans="1:3" ht="18" customHeight="1" x14ac:dyDescent="0.3">
      <c r="A3105" s="1">
        <v>8</v>
      </c>
      <c r="B3105" s="1" t="s">
        <v>2545</v>
      </c>
      <c r="C3105" s="1" t="str">
        <f ca="1">IFERROR(__xludf.DUMMYFUNCTION("GOOGLETRANSLATE(B3133,""en"",""ja"")"),"社会主義")</f>
        <v>社会主義</v>
      </c>
    </row>
    <row r="3106" spans="1:3" ht="18" customHeight="1" x14ac:dyDescent="0.3">
      <c r="A3106" s="1">
        <v>8</v>
      </c>
      <c r="B3106" s="1" t="s">
        <v>1044</v>
      </c>
      <c r="C3106" s="1" t="str">
        <f ca="1">IFERROR(__xludf.DUMMYFUNCTION("GOOGLETRANSLATE(B3134,""en"",""ja"")"),"奴隷")</f>
        <v>奴隷</v>
      </c>
    </row>
    <row r="3107" spans="1:3" ht="18" customHeight="1" x14ac:dyDescent="0.3">
      <c r="A3107" s="1">
        <v>8</v>
      </c>
      <c r="B3107" s="1" t="s">
        <v>2546</v>
      </c>
      <c r="C3107" s="1" t="str">
        <f ca="1">IFERROR(__xludf.DUMMYFUNCTION("GOOGLETRANSLATE(B3135,""en"",""ja"")"),"シグナリング")</f>
        <v>シグナリング</v>
      </c>
    </row>
    <row r="3108" spans="1:3" ht="18" customHeight="1" x14ac:dyDescent="0.3">
      <c r="A3108" s="1">
        <v>8</v>
      </c>
      <c r="B3108" s="1" t="s">
        <v>2547</v>
      </c>
      <c r="C3108" s="1" t="str">
        <f ca="1">IFERROR(__xludf.DUMMYFUNCTION("GOOGLETRANSLATE(B3136,""en"",""ja"")"),"信号")</f>
        <v>信号</v>
      </c>
    </row>
    <row r="3109" spans="1:3" ht="18" customHeight="1" x14ac:dyDescent="0.3">
      <c r="A3109" s="1">
        <v>8</v>
      </c>
      <c r="B3109" s="1" t="s">
        <v>2548</v>
      </c>
      <c r="C3109" s="1" t="str">
        <f ca="1">IFERROR(__xludf.DUMMYFUNCTION("GOOGLETRANSLATE(B3137,""en"",""ja"")"),"晴眼")</f>
        <v>晴眼</v>
      </c>
    </row>
    <row r="3110" spans="1:3" ht="18" customHeight="1" x14ac:dyDescent="0.3">
      <c r="A3110" s="1">
        <v>8</v>
      </c>
      <c r="B3110" s="1" t="s">
        <v>2549</v>
      </c>
      <c r="C3110" s="1" t="str">
        <f ca="1">IFERROR(__xludf.DUMMYFUNCTION("GOOGLETRANSLATE(B3138,""en"",""ja"")"),"小屋")</f>
        <v>小屋</v>
      </c>
    </row>
    <row r="3111" spans="1:3" ht="18" customHeight="1" x14ac:dyDescent="0.3">
      <c r="A3111" s="1">
        <v>8</v>
      </c>
      <c r="B3111" s="1" t="s">
        <v>2550</v>
      </c>
      <c r="C3111" s="1" t="str">
        <f ca="1">IFERROR(__xludf.DUMMYFUNCTION("GOOGLETRANSLATE(B3139,""en"",""ja"")"),"シェーピング")</f>
        <v>シェーピング</v>
      </c>
    </row>
    <row r="3112" spans="1:3" ht="18" customHeight="1" x14ac:dyDescent="0.3">
      <c r="A3112" s="1">
        <v>8</v>
      </c>
      <c r="B3112" s="1" t="s">
        <v>2551</v>
      </c>
      <c r="C3112" s="1" t="str">
        <f ca="1">IFERROR(__xludf.DUMMYFUNCTION("GOOGLETRANSLATE(B3140,""en"",""ja"")"),"色合い")</f>
        <v>色合い</v>
      </c>
    </row>
    <row r="3113" spans="1:3" ht="18" customHeight="1" x14ac:dyDescent="0.3">
      <c r="A3113" s="1">
        <v>8</v>
      </c>
      <c r="B3113" s="1" t="s">
        <v>2552</v>
      </c>
      <c r="C3113" s="1" t="str">
        <f ca="1">IFERROR(__xludf.DUMMYFUNCTION("GOOGLETRANSLATE(B3141,""en"",""ja"")"),"解決する")</f>
        <v>解決する</v>
      </c>
    </row>
    <row r="3114" spans="1:3" ht="18" customHeight="1" x14ac:dyDescent="0.3">
      <c r="A3114" s="1">
        <v>8</v>
      </c>
      <c r="B3114" s="1" t="s">
        <v>2553</v>
      </c>
      <c r="C3114" s="1" t="str">
        <f ca="1">IFERROR(__xludf.DUMMYFUNCTION("GOOGLETRANSLATE(B3142,""en"",""ja"")"),"サーバント")</f>
        <v>サーバント</v>
      </c>
    </row>
    <row r="3115" spans="1:3" ht="18" customHeight="1" x14ac:dyDescent="0.3">
      <c r="A3115" s="1">
        <v>8</v>
      </c>
      <c r="B3115" s="1" t="s">
        <v>1048</v>
      </c>
      <c r="C3115" s="1" t="str">
        <f ca="1">IFERROR(__xludf.DUMMYFUNCTION("GOOGLETRANSLATE(B3143,""en"",""ja"")"),"分ける")</f>
        <v>分ける</v>
      </c>
    </row>
    <row r="3116" spans="1:3" ht="18" customHeight="1" x14ac:dyDescent="0.3">
      <c r="A3116" s="1">
        <v>8</v>
      </c>
      <c r="B3116" s="1" t="s">
        <v>2554</v>
      </c>
      <c r="C3116" s="1" t="str">
        <f ca="1">IFERROR(__xludf.DUMMYFUNCTION("GOOGLETRANSLATE(B3144,""en"",""ja"")"),"送信")</f>
        <v>送信</v>
      </c>
    </row>
    <row r="3117" spans="1:3" ht="18" customHeight="1" x14ac:dyDescent="0.3">
      <c r="A3117" s="1">
        <v>8</v>
      </c>
      <c r="B3117" s="1" t="s">
        <v>2555</v>
      </c>
      <c r="C3117" s="1" t="str">
        <f ca="1">IFERROR(__xludf.DUMMYFUNCTION("GOOGLETRANSLATE(B3145,""en"",""ja"")"),"サンデル")</f>
        <v>サンデル</v>
      </c>
    </row>
    <row r="3118" spans="1:3" ht="18" customHeight="1" x14ac:dyDescent="0.3">
      <c r="A3118" s="1">
        <v>8</v>
      </c>
      <c r="B3118" s="1" t="s">
        <v>2556</v>
      </c>
      <c r="C3118" s="1" t="str">
        <f ca="1">IFERROR(__xludf.DUMMYFUNCTION("GOOGLETRANSLATE(B3146,""en"",""ja"")"),"神聖")</f>
        <v>神聖</v>
      </c>
    </row>
    <row r="3119" spans="1:3" ht="18" customHeight="1" x14ac:dyDescent="0.3">
      <c r="A3119" s="1">
        <v>8</v>
      </c>
      <c r="B3119" s="1" t="s">
        <v>2557</v>
      </c>
      <c r="C3119" s="1" t="str">
        <f ca="1">IFERROR(__xludf.DUMMYFUNCTION("GOOGLETRANSLATE(B3147,""en"",""ja"")"),"ロシア")</f>
        <v>ロシア</v>
      </c>
    </row>
    <row r="3120" spans="1:3" ht="18" customHeight="1" x14ac:dyDescent="0.3">
      <c r="A3120" s="1">
        <v>8</v>
      </c>
      <c r="B3120" s="1" t="s">
        <v>2558</v>
      </c>
      <c r="C3120" s="1" t="str">
        <f ca="1">IFERROR(__xludf.DUMMYFUNCTION("GOOGLETRANSLATE(B3148,""en"",""ja"")"),"ルール")</f>
        <v>ルール</v>
      </c>
    </row>
    <row r="3121" spans="1:3" ht="18" customHeight="1" x14ac:dyDescent="0.3">
      <c r="A3121" s="1">
        <v>8</v>
      </c>
      <c r="B3121" s="1" t="s">
        <v>2559</v>
      </c>
      <c r="C3121" s="1" t="str">
        <f ca="1">IFERROR(__xludf.DUMMYFUNCTION("GOOGLETRANSLATE(B3149,""en"",""ja"")"),"rufous")</f>
        <v>rufous</v>
      </c>
    </row>
    <row r="3122" spans="1:3" ht="18" customHeight="1" x14ac:dyDescent="0.3">
      <c r="A3122" s="1">
        <v>8</v>
      </c>
      <c r="B3122" s="1" t="s">
        <v>2560</v>
      </c>
      <c r="C3122" s="1" t="str">
        <f ca="1">IFERROR(__xludf.DUMMYFUNCTION("GOOGLETRANSLATE(B3150,""en"",""ja"")"),"円形")</f>
        <v>円形</v>
      </c>
    </row>
    <row r="3123" spans="1:3" ht="18" customHeight="1" x14ac:dyDescent="0.3">
      <c r="A3123" s="1">
        <v>8</v>
      </c>
      <c r="B3123" s="1" t="s">
        <v>1900</v>
      </c>
      <c r="C3123" s="1" t="str">
        <f ca="1">IFERROR(__xludf.DUMMYFUNCTION("GOOGLETRANSLATE(B3151,""en"",""ja"")"),"ロボット")</f>
        <v>ロボット</v>
      </c>
    </row>
    <row r="3124" spans="1:3" ht="18" customHeight="1" x14ac:dyDescent="0.3">
      <c r="A3124" s="1">
        <v>8</v>
      </c>
      <c r="B3124" s="1" t="s">
        <v>2561</v>
      </c>
      <c r="C3124" s="1" t="str">
        <f ca="1">IFERROR(__xludf.DUMMYFUNCTION("GOOGLETRANSLATE(B3152,""en"",""ja"")"),"リング")</f>
        <v>リング</v>
      </c>
    </row>
    <row r="3125" spans="1:3" ht="18" customHeight="1" x14ac:dyDescent="0.3">
      <c r="A3125" s="1">
        <v>8</v>
      </c>
      <c r="B3125" s="1" t="s">
        <v>2562</v>
      </c>
      <c r="C3125" s="1" t="str">
        <f ca="1">IFERROR(__xludf.DUMMYFUNCTION("GOOGLETRANSLATE(B3153,""en"",""ja"")"),"取り除きます")</f>
        <v>取り除きます</v>
      </c>
    </row>
    <row r="3126" spans="1:3" ht="18" customHeight="1" x14ac:dyDescent="0.3">
      <c r="A3126" s="1">
        <v>8</v>
      </c>
      <c r="B3126" s="1" t="s">
        <v>2563</v>
      </c>
      <c r="C3126" s="1" t="str">
        <f ca="1">IFERROR(__xludf.DUMMYFUNCTION("GOOGLETRANSLATE(B3154,""en"",""ja"")"),"改訂します")</f>
        <v>改訂します</v>
      </c>
    </row>
    <row r="3127" spans="1:3" ht="18" customHeight="1" x14ac:dyDescent="0.3">
      <c r="A3127" s="1">
        <v>8</v>
      </c>
      <c r="B3127" s="1" t="s">
        <v>2564</v>
      </c>
      <c r="C3127" s="1" t="str">
        <f ca="1">IFERROR(__xludf.DUMMYFUNCTION("GOOGLETRANSLATE(B3155,""en"",""ja"")"),"逆行する")</f>
        <v>逆行する</v>
      </c>
    </row>
    <row r="3128" spans="1:3" ht="18" customHeight="1" x14ac:dyDescent="0.3">
      <c r="A3128" s="1">
        <v>8</v>
      </c>
      <c r="B3128" s="1" t="s">
        <v>546</v>
      </c>
      <c r="C3128" s="1" t="str">
        <f ca="1">IFERROR(__xludf.DUMMYFUNCTION("GOOGLETRANSLATE(B3156,""en"",""ja"")"),"資源")</f>
        <v>資源</v>
      </c>
    </row>
    <row r="3129" spans="1:3" ht="18" customHeight="1" x14ac:dyDescent="0.3">
      <c r="A3129" s="1">
        <v>8</v>
      </c>
      <c r="B3129" s="1" t="s">
        <v>2565</v>
      </c>
      <c r="C3129" s="1" t="str">
        <f ca="1">IFERROR(__xludf.DUMMYFUNCTION("GOOGLETRANSLATE(B3157,""en"",""ja"")"),"リゾート")</f>
        <v>リゾート</v>
      </c>
    </row>
    <row r="3130" spans="1:3" ht="18" customHeight="1" x14ac:dyDescent="0.3">
      <c r="A3130" s="1">
        <v>8</v>
      </c>
      <c r="B3130" s="1" t="s">
        <v>2566</v>
      </c>
      <c r="C3130" s="1" t="str">
        <f ca="1">IFERROR(__xludf.DUMMYFUNCTION("GOOGLETRANSLATE(B3158,""en"",""ja"")"),"抵抗します")</f>
        <v>抵抗します</v>
      </c>
    </row>
    <row r="3131" spans="1:3" ht="18" customHeight="1" x14ac:dyDescent="0.3">
      <c r="A3131" s="1">
        <v>8</v>
      </c>
      <c r="B3131" s="1" t="s">
        <v>2567</v>
      </c>
      <c r="C3131" s="1" t="str">
        <f ca="1">IFERROR(__xludf.DUMMYFUNCTION("GOOGLETRANSLATE(B3159,""en"",""ja"")"),"生殖")</f>
        <v>生殖</v>
      </c>
    </row>
    <row r="3132" spans="1:3" ht="18" customHeight="1" x14ac:dyDescent="0.3">
      <c r="A3132" s="1">
        <v>8</v>
      </c>
      <c r="B3132" s="1" t="s">
        <v>937</v>
      </c>
      <c r="C3132" s="1" t="str">
        <f ca="1">IFERROR(__xludf.DUMMYFUNCTION("GOOGLETRANSLATE(B3160,""en"",""ja"")"),"関係")</f>
        <v>関係</v>
      </c>
    </row>
    <row r="3133" spans="1:3" ht="18" customHeight="1" x14ac:dyDescent="0.3">
      <c r="A3133" s="1">
        <v>8</v>
      </c>
      <c r="B3133" s="1" t="s">
        <v>2568</v>
      </c>
      <c r="C3133" s="1" t="str">
        <f ca="1">IFERROR(__xludf.DUMMYFUNCTION("GOOGLETRANSLATE(B3161,""en"",""ja"")"),"関連")</f>
        <v>関連</v>
      </c>
    </row>
    <row r="3134" spans="1:3" ht="18" customHeight="1" x14ac:dyDescent="0.3">
      <c r="A3134" s="1">
        <v>8</v>
      </c>
      <c r="B3134" s="1" t="s">
        <v>2062</v>
      </c>
      <c r="C3134" s="1" t="str">
        <f ca="1">IFERROR(__xludf.DUMMYFUNCTION("GOOGLETRANSLATE(B3162,""en"",""ja"")"),"拒絶します")</f>
        <v>拒絶します</v>
      </c>
    </row>
    <row r="3135" spans="1:3" ht="18" customHeight="1" x14ac:dyDescent="0.3">
      <c r="A3135" s="1">
        <v>8</v>
      </c>
      <c r="B3135" s="1" t="s">
        <v>2569</v>
      </c>
      <c r="C3135" s="1" t="str">
        <f ca="1">IFERROR(__xludf.DUMMYFUNCTION("GOOGLETRANSLATE(B3163,""en"",""ja"")"),"領域")</f>
        <v>領域</v>
      </c>
    </row>
    <row r="3136" spans="1:3" ht="18" customHeight="1" x14ac:dyDescent="0.3">
      <c r="A3136" s="1">
        <v>8</v>
      </c>
      <c r="B3136" s="1" t="s">
        <v>2570</v>
      </c>
      <c r="C3136" s="1" t="str">
        <f ca="1">IFERROR(__xludf.DUMMYFUNCTION("GOOGLETRANSLATE(B3164,""en"",""ja"")"),"反映")</f>
        <v>反映</v>
      </c>
    </row>
    <row r="3137" spans="1:3" ht="18" customHeight="1" x14ac:dyDescent="0.3">
      <c r="A3137" s="1">
        <v>8</v>
      </c>
      <c r="B3137" s="1" t="s">
        <v>2571</v>
      </c>
      <c r="C3137" s="1" t="str">
        <f ca="1">IFERROR(__xludf.DUMMYFUNCTION("GOOGLETRANSLATE(B3165,""en"",""ja"")"),"言及")</f>
        <v>言及</v>
      </c>
    </row>
    <row r="3138" spans="1:3" ht="18" customHeight="1" x14ac:dyDescent="0.3">
      <c r="A3138" s="1">
        <v>8</v>
      </c>
      <c r="B3138" s="1" t="s">
        <v>1644</v>
      </c>
      <c r="C3138" s="1" t="str">
        <f ca="1">IFERROR(__xludf.DUMMYFUNCTION("GOOGLETRANSLATE(B3166,""en"",""ja"")"),"参照")</f>
        <v>参照</v>
      </c>
    </row>
    <row r="3139" spans="1:3" ht="18" customHeight="1" x14ac:dyDescent="0.3">
      <c r="A3139" s="1">
        <v>8</v>
      </c>
      <c r="B3139" s="1" t="s">
        <v>2572</v>
      </c>
      <c r="C3139" s="1" t="str">
        <f ca="1">IFERROR(__xludf.DUMMYFUNCTION("GOOGLETRANSLATE(B3167,""en"",""ja"")"),"回復")</f>
        <v>回復</v>
      </c>
    </row>
    <row r="3140" spans="1:3" ht="18" customHeight="1" x14ac:dyDescent="0.3">
      <c r="A3140" s="1">
        <v>8</v>
      </c>
      <c r="B3140" s="1" t="s">
        <v>2573</v>
      </c>
      <c r="C3140" s="1" t="str">
        <f ca="1">IFERROR(__xludf.DUMMYFUNCTION("GOOGLETRANSLATE(B3168,""en"",""ja"")"),"反乱")</f>
        <v>反乱</v>
      </c>
    </row>
    <row r="3141" spans="1:3" ht="18" customHeight="1" x14ac:dyDescent="0.3">
      <c r="A3141" s="1">
        <v>8</v>
      </c>
      <c r="B3141" s="1" t="s">
        <v>2574</v>
      </c>
      <c r="C3141" s="1" t="str">
        <f ca="1">IFERROR(__xludf.DUMMYFUNCTION("GOOGLETRANSLATE(B3169,""en"",""ja"")"),"心構え")</f>
        <v>心構え</v>
      </c>
    </row>
    <row r="3142" spans="1:3" ht="18" customHeight="1" x14ac:dyDescent="0.3">
      <c r="A3142" s="1">
        <v>8</v>
      </c>
      <c r="B3142" s="1" t="s">
        <v>2575</v>
      </c>
      <c r="C3142" s="1" t="str">
        <f ca="1">IFERROR(__xludf.DUMMYFUNCTION("GOOGLETRANSLATE(B3170,""en"",""ja"")"),"読者")</f>
        <v>読者</v>
      </c>
    </row>
    <row r="3143" spans="1:3" ht="18" customHeight="1" x14ac:dyDescent="0.3">
      <c r="A3143" s="1">
        <v>8</v>
      </c>
      <c r="B3143" s="1" t="s">
        <v>2576</v>
      </c>
      <c r="C3143" s="1" t="str">
        <f ca="1">IFERROR(__xludf.DUMMYFUNCTION("GOOGLETRANSLATE(B3171,""en"",""ja"")"),"合理化")</f>
        <v>合理化</v>
      </c>
    </row>
    <row r="3144" spans="1:3" ht="18" customHeight="1" x14ac:dyDescent="0.3">
      <c r="A3144" s="1">
        <v>8</v>
      </c>
      <c r="B3144" s="1" t="s">
        <v>2577</v>
      </c>
      <c r="C3144" s="1" t="str">
        <f ca="1">IFERROR(__xludf.DUMMYFUNCTION("GOOGLETRANSLATE(B3172,""en"",""ja"")"),"目的")</f>
        <v>目的</v>
      </c>
    </row>
    <row r="3145" spans="1:3" ht="18" customHeight="1" x14ac:dyDescent="0.3">
      <c r="A3145" s="1">
        <v>8</v>
      </c>
      <c r="B3145" s="1" t="s">
        <v>2578</v>
      </c>
      <c r="C3145" s="1" t="str">
        <f ca="1">IFERROR(__xludf.DUMMYFUNCTION("GOOGLETRANSLATE(B3173,""en"",""ja"")"),"プロイセン")</f>
        <v>プロイセン</v>
      </c>
    </row>
    <row r="3146" spans="1:3" ht="18" customHeight="1" x14ac:dyDescent="0.3">
      <c r="A3146" s="1">
        <v>8</v>
      </c>
      <c r="B3146" s="1" t="s">
        <v>2579</v>
      </c>
      <c r="C3146" s="1" t="str">
        <f ca="1">IFERROR(__xludf.DUMMYFUNCTION("GOOGLETRANSLATE(B3174,""en"",""ja"")"),"プロバイダ")</f>
        <v>プロバイダ</v>
      </c>
    </row>
    <row r="3147" spans="1:3" ht="18" customHeight="1" x14ac:dyDescent="0.3">
      <c r="A3147" s="1">
        <v>8</v>
      </c>
      <c r="B3147" s="1" t="s">
        <v>2580</v>
      </c>
      <c r="C3147" s="1" t="str">
        <f ca="1">IFERROR(__xludf.DUMMYFUNCTION("GOOGLETRANSLATE(B3175,""en"",""ja"")"),"売春婦")</f>
        <v>売春婦</v>
      </c>
    </row>
    <row r="3148" spans="1:3" ht="18" customHeight="1" x14ac:dyDescent="0.3">
      <c r="A3148" s="1">
        <v>8</v>
      </c>
      <c r="B3148" s="1" t="s">
        <v>508</v>
      </c>
      <c r="C3148" s="1" t="str">
        <f ca="1">IFERROR(__xludf.DUMMYFUNCTION("GOOGLETRANSLATE(B3176,""en"",""ja"")"),"事業")</f>
        <v>事業</v>
      </c>
    </row>
    <row r="3149" spans="1:3" ht="18" customHeight="1" x14ac:dyDescent="0.3">
      <c r="A3149" s="1">
        <v>8</v>
      </c>
      <c r="B3149" s="1" t="s">
        <v>2581</v>
      </c>
      <c r="C3149" s="1" t="str">
        <f ca="1">IFERROR(__xludf.DUMMYFUNCTION("GOOGLETRANSLATE(B3177,""en"",""ja"")"),"プログラム")</f>
        <v>プログラム</v>
      </c>
    </row>
    <row r="3150" spans="1:3" ht="18" customHeight="1" x14ac:dyDescent="0.3">
      <c r="A3150" s="1">
        <v>8</v>
      </c>
      <c r="B3150" s="1" t="s">
        <v>2582</v>
      </c>
      <c r="C3150" s="1" t="str">
        <f ca="1">IFERROR(__xludf.DUMMYFUNCTION("GOOGLETRANSLATE(B3178,""en"",""ja"")"),"専門家")</f>
        <v>専門家</v>
      </c>
    </row>
    <row r="3151" spans="1:3" ht="18" customHeight="1" x14ac:dyDescent="0.3">
      <c r="A3151" s="1">
        <v>8</v>
      </c>
      <c r="B3151" s="1" t="s">
        <v>2583</v>
      </c>
      <c r="C3151" s="1" t="str">
        <f ca="1">IFERROR(__xludf.DUMMYFUNCTION("GOOGLETRANSLATE(B3179,""en"",""ja"")"),"公言")</f>
        <v>公言</v>
      </c>
    </row>
    <row r="3152" spans="1:3" ht="18" customHeight="1" x14ac:dyDescent="0.3">
      <c r="A3152" s="1">
        <v>8</v>
      </c>
      <c r="B3152" s="1" t="s">
        <v>2584</v>
      </c>
      <c r="C3152" s="1" t="str">
        <f ca="1">IFERROR(__xludf.DUMMYFUNCTION("GOOGLETRANSLATE(B3180,""en"",""ja"")"),"防止")</f>
        <v>防止</v>
      </c>
    </row>
    <row r="3153" spans="1:3" ht="18" customHeight="1" x14ac:dyDescent="0.3">
      <c r="A3153" s="1">
        <v>8</v>
      </c>
      <c r="B3153" s="1" t="s">
        <v>1258</v>
      </c>
      <c r="C3153" s="1" t="str">
        <f ca="1">IFERROR(__xludf.DUMMYFUNCTION("GOOGLETRANSLATE(B3181,""en"",""ja"")"),"保存します")</f>
        <v>保存します</v>
      </c>
    </row>
    <row r="3154" spans="1:3" ht="18" customHeight="1" x14ac:dyDescent="0.3">
      <c r="A3154" s="1">
        <v>8</v>
      </c>
      <c r="B3154" s="1" t="s">
        <v>2585</v>
      </c>
      <c r="C3154" s="1" t="str">
        <f ca="1">IFERROR(__xludf.DUMMYFUNCTION("GOOGLETRANSLATE(B3182,""en"",""ja"")"),"提示")</f>
        <v>提示</v>
      </c>
    </row>
    <row r="3155" spans="1:3" ht="18" customHeight="1" x14ac:dyDescent="0.3">
      <c r="A3155" s="1">
        <v>8</v>
      </c>
      <c r="B3155" s="1" t="s">
        <v>2586</v>
      </c>
      <c r="C3155" s="1" t="str">
        <f ca="1">IFERROR(__xludf.DUMMYFUNCTION("GOOGLETRANSLATE(B3183,""en"",""ja"")"),"先入観")</f>
        <v>先入観</v>
      </c>
    </row>
    <row r="3156" spans="1:3" ht="18" customHeight="1" x14ac:dyDescent="0.3">
      <c r="A3156" s="1">
        <v>8</v>
      </c>
      <c r="B3156" s="1" t="s">
        <v>2587</v>
      </c>
      <c r="C3156" s="1" t="str">
        <f ca="1">IFERROR(__xludf.DUMMYFUNCTION("GOOGLETRANSLATE(B3184,""en"",""ja"")"),"優位")</f>
        <v>優位</v>
      </c>
    </row>
    <row r="3157" spans="1:3" ht="18" customHeight="1" x14ac:dyDescent="0.3">
      <c r="A3157" s="1">
        <v>8</v>
      </c>
      <c r="B3157" s="1" t="s">
        <v>2588</v>
      </c>
      <c r="C3157" s="1" t="str">
        <f ca="1">IFERROR(__xludf.DUMMYFUNCTION("GOOGLETRANSLATE(B3185,""en"",""ja"")"),"予測")</f>
        <v>予測</v>
      </c>
    </row>
    <row r="3158" spans="1:3" ht="18" customHeight="1" x14ac:dyDescent="0.3">
      <c r="A3158" s="1">
        <v>8</v>
      </c>
      <c r="B3158" s="1" t="s">
        <v>2086</v>
      </c>
      <c r="C3158" s="1" t="str">
        <f ca="1">IFERROR(__xludf.DUMMYFUNCTION("GOOGLETRANSLATE(B3186,""en"",""ja"")"),"プレデター")</f>
        <v>プレデター</v>
      </c>
    </row>
    <row r="3159" spans="1:3" ht="18" customHeight="1" x14ac:dyDescent="0.3">
      <c r="A3159" s="1">
        <v>8</v>
      </c>
      <c r="B3159" s="1" t="s">
        <v>2589</v>
      </c>
      <c r="C3159" s="1" t="str">
        <f ca="1">IFERROR(__xludf.DUMMYFUNCTION("GOOGLETRANSLATE(B3187,""en"",""ja"")"),"精度")</f>
        <v>精度</v>
      </c>
    </row>
    <row r="3160" spans="1:3" ht="18" customHeight="1" x14ac:dyDescent="0.3">
      <c r="A3160" s="1">
        <v>8</v>
      </c>
      <c r="B3160" s="1" t="s">
        <v>842</v>
      </c>
      <c r="C3160" s="1" t="str">
        <f ca="1">IFERROR(__xludf.DUMMYFUNCTION("GOOGLETRANSLATE(B3188,""en"",""ja"")"),"潜在的な")</f>
        <v>潜在的な</v>
      </c>
    </row>
    <row r="3161" spans="1:3" ht="18" customHeight="1" x14ac:dyDescent="0.3">
      <c r="A3161" s="1">
        <v>8</v>
      </c>
      <c r="B3161" s="1" t="s">
        <v>2590</v>
      </c>
      <c r="C3161" s="1" t="str">
        <f ca="1">IFERROR(__xludf.DUMMYFUNCTION("GOOGLETRANSLATE(B3189,""en"",""ja"")"),"保有")</f>
        <v>保有</v>
      </c>
    </row>
    <row r="3162" spans="1:3" ht="18" customHeight="1" x14ac:dyDescent="0.3">
      <c r="A3162" s="1">
        <v>8</v>
      </c>
      <c r="B3162" s="1" t="s">
        <v>2591</v>
      </c>
      <c r="C3162" s="1" t="str">
        <f ca="1">IFERROR(__xludf.DUMMYFUNCTION("GOOGLETRANSLATE(B3190,""en"",""ja"")"),"ポータビリティ")</f>
        <v>ポータビリティ</v>
      </c>
    </row>
    <row r="3163" spans="1:3" ht="18" customHeight="1" x14ac:dyDescent="0.3">
      <c r="A3163" s="1">
        <v>8</v>
      </c>
      <c r="B3163" s="1" t="s">
        <v>758</v>
      </c>
      <c r="C3163" s="1" t="str">
        <f ca="1">IFERROR(__xludf.DUMMYFUNCTION("GOOGLETRANSLATE(B3191,""en"",""ja"")"),"政治")</f>
        <v>政治</v>
      </c>
    </row>
    <row r="3164" spans="1:3" ht="18" customHeight="1" x14ac:dyDescent="0.3">
      <c r="A3164" s="1">
        <v>8</v>
      </c>
      <c r="B3164" s="1" t="s">
        <v>2592</v>
      </c>
      <c r="C3164" s="1" t="str">
        <f ca="1">IFERROR(__xludf.DUMMYFUNCTION("GOOGLETRANSLATE(B3192,""en"",""ja"")"),"多元")</f>
        <v>多元</v>
      </c>
    </row>
    <row r="3165" spans="1:3" ht="18" customHeight="1" x14ac:dyDescent="0.3">
      <c r="A3165" s="1">
        <v>8</v>
      </c>
      <c r="B3165" s="1" t="s">
        <v>2593</v>
      </c>
      <c r="C3165" s="1" t="str">
        <f ca="1">IFERROR(__xludf.DUMMYFUNCTION("GOOGLETRANSLATE(B3193,""en"",""ja"")"),"植物")</f>
        <v>植物</v>
      </c>
    </row>
    <row r="3166" spans="1:3" ht="18" customHeight="1" x14ac:dyDescent="0.3">
      <c r="A3166" s="1">
        <v>8</v>
      </c>
      <c r="B3166" s="1" t="s">
        <v>2594</v>
      </c>
      <c r="C3166" s="1" t="str">
        <f ca="1">IFERROR(__xludf.DUMMYFUNCTION("GOOGLETRANSLATE(B3194,""en"",""ja"")"),"予定")</f>
        <v>予定</v>
      </c>
    </row>
    <row r="3167" spans="1:3" ht="18" customHeight="1" x14ac:dyDescent="0.3">
      <c r="A3167" s="1">
        <v>8</v>
      </c>
      <c r="B3167" s="1" t="s">
        <v>2595</v>
      </c>
      <c r="C3167" s="1" t="str">
        <f ca="1">IFERROR(__xludf.DUMMYFUNCTION("GOOGLETRANSLATE(B3195,""en"",""ja"")"),"プランニング")</f>
        <v>プランニング</v>
      </c>
    </row>
    <row r="3168" spans="1:3" ht="18" customHeight="1" x14ac:dyDescent="0.3">
      <c r="A3168" s="1">
        <v>8</v>
      </c>
      <c r="B3168" s="1" t="s">
        <v>2596</v>
      </c>
      <c r="C3168" s="1" t="str">
        <f ca="1">IFERROR(__xludf.DUMMYFUNCTION("GOOGLETRANSLATE(B3196,""en"",""ja"")"),"山")</f>
        <v>山</v>
      </c>
    </row>
    <row r="3169" spans="1:3" ht="18" customHeight="1" x14ac:dyDescent="0.3">
      <c r="A3169" s="1">
        <v>8</v>
      </c>
      <c r="B3169" s="1" t="s">
        <v>2597</v>
      </c>
      <c r="C3169" s="1" t="str">
        <f ca="1">IFERROR(__xludf.DUMMYFUNCTION("GOOGLETRANSLATE(B3197,""en"",""ja"")"),"ピック")</f>
        <v>ピック</v>
      </c>
    </row>
    <row r="3170" spans="1:3" ht="18" customHeight="1" x14ac:dyDescent="0.3">
      <c r="A3170" s="1">
        <v>8</v>
      </c>
      <c r="B3170" s="1" t="s">
        <v>2598</v>
      </c>
      <c r="C3170" s="1" t="str">
        <f ca="1">IFERROR(__xludf.DUMMYFUNCTION("GOOGLETRANSLATE(B3198,""en"",""ja"")"),"ピアジェ")</f>
        <v>ピアジェ</v>
      </c>
    </row>
    <row r="3171" spans="1:3" ht="18" customHeight="1" x14ac:dyDescent="0.3">
      <c r="A3171" s="1">
        <v>8</v>
      </c>
      <c r="B3171" s="1" t="s">
        <v>2599</v>
      </c>
      <c r="C3171" s="1" t="str">
        <f ca="1">IFERROR(__xludf.DUMMYFUNCTION("GOOGLETRANSLATE(B3199,""en"",""ja"")"),"フェロモン")</f>
        <v>フェロモン</v>
      </c>
    </row>
    <row r="3172" spans="1:3" ht="18" customHeight="1" x14ac:dyDescent="0.3">
      <c r="A3172" s="1">
        <v>8</v>
      </c>
      <c r="B3172" s="1" t="s">
        <v>2600</v>
      </c>
      <c r="C3172" s="1" t="str">
        <f ca="1">IFERROR(__xludf.DUMMYFUNCTION("GOOGLETRANSLATE(B3200,""en"",""ja"")"),"完璧")</f>
        <v>完璧</v>
      </c>
    </row>
    <row r="3173" spans="1:3" ht="18" customHeight="1" x14ac:dyDescent="0.3">
      <c r="A3173" s="1">
        <v>8</v>
      </c>
      <c r="B3173" s="1" t="s">
        <v>2601</v>
      </c>
      <c r="C3173" s="1" t="str">
        <f ca="1">IFERROR(__xludf.DUMMYFUNCTION("GOOGLETRANSLATE(B3201,""en"",""ja"")"),"ペン")</f>
        <v>ペン</v>
      </c>
    </row>
    <row r="3174" spans="1:3" ht="18" customHeight="1" x14ac:dyDescent="0.3">
      <c r="A3174" s="1">
        <v>8</v>
      </c>
      <c r="B3174" s="1" t="s">
        <v>2602</v>
      </c>
      <c r="C3174" s="1" t="str">
        <f ca="1">IFERROR(__xludf.DUMMYFUNCTION("GOOGLETRANSLATE(B3202,""en"",""ja"")"),"小道")</f>
        <v>小道</v>
      </c>
    </row>
    <row r="3175" spans="1:3" ht="18" customHeight="1" x14ac:dyDescent="0.3">
      <c r="A3175" s="1">
        <v>8</v>
      </c>
      <c r="B3175" s="1" t="s">
        <v>2603</v>
      </c>
      <c r="C3175" s="1" t="str">
        <f ca="1">IFERROR(__xludf.DUMMYFUNCTION("GOOGLETRANSLATE(B3203,""en"",""ja"")"),"パサデナ")</f>
        <v>パサデナ</v>
      </c>
    </row>
    <row r="3176" spans="1:3" ht="18" customHeight="1" x14ac:dyDescent="0.3">
      <c r="A3176" s="1">
        <v>8</v>
      </c>
      <c r="B3176" s="1" t="s">
        <v>2604</v>
      </c>
      <c r="C3176" s="1" t="str">
        <f ca="1">IFERROR(__xludf.DUMMYFUNCTION("GOOGLETRANSLATE(B3204,""en"",""ja"")"),"参加します")</f>
        <v>参加します</v>
      </c>
    </row>
    <row r="3177" spans="1:3" ht="18" customHeight="1" x14ac:dyDescent="0.3">
      <c r="A3177" s="1">
        <v>8</v>
      </c>
      <c r="B3177" s="1" t="s">
        <v>2605</v>
      </c>
      <c r="C3177" s="1" t="str">
        <f ca="1">IFERROR(__xludf.DUMMYFUNCTION("GOOGLETRANSLATE(B3205,""en"",""ja"")"),"部分的に")</f>
        <v>部分的に</v>
      </c>
    </row>
    <row r="3178" spans="1:3" ht="18" customHeight="1" x14ac:dyDescent="0.3">
      <c r="A3178" s="1">
        <v>8</v>
      </c>
      <c r="B3178" s="1" t="s">
        <v>2606</v>
      </c>
      <c r="C3178" s="1" t="str">
        <f ca="1">IFERROR(__xludf.DUMMYFUNCTION("GOOGLETRANSLATE(B3206,""en"",""ja"")"),"議会")</f>
        <v>議会</v>
      </c>
    </row>
    <row r="3179" spans="1:3" ht="18" customHeight="1" x14ac:dyDescent="0.3">
      <c r="A3179" s="1">
        <v>8</v>
      </c>
      <c r="B3179" s="1" t="s">
        <v>2607</v>
      </c>
      <c r="C3179" s="1" t="str">
        <f ca="1">IFERROR(__xludf.DUMMYFUNCTION("GOOGLETRANSLATE(B3207,""en"",""ja"")"),"親の")</f>
        <v>親の</v>
      </c>
    </row>
    <row r="3180" spans="1:3" ht="18" customHeight="1" x14ac:dyDescent="0.3">
      <c r="A3180" s="1">
        <v>8</v>
      </c>
      <c r="B3180" s="1" t="s">
        <v>2608</v>
      </c>
      <c r="C3180" s="1" t="str">
        <f ca="1">IFERROR(__xludf.DUMMYFUNCTION("GOOGLETRANSLATE(B3208,""en"",""ja"")"),"平行")</f>
        <v>平行</v>
      </c>
    </row>
    <row r="3181" spans="1:3" ht="18" customHeight="1" x14ac:dyDescent="0.3">
      <c r="A3181" s="1">
        <v>8</v>
      </c>
      <c r="B3181" s="1" t="s">
        <v>2609</v>
      </c>
      <c r="C3181" s="1" t="str">
        <f ca="1">IFERROR(__xludf.DUMMYFUNCTION("GOOGLETRANSLATE(B3209,""en"",""ja"")"),"論文")</f>
        <v>論文</v>
      </c>
    </row>
    <row r="3182" spans="1:3" ht="18" customHeight="1" x14ac:dyDescent="0.3">
      <c r="A3182" s="1">
        <v>8</v>
      </c>
      <c r="B3182" s="1" t="s">
        <v>2610</v>
      </c>
      <c r="C3182" s="1" t="str">
        <f ca="1">IFERROR(__xludf.DUMMYFUNCTION("GOOGLETRANSLATE(B3210,""en"",""ja"")"),"アウトソーシング")</f>
        <v>アウトソーシング</v>
      </c>
    </row>
    <row r="3183" spans="1:3" ht="18" customHeight="1" x14ac:dyDescent="0.3">
      <c r="A3183" s="1">
        <v>8</v>
      </c>
      <c r="B3183" s="1" t="s">
        <v>2611</v>
      </c>
      <c r="C3183" s="1" t="str">
        <f ca="1">IFERROR(__xludf.DUMMYFUNCTION("GOOGLETRANSLATE(B3211,""en"",""ja"")"),"指向")</f>
        <v>指向</v>
      </c>
    </row>
    <row r="3184" spans="1:3" ht="18" customHeight="1" x14ac:dyDescent="0.3">
      <c r="A3184" s="1">
        <v>8</v>
      </c>
      <c r="B3184" s="1" t="s">
        <v>2612</v>
      </c>
      <c r="C3184" s="1" t="str">
        <f ca="1">IFERROR(__xludf.DUMMYFUNCTION("GOOGLETRANSLATE(B3212,""en"",""ja"")"),"整理")</f>
        <v>整理</v>
      </c>
    </row>
    <row r="3185" spans="1:3" ht="18" customHeight="1" x14ac:dyDescent="0.3">
      <c r="A3185" s="1">
        <v>8</v>
      </c>
      <c r="B3185" s="1" t="s">
        <v>2613</v>
      </c>
      <c r="C3185" s="1" t="str">
        <f ca="1">IFERROR(__xludf.DUMMYFUNCTION("GOOGLETRANSLATE(B3213,""en"",""ja"")"),"相手")</f>
        <v>相手</v>
      </c>
    </row>
    <row r="3186" spans="1:3" ht="18" customHeight="1" x14ac:dyDescent="0.3">
      <c r="A3186" s="1">
        <v>8</v>
      </c>
      <c r="B3186" s="1" t="s">
        <v>2614</v>
      </c>
      <c r="C3186" s="1" t="str">
        <f ca="1">IFERROR(__xludf.DUMMYFUNCTION("GOOGLETRANSLATE(B3214,""en"",""ja"")"),"操作")</f>
        <v>操作</v>
      </c>
    </row>
    <row r="3187" spans="1:3" ht="18" customHeight="1" x14ac:dyDescent="0.3">
      <c r="A3187" s="1">
        <v>8</v>
      </c>
      <c r="B3187" s="1" t="s">
        <v>2615</v>
      </c>
      <c r="C3187" s="1" t="str">
        <f ca="1">IFERROR(__xludf.DUMMYFUNCTION("GOOGLETRANSLATE(B3215,""en"",""ja"")"),"油")</f>
        <v>油</v>
      </c>
    </row>
    <row r="3188" spans="1:3" ht="18" customHeight="1" x14ac:dyDescent="0.3">
      <c r="A3188" s="1">
        <v>8</v>
      </c>
      <c r="B3188" s="1" t="s">
        <v>1777</v>
      </c>
      <c r="C3188" s="1" t="str">
        <f ca="1">IFERROR(__xludf.DUMMYFUNCTION("GOOGLETRANSLATE(B3216,""en"",""ja"")"),"子孫")</f>
        <v>子孫</v>
      </c>
    </row>
    <row r="3189" spans="1:3" ht="18" customHeight="1" x14ac:dyDescent="0.3">
      <c r="A3189" s="1">
        <v>8</v>
      </c>
      <c r="B3189" s="1" t="s">
        <v>2616</v>
      </c>
      <c r="C3189" s="1" t="str">
        <f ca="1">IFERROR(__xludf.DUMMYFUNCTION("GOOGLETRANSLATE(B3217,""en"",""ja"")"),"明らかに")</f>
        <v>明らかに</v>
      </c>
    </row>
    <row r="3190" spans="1:3" ht="18" customHeight="1" x14ac:dyDescent="0.3">
      <c r="A3190" s="1">
        <v>8</v>
      </c>
      <c r="B3190" s="1" t="s">
        <v>2617</v>
      </c>
      <c r="C3190" s="1" t="str">
        <f ca="1">IFERROR(__xludf.DUMMYFUNCTION("GOOGLETRANSLATE(B3218,""en"",""ja"")"),"未然に防ぐ")</f>
        <v>未然に防ぐ</v>
      </c>
    </row>
    <row r="3191" spans="1:3" ht="18" customHeight="1" x14ac:dyDescent="0.3">
      <c r="A3191" s="1">
        <v>8</v>
      </c>
      <c r="B3191" s="1" t="s">
        <v>2618</v>
      </c>
      <c r="C3191" s="1" t="str">
        <f ca="1">IFERROR(__xludf.DUMMYFUNCTION("GOOGLETRANSLATE(B3219,""en"",""ja"")"),"観測")</f>
        <v>観測</v>
      </c>
    </row>
    <row r="3192" spans="1:3" ht="18" customHeight="1" x14ac:dyDescent="0.3">
      <c r="A3192" s="1">
        <v>8</v>
      </c>
      <c r="B3192" s="1" t="s">
        <v>628</v>
      </c>
      <c r="C3192" s="1" t="str">
        <f ca="1">IFERROR(__xludf.DUMMYFUNCTION("GOOGLETRANSLATE(B3220,""en"",""ja"")"),"何も")</f>
        <v>何も</v>
      </c>
    </row>
    <row r="3193" spans="1:3" ht="18" customHeight="1" x14ac:dyDescent="0.3">
      <c r="A3193" s="1">
        <v>8</v>
      </c>
      <c r="B3193" s="1" t="s">
        <v>1930</v>
      </c>
      <c r="C3193" s="1" t="str">
        <f ca="1">IFERROR(__xludf.DUMMYFUNCTION("GOOGLETRANSLATE(B3221,""en"",""ja"")"),"注意")</f>
        <v>注意</v>
      </c>
    </row>
    <row r="3194" spans="1:3" ht="18" customHeight="1" x14ac:dyDescent="0.3">
      <c r="A3194" s="1">
        <v>8</v>
      </c>
      <c r="B3194" s="1" t="s">
        <v>1262</v>
      </c>
      <c r="C3194" s="1" t="str">
        <f ca="1">IFERROR(__xludf.DUMMYFUNCTION("GOOGLETRANSLATE(B3222,""en"",""ja"")"),"正常")</f>
        <v>正常</v>
      </c>
    </row>
    <row r="3195" spans="1:3" ht="18" customHeight="1" x14ac:dyDescent="0.3">
      <c r="A3195" s="1">
        <v>8</v>
      </c>
      <c r="B3195" s="1" t="s">
        <v>1263</v>
      </c>
      <c r="C3195" s="1" t="str">
        <f ca="1">IFERROR(__xludf.DUMMYFUNCTION("GOOGLETRANSLATE(B3223,""en"",""ja"")"),"無し")</f>
        <v>無し</v>
      </c>
    </row>
    <row r="3196" spans="1:3" ht="18" customHeight="1" x14ac:dyDescent="0.3">
      <c r="A3196" s="1">
        <v>8</v>
      </c>
      <c r="B3196" s="1" t="s">
        <v>2619</v>
      </c>
      <c r="C3196" s="1" t="str">
        <f ca="1">IFERROR(__xludf.DUMMYFUNCTION("GOOGLETRANSLATE(B3224,""en"",""ja"")"),"nonbehavioral")</f>
        <v>nonbehavioral</v>
      </c>
    </row>
    <row r="3197" spans="1:3" ht="18" customHeight="1" x14ac:dyDescent="0.3">
      <c r="A3197" s="1">
        <v>8</v>
      </c>
      <c r="B3197" s="1" t="s">
        <v>2620</v>
      </c>
      <c r="C3197" s="1" t="str">
        <f ca="1">IFERROR(__xludf.DUMMYFUNCTION("GOOGLETRANSLATE(B3226,""en"",""ja"")"),"新聞")</f>
        <v>新聞</v>
      </c>
    </row>
    <row r="3198" spans="1:3" ht="18" customHeight="1" x14ac:dyDescent="0.3">
      <c r="A3198" s="1">
        <v>8</v>
      </c>
      <c r="B3198" s="1" t="s">
        <v>1113</v>
      </c>
      <c r="C3198" s="1" t="str">
        <f ca="1">IFERROR(__xludf.DUMMYFUNCTION("GOOGLETRANSLATE(B3227,""en"",""ja"")"),"それにもかかわらず")</f>
        <v>それにもかかわらず</v>
      </c>
    </row>
    <row r="3199" spans="1:3" ht="18" customHeight="1" x14ac:dyDescent="0.3">
      <c r="A3199" s="1">
        <v>8</v>
      </c>
      <c r="B3199" s="1" t="s">
        <v>2621</v>
      </c>
      <c r="C3199" s="1" t="str">
        <f ca="1">IFERROR(__xludf.DUMMYFUNCTION("GOOGLETRANSLATE(B3228,""en"",""ja"")"),"中和します")</f>
        <v>中和します</v>
      </c>
    </row>
    <row r="3200" spans="1:3" ht="18" customHeight="1" x14ac:dyDescent="0.3">
      <c r="A3200" s="1">
        <v>8</v>
      </c>
      <c r="B3200" s="1" t="s">
        <v>2622</v>
      </c>
      <c r="C3200" s="1" t="str">
        <f ca="1">IFERROR(__xludf.DUMMYFUNCTION("GOOGLETRANSLATE(B3229,""en"",""ja"")"),"ニューロン")</f>
        <v>ニューロン</v>
      </c>
    </row>
    <row r="3201" spans="1:3" ht="18" customHeight="1" x14ac:dyDescent="0.3">
      <c r="A3201" s="1">
        <v>8</v>
      </c>
      <c r="B3201" s="1" t="s">
        <v>2623</v>
      </c>
      <c r="C3201" s="1" t="str">
        <f ca="1">IFERROR(__xludf.DUMMYFUNCTION("GOOGLETRANSLATE(B3230,""en"",""ja"")"),"ご近所")</f>
        <v>ご近所</v>
      </c>
    </row>
    <row r="3202" spans="1:3" ht="18" customHeight="1" x14ac:dyDescent="0.3">
      <c r="A3202" s="1">
        <v>8</v>
      </c>
      <c r="B3202" s="1" t="s">
        <v>2624</v>
      </c>
      <c r="C3202" s="1" t="str">
        <f ca="1">IFERROR(__xludf.DUMMYFUNCTION("GOOGLETRANSLATE(B3231,""en"",""ja"")"),"近所の")</f>
        <v>近所の</v>
      </c>
    </row>
    <row r="3203" spans="1:3" ht="18" customHeight="1" x14ac:dyDescent="0.3">
      <c r="A3203" s="1">
        <v>8</v>
      </c>
      <c r="B3203" s="1" t="s">
        <v>2625</v>
      </c>
      <c r="C3203" s="1" t="str">
        <f ca="1">IFERROR(__xludf.DUMMYFUNCTION("GOOGLETRANSLATE(B3232,""en"",""ja"")"),"ネアンデルタール人")</f>
        <v>ネアンデルタール人</v>
      </c>
    </row>
    <row r="3204" spans="1:3" ht="18" customHeight="1" x14ac:dyDescent="0.3">
      <c r="A3204" s="1">
        <v>8</v>
      </c>
      <c r="B3204" s="1" t="s">
        <v>2626</v>
      </c>
      <c r="C3204" s="1" t="str">
        <f ca="1">IFERROR(__xludf.DUMMYFUNCTION("GOOGLETRANSLATE(B3233,""en"",""ja"")"),"当然")</f>
        <v>当然</v>
      </c>
    </row>
    <row r="3205" spans="1:3" ht="18" customHeight="1" x14ac:dyDescent="0.3">
      <c r="A3205" s="1">
        <v>8</v>
      </c>
      <c r="B3205" s="1" t="s">
        <v>2627</v>
      </c>
      <c r="C3205" s="1" t="str">
        <f ca="1">IFERROR(__xludf.DUMMYFUNCTION("GOOGLETRANSLATE(B3234,""en"",""ja"")"),"国籍")</f>
        <v>国籍</v>
      </c>
    </row>
    <row r="3206" spans="1:3" ht="18" customHeight="1" x14ac:dyDescent="0.3">
      <c r="A3206" s="1">
        <v>8</v>
      </c>
      <c r="B3206" s="1" t="s">
        <v>2628</v>
      </c>
      <c r="C3206" s="1" t="str">
        <f ca="1">IFERROR(__xludf.DUMMYFUNCTION("GOOGLETRANSLATE(B3235,""en"",""ja"")"),"命名")</f>
        <v>命名</v>
      </c>
    </row>
    <row r="3207" spans="1:3" ht="18" customHeight="1" x14ac:dyDescent="0.3">
      <c r="A3207" s="1">
        <v>8</v>
      </c>
      <c r="B3207" s="1" t="s">
        <v>2629</v>
      </c>
      <c r="C3207" s="1" t="str">
        <f ca="1">IFERROR(__xludf.DUMMYFUNCTION("GOOGLETRANSLATE(B3236,""en"",""ja"")"),"神秘")</f>
        <v>神秘</v>
      </c>
    </row>
    <row r="3208" spans="1:3" ht="18" customHeight="1" x14ac:dyDescent="0.3">
      <c r="A3208" s="1">
        <v>8</v>
      </c>
      <c r="B3208" s="1" t="s">
        <v>492</v>
      </c>
      <c r="C3208" s="1" t="str">
        <f ca="1">IFERROR(__xludf.DUMMYFUNCTION("GOOGLETRANSLATE(B3237,""en"",""ja"")"),"動き")</f>
        <v>動き</v>
      </c>
    </row>
    <row r="3209" spans="1:3" ht="18" customHeight="1" x14ac:dyDescent="0.3">
      <c r="A3209" s="1">
        <v>8</v>
      </c>
      <c r="B3209" s="1" t="s">
        <v>2630</v>
      </c>
      <c r="C3209" s="1" t="str">
        <f ca="1">IFERROR(__xludf.DUMMYFUNCTION("GOOGLETRANSLATE(B3238,""en"",""ja"")"),"型")</f>
        <v>型</v>
      </c>
    </row>
    <row r="3210" spans="1:3" ht="18" customHeight="1" x14ac:dyDescent="0.3">
      <c r="A3210" s="1">
        <v>8</v>
      </c>
      <c r="B3210" s="1" t="s">
        <v>2631</v>
      </c>
      <c r="C3210" s="1" t="str">
        <f ca="1">IFERROR(__xludf.DUMMYFUNCTION("GOOGLETRANSLATE(B3239,""en"",""ja"")"),"やる気")</f>
        <v>やる気</v>
      </c>
    </row>
    <row r="3211" spans="1:3" ht="18" customHeight="1" x14ac:dyDescent="0.3">
      <c r="A3211" s="1">
        <v>8</v>
      </c>
      <c r="B3211" s="1" t="s">
        <v>2632</v>
      </c>
      <c r="C3211" s="1" t="str">
        <f ca="1">IFERROR(__xludf.DUMMYFUNCTION("GOOGLETRANSLATE(B3240,""en"",""ja"")"),"毎月")</f>
        <v>毎月</v>
      </c>
    </row>
    <row r="3212" spans="1:3" ht="18" customHeight="1" x14ac:dyDescent="0.3">
      <c r="A3212" s="1">
        <v>8</v>
      </c>
      <c r="B3212" s="1" t="s">
        <v>2633</v>
      </c>
      <c r="C3212" s="1" t="str">
        <f ca="1">IFERROR(__xludf.DUMMYFUNCTION("GOOGLETRANSLATE(B3241,""en"",""ja"")"),"適度")</f>
        <v>適度</v>
      </c>
    </row>
    <row r="3213" spans="1:3" ht="18" customHeight="1" x14ac:dyDescent="0.3">
      <c r="A3213" s="1">
        <v>8</v>
      </c>
      <c r="B3213" s="1" t="s">
        <v>2634</v>
      </c>
      <c r="C3213" s="1" t="str">
        <f ca="1">IFERROR(__xludf.DUMMYFUNCTION("GOOGLETRANSLATE(B3242,""en"",""ja"")"),"悲惨")</f>
        <v>悲惨</v>
      </c>
    </row>
    <row r="3214" spans="1:3" ht="18" customHeight="1" x14ac:dyDescent="0.3">
      <c r="A3214" s="1">
        <v>8</v>
      </c>
      <c r="B3214" s="1" t="s">
        <v>2635</v>
      </c>
      <c r="C3214" s="1" t="str">
        <f ca="1">IFERROR(__xludf.DUMMYFUNCTION("GOOGLETRANSLATE(B3243,""en"",""ja"")"),"惨め")</f>
        <v>惨め</v>
      </c>
    </row>
    <row r="3215" spans="1:3" ht="18" customHeight="1" x14ac:dyDescent="0.3">
      <c r="A3215" s="1">
        <v>8</v>
      </c>
      <c r="B3215" s="1" t="s">
        <v>2636</v>
      </c>
      <c r="C3215" s="1" t="str">
        <f ca="1">IFERROR(__xludf.DUMMYFUNCTION("GOOGLETRANSLATE(B3244,""en"",""ja"")"),"奇跡")</f>
        <v>奇跡</v>
      </c>
    </row>
    <row r="3216" spans="1:3" ht="18" customHeight="1" x14ac:dyDescent="0.3">
      <c r="A3216" s="1">
        <v>8</v>
      </c>
      <c r="B3216" s="1" t="s">
        <v>2637</v>
      </c>
      <c r="C3216" s="1" t="str">
        <f ca="1">IFERROR(__xludf.DUMMYFUNCTION("GOOGLETRANSLATE(B3245,""en"",""ja"")"),"MET")</f>
        <v>MET</v>
      </c>
    </row>
    <row r="3217" spans="1:3" ht="18" customHeight="1" x14ac:dyDescent="0.3">
      <c r="A3217" s="1">
        <v>8</v>
      </c>
      <c r="B3217" s="1" t="s">
        <v>1269</v>
      </c>
      <c r="C3217" s="1" t="str">
        <f ca="1">IFERROR(__xludf.DUMMYFUNCTION("GOOGLETRANSLATE(B3246,""en"",""ja"")"),"値する")</f>
        <v>値する</v>
      </c>
    </row>
    <row r="3218" spans="1:3" ht="18" customHeight="1" x14ac:dyDescent="0.3">
      <c r="A3218" s="1">
        <v>8</v>
      </c>
      <c r="B3218" s="1" t="s">
        <v>2638</v>
      </c>
      <c r="C3218" s="1" t="str">
        <f ca="1">IFERROR(__xludf.DUMMYFUNCTION("GOOGLETRANSLATE(B3247,""en"",""ja"")"),"慈悲")</f>
        <v>慈悲</v>
      </c>
    </row>
    <row r="3219" spans="1:3" ht="18" customHeight="1" x14ac:dyDescent="0.3">
      <c r="A3219" s="1">
        <v>8</v>
      </c>
      <c r="B3219" s="1" t="s">
        <v>2639</v>
      </c>
      <c r="C3219" s="1" t="str">
        <f ca="1">IFERROR(__xludf.DUMMYFUNCTION("GOOGLETRANSLATE(B3248,""en"",""ja"")"),"瞑想")</f>
        <v>瞑想</v>
      </c>
    </row>
    <row r="3220" spans="1:3" ht="18" customHeight="1" x14ac:dyDescent="0.3">
      <c r="A3220" s="1">
        <v>8</v>
      </c>
      <c r="B3220" s="1" t="s">
        <v>2640</v>
      </c>
      <c r="C3220" s="1" t="str">
        <f ca="1">IFERROR(__xludf.DUMMYFUNCTION("GOOGLETRANSLATE(B3249,""en"",""ja"")"),"対策")</f>
        <v>対策</v>
      </c>
    </row>
    <row r="3221" spans="1:3" ht="18" customHeight="1" x14ac:dyDescent="0.3">
      <c r="A3221" s="1">
        <v>8</v>
      </c>
      <c r="B3221" s="1" t="s">
        <v>2641</v>
      </c>
      <c r="C3221" s="1" t="str">
        <f ca="1">IFERROR(__xludf.DUMMYFUNCTION("GOOGLETRANSLATE(B3250,""en"",""ja"")"),"測定")</f>
        <v>測定</v>
      </c>
    </row>
    <row r="3222" spans="1:3" ht="18" customHeight="1" x14ac:dyDescent="0.3">
      <c r="A3222" s="1">
        <v>8</v>
      </c>
      <c r="B3222" s="1" t="s">
        <v>2642</v>
      </c>
      <c r="C3222" s="1" t="str">
        <f ca="1">IFERROR(__xludf.DUMMYFUNCTION("GOOGLETRANSLATE(B3251,""en"",""ja"")"),"最大化")</f>
        <v>最大化</v>
      </c>
    </row>
    <row r="3223" spans="1:3" ht="18" customHeight="1" x14ac:dyDescent="0.3">
      <c r="A3223" s="1">
        <v>8</v>
      </c>
      <c r="B3223" s="1" t="s">
        <v>2365</v>
      </c>
      <c r="C3223" s="1" t="str">
        <f ca="1">IFERROR(__xludf.DUMMYFUNCTION("GOOGLETRANSLATE(B3252,""en"",""ja"")"),"主人")</f>
        <v>主人</v>
      </c>
    </row>
    <row r="3224" spans="1:3" ht="18" customHeight="1" x14ac:dyDescent="0.3">
      <c r="A3224" s="1">
        <v>8</v>
      </c>
      <c r="B3224" s="1" t="s">
        <v>2643</v>
      </c>
      <c r="C3224" s="1" t="str">
        <f ca="1">IFERROR(__xludf.DUMMYFUNCTION("GOOGLETRANSLATE(B3253,""en"",""ja"")"),"結婚")</f>
        <v>結婚</v>
      </c>
    </row>
    <row r="3225" spans="1:3" ht="18" customHeight="1" x14ac:dyDescent="0.3">
      <c r="A3225" s="1">
        <v>8</v>
      </c>
      <c r="B3225" s="1" t="s">
        <v>2644</v>
      </c>
      <c r="C3225" s="1" t="str">
        <f ca="1">IFERROR(__xludf.DUMMYFUNCTION("GOOGLETRANSLATE(B3255,""en"",""ja"")"),"マークされた")</f>
        <v>マークされた</v>
      </c>
    </row>
    <row r="3226" spans="1:3" ht="18" customHeight="1" x14ac:dyDescent="0.3">
      <c r="A3226" s="1">
        <v>8</v>
      </c>
      <c r="B3226" s="1" t="s">
        <v>2645</v>
      </c>
      <c r="C3226" s="1" t="str">
        <f ca="1">IFERROR(__xludf.DUMMYFUNCTION("GOOGLETRANSLATE(B3256,""en"",""ja"")"),"マッピングされました")</f>
        <v>マッピングされました</v>
      </c>
    </row>
    <row r="3227" spans="1:3" ht="18" customHeight="1" x14ac:dyDescent="0.3">
      <c r="A3227" s="1">
        <v>8</v>
      </c>
      <c r="B3227" s="1" t="s">
        <v>2646</v>
      </c>
      <c r="C3227" s="1" t="str">
        <f ca="1">IFERROR(__xludf.DUMMYFUNCTION("GOOGLETRANSLATE(B3257,""en"",""ja"")"),"真央")</f>
        <v>真央</v>
      </c>
    </row>
    <row r="3228" spans="1:3" ht="18" customHeight="1" x14ac:dyDescent="0.3">
      <c r="A3228" s="1">
        <v>8</v>
      </c>
      <c r="B3228" s="1" t="s">
        <v>1936</v>
      </c>
      <c r="C3228" s="1" t="str">
        <f ca="1">IFERROR(__xludf.DUMMYFUNCTION("GOOGLETRANSLATE(B3258,""en"",""ja"")"),"メーカー")</f>
        <v>メーカー</v>
      </c>
    </row>
    <row r="3229" spans="1:3" ht="18" customHeight="1" x14ac:dyDescent="0.3">
      <c r="A3229" s="1">
        <v>8</v>
      </c>
      <c r="B3229" s="1" t="s">
        <v>2647</v>
      </c>
      <c r="C3229" s="1" t="str">
        <f ca="1">IFERROR(__xludf.DUMMYFUNCTION("GOOGLETRANSLATE(B3259,""en"",""ja"")"),"マニホールド")</f>
        <v>マニホールド</v>
      </c>
    </row>
    <row r="3230" spans="1:3" ht="18" customHeight="1" x14ac:dyDescent="0.3">
      <c r="A3230" s="1">
        <v>8</v>
      </c>
      <c r="B3230" s="1" t="s">
        <v>2648</v>
      </c>
      <c r="C3230" s="1" t="str">
        <f ca="1">IFERROR(__xludf.DUMMYFUNCTION("GOOGLETRANSLATE(B3260,""en"",""ja"")"),"マニフェスト")</f>
        <v>マニフェスト</v>
      </c>
    </row>
    <row r="3231" spans="1:3" ht="18" customHeight="1" x14ac:dyDescent="0.3">
      <c r="A3231" s="1">
        <v>8</v>
      </c>
      <c r="B3231" s="1" t="s">
        <v>2649</v>
      </c>
      <c r="C3231" s="1" t="str">
        <f ca="1">IFERROR(__xludf.DUMMYFUNCTION("GOOGLETRANSLATE(B3261,""en"",""ja"")"),"マルサス")</f>
        <v>マルサス</v>
      </c>
    </row>
    <row r="3232" spans="1:3" ht="18" customHeight="1" x14ac:dyDescent="0.3">
      <c r="A3232" s="1">
        <v>8</v>
      </c>
      <c r="B3232" s="1" t="s">
        <v>2650</v>
      </c>
      <c r="C3232" s="1" t="str">
        <f ca="1">IFERROR(__xludf.DUMMYFUNCTION("GOOGLETRANSLATE(B3262,""en"",""ja"")"),"マルチーズ")</f>
        <v>マルチーズ</v>
      </c>
    </row>
    <row r="3233" spans="1:3" ht="18" customHeight="1" x14ac:dyDescent="0.3">
      <c r="A3233" s="1">
        <v>8</v>
      </c>
      <c r="B3233" s="1" t="s">
        <v>2651</v>
      </c>
      <c r="C3233" s="1" t="str">
        <f ca="1">IFERROR(__xludf.DUMMYFUNCTION("GOOGLETRANSLATE(B3263,""en"",""ja"")"),"故障")</f>
        <v>故障</v>
      </c>
    </row>
    <row r="3234" spans="1:3" ht="18" customHeight="1" x14ac:dyDescent="0.3">
      <c r="A3234" s="1">
        <v>8</v>
      </c>
      <c r="B3234" s="1" t="s">
        <v>2652</v>
      </c>
      <c r="C3234" s="1" t="str">
        <f ca="1">IFERROR(__xludf.DUMMYFUNCTION("GOOGLETRANSLATE(B3264,""en"",""ja"")"),"ロック")</f>
        <v>ロック</v>
      </c>
    </row>
    <row r="3235" spans="1:3" ht="18" customHeight="1" x14ac:dyDescent="0.3">
      <c r="A3235" s="1">
        <v>8</v>
      </c>
      <c r="B3235" s="1" t="s">
        <v>2653</v>
      </c>
      <c r="C3235" s="1" t="str">
        <f ca="1">IFERROR(__xludf.DUMMYFUNCTION("GOOGLETRANSLATE(B3265,""en"",""ja"")"),"ローカル")</f>
        <v>ローカル</v>
      </c>
    </row>
    <row r="3236" spans="1:3" ht="18" customHeight="1" x14ac:dyDescent="0.3">
      <c r="A3236" s="1">
        <v>8</v>
      </c>
      <c r="B3236" s="1" t="s">
        <v>2654</v>
      </c>
      <c r="C3236" s="1" t="str">
        <f ca="1">IFERROR(__xludf.DUMMYFUNCTION("GOOGLETRANSLATE(B3266,""en"",""ja"")"),"ライフスタイル")</f>
        <v>ライフスタイル</v>
      </c>
    </row>
    <row r="3237" spans="1:3" ht="18" customHeight="1" x14ac:dyDescent="0.3">
      <c r="A3237" s="1">
        <v>8</v>
      </c>
      <c r="B3237" s="1" t="s">
        <v>2655</v>
      </c>
      <c r="C3237" s="1" t="str">
        <f ca="1">IFERROR(__xludf.DUMMYFUNCTION("GOOGLETRANSLATE(B3267,""en"",""ja"")"),"解放")</f>
        <v>解放</v>
      </c>
    </row>
    <row r="3238" spans="1:3" ht="18" customHeight="1" x14ac:dyDescent="0.3">
      <c r="A3238" s="1">
        <v>8</v>
      </c>
      <c r="B3238" s="1" t="s">
        <v>2656</v>
      </c>
      <c r="C3238" s="1" t="str">
        <f ca="1">IFERROR(__xludf.DUMMYFUNCTION("GOOGLETRANSLATE(B3268,""en"",""ja"")"),"自由")</f>
        <v>自由</v>
      </c>
    </row>
    <row r="3239" spans="1:3" ht="18" customHeight="1" x14ac:dyDescent="0.3">
      <c r="A3239" s="1">
        <v>8</v>
      </c>
      <c r="B3239" s="1" t="s">
        <v>2657</v>
      </c>
      <c r="C3239" s="1" t="str">
        <f ca="1">IFERROR(__xludf.DUMMYFUNCTION("GOOGLETRANSLATE(B3269,""en"",""ja"")"),"立法")</f>
        <v>立法</v>
      </c>
    </row>
    <row r="3240" spans="1:3" ht="18" customHeight="1" x14ac:dyDescent="0.3">
      <c r="A3240" s="1">
        <v>8</v>
      </c>
      <c r="B3240" s="1" t="s">
        <v>2658</v>
      </c>
      <c r="C3240" s="1" t="str">
        <f ca="1">IFERROR(__xludf.DUMMYFUNCTION("GOOGLETRANSLATE(B3270,""en"",""ja"")"),"王")</f>
        <v>王</v>
      </c>
    </row>
    <row r="3241" spans="1:3" ht="18" customHeight="1" x14ac:dyDescent="0.3">
      <c r="A3241" s="1">
        <v>8</v>
      </c>
      <c r="B3241" s="1" t="s">
        <v>2659</v>
      </c>
      <c r="C3241" s="1" t="str">
        <f ca="1">IFERROR(__xludf.DUMMYFUNCTION("GOOGLETRANSLATE(B3271,""en"",""ja"")"),"親切")</f>
        <v>親切</v>
      </c>
    </row>
    <row r="3242" spans="1:3" ht="18" customHeight="1" x14ac:dyDescent="0.3">
      <c r="A3242" s="1">
        <v>8</v>
      </c>
      <c r="B3242" s="1" t="s">
        <v>2660</v>
      </c>
      <c r="C3242" s="1" t="str">
        <f ca="1">IFERROR(__xludf.DUMMYFUNCTION("GOOGLETRANSLATE(B3272,""en"",""ja"")"),"ジョセフ")</f>
        <v>ジョセフ</v>
      </c>
    </row>
    <row r="3243" spans="1:3" ht="18" customHeight="1" x14ac:dyDescent="0.3">
      <c r="A3243" s="1">
        <v>8</v>
      </c>
      <c r="B3243" s="1" t="s">
        <v>2661</v>
      </c>
      <c r="C3243" s="1" t="str">
        <f ca="1">IFERROR(__xludf.DUMMYFUNCTION("GOOGLETRANSLATE(B3273,""en"",""ja"")"),"共同")</f>
        <v>共同</v>
      </c>
    </row>
    <row r="3244" spans="1:3" ht="18" customHeight="1" x14ac:dyDescent="0.3">
      <c r="A3244" s="1">
        <v>8</v>
      </c>
      <c r="B3244" s="1" t="s">
        <v>2662</v>
      </c>
      <c r="C3244" s="1" t="str">
        <f ca="1">IFERROR(__xludf.DUMMYFUNCTION("GOOGLETRANSLATE(B3274,""en"",""ja"")"),"あご")</f>
        <v>あご</v>
      </c>
    </row>
    <row r="3245" spans="1:3" ht="18" customHeight="1" x14ac:dyDescent="0.3">
      <c r="A3245" s="1">
        <v>8</v>
      </c>
      <c r="B3245" s="1" t="s">
        <v>2663</v>
      </c>
      <c r="C3245" s="1" t="str">
        <f ca="1">IFERROR(__xludf.DUMMYFUNCTION("GOOGLETRANSLATE(B3275,""en"",""ja"")"),"ありません")</f>
        <v>ありません</v>
      </c>
    </row>
    <row r="3246" spans="1:3" ht="18" customHeight="1" x14ac:dyDescent="0.3">
      <c r="A3246" s="1">
        <v>8</v>
      </c>
      <c r="B3246" s="1" t="s">
        <v>2664</v>
      </c>
      <c r="C3246" s="1" t="str">
        <f ca="1">IFERROR(__xludf.DUMMYFUNCTION("GOOGLETRANSLATE(B3276,""en"",""ja"")"),"島")</f>
        <v>島</v>
      </c>
    </row>
    <row r="3247" spans="1:3" ht="18" customHeight="1" x14ac:dyDescent="0.3">
      <c r="A3247" s="1">
        <v>8</v>
      </c>
      <c r="B3247" s="1" t="s">
        <v>1193</v>
      </c>
      <c r="C3247" s="1" t="str">
        <f ca="1">IFERROR(__xludf.DUMMYFUNCTION("GOOGLETRANSLATE(B3277,""en"",""ja"")"),"巻き込みます")</f>
        <v>巻き込みます</v>
      </c>
    </row>
    <row r="3248" spans="1:3" ht="18" customHeight="1" x14ac:dyDescent="0.3">
      <c r="A3248" s="1">
        <v>8</v>
      </c>
      <c r="B3248" s="1" t="s">
        <v>1550</v>
      </c>
      <c r="C3248" s="1" t="str">
        <f ca="1">IFERROR(__xludf.DUMMYFUNCTION("GOOGLETRANSLATE(B3278,""en"",""ja"")"),"解釈")</f>
        <v>解釈</v>
      </c>
    </row>
    <row r="3249" spans="1:3" ht="18" customHeight="1" x14ac:dyDescent="0.3">
      <c r="A3249" s="1">
        <v>8</v>
      </c>
      <c r="B3249" s="1" t="s">
        <v>2665</v>
      </c>
      <c r="C3249" s="1" t="str">
        <f ca="1">IFERROR(__xludf.DUMMYFUNCTION("GOOGLETRANSLATE(B3279,""en"",""ja"")"),"対話")</f>
        <v>対話</v>
      </c>
    </row>
    <row r="3250" spans="1:3" ht="18" customHeight="1" x14ac:dyDescent="0.3">
      <c r="A3250" s="1">
        <v>8</v>
      </c>
      <c r="B3250" s="1" t="s">
        <v>2666</v>
      </c>
      <c r="C3250" s="1" t="str">
        <f ca="1">IFERROR(__xludf.DUMMYFUNCTION("GOOGLETRANSLATE(B3280,""en"",""ja"")"),"統合されました")</f>
        <v>統合されました</v>
      </c>
    </row>
    <row r="3251" spans="1:3" ht="18" customHeight="1" x14ac:dyDescent="0.3">
      <c r="A3251" s="1">
        <v>8</v>
      </c>
      <c r="B3251" s="1" t="s">
        <v>2667</v>
      </c>
      <c r="C3251" s="1" t="str">
        <f ca="1">IFERROR(__xludf.DUMMYFUNCTION("GOOGLETRANSLATE(B3281,""en"",""ja"")"),"施設")</f>
        <v>施設</v>
      </c>
    </row>
    <row r="3252" spans="1:3" ht="18" customHeight="1" x14ac:dyDescent="0.3">
      <c r="A3252" s="1">
        <v>8</v>
      </c>
      <c r="B3252" s="1" t="s">
        <v>2668</v>
      </c>
      <c r="C3252" s="1" t="str">
        <f ca="1">IFERROR(__xludf.DUMMYFUNCTION("GOOGLETRANSLATE(B3282,""en"",""ja"")"),"本能的に")</f>
        <v>本能的に</v>
      </c>
    </row>
    <row r="3253" spans="1:3" ht="18" customHeight="1" x14ac:dyDescent="0.3">
      <c r="A3253" s="1">
        <v>8</v>
      </c>
      <c r="B3253" s="1" t="s">
        <v>2669</v>
      </c>
      <c r="C3253" s="1" t="str">
        <f ca="1">IFERROR(__xludf.DUMMYFUNCTION("GOOGLETRANSLATE(B3283,""en"",""ja"")"),"INSPIRE")</f>
        <v>INSPIRE</v>
      </c>
    </row>
    <row r="3254" spans="1:3" ht="18" customHeight="1" x14ac:dyDescent="0.3">
      <c r="A3254" s="1">
        <v>8</v>
      </c>
      <c r="B3254" s="1" t="s">
        <v>2670</v>
      </c>
      <c r="C3254" s="1" t="str">
        <f ca="1">IFERROR(__xludf.DUMMYFUNCTION("GOOGLETRANSLATE(B3284,""en"",""ja"")"),"殺虫剤")</f>
        <v>殺虫剤</v>
      </c>
    </row>
    <row r="3255" spans="1:3" ht="18" customHeight="1" x14ac:dyDescent="0.3">
      <c r="A3255" s="1">
        <v>8</v>
      </c>
      <c r="B3255" s="1" t="s">
        <v>2671</v>
      </c>
      <c r="C3255" s="1" t="str">
        <f ca="1">IFERROR(__xludf.DUMMYFUNCTION("GOOGLETRANSLATE(B3285,""en"",""ja"")"),"先天的")</f>
        <v>先天的</v>
      </c>
    </row>
    <row r="3256" spans="1:3" ht="18" customHeight="1" x14ac:dyDescent="0.3">
      <c r="A3256" s="1">
        <v>8</v>
      </c>
      <c r="B3256" s="1" t="s">
        <v>2672</v>
      </c>
      <c r="C3256" s="1" t="str">
        <f ca="1">IFERROR(__xludf.DUMMYFUNCTION("GOOGLETRANSLATE(B3286,""en"",""ja"")"),"独創性")</f>
        <v>独創性</v>
      </c>
    </row>
    <row r="3257" spans="1:3" ht="18" customHeight="1" x14ac:dyDescent="0.3">
      <c r="A3257" s="1">
        <v>8</v>
      </c>
      <c r="B3257" s="1" t="s">
        <v>2673</v>
      </c>
      <c r="C3257" s="1" t="str">
        <f ca="1">IFERROR(__xludf.DUMMYFUNCTION("GOOGLETRANSLATE(B3287,""en"",""ja"")"),"推論")</f>
        <v>推論</v>
      </c>
    </row>
    <row r="3258" spans="1:3" ht="18" customHeight="1" x14ac:dyDescent="0.3">
      <c r="A3258" s="1">
        <v>8</v>
      </c>
      <c r="B3258" s="1" t="s">
        <v>1672</v>
      </c>
      <c r="C3258" s="1" t="str">
        <f ca="1">IFERROR(__xludf.DUMMYFUNCTION("GOOGLETRANSLATE(B3288,""en"",""ja"")"),"業界")</f>
        <v>業界</v>
      </c>
    </row>
    <row r="3259" spans="1:3" ht="18" customHeight="1" x14ac:dyDescent="0.3">
      <c r="A3259" s="1">
        <v>8</v>
      </c>
      <c r="B3259" s="1" t="s">
        <v>2674</v>
      </c>
      <c r="C3259" s="1" t="str">
        <f ca="1">IFERROR(__xludf.DUMMYFUNCTION("GOOGLETRANSLATE(B3289,""en"",""ja"")"),"甘いです")</f>
        <v>甘いです</v>
      </c>
    </row>
    <row r="3260" spans="1:3" ht="18" customHeight="1" x14ac:dyDescent="0.3">
      <c r="A3260" s="1">
        <v>8</v>
      </c>
      <c r="B3260" s="1" t="s">
        <v>2675</v>
      </c>
      <c r="C3260" s="1" t="str">
        <f ca="1">IFERROR(__xludf.DUMMYFUNCTION("GOOGLETRANSLATE(B3290,""en"",""ja"")"),"誘発します")</f>
        <v>誘発します</v>
      </c>
    </row>
    <row r="3261" spans="1:3" ht="18" customHeight="1" x14ac:dyDescent="0.3">
      <c r="A3261" s="1">
        <v>8</v>
      </c>
      <c r="B3261" s="1" t="s">
        <v>2676</v>
      </c>
      <c r="C3261" s="1" t="str">
        <f ca="1">IFERROR(__xludf.DUMMYFUNCTION("GOOGLETRANSLATE(B3291,""en"",""ja"")"),"無関心")</f>
        <v>無関心</v>
      </c>
    </row>
    <row r="3262" spans="1:3" ht="18" customHeight="1" x14ac:dyDescent="0.3">
      <c r="A3262" s="1">
        <v>8</v>
      </c>
      <c r="B3262" s="1" t="s">
        <v>2677</v>
      </c>
      <c r="C3262" s="1" t="str">
        <f ca="1">IFERROR(__xludf.DUMMYFUNCTION("GOOGLETRANSLATE(B3292,""en"",""ja"")"),"指示されました")</f>
        <v>指示されました</v>
      </c>
    </row>
    <row r="3263" spans="1:3" ht="18" customHeight="1" x14ac:dyDescent="0.3">
      <c r="A3263" s="1">
        <v>8</v>
      </c>
      <c r="B3263" s="1" t="s">
        <v>2678</v>
      </c>
      <c r="C3263" s="1" t="str">
        <f ca="1">IFERROR(__xludf.DUMMYFUNCTION("GOOGLETRANSLATE(B3293,""en"",""ja"")"),"独立")</f>
        <v>独立</v>
      </c>
    </row>
    <row r="3264" spans="1:3" ht="18" customHeight="1" x14ac:dyDescent="0.3">
      <c r="A3264" s="1">
        <v>8</v>
      </c>
      <c r="B3264" s="1" t="s">
        <v>2679</v>
      </c>
      <c r="C3264" s="1" t="str">
        <f ca="1">IFERROR(__xludf.DUMMYFUNCTION("GOOGLETRANSLATE(B3294,""en"",""ja"")"),"不定")</f>
        <v>不定</v>
      </c>
    </row>
    <row r="3265" spans="1:3" ht="18" customHeight="1" x14ac:dyDescent="0.3">
      <c r="A3265" s="1">
        <v>8</v>
      </c>
      <c r="B3265" s="1" t="s">
        <v>2680</v>
      </c>
      <c r="C3265" s="1" t="str">
        <f ca="1">IFERROR(__xludf.DUMMYFUNCTION("GOOGLETRANSLATE(B3295,""en"",""ja"")"),"就任させます")</f>
        <v>就任させます</v>
      </c>
    </row>
    <row r="3266" spans="1:3" ht="18" customHeight="1" x14ac:dyDescent="0.3">
      <c r="A3266" s="1">
        <v>8</v>
      </c>
      <c r="B3266" s="1" t="s">
        <v>2681</v>
      </c>
      <c r="C3266" s="1" t="str">
        <f ca="1">IFERROR(__xludf.DUMMYFUNCTION("GOOGLETRANSLATE(B3296,""en"",""ja"")"),"不完全")</f>
        <v>不完全</v>
      </c>
    </row>
    <row r="3267" spans="1:3" ht="18" customHeight="1" x14ac:dyDescent="0.3">
      <c r="A3267" s="1">
        <v>8</v>
      </c>
      <c r="B3267" s="1" t="s">
        <v>2682</v>
      </c>
      <c r="C3267" s="1" t="str">
        <f ca="1">IFERROR(__xludf.DUMMYFUNCTION("GOOGLETRANSLATE(B3297,""en"",""ja"")"),"命令")</f>
        <v>命令</v>
      </c>
    </row>
    <row r="3268" spans="1:3" ht="18" customHeight="1" x14ac:dyDescent="0.3">
      <c r="A3268" s="1">
        <v>8</v>
      </c>
      <c r="B3268" s="1" t="s">
        <v>2683</v>
      </c>
      <c r="C3268" s="1" t="str">
        <f ca="1">IFERROR(__xludf.DUMMYFUNCTION("GOOGLETRANSLATE(B3298,""en"",""ja"")"),"巨大")</f>
        <v>巨大</v>
      </c>
    </row>
    <row r="3269" spans="1:3" ht="18" customHeight="1" x14ac:dyDescent="0.3">
      <c r="A3269" s="1">
        <v>8</v>
      </c>
      <c r="B3269" s="1" t="s">
        <v>2684</v>
      </c>
      <c r="C3269" s="1" t="str">
        <f ca="1">IFERROR(__xludf.DUMMYFUNCTION("GOOGLETRANSLATE(B3299,""en"",""ja"")"),"輝かしいです")</f>
        <v>輝かしいです</v>
      </c>
    </row>
    <row r="3270" spans="1:3" ht="18" customHeight="1" x14ac:dyDescent="0.3">
      <c r="A3270" s="1">
        <v>8</v>
      </c>
      <c r="B3270" s="1" t="s">
        <v>2685</v>
      </c>
      <c r="C3270" s="1" t="str">
        <f ca="1">IFERROR(__xludf.DUMMYFUNCTION("GOOGLETRANSLATE(B3300,""en"",""ja"")"),"無知")</f>
        <v>無知</v>
      </c>
    </row>
    <row r="3271" spans="1:3" ht="18" customHeight="1" x14ac:dyDescent="0.3">
      <c r="A3271" s="1">
        <v>8</v>
      </c>
      <c r="B3271" s="1" t="s">
        <v>630</v>
      </c>
      <c r="C3271" s="1" t="str">
        <f ca="1">IFERROR(__xludf.DUMMYFUNCTION("GOOGLETRANSLATE(B3301,""en"",""ja"")"),"人類")</f>
        <v>人類</v>
      </c>
    </row>
    <row r="3272" spans="1:3" ht="18" customHeight="1" x14ac:dyDescent="0.3">
      <c r="A3272" s="1">
        <v>8</v>
      </c>
      <c r="B3272" s="1" t="s">
        <v>1279</v>
      </c>
      <c r="C3272" s="1" t="str">
        <f ca="1">IFERROR(__xludf.DUMMYFUNCTION("GOOGLETRANSLATE(B3302,""en"",""ja"")"),"ホット")</f>
        <v>ホット</v>
      </c>
    </row>
    <row r="3273" spans="1:3" ht="18" customHeight="1" x14ac:dyDescent="0.3">
      <c r="A3273" s="1">
        <v>8</v>
      </c>
      <c r="B3273" s="1" t="s">
        <v>2686</v>
      </c>
      <c r="C3273" s="1" t="str">
        <f ca="1">IFERROR(__xludf.DUMMYFUNCTION("GOOGLETRANSLATE(B3303,""en"",""ja"")"),"病院")</f>
        <v>病院</v>
      </c>
    </row>
    <row r="3274" spans="1:3" ht="18" customHeight="1" x14ac:dyDescent="0.3">
      <c r="A3274" s="1">
        <v>8</v>
      </c>
      <c r="B3274" s="1" t="s">
        <v>2687</v>
      </c>
      <c r="C3274" s="1" t="str">
        <f ca="1">IFERROR(__xludf.DUMMYFUNCTION("GOOGLETRANSLATE(B3304,""en"",""ja"")"),"保有者")</f>
        <v>保有者</v>
      </c>
    </row>
    <row r="3275" spans="1:3" ht="18" customHeight="1" x14ac:dyDescent="0.3">
      <c r="A3275" s="1">
        <v>8</v>
      </c>
      <c r="B3275" s="1" t="s">
        <v>2139</v>
      </c>
      <c r="C3275" s="1" t="str">
        <f ca="1">IFERROR(__xludf.DUMMYFUNCTION("GOOGLETRANSLATE(B3305,""en"",""ja"")"),"ヒット")</f>
        <v>ヒット</v>
      </c>
    </row>
    <row r="3276" spans="1:3" ht="18" customHeight="1" x14ac:dyDescent="0.3">
      <c r="A3276" s="1">
        <v>8</v>
      </c>
      <c r="B3276" s="1" t="s">
        <v>2688</v>
      </c>
      <c r="C3276" s="1" t="str">
        <f ca="1">IFERROR(__xludf.DUMMYFUNCTION("GOOGLETRANSLATE(B3306,""en"",""ja"")"),"ヘクタール")</f>
        <v>ヘクタール</v>
      </c>
    </row>
    <row r="3277" spans="1:3" ht="18" customHeight="1" x14ac:dyDescent="0.3">
      <c r="A3277" s="1">
        <v>8</v>
      </c>
      <c r="B3277" s="1" t="s">
        <v>2689</v>
      </c>
      <c r="C3277" s="1" t="str">
        <f ca="1">IFERROR(__xludf.DUMMYFUNCTION("GOOGLETRANSLATE(B3307,""en"",""ja"")"),"元気")</f>
        <v>元気</v>
      </c>
    </row>
    <row r="3278" spans="1:3" ht="18" customHeight="1" x14ac:dyDescent="0.3">
      <c r="A3278" s="1">
        <v>8</v>
      </c>
      <c r="B3278" s="1" t="s">
        <v>2690</v>
      </c>
      <c r="C3278" s="1" t="str">
        <f ca="1">IFERROR(__xludf.DUMMYFUNCTION("GOOGLETRANSLATE(B3308,""en"",""ja"")"),"孵化")</f>
        <v>孵化</v>
      </c>
    </row>
    <row r="3279" spans="1:3" ht="18" customHeight="1" x14ac:dyDescent="0.3">
      <c r="A3279" s="1">
        <v>8</v>
      </c>
      <c r="B3279" s="1" t="s">
        <v>2691</v>
      </c>
      <c r="C3279" s="1" t="str">
        <f ca="1">IFERROR(__xludf.DUMMYFUNCTION("GOOGLETRANSLATE(B3309,""en"",""ja"")"),"調和")</f>
        <v>調和</v>
      </c>
    </row>
    <row r="3280" spans="1:3" ht="18" customHeight="1" x14ac:dyDescent="0.3">
      <c r="A3280" s="1">
        <v>8</v>
      </c>
      <c r="B3280" s="1" t="s">
        <v>2692</v>
      </c>
      <c r="C3280" s="1" t="str">
        <f ca="1">IFERROR(__xludf.DUMMYFUNCTION("GOOGLETRANSLATE(B3310,""en"",""ja"")"),"ハードウェア")</f>
        <v>ハードウェア</v>
      </c>
    </row>
    <row r="3281" spans="1:3" ht="18" customHeight="1" x14ac:dyDescent="0.3">
      <c r="A3281" s="1">
        <v>8</v>
      </c>
      <c r="B3281" s="1" t="s">
        <v>2693</v>
      </c>
      <c r="C3281" s="1" t="str">
        <f ca="1">IFERROR(__xludf.DUMMYFUNCTION("GOOGLETRANSLATE(B3311,""en"",""ja"")"),"もっと強く")</f>
        <v>もっと強く</v>
      </c>
    </row>
    <row r="3282" spans="1:3" ht="18" customHeight="1" x14ac:dyDescent="0.3">
      <c r="A3282" s="1">
        <v>8</v>
      </c>
      <c r="B3282" s="1" t="s">
        <v>2694</v>
      </c>
      <c r="C3282" s="1" t="str">
        <f ca="1">IFERROR(__xludf.DUMMYFUNCTION("GOOGLETRANSLATE(B3312,""en"",""ja"")"),"停止します")</f>
        <v>停止します</v>
      </c>
    </row>
    <row r="3283" spans="1:3" ht="18" customHeight="1" x14ac:dyDescent="0.3">
      <c r="A3283" s="1">
        <v>8</v>
      </c>
      <c r="B3283" s="1" t="s">
        <v>494</v>
      </c>
      <c r="C3283" s="1" t="str">
        <f ca="1">IFERROR(__xludf.DUMMYFUNCTION("GOOGLETRANSLATE(B3313,""en"",""ja"")"),"ハーフ")</f>
        <v>ハーフ</v>
      </c>
    </row>
    <row r="3284" spans="1:3" ht="18" customHeight="1" x14ac:dyDescent="0.3">
      <c r="A3284" s="1">
        <v>8</v>
      </c>
      <c r="B3284" s="1" t="s">
        <v>2695</v>
      </c>
      <c r="C3284" s="1" t="str">
        <f ca="1">IFERROR(__xludf.DUMMYFUNCTION("GOOGLETRANSLATE(B3314,""en"",""ja"")"),"グラインド")</f>
        <v>グラインド</v>
      </c>
    </row>
    <row r="3285" spans="1:3" ht="18" customHeight="1" x14ac:dyDescent="0.3">
      <c r="A3285" s="1">
        <v>8</v>
      </c>
      <c r="B3285" s="1" t="s">
        <v>2696</v>
      </c>
      <c r="C3285" s="1" t="str">
        <f ca="1">IFERROR(__xludf.DUMMYFUNCTION("GOOGLETRANSLATE(B3315,""en"",""ja"")"),"付与されました")</f>
        <v>付与されました</v>
      </c>
    </row>
    <row r="3286" spans="1:3" ht="18" customHeight="1" x14ac:dyDescent="0.3">
      <c r="A3286" s="1">
        <v>8</v>
      </c>
      <c r="B3286" s="1" t="s">
        <v>952</v>
      </c>
      <c r="C3286" s="1" t="str">
        <f ca="1">IFERROR(__xludf.DUMMYFUNCTION("GOOGLETRANSLATE(B3316,""en"",""ja"")"),"神")</f>
        <v>神</v>
      </c>
    </row>
    <row r="3287" spans="1:3" ht="18" customHeight="1" x14ac:dyDescent="0.3">
      <c r="A3287" s="1">
        <v>8</v>
      </c>
      <c r="B3287" s="1" t="s">
        <v>2697</v>
      </c>
      <c r="C3287" s="1" t="str">
        <f ca="1">IFERROR(__xludf.DUMMYFUNCTION("GOOGLETRANSLATE(B3317,""en"",""ja"")"),"グラマラス")</f>
        <v>グラマラス</v>
      </c>
    </row>
    <row r="3288" spans="1:3" ht="18" customHeight="1" x14ac:dyDescent="0.3">
      <c r="A3288" s="1">
        <v>8</v>
      </c>
      <c r="B3288" s="1" t="s">
        <v>448</v>
      </c>
      <c r="C3288" s="1" t="str">
        <f ca="1">IFERROR(__xludf.DUMMYFUNCTION("GOOGLETRANSLATE(B3318,""en"",""ja"")"),"概して")</f>
        <v>概して</v>
      </c>
    </row>
    <row r="3289" spans="1:3" ht="18" customHeight="1" x14ac:dyDescent="0.3">
      <c r="A3289" s="1">
        <v>8</v>
      </c>
      <c r="B3289" s="1" t="s">
        <v>2698</v>
      </c>
      <c r="C3289" s="1" t="str">
        <f ca="1">IFERROR(__xludf.DUMMYFUNCTION("GOOGLETRANSLATE(B3319,""en"",""ja"")"),"一般化")</f>
        <v>一般化</v>
      </c>
    </row>
    <row r="3290" spans="1:3" ht="18" customHeight="1" x14ac:dyDescent="0.3">
      <c r="A3290" s="1">
        <v>8</v>
      </c>
      <c r="B3290" s="1" t="s">
        <v>2699</v>
      </c>
      <c r="C3290" s="1" t="str">
        <f ca="1">IFERROR(__xludf.DUMMYFUNCTION("GOOGLETRANSLATE(B3320,""en"",""ja"")"),"ドゴール")</f>
        <v>ドゴール</v>
      </c>
    </row>
    <row r="3291" spans="1:3" ht="18" customHeight="1" x14ac:dyDescent="0.3">
      <c r="A3291" s="1">
        <v>8</v>
      </c>
      <c r="B3291" s="1" t="s">
        <v>2700</v>
      </c>
      <c r="C3291" s="1" t="str">
        <f ca="1">IFERROR(__xludf.DUMMYFUNCTION("GOOGLETRANSLATE(B3321,""en"",""ja"")"),"フー")</f>
        <v>フー</v>
      </c>
    </row>
    <row r="3292" spans="1:3" ht="18" customHeight="1" x14ac:dyDescent="0.3">
      <c r="A3292" s="1">
        <v>8</v>
      </c>
      <c r="B3292" s="1" t="s">
        <v>2701</v>
      </c>
      <c r="C3292" s="1" t="str">
        <f ca="1">IFERROR(__xludf.DUMMYFUNCTION("GOOGLETRANSLATE(B3322,""en"",""ja"")"),"優しいです")</f>
        <v>優しいです</v>
      </c>
    </row>
    <row r="3293" spans="1:3" ht="18" customHeight="1" x14ac:dyDescent="0.3">
      <c r="A3293" s="1">
        <v>8</v>
      </c>
      <c r="B3293" s="1" t="s">
        <v>1467</v>
      </c>
      <c r="C3293" s="1" t="str">
        <f ca="1">IFERROR(__xludf.DUMMYFUNCTION("GOOGLETRANSLATE(B3323,""en"",""ja"")"),"友人")</f>
        <v>友人</v>
      </c>
    </row>
    <row r="3294" spans="1:3" ht="18" customHeight="1" x14ac:dyDescent="0.3">
      <c r="A3294" s="1">
        <v>8</v>
      </c>
      <c r="B3294" s="1" t="s">
        <v>2702</v>
      </c>
      <c r="C3294" s="1" t="str">
        <f ca="1">IFERROR(__xludf.DUMMYFUNCTION("GOOGLETRANSLATE(B3324,""en"",""ja"")"),"フレデリック")</f>
        <v>フレデリック</v>
      </c>
    </row>
    <row r="3295" spans="1:3" ht="18" customHeight="1" x14ac:dyDescent="0.3">
      <c r="A3295" s="1">
        <v>8</v>
      </c>
      <c r="B3295" s="1" t="s">
        <v>2703</v>
      </c>
      <c r="C3295" s="1" t="str">
        <f ca="1">IFERROR(__xludf.DUMMYFUNCTION("GOOGLETRANSLATE(B3325,""en"",""ja"")"),"化石")</f>
        <v>化石</v>
      </c>
    </row>
    <row r="3296" spans="1:3" ht="18" customHeight="1" x14ac:dyDescent="0.3">
      <c r="A3296" s="1">
        <v>8</v>
      </c>
      <c r="B3296" s="1" t="s">
        <v>2704</v>
      </c>
      <c r="C3296" s="1" t="str">
        <f ca="1">IFERROR(__xludf.DUMMYFUNCTION("GOOGLETRANSLATE(B3326,""en"",""ja"")"),"幸運")</f>
        <v>幸運</v>
      </c>
    </row>
    <row r="3297" spans="1:3" ht="18" customHeight="1" x14ac:dyDescent="0.3">
      <c r="A3297" s="1">
        <v>8</v>
      </c>
      <c r="B3297" s="1" t="s">
        <v>2705</v>
      </c>
      <c r="C3297" s="1" t="str">
        <f ca="1">IFERROR(__xludf.DUMMYFUNCTION("GOOGLETRANSLATE(B3327,""en"",""ja"")"),"式")</f>
        <v>式</v>
      </c>
    </row>
    <row r="3298" spans="1:3" ht="18" customHeight="1" x14ac:dyDescent="0.3">
      <c r="A3298" s="1">
        <v>8</v>
      </c>
      <c r="B3298" s="1" t="s">
        <v>2706</v>
      </c>
      <c r="C3298" s="1" t="str">
        <f ca="1">IFERROR(__xludf.DUMMYFUNCTION("GOOGLETRANSLATE(B3328,""en"",""ja"")"),"忘却")</f>
        <v>忘却</v>
      </c>
    </row>
    <row r="3299" spans="1:3" ht="18" customHeight="1" x14ac:dyDescent="0.3">
      <c r="A3299" s="1">
        <v>8</v>
      </c>
      <c r="B3299" s="1" t="s">
        <v>2707</v>
      </c>
      <c r="C3299" s="1" t="str">
        <f ca="1">IFERROR(__xludf.DUMMYFUNCTION("GOOGLETRANSLATE(B3329,""en"",""ja"")"),"次の")</f>
        <v>次の</v>
      </c>
    </row>
    <row r="3300" spans="1:3" ht="18" customHeight="1" x14ac:dyDescent="0.3">
      <c r="A3300" s="1">
        <v>8</v>
      </c>
      <c r="B3300" s="1" t="s">
        <v>2708</v>
      </c>
      <c r="C3300" s="1" t="str">
        <f ca="1">IFERROR(__xludf.DUMMYFUNCTION("GOOGLETRANSLATE(B3330,""en"",""ja"")"),"フィット")</f>
        <v>フィット</v>
      </c>
    </row>
    <row r="3301" spans="1:3" ht="18" customHeight="1" x14ac:dyDescent="0.3">
      <c r="A3301" s="1">
        <v>8</v>
      </c>
      <c r="B3301" s="1" t="s">
        <v>2709</v>
      </c>
      <c r="C3301" s="1" t="str">
        <f ca="1">IFERROR(__xludf.DUMMYFUNCTION("GOOGLETRANSLATE(B3331,""en"",""ja"")"),"有限の")</f>
        <v>有限の</v>
      </c>
    </row>
    <row r="3302" spans="1:3" ht="18" customHeight="1" x14ac:dyDescent="0.3">
      <c r="A3302" s="1">
        <v>8</v>
      </c>
      <c r="B3302" s="1" t="s">
        <v>2710</v>
      </c>
      <c r="C3302" s="1" t="str">
        <f ca="1">IFERROR(__xludf.DUMMYFUNCTION("GOOGLETRANSLATE(B3332,""en"",""ja"")"),"完成")</f>
        <v>完成</v>
      </c>
    </row>
    <row r="3303" spans="1:3" ht="18" customHeight="1" x14ac:dyDescent="0.3">
      <c r="A3303" s="1">
        <v>8</v>
      </c>
      <c r="B3303" s="1" t="s">
        <v>2711</v>
      </c>
      <c r="C3303" s="1" t="str">
        <f ca="1">IFERROR(__xludf.DUMMYFUNCTION("GOOGLETRANSLATE(B3333,""en"",""ja"")"),"戦い")</f>
        <v>戦い</v>
      </c>
    </row>
    <row r="3304" spans="1:3" ht="18" customHeight="1" x14ac:dyDescent="0.3">
      <c r="A3304" s="1">
        <v>8</v>
      </c>
      <c r="B3304" s="1" t="s">
        <v>2712</v>
      </c>
      <c r="C3304" s="1" t="str">
        <f ca="1">IFERROR(__xludf.DUMMYFUNCTION("GOOGLETRANSLATE(B3334,""en"",""ja"")"),"封建制度")</f>
        <v>封建制度</v>
      </c>
    </row>
    <row r="3305" spans="1:3" ht="18" customHeight="1" x14ac:dyDescent="0.3">
      <c r="A3305" s="1">
        <v>8</v>
      </c>
      <c r="B3305" s="1" t="s">
        <v>2713</v>
      </c>
      <c r="C3305" s="1" t="str">
        <f ca="1">IFERROR(__xludf.DUMMYFUNCTION("GOOGLETRANSLATE(B3335,""en"",""ja"")"),"仲間")</f>
        <v>仲間</v>
      </c>
    </row>
    <row r="3306" spans="1:3" ht="18" customHeight="1" x14ac:dyDescent="0.3">
      <c r="A3306" s="1">
        <v>8</v>
      </c>
      <c r="B3306" s="1" t="s">
        <v>2714</v>
      </c>
      <c r="C3306" s="1" t="str">
        <f ca="1">IFERROR(__xludf.DUMMYFUNCTION("GOOGLETRANSLATE(B3336,""en"",""ja"")"),"フィード")</f>
        <v>フィード</v>
      </c>
    </row>
    <row r="3307" spans="1:3" ht="18" customHeight="1" x14ac:dyDescent="0.3">
      <c r="A3307" s="1">
        <v>8</v>
      </c>
      <c r="B3307" s="1" t="s">
        <v>2715</v>
      </c>
      <c r="C3307" s="1" t="str">
        <f ca="1">IFERROR(__xludf.DUMMYFUNCTION("GOOGLETRANSLATE(B3337,""en"",""ja"")"),"ファーム")</f>
        <v>ファーム</v>
      </c>
    </row>
    <row r="3308" spans="1:3" ht="18" customHeight="1" x14ac:dyDescent="0.3">
      <c r="A3308" s="1">
        <v>8</v>
      </c>
      <c r="B3308" s="1" t="s">
        <v>2716</v>
      </c>
      <c r="C3308" s="1" t="str">
        <f ca="1">IFERROR(__xludf.DUMMYFUNCTION("GOOGLETRANSLATE(B3338,""en"",""ja"")"),"善戦")</f>
        <v>善戦</v>
      </c>
    </row>
    <row r="3309" spans="1:3" ht="18" customHeight="1" x14ac:dyDescent="0.3">
      <c r="A3309" s="1">
        <v>8</v>
      </c>
      <c r="B3309" s="1" t="s">
        <v>2164</v>
      </c>
      <c r="C3309" s="1" t="str">
        <f ca="1">IFERROR(__xludf.DUMMYFUNCTION("GOOGLETRANSLATE(B3339,""en"",""ja"")"),"ファルコン")</f>
        <v>ファルコン</v>
      </c>
    </row>
    <row r="3310" spans="1:3" ht="18" customHeight="1" x14ac:dyDescent="0.3">
      <c r="A3310" s="1">
        <v>8</v>
      </c>
      <c r="B3310" s="1" t="s">
        <v>2717</v>
      </c>
      <c r="C3310" s="1" t="str">
        <f ca="1">IFERROR(__xludf.DUMMYFUNCTION("GOOGLETRANSLATE(B3340,""en"",""ja"")"),"容易に")</f>
        <v>容易に</v>
      </c>
    </row>
    <row r="3311" spans="1:3" ht="18" customHeight="1" x14ac:dyDescent="0.3">
      <c r="A3311" s="1">
        <v>8</v>
      </c>
      <c r="B3311" s="1" t="s">
        <v>2718</v>
      </c>
      <c r="C3311" s="1" t="str">
        <f ca="1">IFERROR(__xludf.DUMMYFUNCTION("GOOGLETRANSLATE(B3341,""en"",""ja"")"),"絶滅")</f>
        <v>絶滅</v>
      </c>
    </row>
    <row r="3312" spans="1:3" ht="18" customHeight="1" x14ac:dyDescent="0.3">
      <c r="A3312" s="1">
        <v>8</v>
      </c>
      <c r="B3312" s="1" t="s">
        <v>2719</v>
      </c>
      <c r="C3312" s="1" t="str">
        <f ca="1">IFERROR(__xludf.DUMMYFUNCTION("GOOGLETRANSLATE(B3342,""en"",""ja"")"),"探検")</f>
        <v>探検</v>
      </c>
    </row>
    <row r="3313" spans="1:3" ht="18" customHeight="1" x14ac:dyDescent="0.3">
      <c r="A3313" s="1">
        <v>8</v>
      </c>
      <c r="B3313" s="1" t="s">
        <v>2171</v>
      </c>
      <c r="C3313" s="1" t="str">
        <f ca="1">IFERROR(__xludf.DUMMYFUNCTION("GOOGLETRANSLATE(B3343,""en"",""ja"")"),"搾取")</f>
        <v>搾取</v>
      </c>
    </row>
    <row r="3314" spans="1:3" ht="18" customHeight="1" x14ac:dyDescent="0.3">
      <c r="A3314" s="1">
        <v>8</v>
      </c>
      <c r="B3314" s="1" t="s">
        <v>2720</v>
      </c>
      <c r="C3314" s="1" t="str">
        <f ca="1">IFERROR(__xludf.DUMMYFUNCTION("GOOGLETRANSLATE(B3344,""en"",""ja"")"),"開発します")</f>
        <v>開発します</v>
      </c>
    </row>
    <row r="3315" spans="1:3" ht="18" customHeight="1" x14ac:dyDescent="0.3">
      <c r="A3315" s="1">
        <v>8</v>
      </c>
      <c r="B3315" s="1" t="s">
        <v>2721</v>
      </c>
      <c r="C3315" s="1" t="str">
        <f ca="1">IFERROR(__xludf.DUMMYFUNCTION("GOOGLETRANSLATE(B3345,""en"",""ja"")"),"専門")</f>
        <v>専門</v>
      </c>
    </row>
    <row r="3316" spans="1:3" ht="18" customHeight="1" x14ac:dyDescent="0.3">
      <c r="A3316" s="1">
        <v>8</v>
      </c>
      <c r="B3316" s="1" t="s">
        <v>2722</v>
      </c>
      <c r="C3316" s="1" t="str">
        <f ca="1">IFERROR(__xludf.DUMMYFUNCTION("GOOGLETRANSLATE(B3346,""en"",""ja"")"),"実験的")</f>
        <v>実験的</v>
      </c>
    </row>
    <row r="3317" spans="1:3" ht="18" customHeight="1" x14ac:dyDescent="0.3">
      <c r="A3317" s="1">
        <v>8</v>
      </c>
      <c r="B3317" s="1" t="s">
        <v>2723</v>
      </c>
      <c r="C3317" s="1" t="str">
        <f ca="1">IFERROR(__xludf.DUMMYFUNCTION("GOOGLETRANSLATE(B3347,""en"",""ja"")"),"経験豊かな")</f>
        <v>経験豊かな</v>
      </c>
    </row>
    <row r="3318" spans="1:3" ht="18" customHeight="1" x14ac:dyDescent="0.3">
      <c r="A3318" s="1">
        <v>8</v>
      </c>
      <c r="B3318" s="1" t="s">
        <v>2172</v>
      </c>
      <c r="C3318" s="1" t="str">
        <f ca="1">IFERROR(__xludf.DUMMYFUNCTION("GOOGLETRANSLATE(B3348,""en"",""ja"")"),"期待")</f>
        <v>期待</v>
      </c>
    </row>
    <row r="3319" spans="1:3" ht="18" customHeight="1" x14ac:dyDescent="0.3">
      <c r="A3319" s="1">
        <v>8</v>
      </c>
      <c r="B3319" s="1" t="s">
        <v>2724</v>
      </c>
      <c r="C3319" s="1" t="str">
        <f ca="1">IFERROR(__xludf.DUMMYFUNCTION("GOOGLETRANSLATE(B3349,""en"",""ja"")"),"除外")</f>
        <v>除外</v>
      </c>
    </row>
    <row r="3320" spans="1:3" ht="18" customHeight="1" x14ac:dyDescent="0.3">
      <c r="A3320" s="1">
        <v>8</v>
      </c>
      <c r="B3320" s="1" t="s">
        <v>2725</v>
      </c>
      <c r="C3320" s="1" t="str">
        <f ca="1">IFERROR(__xludf.DUMMYFUNCTION("GOOGLETRANSLATE(B3350,""en"",""ja"")"),"例")</f>
        <v>例</v>
      </c>
    </row>
    <row r="3321" spans="1:3" ht="18" customHeight="1" x14ac:dyDescent="0.3">
      <c r="A3321" s="1">
        <v>8</v>
      </c>
      <c r="B3321" s="1" t="s">
        <v>1574</v>
      </c>
      <c r="C3321" s="1" t="str">
        <f ca="1">IFERROR(__xludf.DUMMYFUNCTION("GOOGLETRANSLATE(B3351,""en"",""ja"")"),"診る")</f>
        <v>診る</v>
      </c>
    </row>
    <row r="3322" spans="1:3" ht="18" customHeight="1" x14ac:dyDescent="0.3">
      <c r="A3322" s="1">
        <v>8</v>
      </c>
      <c r="B3322" s="1" t="s">
        <v>1289</v>
      </c>
      <c r="C3322" s="1" t="str">
        <f ca="1">IFERROR(__xludf.DUMMYFUNCTION("GOOGLETRANSLATE(B3352,""en"",""ja"")"),"進化")</f>
        <v>進化</v>
      </c>
    </row>
    <row r="3323" spans="1:3" ht="18" customHeight="1" x14ac:dyDescent="0.3">
      <c r="A3323" s="1">
        <v>8</v>
      </c>
      <c r="B3323" s="1" t="s">
        <v>2726</v>
      </c>
      <c r="C3323" s="1" t="str">
        <f ca="1">IFERROR(__xludf.DUMMYFUNCTION("GOOGLETRANSLATE(B3353,""en"",""ja"")"),"明らかに")</f>
        <v>明らかに</v>
      </c>
    </row>
    <row r="3324" spans="1:3" ht="18" customHeight="1" x14ac:dyDescent="0.3">
      <c r="A3324" s="1">
        <v>8</v>
      </c>
      <c r="B3324" s="1" t="s">
        <v>2727</v>
      </c>
      <c r="C3324" s="1" t="str">
        <f ca="1">IFERROR(__xludf.DUMMYFUNCTION("GOOGLETRANSLATE(B3354,""en"",""ja"")"),"毎日")</f>
        <v>毎日</v>
      </c>
    </row>
    <row r="3325" spans="1:3" ht="18" customHeight="1" x14ac:dyDescent="0.3">
      <c r="A3325" s="1">
        <v>8</v>
      </c>
      <c r="B3325" s="1" t="s">
        <v>2728</v>
      </c>
      <c r="C3325" s="1" t="str">
        <f ca="1">IFERROR(__xludf.DUMMYFUNCTION("GOOGLETRANSLATE(B3355,""en"",""ja"")"),"皆")</f>
        <v>皆</v>
      </c>
    </row>
    <row r="3326" spans="1:3" ht="18" customHeight="1" x14ac:dyDescent="0.3">
      <c r="A3326" s="1">
        <v>8</v>
      </c>
      <c r="B3326" s="1" t="s">
        <v>2177</v>
      </c>
      <c r="C3326" s="1" t="str">
        <f ca="1">IFERROR(__xludf.DUMMYFUNCTION("GOOGLETRANSLATE(B3356,""en"",""ja"")"),"優生学")</f>
        <v>優生学</v>
      </c>
    </row>
    <row r="3327" spans="1:3" ht="18" customHeight="1" x14ac:dyDescent="0.3">
      <c r="A3327" s="1">
        <v>8</v>
      </c>
      <c r="B3327" s="1" t="s">
        <v>2729</v>
      </c>
      <c r="C3327" s="1" t="str">
        <f ca="1">IFERROR(__xludf.DUMMYFUNCTION("GOOGLETRANSLATE(B3357,""en"",""ja"")"),"逃れる")</f>
        <v>逃れる</v>
      </c>
    </row>
    <row r="3328" spans="1:3" ht="18" customHeight="1" x14ac:dyDescent="0.3">
      <c r="A3328" s="1">
        <v>8</v>
      </c>
      <c r="B3328" s="1" t="s">
        <v>2730</v>
      </c>
      <c r="C3328" s="1" t="str">
        <f ca="1">IFERROR(__xludf.DUMMYFUNCTION("GOOGLETRANSLATE(B3358,""en"",""ja"")"),"間違いました")</f>
        <v>間違いました</v>
      </c>
    </row>
    <row r="3329" spans="1:3" ht="18" customHeight="1" x14ac:dyDescent="0.3">
      <c r="A3329" s="1">
        <v>8</v>
      </c>
      <c r="B3329" s="1" t="s">
        <v>2731</v>
      </c>
      <c r="C3329" s="1" t="str">
        <f ca="1">IFERROR(__xludf.DUMMYFUNCTION("GOOGLETRANSLATE(B3359,""en"",""ja"")"),"装置")</f>
        <v>装置</v>
      </c>
    </row>
    <row r="3330" spans="1:3" ht="18" customHeight="1" x14ac:dyDescent="0.3">
      <c r="A3330" s="1">
        <v>8</v>
      </c>
      <c r="B3330" s="1" t="s">
        <v>1369</v>
      </c>
      <c r="C3330" s="1" t="str">
        <f ca="1">IFERROR(__xludf.DUMMYFUNCTION("GOOGLETRANSLATE(B3360,""en"",""ja"")"),"等しい")</f>
        <v>等しい</v>
      </c>
    </row>
    <row r="3331" spans="1:3" ht="18" customHeight="1" x14ac:dyDescent="0.3">
      <c r="A3331" s="1">
        <v>8</v>
      </c>
      <c r="B3331" s="1" t="s">
        <v>2732</v>
      </c>
      <c r="C3331" s="1" t="str">
        <f ca="1">IFERROR(__xludf.DUMMYFUNCTION("GOOGLETRANSLATE(B3361,""en"",""ja"")"),"環境保護論者")</f>
        <v>環境保護論者</v>
      </c>
    </row>
    <row r="3332" spans="1:3" ht="18" customHeight="1" x14ac:dyDescent="0.3">
      <c r="A3332" s="1">
        <v>8</v>
      </c>
      <c r="B3332" s="1" t="s">
        <v>2733</v>
      </c>
      <c r="C3332" s="1" t="str">
        <f ca="1">IFERROR(__xludf.DUMMYFUNCTION("GOOGLETRANSLATE(B3362,""en"",""ja"")"),"列挙")</f>
        <v>列挙</v>
      </c>
    </row>
    <row r="3333" spans="1:3" ht="18" customHeight="1" x14ac:dyDescent="0.3">
      <c r="A3333" s="1">
        <v>8</v>
      </c>
      <c r="B3333" s="1" t="s">
        <v>2734</v>
      </c>
      <c r="C3333" s="1" t="str">
        <f ca="1">IFERROR(__xludf.DUMMYFUNCTION("GOOGLETRANSLATE(B3363,""en"",""ja"")"),"題し")</f>
        <v>題し</v>
      </c>
    </row>
    <row r="3334" spans="1:3" ht="18" customHeight="1" x14ac:dyDescent="0.3">
      <c r="A3334" s="1">
        <v>8</v>
      </c>
      <c r="B3334" s="1" t="s">
        <v>2735</v>
      </c>
      <c r="C3334" s="1" t="str">
        <f ca="1">IFERROR(__xludf.DUMMYFUNCTION("GOOGLETRANSLATE(B3364,""en"",""ja"")"),"エンジン")</f>
        <v>エンジン</v>
      </c>
    </row>
    <row r="3335" spans="1:3" ht="18" customHeight="1" x14ac:dyDescent="0.3">
      <c r="A3335" s="1">
        <v>8</v>
      </c>
      <c r="B3335" s="1" t="s">
        <v>518</v>
      </c>
      <c r="C3335" s="1" t="str">
        <f ca="1">IFERROR(__xludf.DUMMYFUNCTION("GOOGLETRANSLATE(B3365,""en"",""ja"")"),"終わり")</f>
        <v>終わり</v>
      </c>
    </row>
    <row r="3336" spans="1:3" ht="18" customHeight="1" x14ac:dyDescent="0.3">
      <c r="A3336" s="1">
        <v>8</v>
      </c>
      <c r="B3336" s="1" t="s">
        <v>2736</v>
      </c>
      <c r="C3336" s="1" t="str">
        <f ca="1">IFERROR(__xludf.DUMMYFUNCTION("GOOGLETRANSLATE(B3366,""en"",""ja"")"),"奨励")</f>
        <v>奨励</v>
      </c>
    </row>
    <row r="3337" spans="1:3" ht="18" customHeight="1" x14ac:dyDescent="0.3">
      <c r="A3337" s="1">
        <v>8</v>
      </c>
      <c r="B3337" s="1" t="s">
        <v>2737</v>
      </c>
      <c r="C3337" s="1" t="str">
        <f ca="1">IFERROR(__xludf.DUMMYFUNCTION("GOOGLETRANSLATE(B3367,""en"",""ja"")"),"発奮")</f>
        <v>発奮</v>
      </c>
    </row>
    <row r="3338" spans="1:3" ht="18" customHeight="1" x14ac:dyDescent="0.3">
      <c r="A3338" s="1">
        <v>8</v>
      </c>
      <c r="B3338" s="1" t="s">
        <v>2738</v>
      </c>
      <c r="C3338" s="1" t="str">
        <f ca="1">IFERROR(__xludf.DUMMYFUNCTION("GOOGLETRANSLATE(B3368,""en"",""ja"")"),"雇用された")</f>
        <v>雇用された</v>
      </c>
    </row>
    <row r="3339" spans="1:3" ht="18" customHeight="1" x14ac:dyDescent="0.3">
      <c r="A3339" s="1">
        <v>8</v>
      </c>
      <c r="B3339" s="1" t="s">
        <v>2739</v>
      </c>
      <c r="C3339" s="1" t="str">
        <f ca="1">IFERROR(__xludf.DUMMYFUNCTION("GOOGLETRANSLATE(B3369,""en"",""ja"")"),"強調")</f>
        <v>強調</v>
      </c>
    </row>
    <row r="3340" spans="1:3" ht="18" customHeight="1" x14ac:dyDescent="0.3">
      <c r="A3340" s="1">
        <v>8</v>
      </c>
      <c r="B3340" s="1" t="s">
        <v>2740</v>
      </c>
      <c r="C3340" s="1" t="str">
        <f ca="1">IFERROR(__xludf.DUMMYFUNCTION("GOOGLETRANSLATE(B3370,""en"",""ja"")"),"EMIT")</f>
        <v>EMIT</v>
      </c>
    </row>
    <row r="3341" spans="1:3" ht="18" customHeight="1" x14ac:dyDescent="0.3">
      <c r="A3341" s="1">
        <v>8</v>
      </c>
      <c r="B3341" s="1" t="s">
        <v>2741</v>
      </c>
      <c r="C3341" s="1" t="str">
        <f ca="1">IFERROR(__xludf.DUMMYFUNCTION("GOOGLETRANSLATE(B3371,""en"",""ja"")"),"埋め込み")</f>
        <v>埋め込み</v>
      </c>
    </row>
    <row r="3342" spans="1:3" ht="18" customHeight="1" x14ac:dyDescent="0.3">
      <c r="A3342" s="1">
        <v>8</v>
      </c>
      <c r="B3342" s="1" t="s">
        <v>2742</v>
      </c>
      <c r="C3342" s="1" t="str">
        <f ca="1">IFERROR(__xludf.DUMMYFUNCTION("GOOGLETRANSLATE(B3372,""en"",""ja"")"),"排除します")</f>
        <v>排除します</v>
      </c>
    </row>
    <row r="3343" spans="1:3" ht="18" customHeight="1" x14ac:dyDescent="0.3">
      <c r="A3343" s="1">
        <v>8</v>
      </c>
      <c r="B3343" s="1" t="s">
        <v>1829</v>
      </c>
      <c r="C3343" s="1" t="str">
        <f ca="1">IFERROR(__xludf.DUMMYFUNCTION("GOOGLETRANSLATE(B3373,""en"",""ja"")"),"省きます")</f>
        <v>省きます</v>
      </c>
    </row>
    <row r="3344" spans="1:3" ht="18" customHeight="1" x14ac:dyDescent="0.3">
      <c r="A3344" s="1">
        <v>8</v>
      </c>
      <c r="B3344" s="1" t="s">
        <v>2743</v>
      </c>
      <c r="C3344" s="1" t="str">
        <f ca="1">IFERROR(__xludf.DUMMYFUNCTION("GOOGLETRANSLATE(B3374,""en"",""ja"")"),"薬")</f>
        <v>薬</v>
      </c>
    </row>
    <row r="3345" spans="1:3" ht="18" customHeight="1" x14ac:dyDescent="0.3">
      <c r="A3345" s="1">
        <v>8</v>
      </c>
      <c r="B3345" s="1" t="s">
        <v>2744</v>
      </c>
      <c r="C3345" s="1" t="str">
        <f ca="1">IFERROR(__xludf.DUMMYFUNCTION("GOOGLETRANSLATE(B3375,""en"",""ja"")"),"干ばつ")</f>
        <v>干ばつ</v>
      </c>
    </row>
    <row r="3346" spans="1:3" ht="18" customHeight="1" x14ac:dyDescent="0.3">
      <c r="A3346" s="1">
        <v>8</v>
      </c>
      <c r="B3346" s="1" t="s">
        <v>1214</v>
      </c>
      <c r="C3346" s="1" t="str">
        <f ca="1">IFERROR(__xludf.DUMMYFUNCTION("GOOGLETRANSLATE(B3376,""en"",""ja"")"),"ドライブ")</f>
        <v>ドライブ</v>
      </c>
    </row>
    <row r="3347" spans="1:3" ht="18" customHeight="1" x14ac:dyDescent="0.3">
      <c r="A3347" s="1">
        <v>8</v>
      </c>
      <c r="B3347" s="1" t="s">
        <v>2745</v>
      </c>
      <c r="C3347" s="1" t="str">
        <f ca="1">IFERROR(__xludf.DUMMYFUNCTION("GOOGLETRANSLATE(B3377,""en"",""ja"")"),"doomsaying")</f>
        <v>doomsaying</v>
      </c>
    </row>
    <row r="3348" spans="1:3" ht="18" customHeight="1" x14ac:dyDescent="0.3">
      <c r="A3348" s="1">
        <v>8</v>
      </c>
      <c r="B3348" s="1" t="s">
        <v>2746</v>
      </c>
      <c r="C3348" s="1" t="str">
        <f ca="1">IFERROR(__xludf.DUMMYFUNCTION("GOOGLETRANSLATE(B3378,""en"",""ja"")"),"国内の")</f>
        <v>国内の</v>
      </c>
    </row>
    <row r="3349" spans="1:3" ht="18" customHeight="1" x14ac:dyDescent="0.3">
      <c r="A3349" s="1">
        <v>8</v>
      </c>
      <c r="B3349" s="1" t="s">
        <v>1584</v>
      </c>
      <c r="C3349" s="1" t="str">
        <f ca="1">IFERROR(__xludf.DUMMYFUNCTION("GOOGLETRANSLATE(B3379,""en"",""ja"")"),"ドクトリン")</f>
        <v>ドクトリン</v>
      </c>
    </row>
    <row r="3350" spans="1:3" ht="18" customHeight="1" x14ac:dyDescent="0.3">
      <c r="A3350" s="1">
        <v>8</v>
      </c>
      <c r="B3350" s="1" t="s">
        <v>2747</v>
      </c>
      <c r="C3350" s="1" t="str">
        <f ca="1">IFERROR(__xludf.DUMMYFUNCTION("GOOGLETRANSLATE(B3380,""en"",""ja"")"),"発散")</f>
        <v>発散</v>
      </c>
    </row>
    <row r="3351" spans="1:3" ht="18" customHeight="1" x14ac:dyDescent="0.3">
      <c r="A3351" s="1">
        <v>8</v>
      </c>
      <c r="B3351" s="1" t="s">
        <v>2748</v>
      </c>
      <c r="C3351" s="1" t="str">
        <f ca="1">IFERROR(__xludf.DUMMYFUNCTION("GOOGLETRANSLATE(B3381,""en"",""ja"")"),"離別")</f>
        <v>離別</v>
      </c>
    </row>
    <row r="3352" spans="1:3" ht="18" customHeight="1" x14ac:dyDescent="0.3">
      <c r="A3352" s="1">
        <v>8</v>
      </c>
      <c r="B3352" s="1" t="s">
        <v>2749</v>
      </c>
      <c r="C3352" s="1" t="str">
        <f ca="1">IFERROR(__xludf.DUMMYFUNCTION("GOOGLETRANSLATE(B3382,""en"",""ja"")"),"紛争")</f>
        <v>紛争</v>
      </c>
    </row>
    <row r="3353" spans="1:3" ht="18" customHeight="1" x14ac:dyDescent="0.3">
      <c r="A3353" s="1">
        <v>8</v>
      </c>
      <c r="B3353" s="1" t="s">
        <v>2750</v>
      </c>
      <c r="C3353" s="1" t="str">
        <f ca="1">IFERROR(__xludf.DUMMYFUNCTION("GOOGLETRANSLATE(B3383,""en"",""ja"")"),"変位")</f>
        <v>変位</v>
      </c>
    </row>
    <row r="3354" spans="1:3" ht="18" customHeight="1" x14ac:dyDescent="0.3">
      <c r="A3354" s="1">
        <v>8</v>
      </c>
      <c r="B3354" s="1" t="s">
        <v>2751</v>
      </c>
      <c r="C3354" s="1" t="str">
        <f ca="1">IFERROR(__xludf.DUMMYFUNCTION("GOOGLETRANSLATE(B3384,""en"",""ja"")"),"ディスペンス")</f>
        <v>ディスペンス</v>
      </c>
    </row>
    <row r="3355" spans="1:3" ht="18" customHeight="1" x14ac:dyDescent="0.3">
      <c r="A3355" s="1">
        <v>8</v>
      </c>
      <c r="B3355" s="1" t="s">
        <v>2752</v>
      </c>
      <c r="C3355" s="1" t="str">
        <f ca="1">IFERROR(__xludf.DUMMYFUNCTION("GOOGLETRANSLATE(B3385,""en"",""ja"")"),"流出")</f>
        <v>流出</v>
      </c>
    </row>
    <row r="3356" spans="1:3" ht="18" customHeight="1" x14ac:dyDescent="0.3">
      <c r="A3356" s="1">
        <v>8</v>
      </c>
      <c r="B3356" s="1" t="s">
        <v>913</v>
      </c>
      <c r="C3356" s="1" t="str">
        <f ca="1">IFERROR(__xludf.DUMMYFUNCTION("GOOGLETRANSLATE(B3386,""en"",""ja"")"),"方向")</f>
        <v>方向</v>
      </c>
    </row>
    <row r="3357" spans="1:3" ht="18" customHeight="1" x14ac:dyDescent="0.3">
      <c r="A3357" s="1">
        <v>8</v>
      </c>
      <c r="B3357" s="1" t="s">
        <v>2753</v>
      </c>
      <c r="C3357" s="1" t="str">
        <f ca="1">IFERROR(__xludf.DUMMYFUNCTION("GOOGLETRANSLATE(B3387,""en"",""ja"")"),"方言")</f>
        <v>方言</v>
      </c>
    </row>
    <row r="3358" spans="1:3" ht="18" customHeight="1" x14ac:dyDescent="0.3">
      <c r="A3358" s="1">
        <v>8</v>
      </c>
      <c r="B3358" s="1" t="s">
        <v>2754</v>
      </c>
      <c r="C3358" s="1" t="str">
        <f ca="1">IFERROR(__xludf.DUMMYFUNCTION("GOOGLETRANSLATE(B3388,""en"",""ja"")"),"専念")</f>
        <v>専念</v>
      </c>
    </row>
    <row r="3359" spans="1:3" ht="18" customHeight="1" x14ac:dyDescent="0.3">
      <c r="A3359" s="1">
        <v>8</v>
      </c>
      <c r="B3359" s="1" t="s">
        <v>2755</v>
      </c>
      <c r="C3359" s="1" t="str">
        <f ca="1">IFERROR(__xludf.DUMMYFUNCTION("GOOGLETRANSLATE(B3389,""en"",""ja"")"),"そらします")</f>
        <v>そらします</v>
      </c>
    </row>
    <row r="3360" spans="1:3" ht="18" customHeight="1" x14ac:dyDescent="0.3">
      <c r="A3360" s="1">
        <v>8</v>
      </c>
      <c r="B3360" s="1" t="s">
        <v>1587</v>
      </c>
      <c r="C3360" s="1" t="str">
        <f ca="1">IFERROR(__xludf.DUMMYFUNCTION("GOOGLETRANSLATE(B3390,""en"",""ja"")"),"専制")</f>
        <v>専制</v>
      </c>
    </row>
    <row r="3361" spans="1:3" ht="18" customHeight="1" x14ac:dyDescent="0.3">
      <c r="A3361" s="1">
        <v>8</v>
      </c>
      <c r="B3361" s="1" t="s">
        <v>2756</v>
      </c>
      <c r="C3361" s="1" t="str">
        <f ca="1">IFERROR(__xludf.DUMMYFUNCTION("GOOGLETRANSLATE(B3391,""en"",""ja"")"),"説明")</f>
        <v>説明</v>
      </c>
    </row>
    <row r="3362" spans="1:3" ht="18" customHeight="1" x14ac:dyDescent="0.3">
      <c r="A3362" s="1">
        <v>8</v>
      </c>
      <c r="B3362" s="1" t="s">
        <v>2757</v>
      </c>
      <c r="C3362" s="1" t="str">
        <f ca="1">IFERROR(__xludf.DUMMYFUNCTION("GOOGLETRANSLATE(B3392,""en"",""ja"")"),"示されています")</f>
        <v>示されています</v>
      </c>
    </row>
    <row r="3363" spans="1:3" ht="18" customHeight="1" x14ac:dyDescent="0.3">
      <c r="A3363" s="1">
        <v>8</v>
      </c>
      <c r="B3363" s="1" t="s">
        <v>1146</v>
      </c>
      <c r="C3363" s="1" t="str">
        <f ca="1">IFERROR(__xludf.DUMMYFUNCTION("GOOGLETRANSLATE(B3393,""en"",""ja"")"),"依存")</f>
        <v>依存</v>
      </c>
    </row>
    <row r="3364" spans="1:3" ht="18" customHeight="1" x14ac:dyDescent="0.3">
      <c r="A3364" s="1">
        <v>8</v>
      </c>
      <c r="B3364" s="1" t="s">
        <v>2758</v>
      </c>
      <c r="C3364" s="1" t="str">
        <f ca="1">IFERROR(__xludf.DUMMYFUNCTION("GOOGLETRANSLATE(B3394,""en"",""ja"")"),"依存")</f>
        <v>依存</v>
      </c>
    </row>
    <row r="3365" spans="1:3" ht="18" customHeight="1" x14ac:dyDescent="0.3">
      <c r="A3365" s="1">
        <v>8</v>
      </c>
      <c r="B3365" s="1" t="s">
        <v>2759</v>
      </c>
      <c r="C3365" s="1" t="str">
        <f ca="1">IFERROR(__xludf.DUMMYFUNCTION("GOOGLETRANSLATE(B3395,""en"",""ja"")"),"証明します")</f>
        <v>証明します</v>
      </c>
    </row>
    <row r="3366" spans="1:3" ht="18" customHeight="1" x14ac:dyDescent="0.3">
      <c r="A3366" s="1">
        <v>8</v>
      </c>
      <c r="B3366" s="1" t="s">
        <v>2760</v>
      </c>
      <c r="C3366" s="1" t="str">
        <f ca="1">IFERROR(__xludf.DUMMYFUNCTION("GOOGLETRANSLATE(B3396,""en"",""ja"")"),"譫妄")</f>
        <v>譫妄</v>
      </c>
    </row>
    <row r="3367" spans="1:3" ht="18" customHeight="1" x14ac:dyDescent="0.3">
      <c r="A3367" s="1">
        <v>8</v>
      </c>
      <c r="B3367" s="1" t="s">
        <v>2761</v>
      </c>
      <c r="C3367" s="1" t="str">
        <f ca="1">IFERROR(__xludf.DUMMYFUNCTION("GOOGLETRANSLATE(B3397,""en"",""ja"")"),"度")</f>
        <v>度</v>
      </c>
    </row>
    <row r="3368" spans="1:3" ht="18" customHeight="1" x14ac:dyDescent="0.3">
      <c r="A3368" s="1">
        <v>8</v>
      </c>
      <c r="B3368" s="1" t="s">
        <v>2762</v>
      </c>
      <c r="C3368" s="1" t="str">
        <f ca="1">IFERROR(__xludf.DUMMYFUNCTION("GOOGLETRANSLATE(B3398,""en"",""ja"")"),"偏向")</f>
        <v>偏向</v>
      </c>
    </row>
    <row r="3369" spans="1:3" ht="18" customHeight="1" x14ac:dyDescent="0.3">
      <c r="A3369" s="1">
        <v>8</v>
      </c>
      <c r="B3369" s="1" t="s">
        <v>2763</v>
      </c>
      <c r="C3369" s="1" t="str">
        <f ca="1">IFERROR(__xludf.DUMMYFUNCTION("GOOGLETRANSLATE(B3399,""en"",""ja"")"),"確か")</f>
        <v>確か</v>
      </c>
    </row>
    <row r="3370" spans="1:3" ht="18" customHeight="1" x14ac:dyDescent="0.3">
      <c r="A3370" s="1">
        <v>8</v>
      </c>
      <c r="B3370" s="1" t="s">
        <v>2764</v>
      </c>
      <c r="C3370" s="1" t="str">
        <f ca="1">IFERROR(__xludf.DUMMYFUNCTION("GOOGLETRANSLATE(B3400,""en"",""ja"")"),"定義")</f>
        <v>定義</v>
      </c>
    </row>
    <row r="3371" spans="1:3" ht="18" customHeight="1" x14ac:dyDescent="0.3">
      <c r="A3371" s="1">
        <v>8</v>
      </c>
      <c r="B3371" s="1" t="s">
        <v>2765</v>
      </c>
      <c r="C3371" s="1" t="str">
        <f ca="1">IFERROR(__xludf.DUMMYFUNCTION("GOOGLETRANSLATE(B3401,""en"",""ja"")"),"宣言")</f>
        <v>宣言</v>
      </c>
    </row>
    <row r="3372" spans="1:3" ht="18" customHeight="1" x14ac:dyDescent="0.3">
      <c r="A3372" s="1">
        <v>8</v>
      </c>
      <c r="B3372" s="1" t="s">
        <v>2766</v>
      </c>
      <c r="C3372" s="1" t="str">
        <f ca="1">IFERROR(__xludf.DUMMYFUNCTION("GOOGLETRANSLATE(B3402,""en"",""ja"")"),"死")</f>
        <v>死</v>
      </c>
    </row>
    <row r="3373" spans="1:3" ht="18" customHeight="1" x14ac:dyDescent="0.3">
      <c r="A3373" s="1">
        <v>8</v>
      </c>
      <c r="B3373" s="1" t="s">
        <v>964</v>
      </c>
      <c r="C3373" s="1" t="str">
        <f ca="1">IFERROR(__xludf.DUMMYFUNCTION("GOOGLETRANSLATE(B3404,""en"",""ja"")"),"対処")</f>
        <v>対処</v>
      </c>
    </row>
    <row r="3374" spans="1:3" ht="18" customHeight="1" x14ac:dyDescent="0.3">
      <c r="A3374" s="1">
        <v>8</v>
      </c>
      <c r="B3374" s="1" t="s">
        <v>2767</v>
      </c>
      <c r="C3374" s="1" t="str">
        <f ca="1">IFERROR(__xludf.DUMMYFUNCTION("GOOGLETRANSLATE(B3405,""en"",""ja"")"),"サイクリック")</f>
        <v>サイクリック</v>
      </c>
    </row>
    <row r="3375" spans="1:3" ht="18" customHeight="1" x14ac:dyDescent="0.3">
      <c r="A3375" s="1">
        <v>8</v>
      </c>
      <c r="B3375" s="1" t="s">
        <v>2768</v>
      </c>
      <c r="C3375" s="1" t="str">
        <f ca="1">IFERROR(__xludf.DUMMYFUNCTION("GOOGLETRANSLATE(B3406,""en"",""ja"")"),"合図")</f>
        <v>合図</v>
      </c>
    </row>
    <row r="3376" spans="1:3" ht="18" customHeight="1" x14ac:dyDescent="0.3">
      <c r="A3376" s="1">
        <v>8</v>
      </c>
      <c r="B3376" s="1" t="s">
        <v>2769</v>
      </c>
      <c r="C3376" s="1" t="str">
        <f ca="1">IFERROR(__xludf.DUMMYFUNCTION("GOOGLETRANSLATE(B3407,""en"",""ja"")"),"基準")</f>
        <v>基準</v>
      </c>
    </row>
    <row r="3377" spans="1:3" ht="18" customHeight="1" x14ac:dyDescent="0.3">
      <c r="A3377" s="1">
        <v>8</v>
      </c>
      <c r="B3377" s="1" t="s">
        <v>2770</v>
      </c>
      <c r="C3377" s="1" t="str">
        <f ca="1">IFERROR(__xludf.DUMMYFUNCTION("GOOGLETRANSLATE(B3408,""en"",""ja"")"),"創造")</f>
        <v>創造</v>
      </c>
    </row>
    <row r="3378" spans="1:3" ht="18" customHeight="1" x14ac:dyDescent="0.3">
      <c r="A3378" s="1">
        <v>8</v>
      </c>
      <c r="B3378" s="1" t="s">
        <v>2771</v>
      </c>
      <c r="C3378" s="1" t="str">
        <f ca="1">IFERROR(__xludf.DUMMYFUNCTION("GOOGLETRANSLATE(B3409,""en"",""ja"")"),"勇気")</f>
        <v>勇気</v>
      </c>
    </row>
    <row r="3379" spans="1:3" ht="18" customHeight="1" x14ac:dyDescent="0.3">
      <c r="A3379" s="1">
        <v>8</v>
      </c>
      <c r="B3379" s="1" t="s">
        <v>2772</v>
      </c>
      <c r="C3379" s="1" t="str">
        <f ca="1">IFERROR(__xludf.DUMMYFUNCTION("GOOGLETRANSLATE(B3410,""en"",""ja"")"),"相関")</f>
        <v>相関</v>
      </c>
    </row>
    <row r="3380" spans="1:3" ht="18" customHeight="1" x14ac:dyDescent="0.3">
      <c r="A3380" s="1">
        <v>8</v>
      </c>
      <c r="B3380" s="1" t="s">
        <v>2773</v>
      </c>
      <c r="C3380" s="1" t="str">
        <f ca="1">IFERROR(__xludf.DUMMYFUNCTION("GOOGLETRANSLATE(B3411,""en"",""ja"")"),"連続")</f>
        <v>連続</v>
      </c>
    </row>
    <row r="3381" spans="1:3" ht="18" customHeight="1" x14ac:dyDescent="0.3">
      <c r="A3381" s="1">
        <v>8</v>
      </c>
      <c r="B3381" s="1" t="s">
        <v>2774</v>
      </c>
      <c r="C3381" s="1" t="str">
        <f ca="1">IFERROR(__xludf.DUMMYFUNCTION("GOOGLETRANSLATE(B3412,""en"",""ja"")"),"競技者")</f>
        <v>競技者</v>
      </c>
    </row>
    <row r="3382" spans="1:3" ht="18" customHeight="1" x14ac:dyDescent="0.3">
      <c r="A3382" s="1">
        <v>8</v>
      </c>
      <c r="B3382" s="1" t="s">
        <v>2775</v>
      </c>
      <c r="C3382" s="1" t="str">
        <f ca="1">IFERROR(__xludf.DUMMYFUNCTION("GOOGLETRANSLATE(B3413,""en"",""ja"")"),"主張")</f>
        <v>主張</v>
      </c>
    </row>
    <row r="3383" spans="1:3" ht="18" customHeight="1" x14ac:dyDescent="0.3">
      <c r="A3383" s="1">
        <v>8</v>
      </c>
      <c r="B3383" s="1" t="s">
        <v>2776</v>
      </c>
      <c r="C3383" s="1" t="str">
        <f ca="1">IFERROR(__xludf.DUMMYFUNCTION("GOOGLETRANSLATE(B3414,""en"",""ja"")"),"コンテンポラリー")</f>
        <v>コンテンポラリー</v>
      </c>
    </row>
    <row r="3384" spans="1:3" ht="18" customHeight="1" x14ac:dyDescent="0.3">
      <c r="A3384" s="1">
        <v>8</v>
      </c>
      <c r="B3384" s="1" t="s">
        <v>2777</v>
      </c>
      <c r="C3384" s="1" t="str">
        <f ca="1">IFERROR(__xludf.DUMMYFUNCTION("GOOGLETRANSLATE(B3415,""en"",""ja"")"),"構文")</f>
        <v>構文</v>
      </c>
    </row>
    <row r="3385" spans="1:3" ht="18" customHeight="1" x14ac:dyDescent="0.3">
      <c r="A3385" s="1">
        <v>8</v>
      </c>
      <c r="B3385" s="1" t="s">
        <v>2778</v>
      </c>
      <c r="C3385" s="1" t="str">
        <f ca="1">IFERROR(__xludf.DUMMYFUNCTION("GOOGLETRANSLATE(B3416,""en"",""ja"")"),"制約")</f>
        <v>制約</v>
      </c>
    </row>
    <row r="3386" spans="1:3" ht="18" customHeight="1" x14ac:dyDescent="0.3">
      <c r="A3386" s="1">
        <v>8</v>
      </c>
      <c r="B3386" s="1" t="s">
        <v>2779</v>
      </c>
      <c r="C3386" s="1" t="str">
        <f ca="1">IFERROR(__xludf.DUMMYFUNCTION("GOOGLETRANSLATE(B3417,""en"",""ja"")"),"憲法の")</f>
        <v>憲法の</v>
      </c>
    </row>
    <row r="3387" spans="1:3" ht="18" customHeight="1" x14ac:dyDescent="0.3">
      <c r="A3387" s="1">
        <v>8</v>
      </c>
      <c r="B3387" s="1" t="s">
        <v>2780</v>
      </c>
      <c r="C3387" s="1" t="str">
        <f ca="1">IFERROR(__xludf.DUMMYFUNCTION("GOOGLETRANSLATE(B3418,""en"",""ja"")"),"憲法")</f>
        <v>憲法</v>
      </c>
    </row>
    <row r="3388" spans="1:3" ht="18" customHeight="1" x14ac:dyDescent="0.3">
      <c r="A3388" s="1">
        <v>8</v>
      </c>
      <c r="B3388" s="1" t="s">
        <v>2781</v>
      </c>
      <c r="C3388" s="1" t="str">
        <f ca="1">IFERROR(__xludf.DUMMYFUNCTION("GOOGLETRANSLATE(B3419,""en"",""ja"")"),"一貫して")</f>
        <v>一貫して</v>
      </c>
    </row>
    <row r="3389" spans="1:3" ht="18" customHeight="1" x14ac:dyDescent="0.3">
      <c r="A3389" s="1">
        <v>8</v>
      </c>
      <c r="B3389" s="1" t="s">
        <v>2451</v>
      </c>
      <c r="C3389" s="1" t="str">
        <f ca="1">IFERROR(__xludf.DUMMYFUNCTION("GOOGLETRANSLATE(B3420,""en"",""ja"")"),"従います")</f>
        <v>従います</v>
      </c>
    </row>
    <row r="3390" spans="1:3" ht="18" customHeight="1" x14ac:dyDescent="0.3">
      <c r="A3390" s="1">
        <v>8</v>
      </c>
      <c r="B3390" s="1" t="s">
        <v>2782</v>
      </c>
      <c r="C3390" s="1" t="str">
        <f ca="1">IFERROR(__xludf.DUMMYFUNCTION("GOOGLETRANSLATE(B3421,""en"",""ja"")"),"矛盾")</f>
        <v>矛盾</v>
      </c>
    </row>
    <row r="3391" spans="1:3" ht="18" customHeight="1" x14ac:dyDescent="0.3">
      <c r="A3391" s="1">
        <v>8</v>
      </c>
      <c r="B3391" s="1" t="s">
        <v>2783</v>
      </c>
      <c r="C3391" s="1" t="str">
        <f ca="1">IFERROR(__xludf.DUMMYFUNCTION("GOOGLETRANSLATE(B3422,""en"",""ja"")"),"確認")</f>
        <v>確認</v>
      </c>
    </row>
    <row r="3392" spans="1:3" ht="18" customHeight="1" x14ac:dyDescent="0.3">
      <c r="A3392" s="1">
        <v>8</v>
      </c>
      <c r="B3392" s="1" t="s">
        <v>2784</v>
      </c>
      <c r="C3392" s="1" t="str">
        <f ca="1">IFERROR(__xludf.DUMMYFUNCTION("GOOGLETRANSLATE(B3423,""en"",""ja"")"),"行動")</f>
        <v>行動</v>
      </c>
    </row>
    <row r="3393" spans="1:3" ht="18" customHeight="1" x14ac:dyDescent="0.3">
      <c r="A3393" s="1">
        <v>8</v>
      </c>
      <c r="B3393" s="1" t="s">
        <v>2785</v>
      </c>
      <c r="C3393" s="1" t="str">
        <f ca="1">IFERROR(__xludf.DUMMYFUNCTION("GOOGLETRANSLATE(B3424,""en"",""ja"")"),"濃縮")</f>
        <v>濃縮</v>
      </c>
    </row>
    <row r="3394" spans="1:3" ht="18" customHeight="1" x14ac:dyDescent="0.3">
      <c r="A3394" s="1">
        <v>8</v>
      </c>
      <c r="B3394" s="1" t="s">
        <v>2786</v>
      </c>
      <c r="C3394" s="1" t="str">
        <f ca="1">IFERROR(__xludf.DUMMYFUNCTION("GOOGLETRANSLATE(B3425,""en"",""ja"")"),"コンピューター")</f>
        <v>コンピューター</v>
      </c>
    </row>
    <row r="3395" spans="1:3" ht="18" customHeight="1" x14ac:dyDescent="0.3">
      <c r="A3395" s="1">
        <v>8</v>
      </c>
      <c r="B3395" s="1" t="s">
        <v>2787</v>
      </c>
      <c r="C3395" s="1" t="str">
        <f ca="1">IFERROR(__xludf.DUMMYFUNCTION("GOOGLETRANSLATE(B3426,""en"",""ja"")"),"強います")</f>
        <v>強います</v>
      </c>
    </row>
    <row r="3396" spans="1:3" ht="18" customHeight="1" x14ac:dyDescent="0.3">
      <c r="A3396" s="1">
        <v>8</v>
      </c>
      <c r="B3396" s="1" t="s">
        <v>2788</v>
      </c>
      <c r="C3396" s="1" t="str">
        <f ca="1">IFERROR(__xludf.DUMMYFUNCTION("GOOGLETRANSLATE(B3427,""en"",""ja"")"),"商業")</f>
        <v>商業</v>
      </c>
    </row>
    <row r="3397" spans="1:3" ht="18" customHeight="1" x14ac:dyDescent="0.3">
      <c r="A3397" s="1">
        <v>8</v>
      </c>
      <c r="B3397" s="1" t="s">
        <v>2789</v>
      </c>
      <c r="C3397" s="1" t="str">
        <f ca="1">IFERROR(__xludf.DUMMYFUNCTION("GOOGLETRANSLATE(B3428,""en"",""ja"")"),"コマンド")</f>
        <v>コマンド</v>
      </c>
    </row>
    <row r="3398" spans="1:3" ht="18" customHeight="1" x14ac:dyDescent="0.3">
      <c r="A3398" s="1">
        <v>8</v>
      </c>
      <c r="B3398" s="1" t="s">
        <v>2790</v>
      </c>
      <c r="C3398" s="1" t="str">
        <f ca="1">IFERROR(__xludf.DUMMYFUNCTION("GOOGLETRANSLATE(B3429,""en"",""ja"")"),"漫画")</f>
        <v>漫画</v>
      </c>
    </row>
    <row r="3399" spans="1:3" ht="18" customHeight="1" x14ac:dyDescent="0.3">
      <c r="A3399" s="1">
        <v>8</v>
      </c>
      <c r="B3399" s="1" t="s">
        <v>2791</v>
      </c>
      <c r="C3399" s="1" t="str">
        <f ca="1">IFERROR(__xludf.DUMMYFUNCTION("GOOGLETRANSLATE(B3430,""en"",""ja"")"),"コロニー")</f>
        <v>コロニー</v>
      </c>
    </row>
    <row r="3400" spans="1:3" ht="18" customHeight="1" x14ac:dyDescent="0.3">
      <c r="A3400" s="1">
        <v>8</v>
      </c>
      <c r="B3400" s="1" t="s">
        <v>2792</v>
      </c>
      <c r="C3400" s="1" t="str">
        <f ca="1">IFERROR(__xludf.DUMMYFUNCTION("GOOGLETRANSLATE(B3431,""en"",""ja"")"),"コロニー")</f>
        <v>コロニー</v>
      </c>
    </row>
    <row r="3401" spans="1:3" ht="18" customHeight="1" x14ac:dyDescent="0.3">
      <c r="A3401" s="1">
        <v>8</v>
      </c>
      <c r="B3401" s="1" t="s">
        <v>2793</v>
      </c>
      <c r="C3401" s="1" t="str">
        <f ca="1">IFERROR(__xludf.DUMMYFUNCTION("GOOGLETRANSLATE(B3432,""en"",""ja"")"),"威圧")</f>
        <v>威圧</v>
      </c>
    </row>
    <row r="3402" spans="1:3" ht="18" customHeight="1" x14ac:dyDescent="0.3">
      <c r="A3402" s="1">
        <v>8</v>
      </c>
      <c r="B3402" s="1" t="s">
        <v>2794</v>
      </c>
      <c r="C3402" s="1" t="str">
        <f ca="1">IFERROR(__xludf.DUMMYFUNCTION("GOOGLETRANSLATE(B3433,""en"",""ja"")"),"連立")</f>
        <v>連立</v>
      </c>
    </row>
    <row r="3403" spans="1:3" ht="18" customHeight="1" x14ac:dyDescent="0.3">
      <c r="A3403" s="1">
        <v>8</v>
      </c>
      <c r="B3403" s="1" t="s">
        <v>2795</v>
      </c>
      <c r="C3403" s="1" t="str">
        <f ca="1">IFERROR(__xludf.DUMMYFUNCTION("GOOGLETRANSLATE(B3434,""en"",""ja"")"),"集まる")</f>
        <v>集まる</v>
      </c>
    </row>
    <row r="3404" spans="1:3" ht="18" customHeight="1" x14ac:dyDescent="0.3">
      <c r="A3404" s="1">
        <v>8</v>
      </c>
      <c r="B3404" s="1" t="s">
        <v>2796</v>
      </c>
      <c r="C3404" s="1" t="str">
        <f ca="1">IFERROR(__xludf.DUMMYFUNCTION("GOOGLETRANSLATE(B3435,""en"",""ja"")"),"閉まっている")</f>
        <v>閉まっている</v>
      </c>
    </row>
    <row r="3405" spans="1:3" ht="18" customHeight="1" x14ac:dyDescent="0.3">
      <c r="A3405" s="1">
        <v>8</v>
      </c>
      <c r="B3405" s="1" t="s">
        <v>2797</v>
      </c>
      <c r="C3405" s="1" t="str">
        <f ca="1">IFERROR(__xludf.DUMMYFUNCTION("GOOGLETRANSLATE(B3436,""en"",""ja"")"),"クロック")</f>
        <v>クロック</v>
      </c>
    </row>
    <row r="3406" spans="1:3" ht="18" customHeight="1" x14ac:dyDescent="0.3">
      <c r="A3406" s="1">
        <v>8</v>
      </c>
      <c r="B3406" s="1" t="s">
        <v>2217</v>
      </c>
      <c r="C3406" s="1" t="str">
        <f ca="1">IFERROR(__xludf.DUMMYFUNCTION("GOOGLETRANSLATE(B3437,""en"",""ja"")"),"クリック")</f>
        <v>クリック</v>
      </c>
    </row>
    <row r="3407" spans="1:3" ht="18" customHeight="1" x14ac:dyDescent="0.3">
      <c r="A3407" s="1">
        <v>8</v>
      </c>
      <c r="B3407" s="1" t="s">
        <v>389</v>
      </c>
      <c r="C3407" s="1" t="str">
        <f ca="1">IFERROR(__xludf.DUMMYFUNCTION("GOOGLETRANSLATE(B3438,""en"",""ja"")"),"晴れ")</f>
        <v>晴れ</v>
      </c>
    </row>
    <row r="3408" spans="1:3" ht="18" customHeight="1" x14ac:dyDescent="0.3">
      <c r="A3408" s="1">
        <v>8</v>
      </c>
      <c r="B3408" s="1" t="s">
        <v>2220</v>
      </c>
      <c r="C3408" s="1" t="str">
        <f ca="1">IFERROR(__xludf.DUMMYFUNCTION("GOOGLETRANSLATE(B3440,""en"",""ja"")"),"選択")</f>
        <v>選択</v>
      </c>
    </row>
    <row r="3409" spans="1:3" ht="18" customHeight="1" x14ac:dyDescent="0.3">
      <c r="A3409" s="1">
        <v>8</v>
      </c>
      <c r="B3409" s="1" t="s">
        <v>1996</v>
      </c>
      <c r="C3409" s="1" t="str">
        <f ca="1">IFERROR(__xludf.DUMMYFUNCTION("GOOGLETRANSLATE(B3441,""en"",""ja"")"),"選択")</f>
        <v>選択</v>
      </c>
    </row>
    <row r="3410" spans="1:3" ht="18" customHeight="1" x14ac:dyDescent="0.3">
      <c r="A3410" s="1">
        <v>8</v>
      </c>
      <c r="B3410" s="1" t="s">
        <v>2798</v>
      </c>
      <c r="C3410" s="1" t="str">
        <f ca="1">IFERROR(__xludf.DUMMYFUNCTION("GOOGLETRANSLATE(B3442,""en"",""ja"")"),"カリスマ")</f>
        <v>カリスマ</v>
      </c>
    </row>
    <row r="3411" spans="1:3" ht="18" customHeight="1" x14ac:dyDescent="0.3">
      <c r="A3411" s="1">
        <v>8</v>
      </c>
      <c r="B3411" s="1" t="s">
        <v>1997</v>
      </c>
      <c r="C3411" s="1" t="str">
        <f ca="1">IFERROR(__xludf.DUMMYFUNCTION("GOOGLETRANSLATE(B3443,""en"",""ja"")"),"チャクラ")</f>
        <v>チャクラ</v>
      </c>
    </row>
    <row r="3412" spans="1:3" ht="18" customHeight="1" x14ac:dyDescent="0.3">
      <c r="A3412" s="1">
        <v>8</v>
      </c>
      <c r="B3412" s="1" t="s">
        <v>2799</v>
      </c>
      <c r="C3412" s="1" t="str">
        <f ca="1">IFERROR(__xludf.DUMMYFUNCTION("GOOGLETRANSLATE(B3444,""en"",""ja"")"),"穀物")</f>
        <v>穀物</v>
      </c>
    </row>
    <row r="3413" spans="1:3" ht="18" customHeight="1" x14ac:dyDescent="0.3">
      <c r="A3413" s="1">
        <v>8</v>
      </c>
      <c r="B3413" s="1" t="s">
        <v>2800</v>
      </c>
      <c r="C3413" s="1" t="str">
        <f ca="1">IFERROR(__xludf.DUMMYFUNCTION("GOOGLETRANSLATE(B3445,""en"",""ja"")"),"携帯")</f>
        <v>携帯</v>
      </c>
    </row>
    <row r="3414" spans="1:3" ht="18" customHeight="1" x14ac:dyDescent="0.3">
      <c r="A3414" s="1">
        <v>8</v>
      </c>
      <c r="B3414" s="1" t="s">
        <v>2801</v>
      </c>
      <c r="C3414" s="1" t="str">
        <f ca="1">IFERROR(__xludf.DUMMYFUNCTION("GOOGLETRANSLATE(B3446,""en"",""ja"")"),"カルバン")</f>
        <v>カルバン</v>
      </c>
    </row>
    <row r="3415" spans="1:3" ht="18" customHeight="1" x14ac:dyDescent="0.3">
      <c r="A3415" s="1">
        <v>8</v>
      </c>
      <c r="B3415" s="1" t="s">
        <v>2802</v>
      </c>
      <c r="C3415" s="1" t="str">
        <f ca="1">IFERROR(__xludf.DUMMYFUNCTION("GOOGLETRANSLATE(B3447,""en"",""ja"")"),"カリフォルニア")</f>
        <v>カリフォルニア</v>
      </c>
    </row>
    <row r="3416" spans="1:3" ht="18" customHeight="1" x14ac:dyDescent="0.3">
      <c r="A3416" s="1">
        <v>8</v>
      </c>
      <c r="B3416" s="1" t="s">
        <v>2803</v>
      </c>
      <c r="C3416" s="1" t="str">
        <f ca="1">IFERROR(__xludf.DUMMYFUNCTION("GOOGLETRANSLATE(B3448,""en"",""ja"")"),"官僚")</f>
        <v>官僚</v>
      </c>
    </row>
    <row r="3417" spans="1:3" ht="18" customHeight="1" x14ac:dyDescent="0.3">
      <c r="A3417" s="1">
        <v>8</v>
      </c>
      <c r="B3417" s="1" t="s">
        <v>2804</v>
      </c>
      <c r="C3417" s="1" t="str">
        <f ca="1">IFERROR(__xludf.DUMMYFUNCTION("GOOGLETRANSLATE(B3449,""en"",""ja"")"),"建物")</f>
        <v>建物</v>
      </c>
    </row>
    <row r="3418" spans="1:3" ht="18" customHeight="1" x14ac:dyDescent="0.3">
      <c r="A3418" s="1">
        <v>8</v>
      </c>
      <c r="B3418" s="1" t="s">
        <v>2805</v>
      </c>
      <c r="C3418" s="1" t="str">
        <f ca="1">IFERROR(__xludf.DUMMYFUNCTION("GOOGLETRANSLATE(B3450,""en"",""ja"")"),"バグ")</f>
        <v>バグ</v>
      </c>
    </row>
    <row r="3419" spans="1:3" ht="18" customHeight="1" x14ac:dyDescent="0.3">
      <c r="A3419" s="1">
        <v>8</v>
      </c>
      <c r="B3419" s="1" t="s">
        <v>2223</v>
      </c>
      <c r="C3419" s="1" t="str">
        <f ca="1">IFERROR(__xludf.DUMMYFUNCTION("GOOGLETRANSLATE(B3451,""en"",""ja"")"),"放送")</f>
        <v>放送</v>
      </c>
    </row>
    <row r="3420" spans="1:3" ht="18" customHeight="1" x14ac:dyDescent="0.3">
      <c r="A3420" s="1">
        <v>8</v>
      </c>
      <c r="B3420" s="1" t="s">
        <v>2806</v>
      </c>
      <c r="C3420" s="1" t="str">
        <f ca="1">IFERROR(__xludf.DUMMYFUNCTION("GOOGLETRANSLATE(B3452,""en"",""ja"")"),"脆いです")</f>
        <v>脆いです</v>
      </c>
    </row>
    <row r="3421" spans="1:3" ht="18" customHeight="1" x14ac:dyDescent="0.3">
      <c r="A3421" s="1">
        <v>8</v>
      </c>
      <c r="B3421" s="1" t="s">
        <v>2807</v>
      </c>
      <c r="C3421" s="1" t="str">
        <f ca="1">IFERROR(__xludf.DUMMYFUNCTION("GOOGLETRANSLATE(B3453,""en"",""ja"")"),"瀬戸際")</f>
        <v>瀬戸際</v>
      </c>
    </row>
    <row r="3422" spans="1:3" ht="18" customHeight="1" x14ac:dyDescent="0.3">
      <c r="A3422" s="1">
        <v>8</v>
      </c>
      <c r="B3422" s="1" t="s">
        <v>2808</v>
      </c>
      <c r="C3422" s="1" t="str">
        <f ca="1">IFERROR(__xludf.DUMMYFUNCTION("GOOGLETRANSLATE(B3454,""en"",""ja"")"),"ボルネ")</f>
        <v>ボルネ</v>
      </c>
    </row>
    <row r="3423" spans="1:3" ht="18" customHeight="1" x14ac:dyDescent="0.3">
      <c r="A3423" s="1">
        <v>8</v>
      </c>
      <c r="B3423" s="1" t="s">
        <v>2809</v>
      </c>
      <c r="C3423" s="1" t="str">
        <f ca="1">IFERROR(__xludf.DUMMYFUNCTION("GOOGLETRANSLATE(B3455,""en"",""ja"")"),"つなぐ")</f>
        <v>つなぐ</v>
      </c>
    </row>
    <row r="3424" spans="1:3" ht="18" customHeight="1" x14ac:dyDescent="0.3">
      <c r="A3424" s="1">
        <v>8</v>
      </c>
      <c r="B3424" s="1" t="s">
        <v>2810</v>
      </c>
      <c r="C3424" s="1" t="str">
        <f ca="1">IFERROR(__xludf.DUMMYFUNCTION("GOOGLETRANSLATE(B3456,""en"",""ja"")"),"ブロック")</f>
        <v>ブロック</v>
      </c>
    </row>
    <row r="3425" spans="1:3" ht="18" customHeight="1" x14ac:dyDescent="0.3">
      <c r="A3425" s="1">
        <v>8</v>
      </c>
      <c r="B3425" s="1" t="s">
        <v>2811</v>
      </c>
      <c r="C3425" s="1" t="str">
        <f ca="1">IFERROR(__xludf.DUMMYFUNCTION("GOOGLETRANSLATE(B3457,""en"",""ja"")"),"ブロック")</f>
        <v>ブロック</v>
      </c>
    </row>
    <row r="3426" spans="1:3" ht="18" customHeight="1" x14ac:dyDescent="0.3">
      <c r="A3426" s="1">
        <v>8</v>
      </c>
      <c r="B3426" s="1" t="s">
        <v>2812</v>
      </c>
      <c r="C3426" s="1" t="str">
        <f ca="1">IFERROR(__xludf.DUMMYFUNCTION("GOOGLETRANSLATE(B3458,""en"",""ja"")"),"大きい")</f>
        <v>大きい</v>
      </c>
    </row>
    <row r="3427" spans="1:3" ht="18" customHeight="1" x14ac:dyDescent="0.3">
      <c r="A3427" s="1">
        <v>8</v>
      </c>
      <c r="B3427" s="1" t="s">
        <v>2813</v>
      </c>
      <c r="C3427" s="1" t="str">
        <f ca="1">IFERROR(__xludf.DUMMYFUNCTION("GOOGLETRANSLATE(B3459,""en"",""ja"")"),"属する")</f>
        <v>属する</v>
      </c>
    </row>
    <row r="3428" spans="1:3" ht="18" customHeight="1" x14ac:dyDescent="0.3">
      <c r="A3428" s="1">
        <v>8</v>
      </c>
      <c r="B3428" s="1" t="s">
        <v>333</v>
      </c>
      <c r="C3428" s="1" t="str">
        <f ca="1">IFERROR(__xludf.DUMMYFUNCTION("GOOGLETRANSLATE(B3460,""en"",""ja"")"),"信じます")</f>
        <v>信じます</v>
      </c>
    </row>
    <row r="3429" spans="1:3" ht="18" customHeight="1" x14ac:dyDescent="0.3">
      <c r="A3429" s="1">
        <v>8</v>
      </c>
      <c r="B3429" s="1" t="s">
        <v>1711</v>
      </c>
      <c r="C3429" s="1" t="str">
        <f ca="1">IFERROR(__xludf.DUMMYFUNCTION("GOOGLETRANSLATE(B3461,""en"",""ja"")"),"行動主義")</f>
        <v>行動主義</v>
      </c>
    </row>
    <row r="3430" spans="1:3" ht="18" customHeight="1" x14ac:dyDescent="0.3">
      <c r="A3430" s="1">
        <v>8</v>
      </c>
      <c r="B3430" s="1" t="s">
        <v>2814</v>
      </c>
      <c r="C3430" s="1" t="str">
        <f ca="1">IFERROR(__xludf.DUMMYFUNCTION("GOOGLETRANSLATE(B3462,""en"",""ja"")"),"始まります")</f>
        <v>始まります</v>
      </c>
    </row>
    <row r="3431" spans="1:3" ht="18" customHeight="1" x14ac:dyDescent="0.3">
      <c r="A3431" s="1">
        <v>8</v>
      </c>
      <c r="B3431" s="1" t="s">
        <v>685</v>
      </c>
      <c r="C3431" s="1" t="str">
        <f ca="1">IFERROR(__xludf.DUMMYFUNCTION("GOOGLETRANSLATE(B3463,""en"",""ja"")"),"基礎")</f>
        <v>基礎</v>
      </c>
    </row>
    <row r="3432" spans="1:3" ht="18" customHeight="1" x14ac:dyDescent="0.3">
      <c r="A3432" s="1">
        <v>8</v>
      </c>
      <c r="B3432" s="1" t="s">
        <v>2815</v>
      </c>
      <c r="C3432" s="1" t="str">
        <f ca="1">IFERROR(__xludf.DUMMYFUNCTION("GOOGLETRANSLATE(B3464,""en"",""ja"")"),"野蛮人")</f>
        <v>野蛮人</v>
      </c>
    </row>
    <row r="3433" spans="1:3" ht="18" customHeight="1" x14ac:dyDescent="0.3">
      <c r="A3433" s="1">
        <v>8</v>
      </c>
      <c r="B3433" s="1" t="s">
        <v>4</v>
      </c>
      <c r="C3433" s="1" t="str">
        <f ca="1">IFERROR(__xludf.DUMMYFUNCTION("GOOGLETRANSLATE(B3465,""en"",""ja"")"),"A")</f>
        <v>A</v>
      </c>
    </row>
    <row r="3434" spans="1:3" ht="18" customHeight="1" x14ac:dyDescent="0.3">
      <c r="A3434" s="1">
        <v>8</v>
      </c>
      <c r="B3434" s="1" t="s">
        <v>2816</v>
      </c>
      <c r="C3434" s="1" t="str">
        <f ca="1">IFERROR(__xludf.DUMMYFUNCTION("GOOGLETRANSLATE(B3466,""en"",""ja"")"),"オーストリア")</f>
        <v>オーストリア</v>
      </c>
    </row>
    <row r="3435" spans="1:3" ht="18" customHeight="1" x14ac:dyDescent="0.3">
      <c r="A3435" s="1">
        <v>8</v>
      </c>
      <c r="B3435" s="1" t="s">
        <v>2817</v>
      </c>
      <c r="C3435" s="1" t="str">
        <f ca="1">IFERROR(__xludf.DUMMYFUNCTION("GOOGLETRANSLATE(B3467,""en"",""ja"")"),"攻撃")</f>
        <v>攻撃</v>
      </c>
    </row>
    <row r="3436" spans="1:3" ht="18" customHeight="1" x14ac:dyDescent="0.3">
      <c r="A3436" s="1">
        <v>8</v>
      </c>
      <c r="B3436" s="1" t="s">
        <v>2475</v>
      </c>
      <c r="C3436" s="1" t="str">
        <f ca="1">IFERROR(__xludf.DUMMYFUNCTION("GOOGLETRANSLATE(B3468,""en"",""ja"")"),"貴族")</f>
        <v>貴族</v>
      </c>
    </row>
    <row r="3437" spans="1:3" ht="18" customHeight="1" x14ac:dyDescent="0.3">
      <c r="A3437" s="1">
        <v>8</v>
      </c>
      <c r="B3437" s="1" t="s">
        <v>601</v>
      </c>
      <c r="C3437" s="1" t="str">
        <f ca="1">IFERROR(__xludf.DUMMYFUNCTION("GOOGLETRANSLATE(B3469,""en"",""ja"")"),"適切な")</f>
        <v>適切な</v>
      </c>
    </row>
    <row r="3438" spans="1:3" ht="18" customHeight="1" x14ac:dyDescent="0.3">
      <c r="A3438" s="1">
        <v>8</v>
      </c>
      <c r="B3438" s="1" t="s">
        <v>2818</v>
      </c>
      <c r="C3438" s="1" t="str">
        <f ca="1">IFERROR(__xludf.DUMMYFUNCTION("GOOGLETRANSLATE(B3470,""en"",""ja"")"),"感謝する")</f>
        <v>感謝する</v>
      </c>
    </row>
    <row r="3439" spans="1:3" ht="18" customHeight="1" x14ac:dyDescent="0.3">
      <c r="A3439" s="1">
        <v>8</v>
      </c>
      <c r="B3439" s="1" t="s">
        <v>2819</v>
      </c>
      <c r="C3439" s="1" t="str">
        <f ca="1">IFERROR(__xludf.DUMMYFUNCTION("GOOGLETRANSLATE(B3471,""en"",""ja"")"),"器具")</f>
        <v>器具</v>
      </c>
    </row>
    <row r="3440" spans="1:3" ht="18" customHeight="1" x14ac:dyDescent="0.3">
      <c r="A3440" s="1">
        <v>8</v>
      </c>
      <c r="B3440" s="1" t="s">
        <v>2820</v>
      </c>
      <c r="C3440" s="1" t="str">
        <f ca="1">IFERROR(__xludf.DUMMYFUNCTION("GOOGLETRANSLATE(B3472,""en"",""ja"")"),"アピール")</f>
        <v>アピール</v>
      </c>
    </row>
    <row r="3441" spans="1:3" ht="18" customHeight="1" x14ac:dyDescent="0.3">
      <c r="A3441" s="1">
        <v>8</v>
      </c>
      <c r="B3441" s="1" t="s">
        <v>93</v>
      </c>
      <c r="C3441" s="1" t="str">
        <f ca="1">IFERROR(__xludf.DUMMYFUNCTION("GOOGLETRANSLATE(B3473,""en"",""ja"")"),"どれか")</f>
        <v>どれか</v>
      </c>
    </row>
    <row r="3442" spans="1:3" ht="18" customHeight="1" x14ac:dyDescent="0.3">
      <c r="A3442" s="1">
        <v>8</v>
      </c>
      <c r="B3442" s="1" t="s">
        <v>2821</v>
      </c>
      <c r="C3442" s="1" t="str">
        <f ca="1">IFERROR(__xludf.DUMMYFUNCTION("GOOGLETRANSLATE(B3474,""en"",""ja"")"),"反教権主義")</f>
        <v>反教権主義</v>
      </c>
    </row>
    <row r="3443" spans="1:3" ht="18" customHeight="1" x14ac:dyDescent="0.3">
      <c r="A3443" s="1">
        <v>8</v>
      </c>
      <c r="B3443" s="1" t="s">
        <v>2822</v>
      </c>
      <c r="C3443" s="1" t="str">
        <f ca="1">IFERROR(__xludf.DUMMYFUNCTION("GOOGLETRANSLATE(B3475,""en"",""ja"")"),"人間中心主義")</f>
        <v>人間中心主義</v>
      </c>
    </row>
    <row r="3444" spans="1:3" ht="18" customHeight="1" x14ac:dyDescent="0.3">
      <c r="A3444" s="1">
        <v>8</v>
      </c>
      <c r="B3444" s="1" t="s">
        <v>2823</v>
      </c>
      <c r="C3444" s="1" t="str">
        <f ca="1">IFERROR(__xludf.DUMMYFUNCTION("GOOGLETRANSLATE(B3476,""en"",""ja"")"),"アニメーション")</f>
        <v>アニメーション</v>
      </c>
    </row>
    <row r="3445" spans="1:3" ht="18" customHeight="1" x14ac:dyDescent="0.3">
      <c r="A3445" s="1">
        <v>8</v>
      </c>
      <c r="B3445" s="1" t="s">
        <v>2824</v>
      </c>
      <c r="C3445" s="1" t="str">
        <f ca="1">IFERROR(__xludf.DUMMYFUNCTION("GOOGLETRANSLATE(B3477,""en"",""ja"")"),"先祖")</f>
        <v>先祖</v>
      </c>
    </row>
    <row r="3446" spans="1:3" ht="18" customHeight="1" x14ac:dyDescent="0.3">
      <c r="A3446" s="1">
        <v>8</v>
      </c>
      <c r="B3446" s="1" t="s">
        <v>2825</v>
      </c>
      <c r="C3446" s="1" t="str">
        <f ca="1">IFERROR(__xludf.DUMMYFUNCTION("GOOGLETRANSLATE(B3478,""en"",""ja"")"),"類推")</f>
        <v>類推</v>
      </c>
    </row>
    <row r="3447" spans="1:3" ht="18" customHeight="1" x14ac:dyDescent="0.3">
      <c r="A3447" s="1">
        <v>8</v>
      </c>
      <c r="B3447" s="1" t="s">
        <v>2242</v>
      </c>
      <c r="C3447" s="1" t="str">
        <f ca="1">IFERROR(__xludf.DUMMYFUNCTION("GOOGLETRANSLATE(B3479,""en"",""ja"")"),"あいまいな")</f>
        <v>あいまいな</v>
      </c>
    </row>
    <row r="3448" spans="1:3" ht="18" customHeight="1" x14ac:dyDescent="0.3">
      <c r="A3448" s="1">
        <v>8</v>
      </c>
      <c r="B3448" s="1" t="s">
        <v>2826</v>
      </c>
      <c r="C3448" s="1" t="str">
        <f ca="1">IFERROR(__xludf.DUMMYFUNCTION("GOOGLETRANSLATE(B3480,""en"",""ja"")"),"他愛")</f>
        <v>他愛</v>
      </c>
    </row>
    <row r="3449" spans="1:3" ht="18" customHeight="1" x14ac:dyDescent="0.3">
      <c r="A3449" s="1">
        <v>8</v>
      </c>
      <c r="B3449" s="1" t="s">
        <v>199</v>
      </c>
      <c r="C3449" s="1" t="str">
        <f ca="1">IFERROR(__xludf.DUMMYFUNCTION("GOOGLETRANSLATE(B3481,""en"",""ja"")"),"であるが")</f>
        <v>であるが</v>
      </c>
    </row>
    <row r="3450" spans="1:3" ht="18" customHeight="1" x14ac:dyDescent="0.3">
      <c r="A3450" s="1">
        <v>8</v>
      </c>
      <c r="B3450" s="1" t="s">
        <v>361</v>
      </c>
      <c r="C3450" s="1" t="str">
        <f ca="1">IFERROR(__xludf.DUMMYFUNCTION("GOOGLETRANSLATE(B3482,""en"",""ja"")"),"沿って")</f>
        <v>沿って</v>
      </c>
    </row>
    <row r="3451" spans="1:3" ht="18" customHeight="1" x14ac:dyDescent="0.3">
      <c r="A3451" s="1">
        <v>8</v>
      </c>
      <c r="B3451" s="1" t="s">
        <v>1087</v>
      </c>
      <c r="C3451" s="1" t="str">
        <f ca="1">IFERROR(__xludf.DUMMYFUNCTION("GOOGLETRANSLATE(B3483,""en"",""ja"")"),"援助")</f>
        <v>援助</v>
      </c>
    </row>
    <row r="3452" spans="1:3" ht="18" customHeight="1" x14ac:dyDescent="0.3">
      <c r="A3452" s="1">
        <v>8</v>
      </c>
      <c r="B3452" s="1" t="s">
        <v>2827</v>
      </c>
      <c r="C3452" s="1" t="str">
        <f ca="1">IFERROR(__xludf.DUMMYFUNCTION("GOOGLETRANSLATE(B3484,""en"",""ja"")"),"年齢")</f>
        <v>年齢</v>
      </c>
    </row>
    <row r="3453" spans="1:3" ht="18" customHeight="1" x14ac:dyDescent="0.3">
      <c r="A3453" s="1">
        <v>8</v>
      </c>
      <c r="B3453" s="1" t="s">
        <v>2245</v>
      </c>
      <c r="C3453" s="1" t="str">
        <f ca="1">IFERROR(__xludf.DUMMYFUNCTION("GOOGLETRANSLATE(B3485,""en"",""ja"")"),"宣伝します")</f>
        <v>宣伝します</v>
      </c>
    </row>
    <row r="3454" spans="1:3" ht="18" customHeight="1" x14ac:dyDescent="0.3">
      <c r="A3454" s="1">
        <v>8</v>
      </c>
      <c r="B3454" s="1" t="s">
        <v>2482</v>
      </c>
      <c r="C3454" s="1" t="str">
        <f ca="1">IFERROR(__xludf.DUMMYFUNCTION("GOOGLETRANSLATE(B3486,""en"",""ja"")"),"大人")</f>
        <v>大人</v>
      </c>
    </row>
    <row r="3455" spans="1:3" ht="18" customHeight="1" x14ac:dyDescent="0.3">
      <c r="A3455" s="1">
        <v>8</v>
      </c>
      <c r="B3455" s="1" t="s">
        <v>2828</v>
      </c>
      <c r="C3455" s="1" t="str">
        <f ca="1">IFERROR(__xludf.DUMMYFUNCTION("GOOGLETRANSLATE(B3487,""en"",""ja"")"),"行動")</f>
        <v>行動</v>
      </c>
    </row>
    <row r="3456" spans="1:3" ht="18" customHeight="1" x14ac:dyDescent="0.3">
      <c r="A3456" s="1">
        <v>8</v>
      </c>
      <c r="B3456" s="1" t="s">
        <v>2829</v>
      </c>
      <c r="C3456" s="1" t="str">
        <f ca="1">IFERROR(__xludf.DUMMYFUNCTION("GOOGLETRANSLATE(B3488,""en"",""ja"")"),"実績")</f>
        <v>実績</v>
      </c>
    </row>
    <row r="3457" spans="1:3" ht="18" customHeight="1" x14ac:dyDescent="0.3">
      <c r="A3457" s="1">
        <v>8</v>
      </c>
      <c r="B3457" s="1" t="s">
        <v>2017</v>
      </c>
      <c r="C3457" s="1" t="str">
        <f ca="1">IFERROR(__xludf.DUMMYFUNCTION("GOOGLETRANSLATE(B3489,""en"",""ja"")"),"成し遂げる")</f>
        <v>成し遂げる</v>
      </c>
    </row>
    <row r="3458" spans="1:3" ht="18" customHeight="1" x14ac:dyDescent="0.3">
      <c r="A3458" s="1">
        <v>8</v>
      </c>
      <c r="B3458" s="1" t="s">
        <v>2830</v>
      </c>
      <c r="C3458" s="1" t="str">
        <f ca="1">IFERROR(__xludf.DUMMYFUNCTION("GOOGLETRANSLATE(B3490,""en"",""ja"")"),"それに応じて")</f>
        <v>それに応じて</v>
      </c>
    </row>
    <row r="3459" spans="1:3" ht="18" customHeight="1" x14ac:dyDescent="0.3">
      <c r="A3459" s="1">
        <v>8</v>
      </c>
      <c r="B3459" s="1" t="s">
        <v>2831</v>
      </c>
      <c r="C3459" s="1" t="str">
        <f ca="1">IFERROR(__xludf.DUMMYFUNCTION("GOOGLETRANSLATE(B3491,""en"",""ja"")"),"アクセス")</f>
        <v>アクセス</v>
      </c>
    </row>
    <row r="3460" spans="1:3" ht="18" customHeight="1" x14ac:dyDescent="0.3">
      <c r="A3460" s="1">
        <v>8</v>
      </c>
      <c r="B3460" s="1" t="s">
        <v>2832</v>
      </c>
      <c r="C3460" s="1" t="str">
        <f ca="1">IFERROR(__xludf.DUMMYFUNCTION("GOOGLETRANSLATE(B3492,""en"",""ja"")"),"容認されました")</f>
        <v>容認されました</v>
      </c>
    </row>
    <row r="3461" spans="1:3" ht="18" customHeight="1" x14ac:dyDescent="0.3">
      <c r="A3461" s="1">
        <v>8</v>
      </c>
      <c r="B3461" s="1" t="s">
        <v>2833</v>
      </c>
      <c r="C3461" s="1" t="str">
        <f ca="1">IFERROR(__xludf.DUMMYFUNCTION("GOOGLETRANSLATE(B3493,""en"",""ja"")"),"早めます")</f>
        <v>早めます</v>
      </c>
    </row>
    <row r="3462" spans="1:3" ht="18" customHeight="1" x14ac:dyDescent="0.3">
      <c r="A3462" s="1">
        <v>7</v>
      </c>
      <c r="B3462" s="1" t="s">
        <v>2834</v>
      </c>
      <c r="C3462" s="1" t="str">
        <f ca="1">IFERROR(__xludf.DUMMYFUNCTION("GOOGLETRANSLATE(B3494,""en"",""ja"")"),"ゼロ")</f>
        <v>ゼロ</v>
      </c>
    </row>
    <row r="3463" spans="1:3" ht="18" customHeight="1" x14ac:dyDescent="0.3">
      <c r="A3463" s="1">
        <v>7</v>
      </c>
      <c r="B3463" s="1" t="s">
        <v>2835</v>
      </c>
      <c r="C3463" s="1" t="str">
        <f ca="1">IFERROR(__xludf.DUMMYFUNCTION("GOOGLETRANSLATE(B3495,""en"",""ja"")"),"ワンダー")</f>
        <v>ワンダー</v>
      </c>
    </row>
    <row r="3464" spans="1:3" ht="18" customHeight="1" x14ac:dyDescent="0.3">
      <c r="A3464" s="1">
        <v>7</v>
      </c>
      <c r="B3464" s="1" t="s">
        <v>2836</v>
      </c>
      <c r="C3464" s="1" t="str">
        <f ca="1">IFERROR(__xludf.DUMMYFUNCTION("GOOGLETRANSLATE(B3496,""en"",""ja"")"),"風")</f>
        <v>風</v>
      </c>
    </row>
    <row r="3465" spans="1:3" ht="18" customHeight="1" x14ac:dyDescent="0.3">
      <c r="A3465" s="1">
        <v>7</v>
      </c>
      <c r="B3465" s="1" t="s">
        <v>2837</v>
      </c>
      <c r="C3465" s="1" t="str">
        <f ca="1">IFERROR(__xludf.DUMMYFUNCTION("GOOGLETRANSLATE(B3497,""en"",""ja"")"),"風")</f>
        <v>風</v>
      </c>
    </row>
    <row r="3466" spans="1:3" ht="18" customHeight="1" x14ac:dyDescent="0.3">
      <c r="A3466" s="1">
        <v>7</v>
      </c>
      <c r="B3466" s="1" t="s">
        <v>875</v>
      </c>
      <c r="C3466" s="1" t="str">
        <f ca="1">IFERROR(__xludf.DUMMYFUNCTION("GOOGLETRANSLATE(B3498,""en"",""ja"")"),"ウェブ")</f>
        <v>ウェブ</v>
      </c>
    </row>
    <row r="3467" spans="1:3" ht="18" customHeight="1" x14ac:dyDescent="0.3">
      <c r="A3467" s="1">
        <v>7</v>
      </c>
      <c r="B3467" s="1" t="s">
        <v>2838</v>
      </c>
      <c r="C3467" s="1" t="str">
        <f ca="1">IFERROR(__xludf.DUMMYFUNCTION("GOOGLETRANSLATE(B3499,""en"",""ja"")"),"弱点")</f>
        <v>弱点</v>
      </c>
    </row>
    <row r="3468" spans="1:3" ht="18" customHeight="1" x14ac:dyDescent="0.3">
      <c r="A3468" s="1">
        <v>7</v>
      </c>
      <c r="B3468" s="1" t="s">
        <v>22</v>
      </c>
      <c r="C3468" s="1" t="str">
        <f ca="1">IFERROR(__xludf.DUMMYFUNCTION("GOOGLETRANSLATE(B3500,""en"",""ja"")"),"我々")</f>
        <v>我々</v>
      </c>
    </row>
    <row r="3469" spans="1:3" ht="18" customHeight="1" x14ac:dyDescent="0.3">
      <c r="A3469" s="1">
        <v>7</v>
      </c>
      <c r="B3469" s="1" t="s">
        <v>2839</v>
      </c>
      <c r="C3469" s="1" t="str">
        <f ca="1">IFERROR(__xludf.DUMMYFUNCTION("GOOGLETRANSLATE(B3501,""en"",""ja"")"),"ウォッチャー")</f>
        <v>ウォッチャー</v>
      </c>
    </row>
    <row r="3470" spans="1:3" ht="18" customHeight="1" x14ac:dyDescent="0.3">
      <c r="A3470" s="1">
        <v>7</v>
      </c>
      <c r="B3470" s="1" t="s">
        <v>1402</v>
      </c>
      <c r="C3470" s="1" t="str">
        <f ca="1">IFERROR(__xludf.DUMMYFUNCTION("GOOGLETRANSLATE(B3502,""en"",""ja"")"),"見る")</f>
        <v>見る</v>
      </c>
    </row>
    <row r="3471" spans="1:3" ht="18" customHeight="1" x14ac:dyDescent="0.3">
      <c r="A3471" s="1">
        <v>7</v>
      </c>
      <c r="B3471" s="1" t="s">
        <v>2840</v>
      </c>
      <c r="C3471" s="1" t="str">
        <f ca="1">IFERROR(__xludf.DUMMYFUNCTION("GOOGLETRANSLATE(B3503,""en"",""ja"")"),"ウォルター")</f>
        <v>ウォルター</v>
      </c>
    </row>
    <row r="3472" spans="1:3" ht="18" customHeight="1" x14ac:dyDescent="0.3">
      <c r="A3472" s="1">
        <v>7</v>
      </c>
      <c r="B3472" s="1" t="s">
        <v>2841</v>
      </c>
      <c r="C3472" s="1" t="str">
        <f ca="1">IFERROR(__xludf.DUMMYFUNCTION("GOOGLETRANSLATE(B3504,""en"",""ja"")"),"ボランティア")</f>
        <v>ボランティア</v>
      </c>
    </row>
    <row r="3473" spans="1:3" ht="18" customHeight="1" x14ac:dyDescent="0.3">
      <c r="A3473" s="1">
        <v>7</v>
      </c>
      <c r="B3473" s="1" t="s">
        <v>1496</v>
      </c>
      <c r="C3473" s="1" t="str">
        <f ca="1">IFERROR(__xludf.DUMMYFUNCTION("GOOGLETRANSLATE(B3505,""en"",""ja"")"),"ボイス")</f>
        <v>ボイス</v>
      </c>
    </row>
    <row r="3474" spans="1:3" ht="18" customHeight="1" x14ac:dyDescent="0.3">
      <c r="A3474" s="1">
        <v>7</v>
      </c>
      <c r="B3474" s="1" t="s">
        <v>2842</v>
      </c>
      <c r="C3474" s="1" t="str">
        <f ca="1">IFERROR(__xludf.DUMMYFUNCTION("GOOGLETRANSLATE(B3506,""en"",""ja"")"),"バルブ")</f>
        <v>バルブ</v>
      </c>
    </row>
    <row r="3475" spans="1:3" ht="18" customHeight="1" x14ac:dyDescent="0.3">
      <c r="A3475" s="1">
        <v>7</v>
      </c>
      <c r="B3475" s="1" t="s">
        <v>2843</v>
      </c>
      <c r="C3475" s="1" t="str">
        <f ca="1">IFERROR(__xludf.DUMMYFUNCTION("GOOGLETRANSLATE(B3507,""en"",""ja"")"),"重視")</f>
        <v>重視</v>
      </c>
    </row>
    <row r="3476" spans="1:3" ht="18" customHeight="1" x14ac:dyDescent="0.3">
      <c r="A3476" s="1">
        <v>7</v>
      </c>
      <c r="B3476" s="1" t="s">
        <v>2844</v>
      </c>
      <c r="C3476" s="1" t="str">
        <f ca="1">IFERROR(__xludf.DUMMYFUNCTION("GOOGLETRANSLATE(B3508,""en"",""ja"")"),"利用します")</f>
        <v>利用します</v>
      </c>
    </row>
    <row r="3477" spans="1:3" ht="18" customHeight="1" x14ac:dyDescent="0.3">
      <c r="A3477" s="1">
        <v>7</v>
      </c>
      <c r="B3477" s="1" t="s">
        <v>2845</v>
      </c>
      <c r="C3477" s="1" t="str">
        <f ca="1">IFERROR(__xludf.DUMMYFUNCTION("GOOGLETRANSLATE(B3509,""en"",""ja"")"),"アップグレード")</f>
        <v>アップグレード</v>
      </c>
    </row>
    <row r="3478" spans="1:3" ht="18" customHeight="1" x14ac:dyDescent="0.3">
      <c r="A3478" s="1">
        <v>7</v>
      </c>
      <c r="B3478" s="1" t="s">
        <v>2846</v>
      </c>
      <c r="C3478" s="1" t="str">
        <f ca="1">IFERROR(__xludf.DUMMYFUNCTION("GOOGLETRANSLATE(B3510,""en"",""ja"")"),"不要")</f>
        <v>不要</v>
      </c>
    </row>
    <row r="3479" spans="1:3" ht="18" customHeight="1" x14ac:dyDescent="0.3">
      <c r="A3479" s="1">
        <v>7</v>
      </c>
      <c r="B3479" s="1" t="s">
        <v>2847</v>
      </c>
      <c r="C3479" s="1" t="str">
        <f ca="1">IFERROR(__xludf.DUMMYFUNCTION("GOOGLETRANSLATE(B3511,""en"",""ja"")"),"不測")</f>
        <v>不測</v>
      </c>
    </row>
    <row r="3480" spans="1:3" ht="18" customHeight="1" x14ac:dyDescent="0.3">
      <c r="A3480" s="1">
        <v>7</v>
      </c>
      <c r="B3480" s="1" t="s">
        <v>2848</v>
      </c>
      <c r="C3480" s="1" t="str">
        <f ca="1">IFERROR(__xludf.DUMMYFUNCTION("GOOGLETRANSLATE(B3512,""en"",""ja"")"),"引き受けます")</f>
        <v>引き受けます</v>
      </c>
    </row>
    <row r="3481" spans="1:3" ht="18" customHeight="1" x14ac:dyDescent="0.3">
      <c r="A3481" s="1">
        <v>7</v>
      </c>
      <c r="B3481" s="1" t="s">
        <v>2849</v>
      </c>
      <c r="C3481" s="1" t="str">
        <f ca="1">IFERROR(__xludf.DUMMYFUNCTION("GOOGLETRANSLATE(B3513,""en"",""ja"")"),"覆します")</f>
        <v>覆します</v>
      </c>
    </row>
    <row r="3482" spans="1:3" ht="18" customHeight="1" x14ac:dyDescent="0.3">
      <c r="A3482" s="1">
        <v>7</v>
      </c>
      <c r="B3482" s="1" t="s">
        <v>2850</v>
      </c>
      <c r="C3482" s="1" t="str">
        <f ca="1">IFERROR(__xludf.DUMMYFUNCTION("GOOGLETRANSLATE(B3514,""en"",""ja"")"),"カバーされていません")</f>
        <v>カバーされていません</v>
      </c>
    </row>
    <row r="3483" spans="1:3" ht="18" customHeight="1" x14ac:dyDescent="0.3">
      <c r="A3483" s="1">
        <v>7</v>
      </c>
      <c r="B3483" s="1" t="s">
        <v>2851</v>
      </c>
      <c r="C3483" s="1" t="str">
        <f ca="1">IFERROR(__xludf.DUMMYFUNCTION("GOOGLETRANSLATE(B3515,""en"",""ja"")"),"できません")</f>
        <v>できません</v>
      </c>
    </row>
    <row r="3484" spans="1:3" ht="18" customHeight="1" x14ac:dyDescent="0.3">
      <c r="A3484" s="1">
        <v>7</v>
      </c>
      <c r="B3484" s="1" t="s">
        <v>926</v>
      </c>
      <c r="C3484" s="1" t="str">
        <f ca="1">IFERROR(__xludf.DUMMYFUNCTION("GOOGLETRANSLATE(B3516,""en"",""ja"")"),"最終的には")</f>
        <v>最終的には</v>
      </c>
    </row>
    <row r="3485" spans="1:3" ht="18" customHeight="1" x14ac:dyDescent="0.3">
      <c r="A3485" s="1">
        <v>7</v>
      </c>
      <c r="B3485" s="1" t="s">
        <v>2852</v>
      </c>
      <c r="C3485" s="1" t="str">
        <f ca="1">IFERROR(__xludf.DUMMYFUNCTION("GOOGLETRANSLATE(B3517,""en"",""ja"")"),"ターン")</f>
        <v>ターン</v>
      </c>
    </row>
    <row r="3486" spans="1:3" ht="18" customHeight="1" x14ac:dyDescent="0.3">
      <c r="A3486" s="1">
        <v>7</v>
      </c>
      <c r="B3486" s="1" t="s">
        <v>2853</v>
      </c>
      <c r="C3486" s="1" t="str">
        <f ca="1">IFERROR(__xludf.DUMMYFUNCTION("GOOGLETRANSLATE(B3518,""en"",""ja"")"),"トラブル")</f>
        <v>トラブル</v>
      </c>
    </row>
    <row r="3487" spans="1:3" ht="18" customHeight="1" x14ac:dyDescent="0.3">
      <c r="A3487" s="1">
        <v>7</v>
      </c>
      <c r="B3487" s="1" t="s">
        <v>2854</v>
      </c>
      <c r="C3487" s="1" t="str">
        <f ca="1">IFERROR(__xludf.DUMMYFUNCTION("GOOGLETRANSLATE(B3519,""en"",""ja"")"),"トレンド")</f>
        <v>トレンド</v>
      </c>
    </row>
    <row r="3488" spans="1:3" ht="18" customHeight="1" x14ac:dyDescent="0.3">
      <c r="A3488" s="1">
        <v>7</v>
      </c>
      <c r="B3488" s="1" t="s">
        <v>2855</v>
      </c>
      <c r="C3488" s="1" t="str">
        <f ca="1">IFERROR(__xludf.DUMMYFUNCTION("GOOGLETRANSLATE(B3520,""en"",""ja"")"),"交通手段")</f>
        <v>交通手段</v>
      </c>
    </row>
    <row r="3489" spans="1:3" ht="18" customHeight="1" x14ac:dyDescent="0.3">
      <c r="A3489" s="1">
        <v>7</v>
      </c>
      <c r="B3489" s="1" t="s">
        <v>2856</v>
      </c>
      <c r="C3489" s="1" t="str">
        <f ca="1">IFERROR(__xludf.DUMMYFUNCTION("GOOGLETRANSLATE(B3521,""en"",""ja"")"),"トランスペアレント")</f>
        <v>トランスペアレント</v>
      </c>
    </row>
    <row r="3490" spans="1:3" ht="18" customHeight="1" x14ac:dyDescent="0.3">
      <c r="A3490" s="1">
        <v>7</v>
      </c>
      <c r="B3490" s="1" t="s">
        <v>1234</v>
      </c>
      <c r="C3490" s="1" t="str">
        <f ca="1">IFERROR(__xludf.DUMMYFUNCTION("GOOGLETRANSLATE(B3522,""en"",""ja"")"),"伝統")</f>
        <v>伝統</v>
      </c>
    </row>
    <row r="3491" spans="1:3" ht="18" customHeight="1" x14ac:dyDescent="0.3">
      <c r="A3491" s="1">
        <v>7</v>
      </c>
      <c r="B3491" s="1" t="s">
        <v>184</v>
      </c>
      <c r="C3491" s="1" t="str">
        <f ca="1">IFERROR(__xludf.DUMMYFUNCTION("GOOGLETRANSLATE(B3523,""en"",""ja"")"),"方へ")</f>
        <v>方へ</v>
      </c>
    </row>
    <row r="3492" spans="1:3" ht="18" customHeight="1" x14ac:dyDescent="0.3">
      <c r="A3492" s="1">
        <v>7</v>
      </c>
      <c r="B3492" s="1" t="s">
        <v>2857</v>
      </c>
      <c r="C3492" s="1" t="str">
        <f ca="1">IFERROR(__xludf.DUMMYFUNCTION("GOOGLETRANSLATE(B3524,""en"",""ja"")"),"タフ")</f>
        <v>タフ</v>
      </c>
    </row>
    <row r="3493" spans="1:3" ht="18" customHeight="1" x14ac:dyDescent="0.3">
      <c r="A3493" s="1">
        <v>7</v>
      </c>
      <c r="B3493" s="1" t="s">
        <v>1236</v>
      </c>
      <c r="C3493" s="1" t="str">
        <f ca="1">IFERROR(__xludf.DUMMYFUNCTION("GOOGLETRANSLATE(B3525,""en"",""ja"")"),"接する")</f>
        <v>接する</v>
      </c>
    </row>
    <row r="3494" spans="1:3" ht="18" customHeight="1" x14ac:dyDescent="0.3">
      <c r="A3494" s="1">
        <v>7</v>
      </c>
      <c r="B3494" s="1" t="s">
        <v>2273</v>
      </c>
      <c r="C3494" s="1" t="str">
        <f ca="1">IFERROR(__xludf.DUMMYFUNCTION("GOOGLETRANSLATE(B3526,""en"",""ja"")"),"ン")</f>
        <v>ン</v>
      </c>
    </row>
    <row r="3495" spans="1:3" ht="18" customHeight="1" x14ac:dyDescent="0.3">
      <c r="A3495" s="1">
        <v>7</v>
      </c>
      <c r="B3495" s="1" t="s">
        <v>2858</v>
      </c>
      <c r="C3495" s="1" t="str">
        <f ca="1">IFERROR(__xludf.DUMMYFUNCTION("GOOGLETRANSLATE(B3527,""en"",""ja"")"),"ネクタイ")</f>
        <v>ネクタイ</v>
      </c>
    </row>
    <row r="3496" spans="1:3" ht="18" customHeight="1" x14ac:dyDescent="0.3">
      <c r="A3496" s="1">
        <v>7</v>
      </c>
      <c r="B3496" s="1" t="s">
        <v>2859</v>
      </c>
      <c r="C3496" s="1" t="str">
        <f ca="1">IFERROR(__xludf.DUMMYFUNCTION("GOOGLETRANSLATE(B3528,""en"",""ja"")"),"スロー")</f>
        <v>スロー</v>
      </c>
    </row>
    <row r="3497" spans="1:3" ht="18" customHeight="1" x14ac:dyDescent="0.3">
      <c r="A3497" s="1">
        <v>7</v>
      </c>
      <c r="B3497" s="1" t="s">
        <v>2860</v>
      </c>
      <c r="C3497" s="1" t="str">
        <f ca="1">IFERROR(__xludf.DUMMYFUNCTION("GOOGLETRANSLATE(B3529,""en"",""ja"")"),"脅かす")</f>
        <v>脅かす</v>
      </c>
    </row>
    <row r="3498" spans="1:3" ht="18" customHeight="1" x14ac:dyDescent="0.3">
      <c r="A3498" s="1">
        <v>7</v>
      </c>
      <c r="B3498" s="1" t="s">
        <v>2861</v>
      </c>
      <c r="C3498" s="1" t="str">
        <f ca="1">IFERROR(__xludf.DUMMYFUNCTION("GOOGLETRANSLATE(B3530,""en"",""ja"")"),"綿密な")</f>
        <v>綿密な</v>
      </c>
    </row>
    <row r="3499" spans="1:3" ht="18" customHeight="1" x14ac:dyDescent="0.3">
      <c r="A3499" s="1">
        <v>7</v>
      </c>
      <c r="B3499" s="1" t="s">
        <v>2862</v>
      </c>
      <c r="C3499" s="1" t="str">
        <f ca="1">IFERROR(__xludf.DUMMYFUNCTION("GOOGLETRANSLATE(B3531,""en"",""ja"")"),"ティク")</f>
        <v>ティク</v>
      </c>
    </row>
    <row r="3500" spans="1:3" ht="18" customHeight="1" x14ac:dyDescent="0.3">
      <c r="A3500" s="1">
        <v>7</v>
      </c>
      <c r="B3500" s="1" t="s">
        <v>2863</v>
      </c>
      <c r="C3500" s="1" t="str">
        <f ca="1">IFERROR(__xludf.DUMMYFUNCTION("GOOGLETRANSLATE(B3532,""en"",""ja"")"),"治療")</f>
        <v>治療</v>
      </c>
    </row>
    <row r="3501" spans="1:3" ht="18" customHeight="1" x14ac:dyDescent="0.3">
      <c r="A3501" s="1">
        <v>7</v>
      </c>
      <c r="B3501" s="1" t="s">
        <v>2864</v>
      </c>
      <c r="C3501" s="1" t="str">
        <f ca="1">IFERROR(__xludf.DUMMYFUNCTION("GOOGLETRANSLATE(B3533,""en"",""ja"")"),"理論")</f>
        <v>理論</v>
      </c>
    </row>
    <row r="3502" spans="1:3" ht="18" customHeight="1" x14ac:dyDescent="0.3">
      <c r="A3502" s="1">
        <v>7</v>
      </c>
      <c r="B3502" s="1" t="s">
        <v>2865</v>
      </c>
      <c r="C3502" s="1" t="str">
        <f ca="1">IFERROR(__xludf.DUMMYFUNCTION("GOOGLETRANSLATE(B3534,""en"",""ja"")"),"テスト")</f>
        <v>テスト</v>
      </c>
    </row>
    <row r="3503" spans="1:3" ht="18" customHeight="1" x14ac:dyDescent="0.3">
      <c r="A3503" s="1">
        <v>7</v>
      </c>
      <c r="B3503" s="1" t="s">
        <v>2866</v>
      </c>
      <c r="C3503" s="1" t="str">
        <f ca="1">IFERROR(__xludf.DUMMYFUNCTION("GOOGLETRANSLATE(B3535,""en"",""ja"")"),"用語")</f>
        <v>用語</v>
      </c>
    </row>
    <row r="3504" spans="1:3" ht="18" customHeight="1" x14ac:dyDescent="0.3">
      <c r="A3504" s="1">
        <v>7</v>
      </c>
      <c r="B3504" s="1" t="s">
        <v>2867</v>
      </c>
      <c r="C3504" s="1" t="str">
        <f ca="1">IFERROR(__xludf.DUMMYFUNCTION("GOOGLETRANSLATE(B3536,""en"",""ja"")"),"技術")</f>
        <v>技術</v>
      </c>
    </row>
    <row r="3505" spans="1:3" ht="18" customHeight="1" x14ac:dyDescent="0.3">
      <c r="A3505" s="1">
        <v>7</v>
      </c>
      <c r="B3505" s="1" t="s">
        <v>2868</v>
      </c>
      <c r="C3505" s="1" t="str">
        <f ca="1">IFERROR(__xludf.DUMMYFUNCTION("GOOGLETRANSLATE(B3537,""en"",""ja"")"),"教師")</f>
        <v>教師</v>
      </c>
    </row>
    <row r="3506" spans="1:3" ht="18" customHeight="1" x14ac:dyDescent="0.3">
      <c r="A3506" s="1">
        <v>7</v>
      </c>
      <c r="B3506" s="1" t="s">
        <v>1160</v>
      </c>
      <c r="C3506" s="1" t="str">
        <f ca="1">IFERROR(__xludf.DUMMYFUNCTION("GOOGLETRANSLATE(B3538,""en"",""ja"")"),"税金")</f>
        <v>税金</v>
      </c>
    </row>
    <row r="3507" spans="1:3" ht="18" customHeight="1" x14ac:dyDescent="0.3">
      <c r="A3507" s="1">
        <v>7</v>
      </c>
      <c r="B3507" s="1" t="s">
        <v>2869</v>
      </c>
      <c r="C3507" s="1" t="str">
        <f ca="1">IFERROR(__xludf.DUMMYFUNCTION("GOOGLETRANSLATE(B3539,""en"",""ja"")"),"才能")</f>
        <v>才能</v>
      </c>
    </row>
    <row r="3508" spans="1:3" ht="18" customHeight="1" x14ac:dyDescent="0.3">
      <c r="A3508" s="1">
        <v>7</v>
      </c>
      <c r="B3508" s="1" t="s">
        <v>2870</v>
      </c>
      <c r="C3508" s="1" t="str">
        <f ca="1">IFERROR(__xludf.DUMMYFUNCTION("GOOGLETRANSLATE(B3540,""en"",""ja"")"),"掃引")</f>
        <v>掃引</v>
      </c>
    </row>
    <row r="3509" spans="1:3" ht="18" customHeight="1" x14ac:dyDescent="0.3">
      <c r="A3509" s="1">
        <v>7</v>
      </c>
      <c r="B3509" s="1" t="s">
        <v>1239</v>
      </c>
      <c r="C3509" s="1" t="str">
        <f ca="1">IFERROR(__xludf.DUMMYFUNCTION("GOOGLETRANSLATE(B3541,""en"",""ja"")"),"調査")</f>
        <v>調査</v>
      </c>
    </row>
    <row r="3510" spans="1:3" ht="18" customHeight="1" x14ac:dyDescent="0.3">
      <c r="A3510" s="1">
        <v>7</v>
      </c>
      <c r="B3510" s="1" t="s">
        <v>1161</v>
      </c>
      <c r="C3510" s="1" t="str">
        <f ca="1">IFERROR(__xludf.DUMMYFUNCTION("GOOGLETRANSLATE(B3542,""en"",""ja"")"),"承知しました")</f>
        <v>承知しました</v>
      </c>
    </row>
    <row r="3511" spans="1:3" ht="18" customHeight="1" x14ac:dyDescent="0.3">
      <c r="A3511" s="1">
        <v>7</v>
      </c>
      <c r="B3511" s="1" t="s">
        <v>2871</v>
      </c>
      <c r="C3511" s="1" t="str">
        <f ca="1">IFERROR(__xludf.DUMMYFUNCTION("GOOGLETRANSLATE(B3543,""en"",""ja"")"),"夏")</f>
        <v>夏</v>
      </c>
    </row>
    <row r="3512" spans="1:3" ht="18" customHeight="1" x14ac:dyDescent="0.3">
      <c r="A3512" s="1">
        <v>7</v>
      </c>
      <c r="B3512" s="1" t="s">
        <v>2872</v>
      </c>
      <c r="C3512" s="1" t="str">
        <f ca="1">IFERROR(__xludf.DUMMYFUNCTION("GOOGLETRANSLATE(B3544,""en"",""ja"")"),"相次ぎます")</f>
        <v>相次ぎます</v>
      </c>
    </row>
    <row r="3513" spans="1:3" ht="18" customHeight="1" x14ac:dyDescent="0.3">
      <c r="A3513" s="1">
        <v>7</v>
      </c>
      <c r="B3513" s="1" t="s">
        <v>2873</v>
      </c>
      <c r="C3513" s="1" t="str">
        <f ca="1">IFERROR(__xludf.DUMMYFUNCTION("GOOGLETRANSLATE(B3545,""en"",""ja"")"),"実質的")</f>
        <v>実質的</v>
      </c>
    </row>
    <row r="3514" spans="1:3" ht="18" customHeight="1" x14ac:dyDescent="0.3">
      <c r="A3514" s="1">
        <v>7</v>
      </c>
      <c r="B3514" s="1" t="s">
        <v>2874</v>
      </c>
      <c r="C3514" s="1" t="str">
        <f ca="1">IFERROR(__xludf.DUMMYFUNCTION("GOOGLETRANSLATE(B3546,""en"",""ja"")"),"助成")</f>
        <v>助成</v>
      </c>
    </row>
    <row r="3515" spans="1:3" ht="18" customHeight="1" x14ac:dyDescent="0.3">
      <c r="A3515" s="1">
        <v>7</v>
      </c>
      <c r="B3515" s="1" t="s">
        <v>2875</v>
      </c>
      <c r="C3515" s="1" t="str">
        <f ca="1">IFERROR(__xludf.DUMMYFUNCTION("GOOGLETRANSLATE(B3547,""en"",""ja"")"),"次いで")</f>
        <v>次いで</v>
      </c>
    </row>
    <row r="3516" spans="1:3" ht="18" customHeight="1" x14ac:dyDescent="0.3">
      <c r="A3516" s="1">
        <v>7</v>
      </c>
      <c r="B3516" s="1" t="s">
        <v>2876</v>
      </c>
      <c r="C3516" s="1" t="str">
        <f ca="1">IFERROR(__xludf.DUMMYFUNCTION("GOOGLETRANSLATE(B3548,""en"",""ja"")"),"勉強")</f>
        <v>勉強</v>
      </c>
    </row>
    <row r="3517" spans="1:3" ht="18" customHeight="1" x14ac:dyDescent="0.3">
      <c r="A3517" s="1">
        <v>7</v>
      </c>
      <c r="B3517" s="1" t="s">
        <v>987</v>
      </c>
      <c r="C3517" s="1" t="str">
        <f ca="1">IFERROR(__xludf.DUMMYFUNCTION("GOOGLETRANSLATE(B3549,""en"",""ja"")"),"学生")</f>
        <v>学生</v>
      </c>
    </row>
    <row r="3518" spans="1:3" ht="18" customHeight="1" x14ac:dyDescent="0.3">
      <c r="A3518" s="1">
        <v>7</v>
      </c>
      <c r="B3518" s="1" t="s">
        <v>2531</v>
      </c>
      <c r="C3518" s="1" t="str">
        <f ca="1">IFERROR(__xludf.DUMMYFUNCTION("GOOGLETRANSLATE(B3550,""en"",""ja"")"),"強く")</f>
        <v>強く</v>
      </c>
    </row>
    <row r="3519" spans="1:3" ht="18" customHeight="1" x14ac:dyDescent="0.3">
      <c r="A3519" s="1">
        <v>7</v>
      </c>
      <c r="B3519" s="1" t="s">
        <v>2877</v>
      </c>
      <c r="C3519" s="1" t="str">
        <f ca="1">IFERROR(__xludf.DUMMYFUNCTION("GOOGLETRANSLATE(B3551,""en"",""ja"")"),"強化")</f>
        <v>強化</v>
      </c>
    </row>
    <row r="3520" spans="1:3" ht="18" customHeight="1" x14ac:dyDescent="0.3">
      <c r="A3520" s="1">
        <v>7</v>
      </c>
      <c r="B3520" s="1" t="s">
        <v>1626</v>
      </c>
      <c r="C3520" s="1" t="str">
        <f ca="1">IFERROR(__xludf.DUMMYFUNCTION("GOOGLETRANSLATE(B3552,""en"",""ja"")"),"戦略")</f>
        <v>戦略</v>
      </c>
    </row>
    <row r="3521" spans="1:3" ht="18" customHeight="1" x14ac:dyDescent="0.3">
      <c r="A3521" s="1">
        <v>7</v>
      </c>
      <c r="B3521" s="1" t="s">
        <v>2878</v>
      </c>
      <c r="C3521" s="1" t="str">
        <f ca="1">IFERROR(__xludf.DUMMYFUNCTION("GOOGLETRANSLATE(B3553,""en"",""ja"")"),"ストレージ")</f>
        <v>ストレージ</v>
      </c>
    </row>
    <row r="3522" spans="1:3" ht="18" customHeight="1" x14ac:dyDescent="0.3">
      <c r="A3522" s="1">
        <v>7</v>
      </c>
      <c r="B3522" s="1" t="s">
        <v>2879</v>
      </c>
      <c r="C3522" s="1" t="str">
        <f ca="1">IFERROR(__xludf.DUMMYFUNCTION("GOOGLETRANSLATE(B3554,""en"",""ja"")"),"停止")</f>
        <v>停止</v>
      </c>
    </row>
    <row r="3523" spans="1:3" ht="18" customHeight="1" x14ac:dyDescent="0.3">
      <c r="A3523" s="1">
        <v>7</v>
      </c>
      <c r="B3523" s="1" t="s">
        <v>1888</v>
      </c>
      <c r="C3523" s="1" t="str">
        <f ca="1">IFERROR(__xludf.DUMMYFUNCTION("GOOGLETRANSLATE(B3555,""en"",""ja"")"),"状態")</f>
        <v>状態</v>
      </c>
    </row>
    <row r="3524" spans="1:3" ht="18" customHeight="1" x14ac:dyDescent="0.3">
      <c r="A3524" s="1">
        <v>7</v>
      </c>
      <c r="B3524" s="1" t="s">
        <v>2880</v>
      </c>
      <c r="C3524" s="1" t="str">
        <f ca="1">IFERROR(__xludf.DUMMYFUNCTION("GOOGLETRANSLATE(B3556,""en"",""ja"")"),"統計")</f>
        <v>統計</v>
      </c>
    </row>
    <row r="3525" spans="1:3" ht="18" customHeight="1" x14ac:dyDescent="0.3">
      <c r="A3525" s="1">
        <v>7</v>
      </c>
      <c r="B3525" s="1" t="s">
        <v>2534</v>
      </c>
      <c r="C3525" s="1" t="str">
        <f ca="1">IFERROR(__xludf.DUMMYFUNCTION("GOOGLETRANSLATE(B3557,""en"",""ja"")"),"開始")</f>
        <v>開始</v>
      </c>
    </row>
    <row r="3526" spans="1:3" ht="18" customHeight="1" x14ac:dyDescent="0.3">
      <c r="A3526" s="1">
        <v>7</v>
      </c>
      <c r="B3526" s="1" t="s">
        <v>2881</v>
      </c>
      <c r="C3526" s="1" t="str">
        <f ca="1">IFERROR(__xludf.DUMMYFUNCTION("GOOGLETRANSLATE(B3558,""en"",""ja"")"),"よどみました")</f>
        <v>よどみました</v>
      </c>
    </row>
    <row r="3527" spans="1:3" ht="18" customHeight="1" x14ac:dyDescent="0.3">
      <c r="A3527" s="1">
        <v>7</v>
      </c>
      <c r="B3527" s="1" t="s">
        <v>988</v>
      </c>
      <c r="C3527" s="1" t="str">
        <f ca="1">IFERROR(__xludf.DUMMYFUNCTION("GOOGLETRANSLATE(B3559,""en"",""ja"")"),"展開する")</f>
        <v>展開する</v>
      </c>
    </row>
    <row r="3528" spans="1:3" ht="18" customHeight="1" x14ac:dyDescent="0.3">
      <c r="A3528" s="1">
        <v>7</v>
      </c>
      <c r="B3528" s="1" t="s">
        <v>2882</v>
      </c>
      <c r="C3528" s="1" t="str">
        <f ca="1">IFERROR(__xludf.DUMMYFUNCTION("GOOGLETRANSLATE(B3560,""en"",""ja"")"),"速度")</f>
        <v>速度</v>
      </c>
    </row>
    <row r="3529" spans="1:3" ht="18" customHeight="1" x14ac:dyDescent="0.3">
      <c r="A3529" s="1">
        <v>7</v>
      </c>
      <c r="B3529" s="1" t="s">
        <v>2883</v>
      </c>
      <c r="C3529" s="1" t="str">
        <f ca="1">IFERROR(__xludf.DUMMYFUNCTION("GOOGLETRANSLATE(B3561,""en"",""ja"")"),"特に")</f>
        <v>特に</v>
      </c>
    </row>
    <row r="3530" spans="1:3" ht="18" customHeight="1" x14ac:dyDescent="0.3">
      <c r="A3530" s="1">
        <v>7</v>
      </c>
      <c r="B3530" s="1" t="s">
        <v>2884</v>
      </c>
      <c r="C3530" s="1" t="str">
        <f ca="1">IFERROR(__xludf.DUMMYFUNCTION("GOOGLETRANSLATE(B3562,""en"",""ja"")"),"特別")</f>
        <v>特別</v>
      </c>
    </row>
    <row r="3531" spans="1:3" ht="18" customHeight="1" x14ac:dyDescent="0.3">
      <c r="A3531" s="1">
        <v>7</v>
      </c>
      <c r="B3531" s="1" t="s">
        <v>51</v>
      </c>
      <c r="C3531" s="1" t="str">
        <f ca="1">IFERROR(__xludf.DUMMYFUNCTION("GOOGLETRANSLATE(B3563,""en"",""ja"")"),"いくつか")</f>
        <v>いくつか</v>
      </c>
    </row>
    <row r="3532" spans="1:3" ht="18" customHeight="1" x14ac:dyDescent="0.3">
      <c r="A3532" s="1">
        <v>7</v>
      </c>
      <c r="B3532" s="1" t="s">
        <v>2885</v>
      </c>
      <c r="C3532" s="1" t="str">
        <f ca="1">IFERROR(__xludf.DUMMYFUNCTION("GOOGLETRANSLATE(B3564,""en"",""ja"")"),"連帯")</f>
        <v>連帯</v>
      </c>
    </row>
    <row r="3533" spans="1:3" ht="18" customHeight="1" x14ac:dyDescent="0.3">
      <c r="A3533" s="1">
        <v>7</v>
      </c>
      <c r="B3533" s="1" t="s">
        <v>2886</v>
      </c>
      <c r="C3533" s="1" t="str">
        <f ca="1">IFERROR(__xludf.DUMMYFUNCTION("GOOGLETRANSLATE(B3565,""en"",""ja"")"),"経済社会の")</f>
        <v>経済社会の</v>
      </c>
    </row>
    <row r="3534" spans="1:3" ht="18" customHeight="1" x14ac:dyDescent="0.3">
      <c r="A3534" s="1">
        <v>7</v>
      </c>
      <c r="B3534" s="1" t="s">
        <v>2887</v>
      </c>
      <c r="C3534" s="1" t="str">
        <f ca="1">IFERROR(__xludf.DUMMYFUNCTION("GOOGLETRANSLATE(B3566,""en"",""ja"")"),"社会")</f>
        <v>社会</v>
      </c>
    </row>
    <row r="3535" spans="1:3" ht="18" customHeight="1" x14ac:dyDescent="0.3">
      <c r="A3535" s="1">
        <v>7</v>
      </c>
      <c r="B3535" s="1" t="s">
        <v>2888</v>
      </c>
      <c r="C3535" s="1" t="str">
        <f ca="1">IFERROR(__xludf.DUMMYFUNCTION("GOOGLETRANSLATE(B3567,""en"",""ja"")"),"社会的に")</f>
        <v>社会的に</v>
      </c>
    </row>
    <row r="3536" spans="1:3" ht="18" customHeight="1" x14ac:dyDescent="0.3">
      <c r="A3536" s="1">
        <v>7</v>
      </c>
      <c r="B3536" s="1" t="s">
        <v>2889</v>
      </c>
      <c r="C3536" s="1" t="str">
        <f ca="1">IFERROR(__xludf.DUMMYFUNCTION("GOOGLETRANSLATE(B3568,""en"",""ja"")"),"スリップ")</f>
        <v>スリップ</v>
      </c>
    </row>
    <row r="3537" spans="1:3" ht="18" customHeight="1" x14ac:dyDescent="0.3">
      <c r="A3537" s="1">
        <v>7</v>
      </c>
      <c r="B3537" s="1" t="s">
        <v>2890</v>
      </c>
      <c r="C3537" s="1" t="str">
        <f ca="1">IFERROR(__xludf.DUMMYFUNCTION("GOOGLETRANSLATE(B3569,""en"",""ja"")"),"六十年代")</f>
        <v>六十年代</v>
      </c>
    </row>
    <row r="3538" spans="1:3" ht="18" customHeight="1" x14ac:dyDescent="0.3">
      <c r="A3538" s="1">
        <v>7</v>
      </c>
      <c r="B3538" s="1" t="s">
        <v>2891</v>
      </c>
      <c r="C3538" s="1" t="str">
        <f ca="1">IFERROR(__xludf.DUMMYFUNCTION("GOOGLETRANSLATE(B3570,""en"",""ja"")"),"単純")</f>
        <v>単純</v>
      </c>
    </row>
    <row r="3539" spans="1:3" ht="18" customHeight="1" x14ac:dyDescent="0.3">
      <c r="A3539" s="1">
        <v>7</v>
      </c>
      <c r="B3539" s="1" t="s">
        <v>2892</v>
      </c>
      <c r="C3539" s="1" t="str">
        <f ca="1">IFERROR(__xludf.DUMMYFUNCTION("GOOGLETRANSLATE(B3571,""en"",""ja"")"),"視力")</f>
        <v>視力</v>
      </c>
    </row>
    <row r="3540" spans="1:3" ht="18" customHeight="1" x14ac:dyDescent="0.3">
      <c r="A3540" s="1">
        <v>7</v>
      </c>
      <c r="B3540" s="1" t="s">
        <v>2893</v>
      </c>
      <c r="C3540" s="1" t="str">
        <f ca="1">IFERROR(__xludf.DUMMYFUNCTION("GOOGLETRANSLATE(B3572,""en"",""ja"")"),"シャツ")</f>
        <v>シャツ</v>
      </c>
    </row>
    <row r="3541" spans="1:3" ht="18" customHeight="1" x14ac:dyDescent="0.3">
      <c r="A3541" s="1">
        <v>7</v>
      </c>
      <c r="B3541" s="1" t="s">
        <v>2894</v>
      </c>
      <c r="C3541" s="1" t="str">
        <f ca="1">IFERROR(__xludf.DUMMYFUNCTION("GOOGLETRANSLATE(B3573,""en"",""ja"")"),"性別")</f>
        <v>性別</v>
      </c>
    </row>
    <row r="3542" spans="1:3" ht="18" customHeight="1" x14ac:dyDescent="0.3">
      <c r="A3542" s="1">
        <v>7</v>
      </c>
      <c r="B3542" s="1" t="s">
        <v>2895</v>
      </c>
      <c r="C3542" s="1" t="str">
        <f ca="1">IFERROR(__xludf.DUMMYFUNCTION("GOOGLETRANSLATE(B3574,""en"",""ja"")"),"厳しく")</f>
        <v>厳しく</v>
      </c>
    </row>
    <row r="3543" spans="1:3" ht="18" customHeight="1" x14ac:dyDescent="0.3">
      <c r="A3543" s="1">
        <v>7</v>
      </c>
      <c r="B3543" s="1" t="s">
        <v>2896</v>
      </c>
      <c r="C3543" s="1" t="str">
        <f ca="1">IFERROR(__xludf.DUMMYFUNCTION("GOOGLETRANSLATE(B3575,""en"",""ja"")"),"集落")</f>
        <v>集落</v>
      </c>
    </row>
    <row r="3544" spans="1:3" ht="18" customHeight="1" x14ac:dyDescent="0.3">
      <c r="A3544" s="1">
        <v>7</v>
      </c>
      <c r="B3544" s="1" t="s">
        <v>2897</v>
      </c>
      <c r="C3544" s="1" t="str">
        <f ca="1">IFERROR(__xludf.DUMMYFUNCTION("GOOGLETRANSLATE(B3576,""en"",""ja"")"),"感覚")</f>
        <v>感覚</v>
      </c>
    </row>
    <row r="3545" spans="1:3" ht="18" customHeight="1" x14ac:dyDescent="0.3">
      <c r="A3545" s="1">
        <v>7</v>
      </c>
      <c r="B3545" s="1" t="s">
        <v>2898</v>
      </c>
      <c r="C3545" s="1" t="str">
        <f ca="1">IFERROR(__xludf.DUMMYFUNCTION("GOOGLETRANSLATE(B3577,""en"",""ja"")"),"選択")</f>
        <v>選択</v>
      </c>
    </row>
    <row r="3546" spans="1:3" ht="18" customHeight="1" x14ac:dyDescent="0.3">
      <c r="A3546" s="1">
        <v>7</v>
      </c>
      <c r="B3546" s="1" t="s">
        <v>2899</v>
      </c>
      <c r="C3546" s="1" t="str">
        <f ca="1">IFERROR(__xludf.DUMMYFUNCTION("GOOGLETRANSLATE(B3578,""en"",""ja"")"),"セキュリティ")</f>
        <v>セキュリティ</v>
      </c>
    </row>
    <row r="3547" spans="1:3" ht="18" customHeight="1" x14ac:dyDescent="0.3">
      <c r="A3547" s="1">
        <v>7</v>
      </c>
      <c r="B3547" s="1" t="s">
        <v>2900</v>
      </c>
      <c r="C3547" s="1" t="str">
        <f ca="1">IFERROR(__xludf.DUMMYFUNCTION("GOOGLETRANSLATE(B3579,""en"",""ja"")"),"こっそり")</f>
        <v>こっそり</v>
      </c>
    </row>
    <row r="3548" spans="1:3" ht="18" customHeight="1" x14ac:dyDescent="0.3">
      <c r="A3548" s="1">
        <v>7</v>
      </c>
      <c r="B3548" s="1" t="s">
        <v>2297</v>
      </c>
      <c r="C3548" s="1" t="str">
        <f ca="1">IFERROR(__xludf.DUMMYFUNCTION("GOOGLETRANSLATE(B3580,""en"",""ja"")"),"科学者")</f>
        <v>科学者</v>
      </c>
    </row>
    <row r="3549" spans="1:3" ht="18" customHeight="1" x14ac:dyDescent="0.3">
      <c r="A3549" s="1">
        <v>7</v>
      </c>
      <c r="B3549" s="1" t="s">
        <v>2901</v>
      </c>
      <c r="C3549" s="1" t="str">
        <f ca="1">IFERROR(__xludf.DUMMYFUNCTION("GOOGLETRANSLATE(B3581,""en"",""ja"")"),"シーン")</f>
        <v>シーン</v>
      </c>
    </row>
    <row r="3550" spans="1:3" ht="18" customHeight="1" x14ac:dyDescent="0.3">
      <c r="A3550" s="1">
        <v>7</v>
      </c>
      <c r="B3550" s="1" t="s">
        <v>2902</v>
      </c>
      <c r="C3550" s="1" t="str">
        <f ca="1">IFERROR(__xludf.DUMMYFUNCTION("GOOGLETRANSLATE(B3582,""en"",""ja"")"),"野蛮")</f>
        <v>野蛮</v>
      </c>
    </row>
    <row r="3551" spans="1:3" ht="18" customHeight="1" x14ac:dyDescent="0.3">
      <c r="A3551" s="1">
        <v>7</v>
      </c>
      <c r="B3551" s="1" t="s">
        <v>2903</v>
      </c>
      <c r="C3551" s="1" t="str">
        <f ca="1">IFERROR(__xludf.DUMMYFUNCTION("GOOGLETRANSLATE(B3584,""en"",""ja"")"),"サラ")</f>
        <v>サラ</v>
      </c>
    </row>
    <row r="3552" spans="1:3" ht="18" customHeight="1" x14ac:dyDescent="0.3">
      <c r="A3552" s="1">
        <v>7</v>
      </c>
      <c r="B3552" s="1" t="s">
        <v>2904</v>
      </c>
      <c r="C3552" s="1" t="str">
        <f ca="1">IFERROR(__xludf.DUMMYFUNCTION("GOOGLETRANSLATE(B3585,""en"",""ja"")"),"台無し")</f>
        <v>台無し</v>
      </c>
    </row>
    <row r="3553" spans="1:3" ht="18" customHeight="1" x14ac:dyDescent="0.3">
      <c r="A3553" s="1">
        <v>7</v>
      </c>
      <c r="B3553" s="1" t="s">
        <v>477</v>
      </c>
      <c r="C3553" s="1" t="str">
        <f ca="1">IFERROR(__xludf.DUMMYFUNCTION("GOOGLETRANSLATE(B3586,""en"",""ja"")"),"役割")</f>
        <v>役割</v>
      </c>
    </row>
    <row r="3554" spans="1:3" ht="18" customHeight="1" x14ac:dyDescent="0.3">
      <c r="A3554" s="1">
        <v>7</v>
      </c>
      <c r="B3554" s="1" t="s">
        <v>2905</v>
      </c>
      <c r="C3554" s="1" t="str">
        <f ca="1">IFERROR(__xludf.DUMMYFUNCTION("GOOGLETRANSLATE(B3587,""en"",""ja"")"),"壮健")</f>
        <v>壮健</v>
      </c>
    </row>
    <row r="3555" spans="1:3" ht="18" customHeight="1" x14ac:dyDescent="0.3">
      <c r="A3555" s="1">
        <v>7</v>
      </c>
      <c r="B3555" s="1" t="s">
        <v>2906</v>
      </c>
      <c r="C3555" s="1" t="str">
        <f ca="1">IFERROR(__xludf.DUMMYFUNCTION("GOOGLETRANSLATE(B3588,""en"",""ja"")"),"ライバル")</f>
        <v>ライバル</v>
      </c>
    </row>
    <row r="3556" spans="1:3" ht="18" customHeight="1" x14ac:dyDescent="0.3">
      <c r="A3556" s="1">
        <v>7</v>
      </c>
      <c r="B3556" s="1" t="s">
        <v>2907</v>
      </c>
      <c r="C3556" s="1" t="str">
        <f ca="1">IFERROR(__xludf.DUMMYFUNCTION("GOOGLETRANSLATE(B3589,""en"",""ja"")"),"活性化")</f>
        <v>活性化</v>
      </c>
    </row>
    <row r="3557" spans="1:3" ht="18" customHeight="1" x14ac:dyDescent="0.3">
      <c r="A3557" s="1">
        <v>7</v>
      </c>
      <c r="B3557" s="1" t="s">
        <v>2908</v>
      </c>
      <c r="C3557" s="1" t="str">
        <f ca="1">IFERROR(__xludf.DUMMYFUNCTION("GOOGLETRANSLATE(B3590,""en"",""ja"")"),"逆転")</f>
        <v>逆転</v>
      </c>
    </row>
    <row r="3558" spans="1:3" ht="18" customHeight="1" x14ac:dyDescent="0.3">
      <c r="A3558" s="1">
        <v>7</v>
      </c>
      <c r="B3558" s="1" t="s">
        <v>2909</v>
      </c>
      <c r="C3558" s="1" t="str">
        <f ca="1">IFERROR(__xludf.DUMMYFUNCTION("GOOGLETRANSLATE(B3591,""en"",""ja"")"),"繰り返し")</f>
        <v>繰り返し</v>
      </c>
    </row>
    <row r="3559" spans="1:3" ht="18" customHeight="1" x14ac:dyDescent="0.3">
      <c r="A3559" s="1">
        <v>7</v>
      </c>
      <c r="B3559" s="1" t="s">
        <v>2910</v>
      </c>
      <c r="C3559" s="1" t="str">
        <f ca="1">IFERROR(__xludf.DUMMYFUNCTION("GOOGLETRANSLATE(B3592,""en"",""ja"")"),"削除")</f>
        <v>削除</v>
      </c>
    </row>
    <row r="3560" spans="1:3" ht="18" customHeight="1" x14ac:dyDescent="0.3">
      <c r="A3560" s="1">
        <v>7</v>
      </c>
      <c r="B3560" s="1" t="s">
        <v>2911</v>
      </c>
      <c r="C3560" s="1" t="str">
        <f ca="1">IFERROR(__xludf.DUMMYFUNCTION("GOOGLETRANSLATE(B3593,""en"",""ja"")"),"確実")</f>
        <v>確実</v>
      </c>
    </row>
    <row r="3561" spans="1:3" ht="18" customHeight="1" x14ac:dyDescent="0.3">
      <c r="A3561" s="1">
        <v>7</v>
      </c>
      <c r="B3561" s="1" t="s">
        <v>2912</v>
      </c>
      <c r="C3561" s="1" t="str">
        <f ca="1">IFERROR(__xludf.DUMMYFUNCTION("GOOGLETRANSLATE(B3594,""en"",""ja"")"),"関連しました")</f>
        <v>関連しました</v>
      </c>
    </row>
    <row r="3562" spans="1:3" ht="18" customHeight="1" x14ac:dyDescent="0.3">
      <c r="A3562" s="1">
        <v>7</v>
      </c>
      <c r="B3562" s="1" t="s">
        <v>2913</v>
      </c>
      <c r="C3562" s="1" t="str">
        <f ca="1">IFERROR(__xludf.DUMMYFUNCTION("GOOGLETRANSLATE(B3595,""en"",""ja"")"),"関連性")</f>
        <v>関連性</v>
      </c>
    </row>
    <row r="3563" spans="1:3" ht="18" customHeight="1" x14ac:dyDescent="0.3">
      <c r="A3563" s="1">
        <v>7</v>
      </c>
      <c r="B3563" s="1" t="s">
        <v>2914</v>
      </c>
      <c r="C3563" s="1" t="str">
        <f ca="1">IFERROR(__xludf.DUMMYFUNCTION("GOOGLETRANSLATE(B3596,""en"",""ja"")"),"くつろぎ")</f>
        <v>くつろぎ</v>
      </c>
    </row>
    <row r="3564" spans="1:3" ht="18" customHeight="1" x14ac:dyDescent="0.3">
      <c r="A3564" s="1">
        <v>7</v>
      </c>
      <c r="B3564" s="1" t="s">
        <v>2915</v>
      </c>
      <c r="C3564" s="1" t="str">
        <f ca="1">IFERROR(__xludf.DUMMYFUNCTION("GOOGLETRANSLATE(B3597,""en"",""ja"")"),"参照")</f>
        <v>参照</v>
      </c>
    </row>
    <row r="3565" spans="1:3" ht="18" customHeight="1" x14ac:dyDescent="0.3">
      <c r="A3565" s="1">
        <v>7</v>
      </c>
      <c r="B3565" s="1" t="s">
        <v>2916</v>
      </c>
      <c r="C3565" s="1" t="str">
        <f ca="1">IFERROR(__xludf.DUMMYFUNCTION("GOOGLETRANSLATE(B3598,""en"",""ja"")"),"削減")</f>
        <v>削減</v>
      </c>
    </row>
    <row r="3566" spans="1:3" ht="18" customHeight="1" x14ac:dyDescent="0.3">
      <c r="A3566" s="1">
        <v>7</v>
      </c>
      <c r="B3566" s="1" t="s">
        <v>2917</v>
      </c>
      <c r="C3566" s="1" t="str">
        <f ca="1">IFERROR(__xludf.DUMMYFUNCTION("GOOGLETRANSLATE(B3599,""en"",""ja"")"),"奪還")</f>
        <v>奪還</v>
      </c>
    </row>
    <row r="3567" spans="1:3" ht="18" customHeight="1" x14ac:dyDescent="0.3">
      <c r="A3567" s="1">
        <v>7</v>
      </c>
      <c r="B3567" s="1" t="s">
        <v>2918</v>
      </c>
      <c r="C3567" s="1" t="str">
        <f ca="1">IFERROR(__xludf.DUMMYFUNCTION("GOOGLETRANSLATE(B3600,""en"",""ja"")"),"生")</f>
        <v>生</v>
      </c>
    </row>
    <row r="3568" spans="1:3" ht="18" customHeight="1" x14ac:dyDescent="0.3">
      <c r="A3568" s="1">
        <v>7</v>
      </c>
      <c r="B3568" s="1" t="s">
        <v>2320</v>
      </c>
      <c r="C3568" s="1" t="str">
        <f ca="1">IFERROR(__xludf.DUMMYFUNCTION("GOOGLETRANSLATE(B3601,""en"",""ja"")"),"レア")</f>
        <v>レア</v>
      </c>
    </row>
    <row r="3569" spans="1:3" ht="18" customHeight="1" x14ac:dyDescent="0.3">
      <c r="A3569" s="1">
        <v>7</v>
      </c>
      <c r="B3569" s="1" t="s">
        <v>2919</v>
      </c>
      <c r="C3569" s="1" t="str">
        <f ca="1">IFERROR(__xludf.DUMMYFUNCTION("GOOGLETRANSLATE(B3602,""en"",""ja"")"),"ランダム")</f>
        <v>ランダム</v>
      </c>
    </row>
    <row r="3570" spans="1:3" ht="18" customHeight="1" x14ac:dyDescent="0.3">
      <c r="A3570" s="1">
        <v>7</v>
      </c>
      <c r="B3570" s="1" t="s">
        <v>2920</v>
      </c>
      <c r="C3570" s="1" t="str">
        <f ca="1">IFERROR(__xludf.DUMMYFUNCTION("GOOGLETRANSLATE(B3603,""en"",""ja"")"),"終了する")</f>
        <v>終了する</v>
      </c>
    </row>
    <row r="3571" spans="1:3" ht="18" customHeight="1" x14ac:dyDescent="0.3">
      <c r="A3571" s="1">
        <v>7</v>
      </c>
      <c r="B3571" s="1" t="s">
        <v>1767</v>
      </c>
      <c r="C3571" s="1" t="str">
        <f ca="1">IFERROR(__xludf.DUMMYFUNCTION("GOOGLETRANSLATE(B3604,""en"",""ja"")"),"品質")</f>
        <v>品質</v>
      </c>
    </row>
    <row r="3572" spans="1:3" ht="18" customHeight="1" x14ac:dyDescent="0.3">
      <c r="A3572" s="1">
        <v>7</v>
      </c>
      <c r="B3572" s="1" t="s">
        <v>1530</v>
      </c>
      <c r="C3572" s="1" t="str">
        <f ca="1">IFERROR(__xludf.DUMMYFUNCTION("GOOGLETRANSLATE(B3605,""en"",""ja"")"),"ポンプ")</f>
        <v>ポンプ</v>
      </c>
    </row>
    <row r="3573" spans="1:3" ht="18" customHeight="1" x14ac:dyDescent="0.3">
      <c r="A3573" s="1">
        <v>7</v>
      </c>
      <c r="B3573" s="1" t="s">
        <v>2921</v>
      </c>
      <c r="C3573" s="1" t="str">
        <f ca="1">IFERROR(__xludf.DUMMYFUNCTION("GOOGLETRANSLATE(B3606,""en"",""ja"")"),"規定")</f>
        <v>規定</v>
      </c>
    </row>
    <row r="3574" spans="1:3" ht="18" customHeight="1" x14ac:dyDescent="0.3">
      <c r="A3574" s="1">
        <v>7</v>
      </c>
      <c r="B3574" s="1" t="s">
        <v>2922</v>
      </c>
      <c r="C3574" s="1" t="str">
        <f ca="1">IFERROR(__xludf.DUMMYFUNCTION("GOOGLETRANSLATE(B3607,""en"",""ja"")"),"証明")</f>
        <v>証明</v>
      </c>
    </row>
    <row r="3575" spans="1:3" ht="18" customHeight="1" x14ac:dyDescent="0.3">
      <c r="A3575" s="1">
        <v>7</v>
      </c>
      <c r="B3575" s="1" t="s">
        <v>2923</v>
      </c>
      <c r="C3575" s="1" t="str">
        <f ca="1">IFERROR(__xludf.DUMMYFUNCTION("GOOGLETRANSLATE(B3608,""en"",""ja"")"),"提案")</f>
        <v>提案</v>
      </c>
    </row>
    <row r="3576" spans="1:3" ht="18" customHeight="1" x14ac:dyDescent="0.3">
      <c r="A3576" s="1">
        <v>7</v>
      </c>
      <c r="B3576" s="1" t="s">
        <v>2924</v>
      </c>
      <c r="C3576" s="1" t="str">
        <f ca="1">IFERROR(__xludf.DUMMYFUNCTION("GOOGLETRANSLATE(B3609,""en"",""ja"")"),"預言")</f>
        <v>預言</v>
      </c>
    </row>
    <row r="3577" spans="1:3" ht="18" customHeight="1" x14ac:dyDescent="0.3">
      <c r="A3577" s="1">
        <v>7</v>
      </c>
      <c r="B3577" s="1" t="s">
        <v>2925</v>
      </c>
      <c r="C3577" s="1" t="str">
        <f ca="1">IFERROR(__xludf.DUMMYFUNCTION("GOOGLETRANSLATE(B3610,""en"",""ja"")"),"がち")</f>
        <v>がち</v>
      </c>
    </row>
    <row r="3578" spans="1:3" ht="18" customHeight="1" x14ac:dyDescent="0.3">
      <c r="A3578" s="1">
        <v>7</v>
      </c>
      <c r="B3578" s="1" t="s">
        <v>2926</v>
      </c>
      <c r="C3578" s="1" t="str">
        <f ca="1">IFERROR(__xludf.DUMMYFUNCTION("GOOGLETRANSLATE(B3611,""en"",""ja"")"),"教授")</f>
        <v>教授</v>
      </c>
    </row>
    <row r="3579" spans="1:3" ht="18" customHeight="1" x14ac:dyDescent="0.3">
      <c r="A3579" s="1">
        <v>7</v>
      </c>
      <c r="B3579" s="1" t="s">
        <v>1433</v>
      </c>
      <c r="C3579" s="1" t="str">
        <f ca="1">IFERROR(__xludf.DUMMYFUNCTION("GOOGLETRANSLATE(B3612,""en"",""ja"")"),"生産性")</f>
        <v>生産性</v>
      </c>
    </row>
    <row r="3580" spans="1:3" ht="18" customHeight="1" x14ac:dyDescent="0.3">
      <c r="A3580" s="1">
        <v>7</v>
      </c>
      <c r="B3580" s="1" t="s">
        <v>2927</v>
      </c>
      <c r="C3580" s="1" t="str">
        <f ca="1">IFERROR(__xludf.DUMMYFUNCTION("GOOGLETRANSLATE(B3613,""en"",""ja"")"),"確率")</f>
        <v>確率</v>
      </c>
    </row>
    <row r="3581" spans="1:3" ht="18" customHeight="1" x14ac:dyDescent="0.3">
      <c r="A3581" s="1">
        <v>7</v>
      </c>
      <c r="B3581" s="1" t="s">
        <v>2928</v>
      </c>
      <c r="C3581" s="1" t="str">
        <f ca="1">IFERROR(__xludf.DUMMYFUNCTION("GOOGLETRANSLATE(B3614,""en"",""ja"")"),"賞")</f>
        <v>賞</v>
      </c>
    </row>
    <row r="3582" spans="1:3" ht="18" customHeight="1" x14ac:dyDescent="0.3">
      <c r="A3582" s="1">
        <v>7</v>
      </c>
      <c r="B3582" s="1" t="s">
        <v>1256</v>
      </c>
      <c r="C3582" s="1" t="str">
        <f ca="1">IFERROR(__xludf.DUMMYFUNCTION("GOOGLETRANSLATE(B3615,""en"",""ja"")"),"プライバシー")</f>
        <v>プライバシー</v>
      </c>
    </row>
    <row r="3583" spans="1:3" ht="18" customHeight="1" x14ac:dyDescent="0.3">
      <c r="A3583" s="1">
        <v>7</v>
      </c>
      <c r="B3583" s="1" t="s">
        <v>2929</v>
      </c>
      <c r="C3583" s="1" t="str">
        <f ca="1">IFERROR(__xludf.DUMMYFUNCTION("GOOGLETRANSLATE(B3616,""en"",""ja"")"),"印刷")</f>
        <v>印刷</v>
      </c>
    </row>
    <row r="3584" spans="1:3" ht="18" customHeight="1" x14ac:dyDescent="0.3">
      <c r="A3584" s="1">
        <v>7</v>
      </c>
      <c r="B3584" s="1" t="s">
        <v>2084</v>
      </c>
      <c r="C3584" s="1" t="str">
        <f ca="1">IFERROR(__xludf.DUMMYFUNCTION("GOOGLETRANSLATE(B3617,""en"",""ja"")"),"防ぐ")</f>
        <v>防ぐ</v>
      </c>
    </row>
    <row r="3585" spans="1:3" ht="18" customHeight="1" x14ac:dyDescent="0.3">
      <c r="A3585" s="1">
        <v>7</v>
      </c>
      <c r="B3585" s="1" t="s">
        <v>2930</v>
      </c>
      <c r="C3585" s="1" t="str">
        <f ca="1">IFERROR(__xludf.DUMMYFUNCTION("GOOGLETRANSLATE(B3618,""en"",""ja"")"),"圧力")</f>
        <v>圧力</v>
      </c>
    </row>
    <row r="3586" spans="1:3" ht="18" customHeight="1" x14ac:dyDescent="0.3">
      <c r="A3586" s="1">
        <v>7</v>
      </c>
      <c r="B3586" s="1" t="s">
        <v>2931</v>
      </c>
      <c r="C3586" s="1" t="str">
        <f ca="1">IFERROR(__xludf.DUMMYFUNCTION("GOOGLETRANSLATE(B3619,""en"",""ja"")"),"人気")</f>
        <v>人気</v>
      </c>
    </row>
    <row r="3587" spans="1:3" ht="18" customHeight="1" x14ac:dyDescent="0.3">
      <c r="A3587" s="1">
        <v>7</v>
      </c>
      <c r="B3587" s="1" t="s">
        <v>1917</v>
      </c>
      <c r="C3587" s="1" t="str">
        <f ca="1">IFERROR(__xludf.DUMMYFUNCTION("GOOGLETRANSLATE(B3620,""en"",""ja"")"),"礼儀正しさ")</f>
        <v>礼儀正しさ</v>
      </c>
    </row>
    <row r="3588" spans="1:3" ht="18" customHeight="1" x14ac:dyDescent="0.3">
      <c r="A3588" s="1">
        <v>7</v>
      </c>
      <c r="B3588" s="1" t="s">
        <v>2932</v>
      </c>
      <c r="C3588" s="1" t="str">
        <f ca="1">IFERROR(__xludf.DUMMYFUNCTION("GOOGLETRANSLATE(B3621,""en"",""ja"")"),"ポリシー")</f>
        <v>ポリシー</v>
      </c>
    </row>
    <row r="3589" spans="1:3" ht="18" customHeight="1" x14ac:dyDescent="0.3">
      <c r="A3589" s="1">
        <v>7</v>
      </c>
      <c r="B3589" s="1" t="s">
        <v>2933</v>
      </c>
      <c r="C3589" s="1" t="str">
        <f ca="1">IFERROR(__xludf.DUMMYFUNCTION("GOOGLETRANSLATE(B3622,""en"",""ja"")"),"詩")</f>
        <v>詩</v>
      </c>
    </row>
    <row r="3590" spans="1:3" ht="18" customHeight="1" x14ac:dyDescent="0.3">
      <c r="A3590" s="1">
        <v>7</v>
      </c>
      <c r="B3590" s="1" t="s">
        <v>2934</v>
      </c>
      <c r="C3590" s="1" t="str">
        <f ca="1">IFERROR(__xludf.DUMMYFUNCTION("GOOGLETRANSLATE(B3623,""en"",""ja"")"),"プレーヤー")</f>
        <v>プレーヤー</v>
      </c>
    </row>
    <row r="3591" spans="1:3" ht="18" customHeight="1" x14ac:dyDescent="0.3">
      <c r="A3591" s="1">
        <v>7</v>
      </c>
      <c r="B3591" s="1" t="s">
        <v>2935</v>
      </c>
      <c r="C3591" s="1" t="str">
        <f ca="1">IFERROR(__xludf.DUMMYFUNCTION("GOOGLETRANSLATE(B3624,""en"",""ja"")"),"惑星")</f>
        <v>惑星</v>
      </c>
    </row>
    <row r="3592" spans="1:3" ht="18" customHeight="1" x14ac:dyDescent="0.3">
      <c r="A3592" s="1">
        <v>7</v>
      </c>
      <c r="B3592" s="1" t="s">
        <v>627</v>
      </c>
      <c r="C3592" s="1" t="str">
        <f ca="1">IFERROR(__xludf.DUMMYFUNCTION("GOOGLETRANSLATE(B3625,""en"",""ja"")"),"予定")</f>
        <v>予定</v>
      </c>
    </row>
    <row r="3593" spans="1:3" ht="18" customHeight="1" x14ac:dyDescent="0.3">
      <c r="A3593" s="1">
        <v>7</v>
      </c>
      <c r="B3593" s="1" t="s">
        <v>2936</v>
      </c>
      <c r="C3593" s="1" t="str">
        <f ca="1">IFERROR(__xludf.DUMMYFUNCTION("GOOGLETRANSLATE(B3626,""en"",""ja"")"),"場所")</f>
        <v>場所</v>
      </c>
    </row>
    <row r="3594" spans="1:3" ht="18" customHeight="1" x14ac:dyDescent="0.3">
      <c r="A3594" s="1">
        <v>7</v>
      </c>
      <c r="B3594" s="1" t="s">
        <v>2937</v>
      </c>
      <c r="C3594" s="1" t="str">
        <f ca="1">IFERROR(__xludf.DUMMYFUNCTION("GOOGLETRANSLATE(B3627,""en"",""ja"")"),"擬人化します")</f>
        <v>擬人化します</v>
      </c>
    </row>
    <row r="3595" spans="1:3" ht="18" customHeight="1" x14ac:dyDescent="0.3">
      <c r="A3595" s="1">
        <v>7</v>
      </c>
      <c r="B3595" s="1" t="s">
        <v>2938</v>
      </c>
      <c r="C3595" s="1" t="str">
        <f ca="1">IFERROR(__xludf.DUMMYFUNCTION("GOOGLETRANSLATE(B3628,""en"",""ja"")"),"パフォーマー")</f>
        <v>パフォーマー</v>
      </c>
    </row>
    <row r="3596" spans="1:3" ht="18" customHeight="1" x14ac:dyDescent="0.3">
      <c r="A3596" s="1">
        <v>7</v>
      </c>
      <c r="B3596" s="1" t="s">
        <v>2939</v>
      </c>
      <c r="C3596" s="1" t="str">
        <f ca="1">IFERROR(__xludf.DUMMYFUNCTION("GOOGLETRANSLATE(B3629,""en"",""ja"")"),"行います")</f>
        <v>行います</v>
      </c>
    </row>
    <row r="3597" spans="1:3" ht="18" customHeight="1" x14ac:dyDescent="0.3">
      <c r="A3597" s="1">
        <v>7</v>
      </c>
      <c r="B3597" s="1" t="s">
        <v>2940</v>
      </c>
      <c r="C3597" s="1" t="str">
        <f ca="1">IFERROR(__xludf.DUMMYFUNCTION("GOOGLETRANSLATE(B3630,""en"",""ja"")"),"知覚")</f>
        <v>知覚</v>
      </c>
    </row>
    <row r="3598" spans="1:3" ht="18" customHeight="1" x14ac:dyDescent="0.3">
      <c r="A3598" s="1">
        <v>7</v>
      </c>
      <c r="B3598" s="1" t="s">
        <v>2941</v>
      </c>
      <c r="C3598" s="1" t="str">
        <f ca="1">IFERROR(__xludf.DUMMYFUNCTION("GOOGLETRANSLATE(B3631,""en"",""ja"")"),"熱烈")</f>
        <v>熱烈</v>
      </c>
    </row>
    <row r="3599" spans="1:3" ht="18" customHeight="1" x14ac:dyDescent="0.3">
      <c r="A3599" s="1">
        <v>7</v>
      </c>
      <c r="B3599" s="1" t="s">
        <v>1920</v>
      </c>
      <c r="C3599" s="1" t="str">
        <f ca="1">IFERROR(__xludf.DUMMYFUNCTION("GOOGLETRANSLATE(B3632,""en"",""ja"")"),"通路")</f>
        <v>通路</v>
      </c>
    </row>
    <row r="3600" spans="1:3" ht="18" customHeight="1" x14ac:dyDescent="0.3">
      <c r="A3600" s="1">
        <v>7</v>
      </c>
      <c r="B3600" s="1" t="s">
        <v>2608</v>
      </c>
      <c r="C3600" s="1" t="str">
        <f ca="1">IFERROR(__xludf.DUMMYFUNCTION("GOOGLETRANSLATE(B3633,""en"",""ja"")"),"平行")</f>
        <v>平行</v>
      </c>
    </row>
    <row r="3601" spans="1:3" ht="18" customHeight="1" x14ac:dyDescent="0.3">
      <c r="A3601" s="1">
        <v>7</v>
      </c>
      <c r="B3601" s="1" t="s">
        <v>2942</v>
      </c>
      <c r="C3601" s="1" t="str">
        <f ca="1">IFERROR(__xludf.DUMMYFUNCTION("GOOGLETRANSLATE(B3634,""en"",""ja"")"),"逆説")</f>
        <v>逆説</v>
      </c>
    </row>
    <row r="3602" spans="1:3" ht="18" customHeight="1" x14ac:dyDescent="0.3">
      <c r="A3602" s="1">
        <v>7</v>
      </c>
      <c r="B3602" s="1" t="s">
        <v>2943</v>
      </c>
      <c r="C3602" s="1" t="str">
        <f ca="1">IFERROR(__xludf.DUMMYFUNCTION("GOOGLETRANSLATE(B3635,""en"",""ja"")"),"追い越します")</f>
        <v>追い越します</v>
      </c>
    </row>
    <row r="3603" spans="1:3" ht="18" customHeight="1" x14ac:dyDescent="0.3">
      <c r="A3603" s="1">
        <v>7</v>
      </c>
      <c r="B3603" s="1" t="s">
        <v>2944</v>
      </c>
      <c r="C3603" s="1" t="str">
        <f ca="1">IFERROR(__xludf.DUMMYFUNCTION("GOOGLETRANSLATE(B3636,""en"",""ja"")"),"組織化")</f>
        <v>組織化</v>
      </c>
    </row>
    <row r="3604" spans="1:3" ht="18" customHeight="1" x14ac:dyDescent="0.3">
      <c r="A3604" s="1">
        <v>7</v>
      </c>
      <c r="B3604" s="1" t="s">
        <v>1185</v>
      </c>
      <c r="C3604" s="1" t="str">
        <f ca="1">IFERROR(__xludf.DUMMYFUNCTION("GOOGLETRANSLATE(B3637,""en"",""ja"")"),"逆の")</f>
        <v>逆の</v>
      </c>
    </row>
    <row r="3605" spans="1:3" ht="18" customHeight="1" x14ac:dyDescent="0.3">
      <c r="A3605" s="1">
        <v>7</v>
      </c>
      <c r="B3605" s="1" t="s">
        <v>1186</v>
      </c>
      <c r="C3605" s="1" t="str">
        <f ca="1">IFERROR(__xludf.DUMMYFUNCTION("GOOGLETRANSLATE(B3638,""en"",""ja"")"),"機会")</f>
        <v>機会</v>
      </c>
    </row>
    <row r="3606" spans="1:3" ht="18" customHeight="1" x14ac:dyDescent="0.3">
      <c r="A3606" s="1">
        <v>7</v>
      </c>
      <c r="B3606" s="1" t="s">
        <v>2945</v>
      </c>
      <c r="C3606" s="1" t="str">
        <f ca="1">IFERROR(__xludf.DUMMYFUNCTION("GOOGLETRANSLATE(B3639,""en"",""ja"")"),"へ")</f>
        <v>へ</v>
      </c>
    </row>
    <row r="3607" spans="1:3" ht="18" customHeight="1" x14ac:dyDescent="0.3">
      <c r="A3607" s="1">
        <v>7</v>
      </c>
      <c r="B3607" s="1" t="s">
        <v>2946</v>
      </c>
      <c r="C3607" s="1" t="str">
        <f ca="1">IFERROR(__xludf.DUMMYFUNCTION("GOOGLETRANSLATE(B3640,""en"",""ja"")"),"公式")</f>
        <v>公式</v>
      </c>
    </row>
    <row r="3608" spans="1:3" ht="18" customHeight="1" x14ac:dyDescent="0.3">
      <c r="A3608" s="1">
        <v>7</v>
      </c>
      <c r="B3608" s="1" t="s">
        <v>2947</v>
      </c>
      <c r="C3608" s="1" t="str">
        <f ca="1">IFERROR(__xludf.DUMMYFUNCTION("GOOGLETRANSLATE(B3641,""en"",""ja"")"),"犯罪")</f>
        <v>犯罪</v>
      </c>
    </row>
    <row r="3609" spans="1:3" ht="18" customHeight="1" x14ac:dyDescent="0.3">
      <c r="A3609" s="1">
        <v>7</v>
      </c>
      <c r="B3609" s="1" t="s">
        <v>2948</v>
      </c>
      <c r="C3609" s="1" t="str">
        <f ca="1">IFERROR(__xludf.DUMMYFUNCTION("GOOGLETRANSLATE(B3642,""en"",""ja"")"),"明らか")</f>
        <v>明らか</v>
      </c>
    </row>
    <row r="3610" spans="1:3" ht="18" customHeight="1" x14ac:dyDescent="0.3">
      <c r="A3610" s="1">
        <v>7</v>
      </c>
      <c r="B3610" s="1" t="s">
        <v>2949</v>
      </c>
      <c r="C3610" s="1" t="str">
        <f ca="1">IFERROR(__xludf.DUMMYFUNCTION("GOOGLETRANSLATE(B3643,""en"",""ja"")"),"入手します")</f>
        <v>入手します</v>
      </c>
    </row>
    <row r="3611" spans="1:3" ht="18" customHeight="1" x14ac:dyDescent="0.3">
      <c r="A3611" s="1">
        <v>7</v>
      </c>
      <c r="B3611" s="1" t="s">
        <v>2950</v>
      </c>
      <c r="C3611" s="1" t="str">
        <f ca="1">IFERROR(__xludf.DUMMYFUNCTION("GOOGLETRANSLATE(B3644,""en"",""ja"")"),"障害物")</f>
        <v>障害物</v>
      </c>
    </row>
    <row r="3612" spans="1:3" ht="18" customHeight="1" x14ac:dyDescent="0.3">
      <c r="A3612" s="1">
        <v>7</v>
      </c>
      <c r="B3612" s="1" t="s">
        <v>2951</v>
      </c>
      <c r="C3612" s="1" t="str">
        <f ca="1">IFERROR(__xludf.DUMMYFUNCTION("GOOGLETRANSLATE(B3645,""en"",""ja"")"),"観測されました")</f>
        <v>観測されました</v>
      </c>
    </row>
    <row r="3613" spans="1:3" ht="18" customHeight="1" x14ac:dyDescent="0.3">
      <c r="A3613" s="1">
        <v>7</v>
      </c>
      <c r="B3613" s="1" t="s">
        <v>846</v>
      </c>
      <c r="C3613" s="1" t="str">
        <f ca="1">IFERROR(__xludf.DUMMYFUNCTION("GOOGLETRANSLATE(B3646,""en"",""ja"")"),"目的")</f>
        <v>目的</v>
      </c>
    </row>
    <row r="3614" spans="1:3" ht="18" customHeight="1" x14ac:dyDescent="0.3">
      <c r="A3614" s="1">
        <v>7</v>
      </c>
      <c r="B3614" s="1" t="s">
        <v>247</v>
      </c>
      <c r="C3614" s="1" t="str">
        <f ca="1">IFERROR(__xludf.DUMMYFUNCTION("GOOGLETRANSLATE(B3647,""en"",""ja"")"),"数")</f>
        <v>数</v>
      </c>
    </row>
    <row r="3615" spans="1:3" ht="18" customHeight="1" x14ac:dyDescent="0.3">
      <c r="A3615" s="1">
        <v>7</v>
      </c>
      <c r="B3615" s="1" t="s">
        <v>2952</v>
      </c>
      <c r="C3615" s="1" t="str">
        <f ca="1">IFERROR(__xludf.DUMMYFUNCTION("GOOGLETRANSLATE(B3648,""en"",""ja"")"),"核")</f>
        <v>核</v>
      </c>
    </row>
    <row r="3616" spans="1:3" ht="18" customHeight="1" x14ac:dyDescent="0.3">
      <c r="A3616" s="1">
        <v>7</v>
      </c>
      <c r="B3616" s="1" t="s">
        <v>2953</v>
      </c>
      <c r="C3616" s="1" t="str">
        <f ca="1">IFERROR(__xludf.DUMMYFUNCTION("GOOGLETRANSLATE(B3649,""en"",""ja"")"),"核の")</f>
        <v>核の</v>
      </c>
    </row>
    <row r="3617" spans="1:3" ht="18" customHeight="1" x14ac:dyDescent="0.3">
      <c r="A3617" s="1">
        <v>7</v>
      </c>
      <c r="B3617" s="1" t="s">
        <v>2954</v>
      </c>
      <c r="C3617" s="1" t="str">
        <f ca="1">IFERROR(__xludf.DUMMYFUNCTION("GOOGLETRANSLATE(B3650,""en"",""ja"")"),"通常は")</f>
        <v>通常は</v>
      </c>
    </row>
    <row r="3618" spans="1:3" ht="18" customHeight="1" x14ac:dyDescent="0.3">
      <c r="A3618" s="1">
        <v>7</v>
      </c>
      <c r="B3618" s="1" t="s">
        <v>2955</v>
      </c>
      <c r="C3618" s="1" t="str">
        <f ca="1">IFERROR(__xludf.DUMMYFUNCTION("GOOGLETRANSLATE(B3651,""en"",""ja"")"),"非線形")</f>
        <v>非線形</v>
      </c>
    </row>
    <row r="3619" spans="1:3" ht="18" customHeight="1" x14ac:dyDescent="0.3">
      <c r="A3619" s="1">
        <v>7</v>
      </c>
      <c r="B3619" s="1" t="s">
        <v>2956</v>
      </c>
      <c r="C3619" s="1" t="str">
        <f ca="1">IFERROR(__xludf.DUMMYFUNCTION("GOOGLETRANSLATE(B3652,""en"",""ja"")"),"夜")</f>
        <v>夜</v>
      </c>
    </row>
    <row r="3620" spans="1:3" ht="18" customHeight="1" x14ac:dyDescent="0.3">
      <c r="A3620" s="1">
        <v>7</v>
      </c>
      <c r="B3620" s="1" t="s">
        <v>2957</v>
      </c>
      <c r="C3620" s="1" t="str">
        <f ca="1">IFERROR(__xludf.DUMMYFUNCTION("GOOGLETRANSLATE(B3653,""en"",""ja"")"),"ニャット")</f>
        <v>ニャット</v>
      </c>
    </row>
    <row r="3621" spans="1:3" ht="18" customHeight="1" x14ac:dyDescent="0.3">
      <c r="A3621" s="1">
        <v>7</v>
      </c>
      <c r="B3621" s="1" t="s">
        <v>609</v>
      </c>
      <c r="C3621" s="1" t="str">
        <f ca="1">IFERROR(__xludf.DUMMYFUNCTION("GOOGLETRANSLATE(B3654,""en"",""ja"")"),"NGO")</f>
        <v>NGO</v>
      </c>
    </row>
    <row r="3622" spans="1:3" ht="18" customHeight="1" x14ac:dyDescent="0.3">
      <c r="A3622" s="1">
        <v>7</v>
      </c>
      <c r="B3622" s="1" t="s">
        <v>1439</v>
      </c>
      <c r="C3622" s="1" t="str">
        <f ca="1">IFERROR(__xludf.DUMMYFUNCTION("GOOGLETRANSLATE(B3655,""en"",""ja"")"),"ニュース")</f>
        <v>ニュース</v>
      </c>
    </row>
    <row r="3623" spans="1:3" ht="18" customHeight="1" x14ac:dyDescent="0.3">
      <c r="A3623" s="1">
        <v>7</v>
      </c>
      <c r="B3623" s="1" t="s">
        <v>1265</v>
      </c>
      <c r="C3623" s="1" t="str">
        <f ca="1">IFERROR(__xludf.DUMMYFUNCTION("GOOGLETRANSLATE(B3656,""en"",""ja"")"),"通信網")</f>
        <v>通信網</v>
      </c>
    </row>
    <row r="3624" spans="1:3" ht="18" customHeight="1" x14ac:dyDescent="0.3">
      <c r="A3624" s="1">
        <v>7</v>
      </c>
      <c r="B3624" s="1" t="s">
        <v>2958</v>
      </c>
      <c r="C3624" s="1" t="str">
        <f ca="1">IFERROR(__xludf.DUMMYFUNCTION("GOOGLETRANSLATE(B3657,""en"",""ja"")"),"相互")</f>
        <v>相互</v>
      </c>
    </row>
    <row r="3625" spans="1:3" ht="18" customHeight="1" x14ac:dyDescent="0.3">
      <c r="A3625" s="1">
        <v>7</v>
      </c>
      <c r="B3625" s="1" t="s">
        <v>2959</v>
      </c>
      <c r="C3625" s="1" t="str">
        <f ca="1">IFERROR(__xludf.DUMMYFUNCTION("GOOGLETRANSLATE(B3658,""en"",""ja"")"),"ミュージカル")</f>
        <v>ミュージカル</v>
      </c>
    </row>
    <row r="3626" spans="1:3" ht="18" customHeight="1" x14ac:dyDescent="0.3">
      <c r="A3626" s="1">
        <v>7</v>
      </c>
      <c r="B3626" s="1" t="s">
        <v>2960</v>
      </c>
      <c r="C3626" s="1" t="str">
        <f ca="1">IFERROR(__xludf.DUMMYFUNCTION("GOOGLETRANSLATE(B3659,""en"",""ja"")"),"博物館")</f>
        <v>博物館</v>
      </c>
    </row>
    <row r="3627" spans="1:3" ht="18" customHeight="1" x14ac:dyDescent="0.3">
      <c r="A3627" s="1">
        <v>7</v>
      </c>
      <c r="B3627" s="1" t="s">
        <v>2961</v>
      </c>
      <c r="C3627" s="1" t="str">
        <f ca="1">IFERROR(__xludf.DUMMYFUNCTION("GOOGLETRANSLATE(B3660,""en"",""ja"")"),"映画")</f>
        <v>映画</v>
      </c>
    </row>
    <row r="3628" spans="1:3" ht="18" customHeight="1" x14ac:dyDescent="0.3">
      <c r="A3628" s="1">
        <v>7</v>
      </c>
      <c r="B3628" s="1" t="s">
        <v>2962</v>
      </c>
      <c r="C3628" s="1" t="str">
        <f ca="1">IFERROR(__xludf.DUMMYFUNCTION("GOOGLETRANSLATE(B3661,""en"",""ja"")"),"移動")</f>
        <v>移動</v>
      </c>
    </row>
    <row r="3629" spans="1:3" ht="18" customHeight="1" x14ac:dyDescent="0.3">
      <c r="A3629" s="1">
        <v>7</v>
      </c>
      <c r="B3629" s="1" t="s">
        <v>2963</v>
      </c>
      <c r="C3629" s="1" t="str">
        <f ca="1">IFERROR(__xludf.DUMMYFUNCTION("GOOGLETRANSLATE(B3662,""en"",""ja"")"),"モーター")</f>
        <v>モーター</v>
      </c>
    </row>
    <row r="3630" spans="1:3" ht="18" customHeight="1" x14ac:dyDescent="0.3">
      <c r="A3630" s="1">
        <v>7</v>
      </c>
      <c r="B3630" s="1" t="s">
        <v>2359</v>
      </c>
      <c r="C3630" s="1" t="str">
        <f ca="1">IFERROR(__xludf.DUMMYFUNCTION("GOOGLETRANSLATE(B3663,""en"",""ja"")"),"又")</f>
        <v>又</v>
      </c>
    </row>
    <row r="3631" spans="1:3" ht="18" customHeight="1" x14ac:dyDescent="0.3">
      <c r="A3631" s="1">
        <v>7</v>
      </c>
      <c r="B3631" s="1" t="s">
        <v>2964</v>
      </c>
      <c r="C3631" s="1" t="str">
        <f ca="1">IFERROR(__xludf.DUMMYFUNCTION("GOOGLETRANSLATE(B3664,""en"",""ja"")"),"月")</f>
        <v>月</v>
      </c>
    </row>
    <row r="3632" spans="1:3" ht="18" customHeight="1" x14ac:dyDescent="0.3">
      <c r="A3632" s="1">
        <v>7</v>
      </c>
      <c r="B3632" s="1" t="s">
        <v>2965</v>
      </c>
      <c r="C3632" s="1" t="str">
        <f ca="1">IFERROR(__xludf.DUMMYFUNCTION("GOOGLETRANSLATE(B3665,""en"",""ja"")"),"月")</f>
        <v>月</v>
      </c>
    </row>
    <row r="3633" spans="1:3" ht="18" customHeight="1" x14ac:dyDescent="0.3">
      <c r="A3633" s="1">
        <v>7</v>
      </c>
      <c r="B3633" s="1" t="s">
        <v>2966</v>
      </c>
      <c r="C3633" s="1" t="str">
        <f ca="1">IFERROR(__xludf.DUMMYFUNCTION("GOOGLETRANSLATE(B3666,""en"",""ja"")"),"モンスーン")</f>
        <v>モンスーン</v>
      </c>
    </row>
    <row r="3634" spans="1:3" ht="18" customHeight="1" x14ac:dyDescent="0.3">
      <c r="A3634" s="1">
        <v>7</v>
      </c>
      <c r="B3634" s="1" t="s">
        <v>2967</v>
      </c>
      <c r="C3634" s="1" t="str">
        <f ca="1">IFERROR(__xludf.DUMMYFUNCTION("GOOGLETRANSLATE(B3667,""en"",""ja"")"),"モニター")</f>
        <v>モニター</v>
      </c>
    </row>
    <row r="3635" spans="1:3" ht="18" customHeight="1" x14ac:dyDescent="0.3">
      <c r="A3635" s="1">
        <v>7</v>
      </c>
      <c r="B3635" s="1" t="s">
        <v>1781</v>
      </c>
      <c r="C3635" s="1" t="str">
        <f ca="1">IFERROR(__xludf.DUMMYFUNCTION("GOOGLETRANSLATE(B3668,""en"",""ja"")"),"瞬間")</f>
        <v>瞬間</v>
      </c>
    </row>
    <row r="3636" spans="1:3" ht="18" customHeight="1" x14ac:dyDescent="0.3">
      <c r="A3636" s="1">
        <v>7</v>
      </c>
      <c r="B3636" s="1" t="s">
        <v>2968</v>
      </c>
      <c r="C3636" s="1" t="str">
        <f ca="1">IFERROR(__xludf.DUMMYFUNCTION("GOOGLETRANSLATE(B3669,""en"",""ja"")"),"修正します")</f>
        <v>修正します</v>
      </c>
    </row>
    <row r="3637" spans="1:3" ht="18" customHeight="1" x14ac:dyDescent="0.3">
      <c r="A3637" s="1">
        <v>7</v>
      </c>
      <c r="B3637" s="1" t="s">
        <v>2969</v>
      </c>
      <c r="C3637" s="1" t="str">
        <f ca="1">IFERROR(__xludf.DUMMYFUNCTION("GOOGLETRANSLATE(B3670,""en"",""ja"")"),"ミトコンドリア")</f>
        <v>ミトコンドリア</v>
      </c>
    </row>
    <row r="3638" spans="1:3" ht="18" customHeight="1" x14ac:dyDescent="0.3">
      <c r="A3638" s="1">
        <v>7</v>
      </c>
      <c r="B3638" s="1" t="s">
        <v>2970</v>
      </c>
      <c r="C3638" s="1" t="str">
        <f ca="1">IFERROR(__xludf.DUMMYFUNCTION("GOOGLETRANSLATE(B3671,""en"",""ja"")"),"マインドフルネス")</f>
        <v>マインドフルネス</v>
      </c>
    </row>
    <row r="3639" spans="1:3" ht="18" customHeight="1" x14ac:dyDescent="0.3">
      <c r="A3639" s="1">
        <v>7</v>
      </c>
      <c r="B3639" s="1" t="s">
        <v>2971</v>
      </c>
      <c r="C3639" s="1" t="str">
        <f ca="1">IFERROR(__xludf.DUMMYFUNCTION("GOOGLETRANSLATE(B3672,""en"",""ja"")"),"軽度")</f>
        <v>軽度</v>
      </c>
    </row>
    <row r="3640" spans="1:3" ht="18" customHeight="1" x14ac:dyDescent="0.3">
      <c r="A3640" s="1">
        <v>7</v>
      </c>
      <c r="B3640" s="1" t="s">
        <v>2972</v>
      </c>
      <c r="C3640" s="1" t="str">
        <f ca="1">IFERROR(__xludf.DUMMYFUNCTION("GOOGLETRANSLATE(B3673,""en"",""ja"")"),"マイケル")</f>
        <v>マイケル</v>
      </c>
    </row>
    <row r="3641" spans="1:3" ht="18" customHeight="1" x14ac:dyDescent="0.3">
      <c r="A3641" s="1">
        <v>7</v>
      </c>
      <c r="B3641" s="1" t="s">
        <v>1932</v>
      </c>
      <c r="C3641" s="1" t="str">
        <f ca="1">IFERROR(__xludf.DUMMYFUNCTION("GOOGLETRANSLATE(B3674,""en"",""ja"")"),"方法")</f>
        <v>方法</v>
      </c>
    </row>
    <row r="3642" spans="1:3" ht="18" customHeight="1" x14ac:dyDescent="0.3">
      <c r="A3642" s="1">
        <v>7</v>
      </c>
      <c r="B3642" s="1" t="s">
        <v>2973</v>
      </c>
      <c r="C3642" s="1" t="str">
        <f ca="1">IFERROR(__xludf.DUMMYFUNCTION("GOOGLETRANSLATE(B3675,""en"",""ja"")"),"メタン")</f>
        <v>メタン</v>
      </c>
    </row>
    <row r="3643" spans="1:3" ht="18" customHeight="1" x14ac:dyDescent="0.3">
      <c r="A3643" s="1">
        <v>7</v>
      </c>
      <c r="B3643" s="1" t="s">
        <v>2974</v>
      </c>
      <c r="C3643" s="1" t="str">
        <f ca="1">IFERROR(__xludf.DUMMYFUNCTION("GOOGLETRANSLATE(B3676,""en"",""ja"")"),"隠喩的な")</f>
        <v>隠喩的な</v>
      </c>
    </row>
    <row r="3644" spans="1:3" ht="18" customHeight="1" x14ac:dyDescent="0.3">
      <c r="A3644" s="1">
        <v>7</v>
      </c>
      <c r="B3644" s="1" t="s">
        <v>1119</v>
      </c>
      <c r="C3644" s="1" t="str">
        <f ca="1">IFERROR(__xludf.DUMMYFUNCTION("GOOGLETRANSLATE(B3677,""en"",""ja"")"),"メッセージ")</f>
        <v>メッセージ</v>
      </c>
    </row>
    <row r="3645" spans="1:3" ht="18" customHeight="1" x14ac:dyDescent="0.3">
      <c r="A3645" s="1">
        <v>7</v>
      </c>
      <c r="B3645" s="1" t="s">
        <v>2975</v>
      </c>
      <c r="C3645" s="1" t="str">
        <f ca="1">IFERROR(__xludf.DUMMYFUNCTION("GOOGLETRANSLATE(B3678,""en"",""ja"")"),"メンバー")</f>
        <v>メンバー</v>
      </c>
    </row>
    <row r="3646" spans="1:3" ht="18" customHeight="1" x14ac:dyDescent="0.3">
      <c r="A3646" s="1">
        <v>7</v>
      </c>
      <c r="B3646" s="1" t="s">
        <v>2976</v>
      </c>
      <c r="C3646" s="1" t="str">
        <f ca="1">IFERROR(__xludf.DUMMYFUNCTION("GOOGLETRANSLATE(B3679,""en"",""ja"")"),"平凡")</f>
        <v>平凡</v>
      </c>
    </row>
    <row r="3647" spans="1:3" ht="18" customHeight="1" x14ac:dyDescent="0.3">
      <c r="A3647" s="1">
        <v>7</v>
      </c>
      <c r="B3647" s="1" t="s">
        <v>2977</v>
      </c>
      <c r="C3647" s="1" t="str">
        <f ca="1">IFERROR(__xludf.DUMMYFUNCTION("GOOGLETRANSLATE(B3680,""en"",""ja"")"),"仲介")</f>
        <v>仲介</v>
      </c>
    </row>
    <row r="3648" spans="1:3" ht="18" customHeight="1" x14ac:dyDescent="0.3">
      <c r="A3648" s="1">
        <v>7</v>
      </c>
      <c r="B3648" s="1" t="s">
        <v>2978</v>
      </c>
      <c r="C3648" s="1" t="str">
        <f ca="1">IFERROR(__xludf.DUMMYFUNCTION("GOOGLETRANSLATE(B3681,""en"",""ja"")"),"測定")</f>
        <v>測定</v>
      </c>
    </row>
    <row r="3649" spans="1:3" ht="18" customHeight="1" x14ac:dyDescent="0.3">
      <c r="A3649" s="1">
        <v>7</v>
      </c>
      <c r="B3649" s="1" t="s">
        <v>2979</v>
      </c>
      <c r="C3649" s="1" t="str">
        <f ca="1">IFERROR(__xludf.DUMMYFUNCTION("GOOGLETRANSLATE(B3682,""en"",""ja"")"),"多分")</f>
        <v>多分</v>
      </c>
    </row>
    <row r="3650" spans="1:3" ht="18" customHeight="1" x14ac:dyDescent="0.3">
      <c r="A3650" s="1">
        <v>7</v>
      </c>
      <c r="B3650" s="1" t="s">
        <v>2980</v>
      </c>
      <c r="C3650" s="1" t="str">
        <f ca="1">IFERROR(__xludf.DUMMYFUNCTION("GOOGLETRANSLATE(B3683,""en"",""ja"")"),"数学的に")</f>
        <v>数学的に</v>
      </c>
    </row>
    <row r="3651" spans="1:3" ht="18" customHeight="1" x14ac:dyDescent="0.3">
      <c r="A3651" s="1">
        <v>7</v>
      </c>
      <c r="B3651" s="1" t="s">
        <v>1934</v>
      </c>
      <c r="C3651" s="1" t="str">
        <f ca="1">IFERROR(__xludf.DUMMYFUNCTION("GOOGLETRANSLATE(B3684,""en"",""ja"")"),"材料")</f>
        <v>材料</v>
      </c>
    </row>
    <row r="3652" spans="1:3" ht="18" customHeight="1" x14ac:dyDescent="0.3">
      <c r="A3652" s="1">
        <v>7</v>
      </c>
      <c r="B3652" s="1" t="s">
        <v>2981</v>
      </c>
      <c r="C3652" s="1" t="str">
        <f ca="1">IFERROR(__xludf.DUMMYFUNCTION("GOOGLETRANSLATE(B3685,""en"",""ja"")"),"一致")</f>
        <v>一致</v>
      </c>
    </row>
    <row r="3653" spans="1:3" ht="18" customHeight="1" x14ac:dyDescent="0.3">
      <c r="A3653" s="1">
        <v>7</v>
      </c>
      <c r="B3653" s="1" t="s">
        <v>2982</v>
      </c>
      <c r="C3653" s="1" t="str">
        <f ca="1">IFERROR(__xludf.DUMMYFUNCTION("GOOGLETRANSLATE(B3686,""en"",""ja"")"),"マスク")</f>
        <v>マスク</v>
      </c>
    </row>
    <row r="3654" spans="1:3" ht="18" customHeight="1" x14ac:dyDescent="0.3">
      <c r="A3654" s="1">
        <v>7</v>
      </c>
      <c r="B3654" s="1" t="s">
        <v>2983</v>
      </c>
      <c r="C3654" s="1" t="str">
        <f ca="1">IFERROR(__xludf.DUMMYFUNCTION("GOOGLETRANSLATE(B3687,""en"",""ja"")"),"マーク")</f>
        <v>マーク</v>
      </c>
    </row>
    <row r="3655" spans="1:3" ht="18" customHeight="1" x14ac:dyDescent="0.3">
      <c r="A3655" s="1">
        <v>7</v>
      </c>
      <c r="B3655" s="1" t="s">
        <v>2366</v>
      </c>
      <c r="C3655" s="1" t="str">
        <f ca="1">IFERROR(__xludf.DUMMYFUNCTION("GOOGLETRANSLATE(B3688,""en"",""ja"")"),"市場")</f>
        <v>市場</v>
      </c>
    </row>
    <row r="3656" spans="1:3" ht="18" customHeight="1" x14ac:dyDescent="0.3">
      <c r="A3656" s="1">
        <v>7</v>
      </c>
      <c r="B3656" s="1" t="s">
        <v>2984</v>
      </c>
      <c r="C3656" s="1" t="str">
        <f ca="1">IFERROR(__xludf.DUMMYFUNCTION("GOOGLETRANSLATE(B3689,""en"",""ja"")"),"ルートヴィヒ")</f>
        <v>ルートヴィヒ</v>
      </c>
    </row>
    <row r="3657" spans="1:3" ht="18" customHeight="1" x14ac:dyDescent="0.3">
      <c r="A3657" s="1">
        <v>7</v>
      </c>
      <c r="B3657" s="1" t="s">
        <v>1357</v>
      </c>
      <c r="C3657" s="1" t="str">
        <f ca="1">IFERROR(__xludf.DUMMYFUNCTION("GOOGLETRANSLATE(B3690,""en"",""ja"")"),"ロケーション")</f>
        <v>ロケーション</v>
      </c>
    </row>
    <row r="3658" spans="1:3" ht="18" customHeight="1" x14ac:dyDescent="0.3">
      <c r="A3658" s="1">
        <v>7</v>
      </c>
      <c r="B3658" s="1" t="s">
        <v>357</v>
      </c>
      <c r="C3658" s="1" t="str">
        <f ca="1">IFERROR(__xludf.DUMMYFUNCTION("GOOGLETRANSLATE(B3691,""en"",""ja"")"),"地元")</f>
        <v>地元</v>
      </c>
    </row>
    <row r="3659" spans="1:3" ht="18" customHeight="1" x14ac:dyDescent="0.3">
      <c r="A3659" s="1">
        <v>7</v>
      </c>
      <c r="B3659" s="1" t="s">
        <v>1938</v>
      </c>
      <c r="C3659" s="1" t="str">
        <f ca="1">IFERROR(__xludf.DUMMYFUNCTION("GOOGLETRANSLATE(B3692,""en"",""ja"")"),"リンク")</f>
        <v>リンク</v>
      </c>
    </row>
    <row r="3660" spans="1:3" ht="18" customHeight="1" x14ac:dyDescent="0.3">
      <c r="A3660" s="1">
        <v>7</v>
      </c>
      <c r="B3660" s="1" t="s">
        <v>2985</v>
      </c>
      <c r="C3660" s="1" t="str">
        <f ca="1">IFERROR(__xludf.DUMMYFUNCTION("GOOGLETRANSLATE(B3693,""en"",""ja"")"),"ライン")</f>
        <v>ライン</v>
      </c>
    </row>
    <row r="3661" spans="1:3" ht="18" customHeight="1" x14ac:dyDescent="0.3">
      <c r="A3661" s="1">
        <v>7</v>
      </c>
      <c r="B3661" s="1" t="s">
        <v>2986</v>
      </c>
      <c r="C3661" s="1" t="str">
        <f ca="1">IFERROR(__xludf.DUMMYFUNCTION("GOOGLETRANSLATE(B3694,""en"",""ja"")"),"ライフスタイル")</f>
        <v>ライフスタイル</v>
      </c>
    </row>
    <row r="3662" spans="1:3" ht="18" customHeight="1" x14ac:dyDescent="0.3">
      <c r="A3662" s="1">
        <v>7</v>
      </c>
      <c r="B3662" s="1" t="s">
        <v>2987</v>
      </c>
      <c r="C3662" s="1" t="str">
        <f ca="1">IFERROR(__xludf.DUMMYFUNCTION("GOOGLETRANSLATE(B3695,""en"",""ja"")"),"脚")</f>
        <v>脚</v>
      </c>
    </row>
    <row r="3663" spans="1:3" ht="18" customHeight="1" x14ac:dyDescent="0.3">
      <c r="A3663" s="1">
        <v>7</v>
      </c>
      <c r="B3663" s="1" t="s">
        <v>274</v>
      </c>
      <c r="C3663" s="1" t="str">
        <f ca="1">IFERROR(__xludf.DUMMYFUNCTION("GOOGLETRANSLATE(B3696,""en"",""ja"")"),"鉛")</f>
        <v>鉛</v>
      </c>
    </row>
    <row r="3664" spans="1:3" ht="18" customHeight="1" x14ac:dyDescent="0.3">
      <c r="A3664" s="1">
        <v>7</v>
      </c>
      <c r="B3664" s="1" t="s">
        <v>2988</v>
      </c>
      <c r="C3664" s="1" t="str">
        <f ca="1">IFERROR(__xludf.DUMMYFUNCTION("GOOGLETRANSLATE(B3697,""en"",""ja"")"),"法制")</f>
        <v>法制</v>
      </c>
    </row>
    <row r="3665" spans="1:3" ht="18" customHeight="1" x14ac:dyDescent="0.3">
      <c r="A3665" s="1">
        <v>7</v>
      </c>
      <c r="B3665" s="1" t="s">
        <v>1664</v>
      </c>
      <c r="C3665" s="1" t="str">
        <f ca="1">IFERROR(__xludf.DUMMYFUNCTION("GOOGLETRANSLATE(B3698,""en"",""ja"")"),"法律")</f>
        <v>法律</v>
      </c>
    </row>
    <row r="3666" spans="1:3" ht="18" customHeight="1" x14ac:dyDescent="0.3">
      <c r="A3666" s="1">
        <v>7</v>
      </c>
      <c r="B3666" s="1" t="s">
        <v>2121</v>
      </c>
      <c r="C3666" s="1" t="str">
        <f ca="1">IFERROR(__xludf.DUMMYFUNCTION("GOOGLETRANSLATE(B3699,""en"",""ja"")"),"ランドスケープ")</f>
        <v>ランドスケープ</v>
      </c>
    </row>
    <row r="3667" spans="1:3" ht="18" customHeight="1" x14ac:dyDescent="0.3">
      <c r="A3667" s="1">
        <v>7</v>
      </c>
      <c r="B3667" s="1" t="s">
        <v>707</v>
      </c>
      <c r="C3667" s="1" t="str">
        <f ca="1">IFERROR(__xludf.DUMMYFUNCTION("GOOGLETRANSLATE(B3700,""en"",""ja"")"),"研究室")</f>
        <v>研究室</v>
      </c>
    </row>
    <row r="3668" spans="1:3" ht="18" customHeight="1" x14ac:dyDescent="0.3">
      <c r="A3668" s="1">
        <v>7</v>
      </c>
      <c r="B3668" s="1" t="s">
        <v>300</v>
      </c>
      <c r="C3668" s="1" t="str">
        <f ca="1">IFERROR(__xludf.DUMMYFUNCTION("GOOGLETRANSLATE(B3701,""en"",""ja"")"),"知っています")</f>
        <v>知っています</v>
      </c>
    </row>
    <row r="3669" spans="1:3" ht="18" customHeight="1" x14ac:dyDescent="0.3">
      <c r="A3669" s="1">
        <v>7</v>
      </c>
      <c r="B3669" s="1" t="s">
        <v>2989</v>
      </c>
      <c r="C3669" s="1" t="str">
        <f ca="1">IFERROR(__xludf.DUMMYFUNCTION("GOOGLETRANSLATE(B3702,""en"",""ja"")"),"kallie")</f>
        <v>kallie</v>
      </c>
    </row>
    <row r="3670" spans="1:3" ht="18" customHeight="1" x14ac:dyDescent="0.3">
      <c r="A3670" s="1">
        <v>7</v>
      </c>
      <c r="B3670" s="1" t="s">
        <v>2990</v>
      </c>
      <c r="C3670" s="1" t="str">
        <f ca="1">IFERROR(__xludf.DUMMYFUNCTION("GOOGLETRANSLATE(B3703,""en"",""ja"")"),"並置")</f>
        <v>並置</v>
      </c>
    </row>
    <row r="3671" spans="1:3" ht="18" customHeight="1" x14ac:dyDescent="0.3">
      <c r="A3671" s="1">
        <v>7</v>
      </c>
      <c r="B3671" s="1" t="s">
        <v>2991</v>
      </c>
      <c r="C3671" s="1" t="str">
        <f ca="1">IFERROR(__xludf.DUMMYFUNCTION("GOOGLETRANSLATE(B3704,""en"",""ja"")"),"J")</f>
        <v>J</v>
      </c>
    </row>
    <row r="3672" spans="1:3" ht="18" customHeight="1" x14ac:dyDescent="0.3">
      <c r="A3672" s="1">
        <v>7</v>
      </c>
      <c r="B3672" s="1" t="s">
        <v>2992</v>
      </c>
      <c r="C3672" s="1" t="str">
        <f ca="1">IFERROR(__xludf.DUMMYFUNCTION("GOOGLETRANSLATE(B3705,""en"",""ja"")"),"鉄")</f>
        <v>鉄</v>
      </c>
    </row>
    <row r="3673" spans="1:3" ht="18" customHeight="1" x14ac:dyDescent="0.3">
      <c r="A3673" s="1">
        <v>7</v>
      </c>
      <c r="B3673" s="1" t="s">
        <v>1668</v>
      </c>
      <c r="C3673" s="1" t="str">
        <f ca="1">IFERROR(__xludf.DUMMYFUNCTION("GOOGLETRANSLATE(B3706,""en"",""ja"")"),"反転")</f>
        <v>反転</v>
      </c>
    </row>
    <row r="3674" spans="1:3" ht="18" customHeight="1" x14ac:dyDescent="0.3">
      <c r="A3674" s="1">
        <v>7</v>
      </c>
      <c r="B3674" s="1" t="s">
        <v>2993</v>
      </c>
      <c r="C3674" s="1" t="str">
        <f ca="1">IFERROR(__xludf.DUMMYFUNCTION("GOOGLETRANSLATE(B3707,""en"",""ja"")"),"発明")</f>
        <v>発明</v>
      </c>
    </row>
    <row r="3675" spans="1:3" ht="18" customHeight="1" x14ac:dyDescent="0.3">
      <c r="A3675" s="1">
        <v>7</v>
      </c>
      <c r="B3675" s="1" t="s">
        <v>2994</v>
      </c>
      <c r="C3675" s="1" t="str">
        <f ca="1">IFERROR(__xludf.DUMMYFUNCTION("GOOGLETRANSLATE(B3708,""en"",""ja"")"),"直感的")</f>
        <v>直感的</v>
      </c>
    </row>
    <row r="3676" spans="1:3" ht="18" customHeight="1" x14ac:dyDescent="0.3">
      <c r="A3676" s="1">
        <v>7</v>
      </c>
      <c r="B3676" s="1" t="s">
        <v>59</v>
      </c>
      <c r="C3676" s="1" t="str">
        <f ca="1">IFERROR(__xludf.DUMMYFUNCTION("GOOGLETRANSLATE(B3709,""en"",""ja"")"),"に")</f>
        <v>に</v>
      </c>
    </row>
    <row r="3677" spans="1:3" ht="18" customHeight="1" x14ac:dyDescent="0.3">
      <c r="A3677" s="1">
        <v>7</v>
      </c>
      <c r="B3677" s="1" t="s">
        <v>2995</v>
      </c>
      <c r="C3677" s="1" t="str">
        <f ca="1">IFERROR(__xludf.DUMMYFUNCTION("GOOGLETRANSLATE(B3710,""en"",""ja"")"),"インタビュー")</f>
        <v>インタビュー</v>
      </c>
    </row>
    <row r="3678" spans="1:3" ht="18" customHeight="1" x14ac:dyDescent="0.3">
      <c r="A3678" s="1">
        <v>7</v>
      </c>
      <c r="B3678" s="1" t="s">
        <v>1670</v>
      </c>
      <c r="C3678" s="1" t="str">
        <f ca="1">IFERROR(__xludf.DUMMYFUNCTION("GOOGLETRANSLATE(B3711,""en"",""ja"")"),"相互作用する")</f>
        <v>相互作用する</v>
      </c>
    </row>
    <row r="3679" spans="1:3" ht="18" customHeight="1" x14ac:dyDescent="0.3">
      <c r="A3679" s="1">
        <v>7</v>
      </c>
      <c r="B3679" s="1" t="s">
        <v>1671</v>
      </c>
      <c r="C3679" s="1" t="str">
        <f ca="1">IFERROR(__xludf.DUMMYFUNCTION("GOOGLETRANSLATE(B3712,""en"",""ja"")"),"インテリジェンス")</f>
        <v>インテリジェンス</v>
      </c>
    </row>
    <row r="3680" spans="1:3" ht="18" customHeight="1" x14ac:dyDescent="0.3">
      <c r="A3680" s="1">
        <v>7</v>
      </c>
      <c r="B3680" s="1" t="s">
        <v>2996</v>
      </c>
      <c r="C3680" s="1" t="str">
        <f ca="1">IFERROR(__xludf.DUMMYFUNCTION("GOOGLETRANSLATE(B3713,""en"",""ja"")"),"インスタント")</f>
        <v>インスタント</v>
      </c>
    </row>
    <row r="3681" spans="1:3" ht="18" customHeight="1" x14ac:dyDescent="0.3">
      <c r="A3681" s="1">
        <v>7</v>
      </c>
      <c r="B3681" s="1" t="s">
        <v>2997</v>
      </c>
      <c r="C3681" s="1" t="str">
        <f ca="1">IFERROR(__xludf.DUMMYFUNCTION("GOOGLETRANSLATE(B3714,""en"",""ja"")"),"洞察")</f>
        <v>洞察</v>
      </c>
    </row>
    <row r="3682" spans="1:3" ht="18" customHeight="1" x14ac:dyDescent="0.3">
      <c r="A3682" s="1">
        <v>7</v>
      </c>
      <c r="B3682" s="1" t="s">
        <v>2998</v>
      </c>
      <c r="C3682" s="1" t="str">
        <f ca="1">IFERROR(__xludf.DUMMYFUNCTION("GOOGLETRANSLATE(B3716,""en"",""ja"")"),"主導権")</f>
        <v>主導権</v>
      </c>
    </row>
    <row r="3683" spans="1:3" ht="18" customHeight="1" x14ac:dyDescent="0.3">
      <c r="A3683" s="1">
        <v>7</v>
      </c>
      <c r="B3683" s="1" t="s">
        <v>2999</v>
      </c>
      <c r="C3683" s="1" t="str">
        <f ca="1">IFERROR(__xludf.DUMMYFUNCTION("GOOGLETRANSLATE(B3717,""en"",""ja"")"),"影響を受け")</f>
        <v>影響を受け</v>
      </c>
    </row>
    <row r="3684" spans="1:3" ht="18" customHeight="1" x14ac:dyDescent="0.3">
      <c r="A3684" s="1">
        <v>7</v>
      </c>
      <c r="B3684" s="1" t="s">
        <v>3000</v>
      </c>
      <c r="C3684" s="1" t="str">
        <f ca="1">IFERROR(__xludf.DUMMYFUNCTION("GOOGLETRANSLATE(B3718,""en"",""ja"")"),"推します")</f>
        <v>推します</v>
      </c>
    </row>
    <row r="3685" spans="1:3" ht="18" customHeight="1" x14ac:dyDescent="0.3">
      <c r="A3685" s="1">
        <v>7</v>
      </c>
      <c r="B3685" s="1" t="s">
        <v>3001</v>
      </c>
      <c r="C3685" s="1" t="str">
        <f ca="1">IFERROR(__xludf.DUMMYFUNCTION("GOOGLETRANSLATE(B3719,""en"",""ja"")"),"安価な")</f>
        <v>安価な</v>
      </c>
    </row>
    <row r="3686" spans="1:3" ht="18" customHeight="1" x14ac:dyDescent="0.3">
      <c r="A3686" s="1">
        <v>7</v>
      </c>
      <c r="B3686" s="1" t="s">
        <v>3002</v>
      </c>
      <c r="C3686" s="1" t="str">
        <f ca="1">IFERROR(__xludf.DUMMYFUNCTION("GOOGLETRANSLATE(B3720,""en"",""ja"")"),"必然")</f>
        <v>必然</v>
      </c>
    </row>
    <row r="3687" spans="1:3" ht="18" customHeight="1" x14ac:dyDescent="0.3">
      <c r="A3687" s="1">
        <v>7</v>
      </c>
      <c r="B3687" s="1" t="s">
        <v>3003</v>
      </c>
      <c r="C3687" s="1" t="str">
        <f ca="1">IFERROR(__xludf.DUMMYFUNCTION("GOOGLETRANSLATE(B3721,""en"",""ja"")"),"非効率的な")</f>
        <v>非効率的な</v>
      </c>
    </row>
    <row r="3688" spans="1:3" ht="18" customHeight="1" x14ac:dyDescent="0.3">
      <c r="A3688" s="1">
        <v>7</v>
      </c>
      <c r="B3688" s="1" t="s">
        <v>3004</v>
      </c>
      <c r="C3688" s="1" t="str">
        <f ca="1">IFERROR(__xludf.DUMMYFUNCTION("GOOGLETRANSLATE(B3722,""en"",""ja"")"),"インドネシア")</f>
        <v>インドネシア</v>
      </c>
    </row>
    <row r="3689" spans="1:3" ht="18" customHeight="1" x14ac:dyDescent="0.3">
      <c r="A3689" s="1">
        <v>7</v>
      </c>
      <c r="B3689" s="1" t="s">
        <v>1196</v>
      </c>
      <c r="C3689" s="1" t="str">
        <f ca="1">IFERROR(__xludf.DUMMYFUNCTION("GOOGLETRANSLATE(B3723,""en"",""ja"")"),"インド")</f>
        <v>インド</v>
      </c>
    </row>
    <row r="3690" spans="1:3" ht="18" customHeight="1" x14ac:dyDescent="0.3">
      <c r="A3690" s="1">
        <v>7</v>
      </c>
      <c r="B3690" s="1" t="s">
        <v>3005</v>
      </c>
      <c r="C3690" s="1" t="str">
        <f ca="1">IFERROR(__xludf.DUMMYFUNCTION("GOOGLETRANSLATE(B3724,""en"",""ja"")"),"組み込みます")</f>
        <v>組み込みます</v>
      </c>
    </row>
    <row r="3691" spans="1:3" ht="18" customHeight="1" x14ac:dyDescent="0.3">
      <c r="A3691" s="1">
        <v>7</v>
      </c>
      <c r="B3691" s="1" t="s">
        <v>3006</v>
      </c>
      <c r="C3691" s="1" t="str">
        <f ca="1">IFERROR(__xludf.DUMMYFUNCTION("GOOGLETRANSLATE(B3725,""en"",""ja"")"),"不完全な")</f>
        <v>不完全な</v>
      </c>
    </row>
    <row r="3692" spans="1:3" ht="18" customHeight="1" x14ac:dyDescent="0.3">
      <c r="A3692" s="1">
        <v>7</v>
      </c>
      <c r="B3692" s="1" t="s">
        <v>3007</v>
      </c>
      <c r="C3692" s="1" t="str">
        <f ca="1">IFERROR(__xludf.DUMMYFUNCTION("GOOGLETRANSLATE(B3726,""en"",""ja"")"),"非互換")</f>
        <v>非互換</v>
      </c>
    </row>
    <row r="3693" spans="1:3" ht="18" customHeight="1" x14ac:dyDescent="0.3">
      <c r="A3693" s="1">
        <v>7</v>
      </c>
      <c r="B3693" s="1" t="s">
        <v>3008</v>
      </c>
      <c r="C3693" s="1" t="str">
        <f ca="1">IFERROR(__xludf.DUMMYFUNCTION("GOOGLETRANSLATE(B3727,""en"",""ja"")"),"白熱の")</f>
        <v>白熱の</v>
      </c>
    </row>
    <row r="3694" spans="1:3" ht="18" customHeight="1" x14ac:dyDescent="0.3">
      <c r="A3694" s="1">
        <v>7</v>
      </c>
      <c r="B3694" s="1" t="s">
        <v>3009</v>
      </c>
      <c r="C3694" s="1" t="str">
        <f ca="1">IFERROR(__xludf.DUMMYFUNCTION("GOOGLETRANSLATE(B3728,""en"",""ja"")"),"不正確")</f>
        <v>不正確</v>
      </c>
    </row>
    <row r="3695" spans="1:3" ht="18" customHeight="1" x14ac:dyDescent="0.3">
      <c r="A3695" s="1">
        <v>7</v>
      </c>
      <c r="B3695" s="1" t="s">
        <v>3010</v>
      </c>
      <c r="C3695" s="1" t="str">
        <f ca="1">IFERROR(__xludf.DUMMYFUNCTION("GOOGLETRANSLATE(B3729,""en"",""ja"")"),"印象的")</f>
        <v>印象的</v>
      </c>
    </row>
    <row r="3696" spans="1:3" ht="18" customHeight="1" x14ac:dyDescent="0.3">
      <c r="A3696" s="1">
        <v>7</v>
      </c>
      <c r="B3696" s="1" t="s">
        <v>423</v>
      </c>
      <c r="C3696" s="1" t="str">
        <f ca="1">IFERROR(__xludf.DUMMYFUNCTION("GOOGLETRANSLATE(B3730,""en"",""ja"")"),"重要性")</f>
        <v>重要性</v>
      </c>
    </row>
    <row r="3697" spans="1:3" ht="18" customHeight="1" x14ac:dyDescent="0.3">
      <c r="A3697" s="1">
        <v>7</v>
      </c>
      <c r="B3697" s="1" t="s">
        <v>2137</v>
      </c>
      <c r="C3697" s="1" t="str">
        <f ca="1">IFERROR(__xludf.DUMMYFUNCTION("GOOGLETRANSLATE(B3731,""en"",""ja"")"),"暗示")</f>
        <v>暗示</v>
      </c>
    </row>
    <row r="3698" spans="1:3" ht="18" customHeight="1" x14ac:dyDescent="0.3">
      <c r="A3698" s="1">
        <v>7</v>
      </c>
      <c r="B3698" s="1" t="s">
        <v>1198</v>
      </c>
      <c r="C3698" s="1" t="str">
        <f ca="1">IFERROR(__xludf.DUMMYFUNCTION("GOOGLETRANSLATE(B3732,""en"",""ja"")"),"含意")</f>
        <v>含意</v>
      </c>
    </row>
    <row r="3699" spans="1:3" ht="18" customHeight="1" x14ac:dyDescent="0.3">
      <c r="A3699" s="1">
        <v>7</v>
      </c>
      <c r="B3699" s="1" t="s">
        <v>3011</v>
      </c>
      <c r="C3699" s="1" t="str">
        <f ca="1">IFERROR(__xludf.DUMMYFUNCTION("GOOGLETRANSLATE(B3733,""en"",""ja"")"),"免疫")</f>
        <v>免疫</v>
      </c>
    </row>
    <row r="3700" spans="1:3" ht="18" customHeight="1" x14ac:dyDescent="0.3">
      <c r="A3700" s="1">
        <v>7</v>
      </c>
      <c r="B3700" s="1" t="s">
        <v>3012</v>
      </c>
      <c r="C3700" s="1" t="str">
        <f ca="1">IFERROR(__xludf.DUMMYFUNCTION("GOOGLETRANSLATE(B3734,""en"",""ja"")"),"直ちに")</f>
        <v>直ちに</v>
      </c>
    </row>
    <row r="3701" spans="1:3" ht="18" customHeight="1" x14ac:dyDescent="0.3">
      <c r="A3701" s="1">
        <v>7</v>
      </c>
      <c r="B3701" s="1" t="s">
        <v>3013</v>
      </c>
      <c r="C3701" s="1" t="str">
        <f ca="1">IFERROR(__xludf.DUMMYFUNCTION("GOOGLETRANSLATE(B3735,""en"",""ja"")"),"イデオロギー")</f>
        <v>イデオロギー</v>
      </c>
    </row>
    <row r="3702" spans="1:3" ht="18" customHeight="1" x14ac:dyDescent="0.3">
      <c r="A3702" s="1">
        <v>7</v>
      </c>
      <c r="B3702" s="1" t="s">
        <v>3014</v>
      </c>
      <c r="C3702" s="1" t="str">
        <f ca="1">IFERROR(__xludf.DUMMYFUNCTION("GOOGLETRANSLATE(B3736,""en"",""ja"")"),"識別")</f>
        <v>識別</v>
      </c>
    </row>
    <row r="3703" spans="1:3" ht="18" customHeight="1" x14ac:dyDescent="0.3">
      <c r="A3703" s="1">
        <v>7</v>
      </c>
      <c r="B3703" s="1" t="s">
        <v>3015</v>
      </c>
      <c r="C3703" s="1" t="str">
        <f ca="1">IFERROR(__xludf.DUMMYFUNCTION("GOOGLETRANSLATE(B3737,""en"",""ja"")"),"氷")</f>
        <v>氷</v>
      </c>
    </row>
    <row r="3704" spans="1:3" ht="18" customHeight="1" x14ac:dyDescent="0.3">
      <c r="A3704" s="1">
        <v>7</v>
      </c>
      <c r="B3704" s="1" t="s">
        <v>3016</v>
      </c>
      <c r="C3704" s="1" t="str">
        <f ca="1">IFERROR(__xludf.DUMMYFUNCTION("GOOGLETRANSLATE(B3738,""en"",""ja"")"),"hyperparenting")</f>
        <v>hyperparenting</v>
      </c>
    </row>
    <row r="3705" spans="1:3" ht="18" customHeight="1" x14ac:dyDescent="0.3">
      <c r="A3705" s="1">
        <v>7</v>
      </c>
      <c r="B3705" s="1" t="s">
        <v>3017</v>
      </c>
      <c r="C3705" s="1" t="str">
        <f ca="1">IFERROR(__xludf.DUMMYFUNCTION("GOOGLETRANSLATE(B3739,""en"",""ja"")"),"傷つい")</f>
        <v>傷つい</v>
      </c>
    </row>
    <row r="3706" spans="1:3" ht="18" customHeight="1" x14ac:dyDescent="0.3">
      <c r="A3706" s="1">
        <v>7</v>
      </c>
      <c r="B3706" s="1" t="s">
        <v>3018</v>
      </c>
      <c r="C3706" s="1" t="str">
        <f ca="1">IFERROR(__xludf.DUMMYFUNCTION("GOOGLETRANSLATE(B3740,""en"",""ja"")"),"ハリケーン")</f>
        <v>ハリケーン</v>
      </c>
    </row>
    <row r="3707" spans="1:3" ht="18" customHeight="1" x14ac:dyDescent="0.3">
      <c r="A3707" s="1">
        <v>7</v>
      </c>
      <c r="B3707" s="1" t="s">
        <v>3019</v>
      </c>
      <c r="C3707" s="1" t="str">
        <f ca="1">IFERROR(__xludf.DUMMYFUNCTION("GOOGLETRANSLATE(B3741,""en"",""ja"")"),"ホルモン")</f>
        <v>ホルモン</v>
      </c>
    </row>
    <row r="3708" spans="1:3" ht="18" customHeight="1" x14ac:dyDescent="0.3">
      <c r="A3708" s="1">
        <v>7</v>
      </c>
      <c r="B3708" s="1" t="s">
        <v>3020</v>
      </c>
      <c r="C3708" s="1" t="str">
        <f ca="1">IFERROR(__xludf.DUMMYFUNCTION("GOOGLETRANSLATE(B3742,""en"",""ja"")"),"雇用")</f>
        <v>雇用</v>
      </c>
    </row>
    <row r="3709" spans="1:3" ht="18" customHeight="1" x14ac:dyDescent="0.3">
      <c r="A3709" s="1">
        <v>7</v>
      </c>
      <c r="B3709" s="1" t="s">
        <v>767</v>
      </c>
      <c r="C3709" s="1" t="str">
        <f ca="1">IFERROR(__xludf.DUMMYFUNCTION("GOOGLETRANSLATE(B3743,""en"",""ja"")"),"彼自身")</f>
        <v>彼自身</v>
      </c>
    </row>
    <row r="3710" spans="1:3" ht="18" customHeight="1" x14ac:dyDescent="0.3">
      <c r="A3710" s="1">
        <v>7</v>
      </c>
      <c r="B3710" s="1" t="s">
        <v>3021</v>
      </c>
      <c r="C3710" s="1" t="str">
        <f ca="1">IFERROR(__xludf.DUMMYFUNCTION("GOOGLETRANSLATE(B3744,""en"",""ja"")"),"隠す")</f>
        <v>隠す</v>
      </c>
    </row>
    <row r="3711" spans="1:3" ht="18" customHeight="1" x14ac:dyDescent="0.3">
      <c r="A3711" s="1">
        <v>7</v>
      </c>
      <c r="B3711" s="1" t="s">
        <v>1461</v>
      </c>
      <c r="C3711" s="1" t="str">
        <f ca="1">IFERROR(__xludf.DUMMYFUNCTION("GOOGLETRANSLATE(B3745,""en"",""ja"")"),"遺産")</f>
        <v>遺産</v>
      </c>
    </row>
    <row r="3712" spans="1:3" ht="18" customHeight="1" x14ac:dyDescent="0.3">
      <c r="A3712" s="1">
        <v>7</v>
      </c>
      <c r="B3712" s="1" t="s">
        <v>3022</v>
      </c>
      <c r="C3712" s="1" t="str">
        <f ca="1">IFERROR(__xludf.DUMMYFUNCTION("GOOGLETRANSLATE(B3746,""en"",""ja"")"),"助けました")</f>
        <v>助けました</v>
      </c>
    </row>
    <row r="3713" spans="1:3" ht="18" customHeight="1" x14ac:dyDescent="0.3">
      <c r="A3713" s="1">
        <v>7</v>
      </c>
      <c r="B3713" s="1" t="s">
        <v>3023</v>
      </c>
      <c r="C3713" s="1" t="str">
        <f ca="1">IFERROR(__xludf.DUMMYFUNCTION("GOOGLETRANSLATE(B3747,""en"",""ja"")"),"ずっしり")</f>
        <v>ずっしり</v>
      </c>
    </row>
    <row r="3714" spans="1:3" ht="18" customHeight="1" x14ac:dyDescent="0.3">
      <c r="A3714" s="1">
        <v>7</v>
      </c>
      <c r="B3714" s="1" t="s">
        <v>3024</v>
      </c>
      <c r="C3714" s="1" t="str">
        <f ca="1">IFERROR(__xludf.DUMMYFUNCTION("GOOGLETRANSLATE(B3748,""en"",""ja"")"),"聞く")</f>
        <v>聞く</v>
      </c>
    </row>
    <row r="3715" spans="1:3" ht="18" customHeight="1" x14ac:dyDescent="0.3">
      <c r="A3715" s="1">
        <v>7</v>
      </c>
      <c r="B3715" s="1" t="s">
        <v>3025</v>
      </c>
      <c r="C3715" s="1" t="str">
        <f ca="1">IFERROR(__xludf.DUMMYFUNCTION("GOOGLETRANSLATE(B3749,""en"",""ja"")"),"健康的")</f>
        <v>健康的</v>
      </c>
    </row>
    <row r="3716" spans="1:3" ht="18" customHeight="1" x14ac:dyDescent="0.3">
      <c r="A3716" s="1">
        <v>7</v>
      </c>
      <c r="B3716" s="1" t="s">
        <v>3026</v>
      </c>
      <c r="C3716" s="1" t="str">
        <f ca="1">IFERROR(__xludf.DUMMYFUNCTION("GOOGLETRANSLATE(B3750,""en"",""ja"")"),"左利き")</f>
        <v>左利き</v>
      </c>
    </row>
    <row r="3717" spans="1:3" ht="18" customHeight="1" x14ac:dyDescent="0.3">
      <c r="A3717" s="1">
        <v>7</v>
      </c>
      <c r="B3717" s="1" t="s">
        <v>3027</v>
      </c>
      <c r="C3717" s="1" t="str">
        <f ca="1">IFERROR(__xludf.DUMMYFUNCTION("GOOGLETRANSLATE(B3751,""en"",""ja"")"),"ゴシップ")</f>
        <v>ゴシップ</v>
      </c>
    </row>
    <row r="3718" spans="1:3" ht="18" customHeight="1" x14ac:dyDescent="0.3">
      <c r="A3718" s="1">
        <v>7</v>
      </c>
      <c r="B3718" s="1" t="s">
        <v>1562</v>
      </c>
      <c r="C3718" s="1" t="str">
        <f ca="1">IFERROR(__xludf.DUMMYFUNCTION("GOOGLETRANSLATE(B3752,""en"",""ja"")"),"ゴール")</f>
        <v>ゴール</v>
      </c>
    </row>
    <row r="3719" spans="1:3" ht="18" customHeight="1" x14ac:dyDescent="0.3">
      <c r="A3719" s="1">
        <v>7</v>
      </c>
      <c r="B3719" s="1" t="s">
        <v>3028</v>
      </c>
      <c r="C3719" s="1" t="str">
        <f ca="1">IFERROR(__xludf.DUMMYFUNCTION("GOOGLETRANSLATE(B3753,""en"",""ja"")"),"取得")</f>
        <v>取得</v>
      </c>
    </row>
    <row r="3720" spans="1:3" ht="18" customHeight="1" x14ac:dyDescent="0.3">
      <c r="A3720" s="1">
        <v>7</v>
      </c>
      <c r="B3720" s="1" t="s">
        <v>3029</v>
      </c>
      <c r="C3720" s="1" t="str">
        <f ca="1">IFERROR(__xludf.DUMMYFUNCTION("GOOGLETRANSLATE(B3754,""en"",""ja"")"),"資金提供")</f>
        <v>資金提供</v>
      </c>
    </row>
    <row r="3721" spans="1:3" ht="18" customHeight="1" x14ac:dyDescent="0.3">
      <c r="A3721" s="1">
        <v>7</v>
      </c>
      <c r="B3721" s="1" t="s">
        <v>3030</v>
      </c>
      <c r="C3721" s="1" t="str">
        <f ca="1">IFERROR(__xludf.DUMMYFUNCTION("GOOGLETRANSLATE(B3755,""en"",""ja"")"),"機能")</f>
        <v>機能</v>
      </c>
    </row>
    <row r="3722" spans="1:3" ht="18" customHeight="1" x14ac:dyDescent="0.3">
      <c r="A3722" s="1">
        <v>7</v>
      </c>
      <c r="B3722" s="1" t="s">
        <v>3031</v>
      </c>
      <c r="C3722" s="1" t="str">
        <f ca="1">IFERROR(__xludf.DUMMYFUNCTION("GOOGLETRANSLATE(B3756,""en"",""ja"")"),"フォーマル")</f>
        <v>フォーマル</v>
      </c>
    </row>
    <row r="3723" spans="1:3" ht="18" customHeight="1" x14ac:dyDescent="0.3">
      <c r="A3723" s="1">
        <v>7</v>
      </c>
      <c r="B3723" s="1" t="s">
        <v>1681</v>
      </c>
      <c r="C3723" s="1" t="str">
        <f ca="1">IFERROR(__xludf.DUMMYFUNCTION("GOOGLETRANSLATE(B3757,""en"",""ja"")"),"忘れる")</f>
        <v>忘れる</v>
      </c>
    </row>
    <row r="3724" spans="1:3" ht="18" customHeight="1" x14ac:dyDescent="0.3">
      <c r="A3724" s="1">
        <v>7</v>
      </c>
      <c r="B3724" s="1" t="s">
        <v>3032</v>
      </c>
      <c r="C3724" s="1" t="str">
        <f ca="1">IFERROR(__xludf.DUMMYFUNCTION("GOOGLETRANSLATE(B3758,""en"",""ja"")"),"足")</f>
        <v>足</v>
      </c>
    </row>
    <row r="3725" spans="1:3" ht="18" customHeight="1" x14ac:dyDescent="0.3">
      <c r="A3725" s="1">
        <v>7</v>
      </c>
      <c r="B3725" s="1" t="s">
        <v>3033</v>
      </c>
      <c r="C3725" s="1" t="str">
        <f ca="1">IFERROR(__xludf.DUMMYFUNCTION("GOOGLETRANSLATE(B3759,""en"",""ja"")"),"群れ")</f>
        <v>群れ</v>
      </c>
    </row>
    <row r="3726" spans="1:3" ht="18" customHeight="1" x14ac:dyDescent="0.3">
      <c r="A3726" s="1">
        <v>7</v>
      </c>
      <c r="B3726" s="1" t="s">
        <v>3034</v>
      </c>
      <c r="C3726" s="1" t="str">
        <f ca="1">IFERROR(__xludf.DUMMYFUNCTION("GOOGLETRANSLATE(B3760,""en"",""ja"")"),"融資")</f>
        <v>融資</v>
      </c>
    </row>
    <row r="3727" spans="1:3" ht="18" customHeight="1" x14ac:dyDescent="0.3">
      <c r="A3727" s="1">
        <v>7</v>
      </c>
      <c r="B3727" s="1" t="s">
        <v>3035</v>
      </c>
      <c r="C3727" s="1" t="str">
        <f ca="1">IFERROR(__xludf.DUMMYFUNCTION("GOOGLETRANSLATE(B3761,""en"",""ja"")"),"速いです")</f>
        <v>速いです</v>
      </c>
    </row>
    <row r="3728" spans="1:3" ht="18" customHeight="1" x14ac:dyDescent="0.3">
      <c r="A3728" s="1">
        <v>7</v>
      </c>
      <c r="B3728" s="1" t="s">
        <v>3036</v>
      </c>
      <c r="C3728" s="1" t="str">
        <f ca="1">IFERROR(__xludf.DUMMYFUNCTION("GOOGLETRANSLATE(B3762,""en"",""ja"")"),"ファンシー")</f>
        <v>ファンシー</v>
      </c>
    </row>
    <row r="3729" spans="1:3" ht="18" customHeight="1" x14ac:dyDescent="0.3">
      <c r="A3729" s="1">
        <v>7</v>
      </c>
      <c r="B3729" s="1" t="s">
        <v>3037</v>
      </c>
      <c r="C3729" s="1" t="str">
        <f ca="1">IFERROR(__xludf.DUMMYFUNCTION("GOOGLETRANSLATE(B3763,""en"",""ja"")"),"事実")</f>
        <v>事実</v>
      </c>
    </row>
    <row r="3730" spans="1:3" ht="18" customHeight="1" x14ac:dyDescent="0.3">
      <c r="A3730" s="1">
        <v>7</v>
      </c>
      <c r="B3730" s="1" t="s">
        <v>3038</v>
      </c>
      <c r="C3730" s="1" t="str">
        <f ca="1">IFERROR(__xludf.DUMMYFUNCTION("GOOGLETRANSLATE(B3764,""en"",""ja"")"),"外因")</f>
        <v>外因</v>
      </c>
    </row>
    <row r="3731" spans="1:3" ht="18" customHeight="1" x14ac:dyDescent="0.3">
      <c r="A3731" s="1">
        <v>7</v>
      </c>
      <c r="B3731" s="1" t="s">
        <v>3039</v>
      </c>
      <c r="C3731" s="1" t="str">
        <f ca="1">IFERROR(__xludf.DUMMYFUNCTION("GOOGLETRANSLATE(B3765,""en"",""ja"")"),"晒します")</f>
        <v>晒します</v>
      </c>
    </row>
    <row r="3732" spans="1:3" ht="18" customHeight="1" x14ac:dyDescent="0.3">
      <c r="A3732" s="1">
        <v>7</v>
      </c>
      <c r="B3732" s="1" t="s">
        <v>3040</v>
      </c>
      <c r="C3732" s="1" t="str">
        <f ca="1">IFERROR(__xludf.DUMMYFUNCTION("GOOGLETRANSLATE(B3766,""en"",""ja"")"),"説明")</f>
        <v>説明</v>
      </c>
    </row>
    <row r="3733" spans="1:3" ht="18" customHeight="1" x14ac:dyDescent="0.3">
      <c r="A3733" s="1">
        <v>7</v>
      </c>
      <c r="B3733" s="1" t="s">
        <v>3041</v>
      </c>
      <c r="C3733" s="1" t="str">
        <f ca="1">IFERROR(__xludf.DUMMYFUNCTION("GOOGLETRANSLATE(B3767,""en"",""ja"")"),"実験")</f>
        <v>実験</v>
      </c>
    </row>
    <row r="3734" spans="1:3" ht="18" customHeight="1" x14ac:dyDescent="0.3">
      <c r="A3734" s="1">
        <v>7</v>
      </c>
      <c r="B3734" s="1" t="s">
        <v>3042</v>
      </c>
      <c r="C3734" s="1" t="str">
        <f ca="1">IFERROR(__xludf.DUMMYFUNCTION("GOOGLETRANSLATE(B3768,""en"",""ja"")"),"支出")</f>
        <v>支出</v>
      </c>
    </row>
    <row r="3735" spans="1:3" ht="18" customHeight="1" x14ac:dyDescent="0.3">
      <c r="A3735" s="1">
        <v>7</v>
      </c>
      <c r="B3735" s="1" t="s">
        <v>3043</v>
      </c>
      <c r="C3735" s="1" t="str">
        <f ca="1">IFERROR(__xludf.DUMMYFUNCTION("GOOGLETRANSLATE(B3769,""en"",""ja"")"),"存在します")</f>
        <v>存在します</v>
      </c>
    </row>
    <row r="3736" spans="1:3" ht="18" customHeight="1" x14ac:dyDescent="0.3">
      <c r="A3736" s="1">
        <v>7</v>
      </c>
      <c r="B3736" s="1" t="s">
        <v>3044</v>
      </c>
      <c r="C3736" s="1" t="str">
        <f ca="1">IFERROR(__xludf.DUMMYFUNCTION("GOOGLETRANSLATE(B3770,""en"",""ja"")"),"疲労")</f>
        <v>疲労</v>
      </c>
    </row>
    <row r="3737" spans="1:3" ht="18" customHeight="1" x14ac:dyDescent="0.3">
      <c r="A3737" s="1">
        <v>7</v>
      </c>
      <c r="B3737" s="1" t="s">
        <v>3045</v>
      </c>
      <c r="C3737" s="1" t="str">
        <f ca="1">IFERROR(__xludf.DUMMYFUNCTION("GOOGLETRANSLATE(B3771,""en"",""ja"")"),"悪の")</f>
        <v>悪の</v>
      </c>
    </row>
    <row r="3738" spans="1:3" ht="18" customHeight="1" x14ac:dyDescent="0.3">
      <c r="A3738" s="1">
        <v>7</v>
      </c>
      <c r="B3738" s="1" t="s">
        <v>3046</v>
      </c>
      <c r="C3738" s="1" t="str">
        <f ca="1">IFERROR(__xludf.DUMMYFUNCTION("GOOGLETRANSLATE(B3772,""en"",""ja"")"),"エスノセントリズム")</f>
        <v>エスノセントリズム</v>
      </c>
    </row>
    <row r="3739" spans="1:3" ht="18" customHeight="1" x14ac:dyDescent="0.3">
      <c r="A3739" s="1">
        <v>7</v>
      </c>
      <c r="B3739" s="1" t="s">
        <v>3047</v>
      </c>
      <c r="C3739" s="1" t="str">
        <f ca="1">IFERROR(__xludf.DUMMYFUNCTION("GOOGLETRANSLATE(B3773,""en"",""ja"")"),"エスニシティ")</f>
        <v>エスニシティ</v>
      </c>
    </row>
    <row r="3740" spans="1:3" ht="18" customHeight="1" x14ac:dyDescent="0.3">
      <c r="A3740" s="1">
        <v>7</v>
      </c>
      <c r="B3740" s="1" t="s">
        <v>3048</v>
      </c>
      <c r="C3740" s="1" t="str">
        <f ca="1">IFERROR(__xludf.DUMMYFUNCTION("GOOGLETRANSLATE(B3774,""en"",""ja"")"),"等")</f>
        <v>等</v>
      </c>
    </row>
    <row r="3741" spans="1:3" ht="18" customHeight="1" x14ac:dyDescent="0.3">
      <c r="A3741" s="1">
        <v>7</v>
      </c>
      <c r="B3741" s="1" t="s">
        <v>2729</v>
      </c>
      <c r="C3741" s="1" t="str">
        <f ca="1">IFERROR(__xludf.DUMMYFUNCTION("GOOGLETRANSLATE(B3775,""en"",""ja"")"),"逃れる")</f>
        <v>逃れる</v>
      </c>
    </row>
    <row r="3742" spans="1:3" ht="18" customHeight="1" x14ac:dyDescent="0.3">
      <c r="A3742" s="1">
        <v>7</v>
      </c>
      <c r="B3742" s="1" t="s">
        <v>3049</v>
      </c>
      <c r="C3742" s="1" t="str">
        <f ca="1">IFERROR(__xludf.DUMMYFUNCTION("GOOGLETRANSLATE(B3776,""en"",""ja"")"),"企業家")</f>
        <v>企業家</v>
      </c>
    </row>
    <row r="3743" spans="1:3" ht="18" customHeight="1" x14ac:dyDescent="0.3">
      <c r="A3743" s="1">
        <v>7</v>
      </c>
      <c r="B3743" s="1" t="s">
        <v>3050</v>
      </c>
      <c r="C3743" s="1" t="str">
        <f ca="1">IFERROR(__xludf.DUMMYFUNCTION("GOOGLETRANSLATE(B3777,""en"",""ja"")"),"入り")</f>
        <v>入り</v>
      </c>
    </row>
    <row r="3744" spans="1:3" ht="18" customHeight="1" x14ac:dyDescent="0.3">
      <c r="A3744" s="1">
        <v>7</v>
      </c>
      <c r="B3744" s="1" t="s">
        <v>3051</v>
      </c>
      <c r="C3744" s="1" t="str">
        <f ca="1">IFERROR(__xludf.DUMMYFUNCTION("GOOGLETRANSLATE(B3778,""en"",""ja"")"),"企業")</f>
        <v>企業</v>
      </c>
    </row>
    <row r="3745" spans="1:3" ht="18" customHeight="1" x14ac:dyDescent="0.3">
      <c r="A3745" s="1">
        <v>7</v>
      </c>
      <c r="B3745" s="1" t="s">
        <v>3052</v>
      </c>
      <c r="C3745" s="1" t="str">
        <f ca="1">IFERROR(__xludf.DUMMYFUNCTION("GOOGLETRANSLATE(B3779,""en"",""ja"")"),"確保")</f>
        <v>確保</v>
      </c>
    </row>
    <row r="3746" spans="1:3" ht="18" customHeight="1" x14ac:dyDescent="0.3">
      <c r="A3746" s="1">
        <v>7</v>
      </c>
      <c r="B3746" s="1" t="s">
        <v>959</v>
      </c>
      <c r="C3746" s="1" t="str">
        <f ca="1">IFERROR(__xludf.DUMMYFUNCTION("GOOGLETRANSLATE(B3780,""en"",""ja"")"),"楽しい")</f>
        <v>楽しい</v>
      </c>
    </row>
    <row r="3747" spans="1:3" ht="18" customHeight="1" x14ac:dyDescent="0.3">
      <c r="A3747" s="1">
        <v>7</v>
      </c>
      <c r="B3747" s="1" t="s">
        <v>3053</v>
      </c>
      <c r="C3747" s="1" t="str">
        <f ca="1">IFERROR(__xludf.DUMMYFUNCTION("GOOGLETRANSLATE(B3781,""en"",""ja"")"),"永続的な")</f>
        <v>永続的な</v>
      </c>
    </row>
    <row r="3748" spans="1:3" ht="18" customHeight="1" x14ac:dyDescent="0.3">
      <c r="A3748" s="1">
        <v>7</v>
      </c>
      <c r="B3748" s="1" t="s">
        <v>3054</v>
      </c>
      <c r="C3748" s="1" t="str">
        <f ca="1">IFERROR(__xludf.DUMMYFUNCTION("GOOGLETRANSLATE(B3782,""en"",""ja"")"),"終了")</f>
        <v>終了</v>
      </c>
    </row>
    <row r="3749" spans="1:3" ht="18" customHeight="1" x14ac:dyDescent="0.3">
      <c r="A3749" s="1">
        <v>7</v>
      </c>
      <c r="B3749" s="1" t="s">
        <v>3055</v>
      </c>
      <c r="C3749" s="1" t="str">
        <f ca="1">IFERROR(__xludf.DUMMYFUNCTION("GOOGLETRANSLATE(B3783,""en"",""ja"")"),"強調")</f>
        <v>強調</v>
      </c>
    </row>
    <row r="3750" spans="1:3" ht="18" customHeight="1" x14ac:dyDescent="0.3">
      <c r="A3750" s="1">
        <v>7</v>
      </c>
      <c r="B3750" s="1" t="s">
        <v>3056</v>
      </c>
      <c r="C3750" s="1" t="str">
        <f ca="1">IFERROR(__xludf.DUMMYFUNCTION("GOOGLETRANSLATE(B3784,""en"",""ja"")"),"共感")</f>
        <v>共感</v>
      </c>
    </row>
    <row r="3751" spans="1:3" ht="18" customHeight="1" x14ac:dyDescent="0.3">
      <c r="A3751" s="1">
        <v>7</v>
      </c>
      <c r="B3751" s="1" t="s">
        <v>3057</v>
      </c>
      <c r="C3751" s="1" t="str">
        <f ca="1">IFERROR(__xludf.DUMMYFUNCTION("GOOGLETRANSLATE(B3785,""en"",""ja"")"),"恥ずかしいです")</f>
        <v>恥ずかしいです</v>
      </c>
    </row>
    <row r="3752" spans="1:3" ht="18" customHeight="1" x14ac:dyDescent="0.3">
      <c r="A3752" s="1">
        <v>7</v>
      </c>
      <c r="B3752" s="1" t="s">
        <v>1582</v>
      </c>
      <c r="C3752" s="1" t="str">
        <f ca="1">IFERROR(__xludf.DUMMYFUNCTION("GOOGLETRANSLATE(B3786,""en"",""ja"")"),"電気")</f>
        <v>電気</v>
      </c>
    </row>
    <row r="3753" spans="1:3" ht="18" customHeight="1" x14ac:dyDescent="0.3">
      <c r="A3753" s="1">
        <v>7</v>
      </c>
      <c r="B3753" s="1" t="s">
        <v>3058</v>
      </c>
      <c r="C3753" s="1" t="str">
        <f ca="1">IFERROR(__xludf.DUMMYFUNCTION("GOOGLETRANSLATE(B3787,""en"",""ja"")"),"研が")</f>
        <v>研が</v>
      </c>
    </row>
    <row r="3754" spans="1:3" ht="18" customHeight="1" x14ac:dyDescent="0.3">
      <c r="A3754" s="1">
        <v>7</v>
      </c>
      <c r="B3754" s="1" t="s">
        <v>3059</v>
      </c>
      <c r="C3754" s="1" t="str">
        <f ca="1">IFERROR(__xludf.DUMMYFUNCTION("GOOGLETRANSLATE(B3788,""en"",""ja"")"),"東")</f>
        <v>東</v>
      </c>
    </row>
    <row r="3755" spans="1:3" ht="18" customHeight="1" x14ac:dyDescent="0.3">
      <c r="A3755" s="1">
        <v>7</v>
      </c>
      <c r="B3755" s="1" t="s">
        <v>3060</v>
      </c>
      <c r="C3755" s="1" t="str">
        <f ca="1">IFERROR(__xludf.DUMMYFUNCTION("GOOGLETRANSLATE(B3789,""en"",""ja"")"),"関税")</f>
        <v>関税</v>
      </c>
    </row>
    <row r="3756" spans="1:3" ht="18" customHeight="1" x14ac:dyDescent="0.3">
      <c r="A3756" s="1">
        <v>7</v>
      </c>
      <c r="B3756" s="1" t="s">
        <v>3061</v>
      </c>
      <c r="C3756" s="1" t="str">
        <f ca="1">IFERROR(__xludf.DUMMYFUNCTION("GOOGLETRANSLATE(B3790,""en"",""ja"")"),"重複")</f>
        <v>重複</v>
      </c>
    </row>
    <row r="3757" spans="1:3" ht="18" customHeight="1" x14ac:dyDescent="0.3">
      <c r="A3757" s="1">
        <v>7</v>
      </c>
      <c r="B3757" s="1" t="s">
        <v>3062</v>
      </c>
      <c r="C3757" s="1" t="str">
        <f ca="1">IFERROR(__xludf.DUMMYFUNCTION("GOOGLETRANSLATE(B3791,""en"",""ja"")"),"落とす")</f>
        <v>落とす</v>
      </c>
    </row>
    <row r="3758" spans="1:3" ht="18" customHeight="1" x14ac:dyDescent="0.3">
      <c r="A3758" s="1">
        <v>7</v>
      </c>
      <c r="B3758" s="1" t="s">
        <v>3063</v>
      </c>
      <c r="C3758" s="1" t="str">
        <f ca="1">IFERROR(__xludf.DUMMYFUNCTION("GOOGLETRANSLATE(B3792,""en"",""ja"")"),"分割します")</f>
        <v>分割します</v>
      </c>
    </row>
    <row r="3759" spans="1:3" ht="18" customHeight="1" x14ac:dyDescent="0.3">
      <c r="A3759" s="1">
        <v>7</v>
      </c>
      <c r="B3759" s="1" t="s">
        <v>912</v>
      </c>
      <c r="C3759" s="1" t="str">
        <f ca="1">IFERROR(__xludf.DUMMYFUNCTION("GOOGLETRANSLATE(B3793,""en"",""ja"")"),"疾患")</f>
        <v>疾患</v>
      </c>
    </row>
    <row r="3760" spans="1:3" ht="18" customHeight="1" x14ac:dyDescent="0.3">
      <c r="A3760" s="1">
        <v>7</v>
      </c>
      <c r="B3760" s="1" t="s">
        <v>3064</v>
      </c>
      <c r="C3760" s="1" t="str">
        <f ca="1">IFERROR(__xludf.DUMMYFUNCTION("GOOGLETRANSLATE(B3794,""en"",""ja"")"),"議論")</f>
        <v>議論</v>
      </c>
    </row>
    <row r="3761" spans="1:3" ht="18" customHeight="1" x14ac:dyDescent="0.3">
      <c r="A3761" s="1">
        <v>7</v>
      </c>
      <c r="B3761" s="1" t="s">
        <v>3065</v>
      </c>
      <c r="C3761" s="1" t="str">
        <f ca="1">IFERROR(__xludf.DUMMYFUNCTION("GOOGLETRANSLATE(B3795,""en"",""ja"")"),"ディスカウント")</f>
        <v>ディスカウント</v>
      </c>
    </row>
    <row r="3762" spans="1:3" ht="18" customHeight="1" x14ac:dyDescent="0.3">
      <c r="A3762" s="1">
        <v>7</v>
      </c>
      <c r="B3762" s="1" t="s">
        <v>3066</v>
      </c>
      <c r="C3762" s="1" t="str">
        <f ca="1">IFERROR(__xludf.DUMMYFUNCTION("GOOGLETRANSLATE(B3796,""en"",""ja"")"),"廃棄")</f>
        <v>廃棄</v>
      </c>
    </row>
    <row r="3763" spans="1:3" ht="18" customHeight="1" x14ac:dyDescent="0.3">
      <c r="A3763" s="1">
        <v>7</v>
      </c>
      <c r="B3763" s="1" t="s">
        <v>3067</v>
      </c>
      <c r="C3763" s="1" t="str">
        <f ca="1">IFERROR(__xludf.DUMMYFUNCTION("GOOGLETRANSLATE(B3797,""en"",""ja"")"),"死にます")</f>
        <v>死にます</v>
      </c>
    </row>
    <row r="3764" spans="1:3" ht="18" customHeight="1" x14ac:dyDescent="0.3">
      <c r="A3764" s="1">
        <v>7</v>
      </c>
      <c r="B3764" s="1" t="s">
        <v>2428</v>
      </c>
      <c r="C3764" s="1" t="str">
        <f ca="1">IFERROR(__xludf.DUMMYFUNCTION("GOOGLETRANSLATE(B3798,""en"",""ja"")"),"ダイアログ")</f>
        <v>ダイアログ</v>
      </c>
    </row>
    <row r="3765" spans="1:3" ht="18" customHeight="1" x14ac:dyDescent="0.3">
      <c r="A3765" s="1">
        <v>7</v>
      </c>
      <c r="B3765" s="1" t="s">
        <v>3068</v>
      </c>
      <c r="C3765" s="1" t="str">
        <f ca="1">IFERROR(__xludf.DUMMYFUNCTION("GOOGLETRANSLATE(B3799,""en"",""ja"")"),"工夫")</f>
        <v>工夫</v>
      </c>
    </row>
    <row r="3766" spans="1:3" ht="18" customHeight="1" x14ac:dyDescent="0.3">
      <c r="A3766" s="1">
        <v>7</v>
      </c>
      <c r="B3766" s="1" t="s">
        <v>3069</v>
      </c>
      <c r="C3766" s="1" t="str">
        <f ca="1">IFERROR(__xludf.DUMMYFUNCTION("GOOGLETRANSLATE(B3800,""en"",""ja"")"),"開発")</f>
        <v>開発</v>
      </c>
    </row>
    <row r="3767" spans="1:3" ht="18" customHeight="1" x14ac:dyDescent="0.3">
      <c r="A3767" s="1">
        <v>7</v>
      </c>
      <c r="B3767" s="1" t="s">
        <v>3070</v>
      </c>
      <c r="C3767" s="1" t="str">
        <f ca="1">IFERROR(__xludf.DUMMYFUNCTION("GOOGLETRANSLATE(B3801,""en"",""ja"")"),"決定")</f>
        <v>決定</v>
      </c>
    </row>
    <row r="3768" spans="1:3" ht="18" customHeight="1" x14ac:dyDescent="0.3">
      <c r="A3768" s="1">
        <v>7</v>
      </c>
      <c r="B3768" s="1" t="s">
        <v>3071</v>
      </c>
      <c r="C3768" s="1" t="str">
        <f ca="1">IFERROR(__xludf.DUMMYFUNCTION("GOOGLETRANSLATE(B3802,""en"",""ja"")"),"細部")</f>
        <v>細部</v>
      </c>
    </row>
    <row r="3769" spans="1:3" ht="18" customHeight="1" x14ac:dyDescent="0.3">
      <c r="A3769" s="1">
        <v>7</v>
      </c>
      <c r="B3769" s="1" t="s">
        <v>3072</v>
      </c>
      <c r="C3769" s="1" t="str">
        <f ca="1">IFERROR(__xludf.DUMMYFUNCTION("GOOGLETRANSLATE(B3803,""en"",""ja"")"),"破壊")</f>
        <v>破壊</v>
      </c>
    </row>
    <row r="3770" spans="1:3" ht="18" customHeight="1" x14ac:dyDescent="0.3">
      <c r="A3770" s="1">
        <v>7</v>
      </c>
      <c r="B3770" s="1" t="s">
        <v>2198</v>
      </c>
      <c r="C3770" s="1" t="str">
        <f ca="1">IFERROR(__xludf.DUMMYFUNCTION("GOOGLETRANSLATE(B3804,""en"",""ja"")"),"先")</f>
        <v>先</v>
      </c>
    </row>
    <row r="3771" spans="1:3" ht="18" customHeight="1" x14ac:dyDescent="0.3">
      <c r="A3771" s="1">
        <v>7</v>
      </c>
      <c r="B3771" s="1" t="s">
        <v>3073</v>
      </c>
      <c r="C3771" s="1" t="str">
        <f ca="1">IFERROR(__xludf.DUMMYFUNCTION("GOOGLETRANSLATE(B3805,""en"",""ja"")"),"説明")</f>
        <v>説明</v>
      </c>
    </row>
    <row r="3772" spans="1:3" ht="18" customHeight="1" x14ac:dyDescent="0.3">
      <c r="A3772" s="1">
        <v>7</v>
      </c>
      <c r="B3772" s="1" t="s">
        <v>3074</v>
      </c>
      <c r="C3772" s="1" t="str">
        <f ca="1">IFERROR(__xludf.DUMMYFUNCTION("GOOGLETRANSLATE(B3806,""en"",""ja"")"),"派生する")</f>
        <v>派生する</v>
      </c>
    </row>
    <row r="3773" spans="1:3" ht="18" customHeight="1" x14ac:dyDescent="0.3">
      <c r="A3773" s="1">
        <v>7</v>
      </c>
      <c r="B3773" s="1" t="s">
        <v>3075</v>
      </c>
      <c r="C3773" s="1" t="str">
        <f ca="1">IFERROR(__xludf.DUMMYFUNCTION("GOOGLETRANSLATE(B3807,""en"",""ja"")"),"奪わ")</f>
        <v>奪わ</v>
      </c>
    </row>
    <row r="3774" spans="1:3" ht="18" customHeight="1" x14ac:dyDescent="0.3">
      <c r="A3774" s="1">
        <v>7</v>
      </c>
      <c r="B3774" s="1" t="s">
        <v>3076</v>
      </c>
      <c r="C3774" s="1" t="str">
        <f ca="1">IFERROR(__xludf.DUMMYFUNCTION("GOOGLETRANSLATE(B3808,""en"",""ja"")"),"デモグラフィック")</f>
        <v>デモグラフィック</v>
      </c>
    </row>
    <row r="3775" spans="1:3" ht="18" customHeight="1" x14ac:dyDescent="0.3">
      <c r="A3775" s="1">
        <v>7</v>
      </c>
      <c r="B3775" s="1" t="s">
        <v>3077</v>
      </c>
      <c r="C3775" s="1" t="str">
        <f ca="1">IFERROR(__xludf.DUMMYFUNCTION("GOOGLETRANSLATE(B3809,""en"",""ja"")"),"要求")</f>
        <v>要求</v>
      </c>
    </row>
    <row r="3776" spans="1:3" ht="18" customHeight="1" x14ac:dyDescent="0.3">
      <c r="A3776" s="1">
        <v>7</v>
      </c>
      <c r="B3776" s="1" t="s">
        <v>3078</v>
      </c>
      <c r="C3776" s="1" t="str">
        <f ca="1">IFERROR(__xludf.DUMMYFUNCTION("GOOGLETRANSLATE(B3810,""en"",""ja"")"),"配送")</f>
        <v>配送</v>
      </c>
    </row>
    <row r="3777" spans="1:3" ht="18" customHeight="1" x14ac:dyDescent="0.3">
      <c r="A3777" s="1">
        <v>7</v>
      </c>
      <c r="B3777" s="1" t="s">
        <v>3079</v>
      </c>
      <c r="C3777" s="1" t="str">
        <f ca="1">IFERROR(__xludf.DUMMYFUNCTION("GOOGLETRANSLATE(B3811,""en"",""ja"")"),"届けます")</f>
        <v>届けます</v>
      </c>
    </row>
    <row r="3778" spans="1:3" ht="18" customHeight="1" x14ac:dyDescent="0.3">
      <c r="A3778" s="1">
        <v>7</v>
      </c>
      <c r="B3778" s="1" t="s">
        <v>3080</v>
      </c>
      <c r="C3778" s="1" t="str">
        <f ca="1">IFERROR(__xludf.DUMMYFUNCTION("GOOGLETRANSLATE(B3812,""en"",""ja"")"),"定義")</f>
        <v>定義</v>
      </c>
    </row>
    <row r="3779" spans="1:3" ht="18" customHeight="1" x14ac:dyDescent="0.3">
      <c r="A3779" s="1">
        <v>7</v>
      </c>
      <c r="B3779" s="1" t="s">
        <v>1078</v>
      </c>
      <c r="C3779" s="1" t="str">
        <f ca="1">IFERROR(__xludf.DUMMYFUNCTION("GOOGLETRANSLATE(B3813,""en"",""ja"")"),"敗北")</f>
        <v>敗北</v>
      </c>
    </row>
    <row r="3780" spans="1:3" ht="18" customHeight="1" x14ac:dyDescent="0.3">
      <c r="A3780" s="1">
        <v>7</v>
      </c>
      <c r="B3780" s="1" t="s">
        <v>3081</v>
      </c>
      <c r="C3780" s="1" t="str">
        <f ca="1">IFERROR(__xludf.DUMMYFUNCTION("GOOGLETRANSLATE(B3814,""en"",""ja"")"),"12月")</f>
        <v>12月</v>
      </c>
    </row>
    <row r="3781" spans="1:3" ht="18" customHeight="1" x14ac:dyDescent="0.3">
      <c r="A3781" s="1">
        <v>7</v>
      </c>
      <c r="B3781" s="1" t="s">
        <v>3082</v>
      </c>
      <c r="C3781" s="1" t="str">
        <f ca="1">IFERROR(__xludf.DUMMYFUNCTION("GOOGLETRANSLATE(B3815,""en"",""ja"")"),"危険")</f>
        <v>危険</v>
      </c>
    </row>
    <row r="3782" spans="1:3" ht="18" customHeight="1" x14ac:dyDescent="0.3">
      <c r="A3782" s="1">
        <v>7</v>
      </c>
      <c r="B3782" s="1" t="s">
        <v>740</v>
      </c>
      <c r="C3782" s="1" t="str">
        <f ca="1">IFERROR(__xludf.DUMMYFUNCTION("GOOGLETRANSLATE(B3816,""en"",""ja"")"),"電流")</f>
        <v>電流</v>
      </c>
    </row>
    <row r="3783" spans="1:3" ht="18" customHeight="1" x14ac:dyDescent="0.3">
      <c r="A3783" s="1">
        <v>7</v>
      </c>
      <c r="B3783" s="1" t="s">
        <v>3083</v>
      </c>
      <c r="C3783" s="1" t="str">
        <f ca="1">IFERROR(__xludf.DUMMYFUNCTION("GOOGLETRANSLATE(B3817,""en"",""ja"")"),"やっかいな")</f>
        <v>やっかいな</v>
      </c>
    </row>
    <row r="3784" spans="1:3" ht="18" customHeight="1" x14ac:dyDescent="0.3">
      <c r="A3784" s="1">
        <v>7</v>
      </c>
      <c r="B3784" s="1" t="s">
        <v>3084</v>
      </c>
      <c r="C3784" s="1" t="str">
        <f ca="1">IFERROR(__xludf.DUMMYFUNCTION("GOOGLETRANSLATE(B3818,""en"",""ja"")"),"キュービクル")</f>
        <v>キュービクル</v>
      </c>
    </row>
    <row r="3785" spans="1:3" ht="18" customHeight="1" x14ac:dyDescent="0.3">
      <c r="A3785" s="1">
        <v>7</v>
      </c>
      <c r="B3785" s="1" t="s">
        <v>3085</v>
      </c>
      <c r="C3785" s="1" t="str">
        <f ca="1">IFERROR(__xludf.DUMMYFUNCTION("GOOGLETRANSLATE(B3819,""en"",""ja"")"),"評論家")</f>
        <v>評論家</v>
      </c>
    </row>
    <row r="3786" spans="1:3" ht="18" customHeight="1" x14ac:dyDescent="0.3">
      <c r="A3786" s="1">
        <v>7</v>
      </c>
      <c r="B3786" s="1" t="s">
        <v>3086</v>
      </c>
      <c r="C3786" s="1" t="str">
        <f ca="1">IFERROR(__xludf.DUMMYFUNCTION("GOOGLETRANSLATE(B3820,""en"",""ja"")"),"生物")</f>
        <v>生物</v>
      </c>
    </row>
    <row r="3787" spans="1:3" ht="18" customHeight="1" x14ac:dyDescent="0.3">
      <c r="A3787" s="1">
        <v>7</v>
      </c>
      <c r="B3787" s="1" t="s">
        <v>3087</v>
      </c>
      <c r="C3787" s="1" t="str">
        <f ca="1">IFERROR(__xludf.DUMMYFUNCTION("GOOGLETRANSLATE(B3821,""en"",""ja"")"),"コピー")</f>
        <v>コピー</v>
      </c>
    </row>
    <row r="3788" spans="1:3" ht="18" customHeight="1" x14ac:dyDescent="0.3">
      <c r="A3788" s="1">
        <v>7</v>
      </c>
      <c r="B3788" s="1" t="s">
        <v>3088</v>
      </c>
      <c r="C3788" s="1" t="str">
        <f ca="1">IFERROR(__xludf.DUMMYFUNCTION("GOOGLETRANSLATE(B3822,""en"",""ja"")"),"協同組合")</f>
        <v>協同組合</v>
      </c>
    </row>
    <row r="3789" spans="1:3" ht="18" customHeight="1" x14ac:dyDescent="0.3">
      <c r="A3789" s="1">
        <v>7</v>
      </c>
      <c r="B3789" s="1" t="s">
        <v>3089</v>
      </c>
      <c r="C3789" s="1" t="str">
        <f ca="1">IFERROR(__xludf.DUMMYFUNCTION("GOOGLETRANSLATE(B3823,""en"",""ja"")"),"確信させます")</f>
        <v>確信させます</v>
      </c>
    </row>
    <row r="3790" spans="1:3" ht="18" customHeight="1" x14ac:dyDescent="0.3">
      <c r="A3790" s="1">
        <v>7</v>
      </c>
      <c r="B3790" s="1" t="s">
        <v>1984</v>
      </c>
      <c r="C3790" s="1" t="str">
        <f ca="1">IFERROR(__xludf.DUMMYFUNCTION("GOOGLETRANSLATE(B3824,""en"",""ja"")"),"便利")</f>
        <v>便利</v>
      </c>
    </row>
    <row r="3791" spans="1:3" ht="18" customHeight="1" x14ac:dyDescent="0.3">
      <c r="A3791" s="1">
        <v>7</v>
      </c>
      <c r="B3791" s="1" t="s">
        <v>3090</v>
      </c>
      <c r="C3791" s="1" t="str">
        <f ca="1">IFERROR(__xludf.DUMMYFUNCTION("GOOGLETRANSLATE(B3825,""en"",""ja"")"),"含む")</f>
        <v>含む</v>
      </c>
    </row>
    <row r="3792" spans="1:3" ht="18" customHeight="1" x14ac:dyDescent="0.3">
      <c r="A3792" s="1">
        <v>7</v>
      </c>
      <c r="B3792" s="1" t="s">
        <v>1703</v>
      </c>
      <c r="C3792" s="1" t="str">
        <f ca="1">IFERROR(__xludf.DUMMYFUNCTION("GOOGLETRANSLATE(B3826,""en"",""ja"")"),"考慮")</f>
        <v>考慮</v>
      </c>
    </row>
    <row r="3793" spans="1:3" ht="18" customHeight="1" x14ac:dyDescent="0.3">
      <c r="A3793" s="1">
        <v>7</v>
      </c>
      <c r="B3793" s="1" t="s">
        <v>2449</v>
      </c>
      <c r="C3793" s="1" t="str">
        <f ca="1">IFERROR(__xludf.DUMMYFUNCTION("GOOGLETRANSLATE(B3827,""en"",""ja"")"),"保守的")</f>
        <v>保守的</v>
      </c>
    </row>
    <row r="3794" spans="1:3" ht="18" customHeight="1" x14ac:dyDescent="0.3">
      <c r="A3794" s="1">
        <v>7</v>
      </c>
      <c r="B3794" s="1" t="s">
        <v>3091</v>
      </c>
      <c r="C3794" s="1" t="str">
        <f ca="1">IFERROR(__xludf.DUMMYFUNCTION("GOOGLETRANSLATE(B3828,""en"",""ja"")"),"接続")</f>
        <v>接続</v>
      </c>
    </row>
    <row r="3795" spans="1:3" ht="18" customHeight="1" x14ac:dyDescent="0.3">
      <c r="A3795" s="1">
        <v>7</v>
      </c>
      <c r="B3795" s="1" t="s">
        <v>3092</v>
      </c>
      <c r="C3795" s="1" t="str">
        <f ca="1">IFERROR(__xludf.DUMMYFUNCTION("GOOGLETRANSLATE(B3829,""en"",""ja"")"),"議会")</f>
        <v>議会</v>
      </c>
    </row>
    <row r="3796" spans="1:3" ht="18" customHeight="1" x14ac:dyDescent="0.3">
      <c r="A3796" s="1">
        <v>7</v>
      </c>
      <c r="B3796" s="1" t="s">
        <v>3093</v>
      </c>
      <c r="C3796" s="1" t="str">
        <f ca="1">IFERROR(__xludf.DUMMYFUNCTION("GOOGLETRANSLATE(B3830,""en"",""ja"")"),"限られました")</f>
        <v>限られました</v>
      </c>
    </row>
    <row r="3797" spans="1:3" ht="18" customHeight="1" x14ac:dyDescent="0.3">
      <c r="A3797" s="1">
        <v>7</v>
      </c>
      <c r="B3797" s="1" t="s">
        <v>3094</v>
      </c>
      <c r="C3797" s="1" t="str">
        <f ca="1">IFERROR(__xludf.DUMMYFUNCTION("GOOGLETRANSLATE(B3831,""en"",""ja"")"),"信頼")</f>
        <v>信頼</v>
      </c>
    </row>
    <row r="3798" spans="1:3" ht="18" customHeight="1" x14ac:dyDescent="0.3">
      <c r="A3798" s="1">
        <v>7</v>
      </c>
      <c r="B3798" s="1" t="s">
        <v>3095</v>
      </c>
      <c r="C3798" s="1" t="str">
        <f ca="1">IFERROR(__xludf.DUMMYFUNCTION("GOOGLETRANSLATE(B3832,""en"",""ja"")"),"締結")</f>
        <v>締結</v>
      </c>
    </row>
    <row r="3799" spans="1:3" ht="18" customHeight="1" x14ac:dyDescent="0.3">
      <c r="A3799" s="1">
        <v>7</v>
      </c>
      <c r="B3799" s="1" t="s">
        <v>3096</v>
      </c>
      <c r="C3799" s="1" t="str">
        <f ca="1">IFERROR(__xludf.DUMMYFUNCTION("GOOGLETRANSLATE(B3833,""en"",""ja"")"),"概念")</f>
        <v>概念</v>
      </c>
    </row>
    <row r="3800" spans="1:3" ht="18" customHeight="1" x14ac:dyDescent="0.3">
      <c r="A3800" s="1">
        <v>7</v>
      </c>
      <c r="B3800" s="1" t="s">
        <v>3097</v>
      </c>
      <c r="C3800" s="1" t="str">
        <f ca="1">IFERROR(__xludf.DUMMYFUNCTION("GOOGLETRANSLATE(B3834,""en"",""ja"")"),"構想")</f>
        <v>構想</v>
      </c>
    </row>
    <row r="3801" spans="1:3" ht="18" customHeight="1" x14ac:dyDescent="0.3">
      <c r="A3801" s="1">
        <v>7</v>
      </c>
      <c r="B3801" s="1" t="s">
        <v>3098</v>
      </c>
      <c r="C3801" s="1" t="str">
        <f ca="1">IFERROR(__xludf.DUMMYFUNCTION("GOOGLETRANSLATE(B3835,""en"",""ja"")"),"コンパチブル")</f>
        <v>コンパチブル</v>
      </c>
    </row>
    <row r="3802" spans="1:3" ht="18" customHeight="1" x14ac:dyDescent="0.3">
      <c r="A3802" s="1">
        <v>7</v>
      </c>
      <c r="B3802" s="1" t="s">
        <v>3099</v>
      </c>
      <c r="C3802" s="1" t="str">
        <f ca="1">IFERROR(__xludf.DUMMYFUNCTION("GOOGLETRANSLATE(B3836,""en"",""ja"")"),"情け深いです")</f>
        <v>情け深いです</v>
      </c>
    </row>
    <row r="3803" spans="1:3" ht="18" customHeight="1" x14ac:dyDescent="0.3">
      <c r="A3803" s="1">
        <v>7</v>
      </c>
      <c r="B3803" s="1" t="s">
        <v>3100</v>
      </c>
      <c r="C3803" s="1" t="str">
        <f ca="1">IFERROR(__xludf.DUMMYFUNCTION("GOOGLETRANSLATE(B3837,""en"",""ja"")"),"比較")</f>
        <v>比較</v>
      </c>
    </row>
    <row r="3804" spans="1:3" ht="18" customHeight="1" x14ac:dyDescent="0.3">
      <c r="A3804" s="1">
        <v>7</v>
      </c>
      <c r="B3804" s="1" t="s">
        <v>3101</v>
      </c>
      <c r="C3804" s="1" t="str">
        <f ca="1">IFERROR(__xludf.DUMMYFUNCTION("GOOGLETRANSLATE(B3838,""en"",""ja"")"),"緊密")</f>
        <v>緊密</v>
      </c>
    </row>
    <row r="3805" spans="1:3" ht="18" customHeight="1" x14ac:dyDescent="0.3">
      <c r="A3805" s="1">
        <v>7</v>
      </c>
      <c r="B3805" s="1" t="s">
        <v>3102</v>
      </c>
      <c r="C3805" s="1" t="str">
        <f ca="1">IFERROR(__xludf.DUMMYFUNCTION("GOOGLETRANSLATE(B3839,""en"",""ja"")"),"コミュニケーション")</f>
        <v>コミュニケーション</v>
      </c>
    </row>
    <row r="3806" spans="1:3" ht="18" customHeight="1" x14ac:dyDescent="0.3">
      <c r="A3806" s="1">
        <v>7</v>
      </c>
      <c r="B3806" s="1" t="s">
        <v>2215</v>
      </c>
      <c r="C3806" s="1" t="str">
        <f ca="1">IFERROR(__xludf.DUMMYFUNCTION("GOOGLETRANSLATE(B3840,""en"",""ja"")"),"コミット")</f>
        <v>コミット</v>
      </c>
    </row>
    <row r="3807" spans="1:3" ht="18" customHeight="1" x14ac:dyDescent="0.3">
      <c r="A3807" s="1">
        <v>7</v>
      </c>
      <c r="B3807" s="1" t="s">
        <v>3103</v>
      </c>
      <c r="C3807" s="1" t="str">
        <f ca="1">IFERROR(__xludf.DUMMYFUNCTION("GOOGLETRANSLATE(B3841,""en"",""ja"")"),"手数料")</f>
        <v>手数料</v>
      </c>
    </row>
    <row r="3808" spans="1:3" ht="18" customHeight="1" x14ac:dyDescent="0.3">
      <c r="A3808" s="1">
        <v>7</v>
      </c>
      <c r="B3808" s="1" t="s">
        <v>3104</v>
      </c>
      <c r="C3808" s="1" t="str">
        <f ca="1">IFERROR(__xludf.DUMMYFUNCTION("GOOGLETRANSLATE(B3842,""en"",""ja"")"),"同僚")</f>
        <v>同僚</v>
      </c>
    </row>
    <row r="3809" spans="1:3" ht="18" customHeight="1" x14ac:dyDescent="0.3">
      <c r="A3809" s="1">
        <v>7</v>
      </c>
      <c r="B3809" s="1" t="s">
        <v>3105</v>
      </c>
      <c r="C3809" s="1" t="str">
        <f ca="1">IFERROR(__xludf.DUMMYFUNCTION("GOOGLETRANSLATE(B3843,""en"",""ja"")"),"コード")</f>
        <v>コード</v>
      </c>
    </row>
    <row r="3810" spans="1:3" ht="18" customHeight="1" x14ac:dyDescent="0.3">
      <c r="A3810" s="1">
        <v>7</v>
      </c>
      <c r="B3810" s="1" t="s">
        <v>3106</v>
      </c>
      <c r="C3810" s="1" t="str">
        <f ca="1">IFERROR(__xludf.DUMMYFUNCTION("GOOGLETRANSLATE(B3844,""en"",""ja"")"),"海岸の")</f>
        <v>海岸の</v>
      </c>
    </row>
    <row r="3811" spans="1:3" ht="18" customHeight="1" x14ac:dyDescent="0.3">
      <c r="A3811" s="1">
        <v>7</v>
      </c>
      <c r="B3811" s="1" t="s">
        <v>3107</v>
      </c>
      <c r="C3811" s="1" t="str">
        <f ca="1">IFERROR(__xludf.DUMMYFUNCTION("GOOGLETRANSLATE(B3845,""en"",""ja"")"),"クラブ")</f>
        <v>クラブ</v>
      </c>
    </row>
    <row r="3812" spans="1:3" ht="18" customHeight="1" x14ac:dyDescent="0.3">
      <c r="A3812" s="1">
        <v>7</v>
      </c>
      <c r="B3812" s="1" t="s">
        <v>3108</v>
      </c>
      <c r="C3812" s="1" t="str">
        <f ca="1">IFERROR(__xludf.DUMMYFUNCTION("GOOGLETRANSLATE(B3846,""en"",""ja"")"),"時計")</f>
        <v>時計</v>
      </c>
    </row>
    <row r="3813" spans="1:3" ht="18" customHeight="1" x14ac:dyDescent="0.3">
      <c r="A3813" s="1">
        <v>7</v>
      </c>
      <c r="B3813" s="1" t="s">
        <v>3109</v>
      </c>
      <c r="C3813" s="1" t="str">
        <f ca="1">IFERROR(__xludf.DUMMYFUNCTION("GOOGLETRANSLATE(B3847,""en"",""ja"")"),"クリック")</f>
        <v>クリック</v>
      </c>
    </row>
    <row r="3814" spans="1:3" ht="18" customHeight="1" x14ac:dyDescent="0.3">
      <c r="A3814" s="1">
        <v>7</v>
      </c>
      <c r="B3814" s="1" t="s">
        <v>3110</v>
      </c>
      <c r="C3814" s="1" t="str">
        <f ca="1">IFERROR(__xludf.DUMMYFUNCTION("GOOGLETRANSLATE(B3848,""en"",""ja"")"),"明快")</f>
        <v>明快</v>
      </c>
    </row>
    <row r="3815" spans="1:3" ht="18" customHeight="1" x14ac:dyDescent="0.3">
      <c r="A3815" s="1">
        <v>7</v>
      </c>
      <c r="B3815" s="1" t="s">
        <v>3111</v>
      </c>
      <c r="C3815" s="1" t="str">
        <f ca="1">IFERROR(__xludf.DUMMYFUNCTION("GOOGLETRANSLATE(B3849,""en"",""ja"")"),"シビック")</f>
        <v>シビック</v>
      </c>
    </row>
    <row r="3816" spans="1:3" ht="18" customHeight="1" x14ac:dyDescent="0.3">
      <c r="A3816" s="1">
        <v>7</v>
      </c>
      <c r="B3816" s="1" t="s">
        <v>3112</v>
      </c>
      <c r="C3816" s="1" t="str">
        <f ca="1">IFERROR(__xludf.DUMMYFUNCTION("GOOGLETRANSLATE(B3850,""en"",""ja"")"),"選択します")</f>
        <v>選択します</v>
      </c>
    </row>
    <row r="3817" spans="1:3" ht="18" customHeight="1" x14ac:dyDescent="0.3">
      <c r="A3817" s="1">
        <v>7</v>
      </c>
      <c r="B3817" s="1" t="s">
        <v>3113</v>
      </c>
      <c r="C3817" s="1" t="str">
        <f ca="1">IFERROR(__xludf.DUMMYFUNCTION("GOOGLETRANSLATE(B3851,""en"",""ja"")"),"中国")</f>
        <v>中国</v>
      </c>
    </row>
    <row r="3818" spans="1:3" ht="18" customHeight="1" x14ac:dyDescent="0.3">
      <c r="A3818" s="1">
        <v>7</v>
      </c>
      <c r="B3818" s="1" t="s">
        <v>3114</v>
      </c>
      <c r="C3818" s="1" t="str">
        <f ca="1">IFERROR(__xludf.DUMMYFUNCTION("GOOGLETRANSLATE(B3852,""en"",""ja"")"),"チーフ")</f>
        <v>チーフ</v>
      </c>
    </row>
    <row r="3819" spans="1:3" ht="18" customHeight="1" x14ac:dyDescent="0.3">
      <c r="A3819" s="1">
        <v>7</v>
      </c>
      <c r="B3819" s="1" t="s">
        <v>3115</v>
      </c>
      <c r="C3819" s="1" t="str">
        <f ca="1">IFERROR(__xludf.DUMMYFUNCTION("GOOGLETRANSLATE(B3853,""en"",""ja"")"),"充電")</f>
        <v>充電</v>
      </c>
    </row>
    <row r="3820" spans="1:3" ht="18" customHeight="1" x14ac:dyDescent="0.3">
      <c r="A3820" s="1">
        <v>7</v>
      </c>
      <c r="B3820" s="1" t="s">
        <v>1389</v>
      </c>
      <c r="C3820" s="1" t="str">
        <f ca="1">IFERROR(__xludf.DUMMYFUNCTION("GOOGLETRANSLATE(B3854,""en"",""ja"")"),"センター")</f>
        <v>センター</v>
      </c>
    </row>
    <row r="3821" spans="1:3" ht="18" customHeight="1" x14ac:dyDescent="0.3">
      <c r="A3821" s="1">
        <v>7</v>
      </c>
      <c r="B3821" s="1" t="s">
        <v>3116</v>
      </c>
      <c r="C3821" s="1" t="str">
        <f ca="1">IFERROR(__xludf.DUMMYFUNCTION("GOOGLETRANSLATE(B3855,""en"",""ja"")"),"有名人")</f>
        <v>有名人</v>
      </c>
    </row>
    <row r="3822" spans="1:3" ht="18" customHeight="1" x14ac:dyDescent="0.3">
      <c r="A3822" s="1">
        <v>7</v>
      </c>
      <c r="B3822" s="1" t="s">
        <v>3117</v>
      </c>
      <c r="C3822" s="1" t="str">
        <f ca="1">IFERROR(__xludf.DUMMYFUNCTION("GOOGLETRANSLATE(B3856,""en"",""ja"")"),"原因")</f>
        <v>原因</v>
      </c>
    </row>
    <row r="3823" spans="1:3" ht="18" customHeight="1" x14ac:dyDescent="0.3">
      <c r="A3823" s="1">
        <v>7</v>
      </c>
      <c r="B3823" s="1" t="s">
        <v>3118</v>
      </c>
      <c r="C3823" s="1" t="str">
        <f ca="1">IFERROR(__xludf.DUMMYFUNCTION("GOOGLETRANSLATE(B3857,""en"",""ja"")"),"カテゴリ")</f>
        <v>カテゴリ</v>
      </c>
    </row>
    <row r="3824" spans="1:3" ht="18" customHeight="1" x14ac:dyDescent="0.3">
      <c r="A3824" s="1">
        <v>7</v>
      </c>
      <c r="B3824" s="1" t="s">
        <v>3119</v>
      </c>
      <c r="C3824" s="1" t="str">
        <f ca="1">IFERROR(__xludf.DUMMYFUNCTION("GOOGLETRANSLATE(B3858,""en"",""ja"")"),"運ぶ")</f>
        <v>運ぶ</v>
      </c>
    </row>
    <row r="3825" spans="1:3" ht="18" customHeight="1" x14ac:dyDescent="0.3">
      <c r="A3825" s="1">
        <v>7</v>
      </c>
      <c r="B3825" s="1" t="s">
        <v>3120</v>
      </c>
      <c r="C3825" s="1" t="str">
        <f ca="1">IFERROR(__xludf.DUMMYFUNCTION("GOOGLETRANSLATE(B3859,""en"",""ja"")"),"車")</f>
        <v>車</v>
      </c>
    </row>
    <row r="3826" spans="1:3" ht="18" customHeight="1" x14ac:dyDescent="0.3">
      <c r="A3826" s="1">
        <v>7</v>
      </c>
      <c r="B3826" s="1" t="s">
        <v>3121</v>
      </c>
      <c r="C3826" s="1" t="str">
        <f ca="1">IFERROR(__xludf.DUMMYFUNCTION("GOOGLETRANSLATE(B3861,""en"",""ja"")"),"キャプチャー")</f>
        <v>キャプチャー</v>
      </c>
    </row>
    <row r="3827" spans="1:3" ht="18" customHeight="1" x14ac:dyDescent="0.3">
      <c r="A3827" s="1">
        <v>7</v>
      </c>
      <c r="B3827" s="1" t="s">
        <v>1084</v>
      </c>
      <c r="C3827" s="1" t="str">
        <f ca="1">IFERROR(__xludf.DUMMYFUNCTION("GOOGLETRANSLATE(B3862,""en"",""ja"")"),"容量")</f>
        <v>容量</v>
      </c>
    </row>
    <row r="3828" spans="1:3" ht="18" customHeight="1" x14ac:dyDescent="0.3">
      <c r="A3828" s="1">
        <v>7</v>
      </c>
      <c r="B3828" s="1" t="s">
        <v>2802</v>
      </c>
      <c r="C3828" s="1" t="str">
        <f ca="1">IFERROR(__xludf.DUMMYFUNCTION("GOOGLETRANSLATE(B3863,""en"",""ja"")"),"カリフォルニア")</f>
        <v>カリフォルニア</v>
      </c>
    </row>
    <row r="3829" spans="1:3" ht="18" customHeight="1" x14ac:dyDescent="0.3">
      <c r="A3829" s="1">
        <v>7</v>
      </c>
      <c r="B3829" s="1" t="s">
        <v>3122</v>
      </c>
      <c r="C3829" s="1" t="str">
        <f ca="1">IFERROR(__xludf.DUMMYFUNCTION("GOOGLETRANSLATE(B3864,""en"",""ja"")"),"計算")</f>
        <v>計算</v>
      </c>
    </row>
    <row r="3830" spans="1:3" ht="18" customHeight="1" x14ac:dyDescent="0.3">
      <c r="A3830" s="1">
        <v>7</v>
      </c>
      <c r="B3830" s="1" t="s">
        <v>3123</v>
      </c>
      <c r="C3830" s="1" t="str">
        <f ca="1">IFERROR(__xludf.DUMMYFUNCTION("GOOGLETRANSLATE(B3865,""en"",""ja"")"),"バンドル")</f>
        <v>バンドル</v>
      </c>
    </row>
    <row r="3831" spans="1:3" ht="18" customHeight="1" x14ac:dyDescent="0.3">
      <c r="A3831" s="1">
        <v>7</v>
      </c>
      <c r="B3831" s="1" t="s">
        <v>3124</v>
      </c>
      <c r="C3831" s="1" t="str">
        <f ca="1">IFERROR(__xludf.DUMMYFUNCTION("GOOGLETRANSLATE(B3866,""en"",""ja"")"),"ブロンズ")</f>
        <v>ブロンズ</v>
      </c>
    </row>
    <row r="3832" spans="1:3" ht="18" customHeight="1" x14ac:dyDescent="0.3">
      <c r="A3832" s="1">
        <v>7</v>
      </c>
      <c r="B3832" s="1" t="s">
        <v>3125</v>
      </c>
      <c r="C3832" s="1" t="str">
        <f ca="1">IFERROR(__xludf.DUMMYFUNCTION("GOOGLETRANSLATE(B3867,""en"",""ja"")"),"広いです")</f>
        <v>広いです</v>
      </c>
    </row>
    <row r="3833" spans="1:3" ht="18" customHeight="1" x14ac:dyDescent="0.3">
      <c r="A3833" s="1">
        <v>7</v>
      </c>
      <c r="B3833" s="1" t="s">
        <v>3126</v>
      </c>
      <c r="C3833" s="1" t="str">
        <f ca="1">IFERROR(__xludf.DUMMYFUNCTION("GOOGLETRANSLATE(B3868,""en"",""ja"")"),"幅広いです")</f>
        <v>幅広いです</v>
      </c>
    </row>
    <row r="3834" spans="1:3" ht="18" customHeight="1" x14ac:dyDescent="0.3">
      <c r="A3834" s="1">
        <v>7</v>
      </c>
      <c r="B3834" s="1" t="s">
        <v>3127</v>
      </c>
      <c r="C3834" s="1" t="str">
        <f ca="1">IFERROR(__xludf.DUMMYFUNCTION("GOOGLETRANSLATE(B3869,""en"",""ja"")"),"明るいです")</f>
        <v>明るいです</v>
      </c>
    </row>
    <row r="3835" spans="1:3" ht="18" customHeight="1" x14ac:dyDescent="0.3">
      <c r="A3835" s="1">
        <v>7</v>
      </c>
      <c r="B3835" s="1" t="s">
        <v>3128</v>
      </c>
      <c r="C3835" s="1" t="str">
        <f ca="1">IFERROR(__xludf.DUMMYFUNCTION("GOOGLETRANSLATE(B3870,""en"",""ja"")"),"突破口")</f>
        <v>突破口</v>
      </c>
    </row>
    <row r="3836" spans="1:3" ht="18" customHeight="1" x14ac:dyDescent="0.3">
      <c r="A3836" s="1">
        <v>7</v>
      </c>
      <c r="B3836" s="1" t="s">
        <v>3129</v>
      </c>
      <c r="C3836" s="1" t="str">
        <f ca="1">IFERROR(__xludf.DUMMYFUNCTION("GOOGLETRANSLATE(B3871,""en"",""ja"")"),"脳")</f>
        <v>脳</v>
      </c>
    </row>
    <row r="3837" spans="1:3" ht="18" customHeight="1" x14ac:dyDescent="0.3">
      <c r="A3837" s="1">
        <v>7</v>
      </c>
      <c r="B3837" s="1" t="s">
        <v>3130</v>
      </c>
      <c r="C3837" s="1" t="str">
        <f ca="1">IFERROR(__xludf.DUMMYFUNCTION("GOOGLETRANSLATE(B3872,""en"",""ja"")"),"境界")</f>
        <v>境界</v>
      </c>
    </row>
    <row r="3838" spans="1:3" ht="18" customHeight="1" x14ac:dyDescent="0.3">
      <c r="A3838" s="1">
        <v>7</v>
      </c>
      <c r="B3838" s="1" t="s">
        <v>3131</v>
      </c>
      <c r="C3838" s="1" t="str">
        <f ca="1">IFERROR(__xludf.DUMMYFUNCTION("GOOGLETRANSLATE(B3873,""en"",""ja"")"),"失敗")</f>
        <v>失敗</v>
      </c>
    </row>
    <row r="3839" spans="1:3" ht="18" customHeight="1" x14ac:dyDescent="0.3">
      <c r="A3839" s="1">
        <v>7</v>
      </c>
      <c r="B3839" s="1" t="s">
        <v>3132</v>
      </c>
      <c r="C3839" s="1" t="str">
        <f ca="1">IFERROR(__xludf.DUMMYFUNCTION("GOOGLETRANSLATE(B3874,""en"",""ja"")"),"非難")</f>
        <v>非難</v>
      </c>
    </row>
    <row r="3840" spans="1:3" ht="18" customHeight="1" x14ac:dyDescent="0.3">
      <c r="A3840" s="1">
        <v>7</v>
      </c>
      <c r="B3840" s="1" t="s">
        <v>3133</v>
      </c>
      <c r="C3840" s="1" t="str">
        <f ca="1">IFERROR(__xludf.DUMMYFUNCTION("GOOGLETRANSLATE(B3875,""en"",""ja"")"),"戦い")</f>
        <v>戦い</v>
      </c>
    </row>
    <row r="3841" spans="1:3" ht="18" customHeight="1" x14ac:dyDescent="0.3">
      <c r="A3841" s="1">
        <v>7</v>
      </c>
      <c r="B3841" s="1" t="s">
        <v>3134</v>
      </c>
      <c r="C3841" s="1" t="str">
        <f ca="1">IFERROR(__xludf.DUMMYFUNCTION("GOOGLETRANSLATE(B3876,""en"",""ja"")"),"たらい")</f>
        <v>たらい</v>
      </c>
    </row>
    <row r="3842" spans="1:3" ht="18" customHeight="1" x14ac:dyDescent="0.3">
      <c r="A3842" s="1">
        <v>7</v>
      </c>
      <c r="B3842" s="1" t="s">
        <v>3135</v>
      </c>
      <c r="C3842" s="1" t="str">
        <f ca="1">IFERROR(__xludf.DUMMYFUNCTION("GOOGLETRANSLATE(B3877,""en"",""ja"")"),"ベース")</f>
        <v>ベース</v>
      </c>
    </row>
    <row r="3843" spans="1:3" ht="18" customHeight="1" x14ac:dyDescent="0.3">
      <c r="A3843" s="1">
        <v>7</v>
      </c>
      <c r="B3843" s="1" t="s">
        <v>3136</v>
      </c>
      <c r="C3843" s="1" t="str">
        <f ca="1">IFERROR(__xludf.DUMMYFUNCTION("GOOGLETRANSLATE(B3878,""en"",""ja"")"),"赤ちゃん")</f>
        <v>赤ちゃん</v>
      </c>
    </row>
    <row r="3844" spans="1:3" ht="18" customHeight="1" x14ac:dyDescent="0.3">
      <c r="A3844" s="1">
        <v>7</v>
      </c>
      <c r="B3844" s="1" t="s">
        <v>3137</v>
      </c>
      <c r="C3844" s="1" t="str">
        <f ca="1">IFERROR(__xludf.DUMMYFUNCTION("GOOGLETRANSLATE(B3879,""en"",""ja"")"),"攻撃")</f>
        <v>攻撃</v>
      </c>
    </row>
    <row r="3845" spans="1:3" ht="18" customHeight="1" x14ac:dyDescent="0.3">
      <c r="A3845" s="1">
        <v>7</v>
      </c>
      <c r="B3845" s="1" t="s">
        <v>3138</v>
      </c>
      <c r="C3845" s="1" t="str">
        <f ca="1">IFERROR(__xludf.DUMMYFUNCTION("GOOGLETRANSLATE(B3880,""en"",""ja"")"),"評定")</f>
        <v>評定</v>
      </c>
    </row>
    <row r="3846" spans="1:3" ht="18" customHeight="1" x14ac:dyDescent="0.3">
      <c r="A3846" s="1">
        <v>7</v>
      </c>
      <c r="B3846" s="1" t="s">
        <v>3139</v>
      </c>
      <c r="C3846" s="1" t="str">
        <f ca="1">IFERROR(__xludf.DUMMYFUNCTION("GOOGLETRANSLATE(B3881,""en"",""ja"")"),"尋ねます")</f>
        <v>尋ねます</v>
      </c>
    </row>
    <row r="3847" spans="1:3" ht="18" customHeight="1" x14ac:dyDescent="0.3">
      <c r="A3847" s="1">
        <v>7</v>
      </c>
      <c r="B3847" s="1" t="s">
        <v>3140</v>
      </c>
      <c r="C3847" s="1" t="str">
        <f ca="1">IFERROR(__xludf.DUMMYFUNCTION("GOOGLETRANSLATE(B3882,""en"",""ja"")"),"アジア人")</f>
        <v>アジア人</v>
      </c>
    </row>
    <row r="3848" spans="1:3" ht="18" customHeight="1" x14ac:dyDescent="0.3">
      <c r="A3848" s="1">
        <v>7</v>
      </c>
      <c r="B3848" s="1" t="s">
        <v>3141</v>
      </c>
      <c r="C3848" s="1" t="str">
        <f ca="1">IFERROR(__xludf.DUMMYFUNCTION("GOOGLETRANSLATE(B3883,""en"",""ja"")"),"せいにします")</f>
        <v>せいにします</v>
      </c>
    </row>
    <row r="3849" spans="1:3" ht="18" customHeight="1" x14ac:dyDescent="0.3">
      <c r="A3849" s="1">
        <v>7</v>
      </c>
      <c r="B3849" s="1" t="s">
        <v>656</v>
      </c>
      <c r="C3849" s="1" t="str">
        <f ca="1">IFERROR(__xludf.DUMMYFUNCTION("GOOGLETRANSLATE(B3884,""en"",""ja"")"),"範囲")</f>
        <v>範囲</v>
      </c>
    </row>
    <row r="3850" spans="1:3" ht="18" customHeight="1" x14ac:dyDescent="0.3">
      <c r="A3850" s="1">
        <v>7</v>
      </c>
      <c r="B3850" s="1" t="s">
        <v>3142</v>
      </c>
      <c r="C3850" s="1" t="str">
        <f ca="1">IFERROR(__xludf.DUMMYFUNCTION("GOOGLETRANSLATE(B3885,""en"",""ja"")"),"耕作")</f>
        <v>耕作</v>
      </c>
    </row>
    <row r="3851" spans="1:3" ht="18" customHeight="1" x14ac:dyDescent="0.3">
      <c r="A3851" s="1">
        <v>7</v>
      </c>
      <c r="B3851" s="1" t="s">
        <v>3143</v>
      </c>
      <c r="C3851" s="1" t="str">
        <f ca="1">IFERROR(__xludf.DUMMYFUNCTION("GOOGLETRANSLATE(B3886,""en"",""ja"")"),"近づきます")</f>
        <v>近づきます</v>
      </c>
    </row>
    <row r="3852" spans="1:3" ht="18" customHeight="1" x14ac:dyDescent="0.3">
      <c r="A3852" s="1">
        <v>7</v>
      </c>
      <c r="B3852" s="1" t="s">
        <v>3144</v>
      </c>
      <c r="C3852" s="1" t="str">
        <f ca="1">IFERROR(__xludf.DUMMYFUNCTION("GOOGLETRANSLATE(B3887,""en"",""ja"")"),"アプローチ")</f>
        <v>アプローチ</v>
      </c>
    </row>
    <row r="3853" spans="1:3" ht="18" customHeight="1" x14ac:dyDescent="0.3">
      <c r="A3853" s="1">
        <v>7</v>
      </c>
      <c r="B3853" s="1" t="s">
        <v>3145</v>
      </c>
      <c r="C3853" s="1" t="str">
        <f ca="1">IFERROR(__xludf.DUMMYFUNCTION("GOOGLETRANSLATE(B3888,""en"",""ja"")"),"感謝")</f>
        <v>感謝</v>
      </c>
    </row>
    <row r="3854" spans="1:3" ht="18" customHeight="1" x14ac:dyDescent="0.3">
      <c r="A3854" s="1">
        <v>7</v>
      </c>
      <c r="B3854" s="1" t="s">
        <v>1228</v>
      </c>
      <c r="C3854" s="1" t="str">
        <f ca="1">IFERROR(__xludf.DUMMYFUNCTION("GOOGLETRANSLATE(B3889,""en"",""ja"")"),"誰でも")</f>
        <v>誰でも</v>
      </c>
    </row>
    <row r="3855" spans="1:3" ht="18" customHeight="1" x14ac:dyDescent="0.3">
      <c r="A3855" s="1">
        <v>7</v>
      </c>
      <c r="B3855" s="1" t="s">
        <v>3146</v>
      </c>
      <c r="C3855" s="1" t="str">
        <f ca="1">IFERROR(__xludf.DUMMYFUNCTION("GOOGLETRANSLATE(B3890,""en"",""ja"")"),"ALTER")</f>
        <v>ALTER</v>
      </c>
    </row>
    <row r="3856" spans="1:3" ht="18" customHeight="1" x14ac:dyDescent="0.3">
      <c r="A3856" s="1">
        <v>7</v>
      </c>
      <c r="B3856" s="1" t="s">
        <v>690</v>
      </c>
      <c r="C3856" s="1" t="str">
        <f ca="1">IFERROR(__xludf.DUMMYFUNCTION("GOOGLETRANSLATE(B3891,""en"",""ja"")"),"一致します")</f>
        <v>一致します</v>
      </c>
    </row>
    <row r="3857" spans="1:3" ht="18" customHeight="1" x14ac:dyDescent="0.3">
      <c r="A3857" s="1">
        <v>7</v>
      </c>
      <c r="B3857" s="1" t="s">
        <v>3147</v>
      </c>
      <c r="C3857" s="1" t="str">
        <f ca="1">IFERROR(__xludf.DUMMYFUNCTION("GOOGLETRANSLATE(B3892,""en"",""ja"")"),"悪化")</f>
        <v>悪化</v>
      </c>
    </row>
    <row r="3858" spans="1:3" ht="18" customHeight="1" x14ac:dyDescent="0.3">
      <c r="A3858" s="1">
        <v>7</v>
      </c>
      <c r="B3858" s="1" t="s">
        <v>3148</v>
      </c>
      <c r="C3858" s="1" t="str">
        <f ca="1">IFERROR(__xludf.DUMMYFUNCTION("GOOGLETRANSLATE(B3893,""en"",""ja"")"),"愛情")</f>
        <v>愛情</v>
      </c>
    </row>
    <row r="3859" spans="1:3" ht="18" customHeight="1" x14ac:dyDescent="0.3">
      <c r="A3859" s="1">
        <v>7</v>
      </c>
      <c r="B3859" s="1" t="s">
        <v>2248</v>
      </c>
      <c r="C3859" s="1" t="str">
        <f ca="1">IFERROR(__xludf.DUMMYFUNCTION("GOOGLETRANSLATE(B3894,""en"",""ja"")"),"感嘆")</f>
        <v>感嘆</v>
      </c>
    </row>
    <row r="3860" spans="1:3" ht="18" customHeight="1" x14ac:dyDescent="0.3">
      <c r="A3860" s="1">
        <v>7</v>
      </c>
      <c r="B3860" s="1" t="s">
        <v>3149</v>
      </c>
      <c r="C3860" s="1" t="str">
        <f ca="1">IFERROR(__xludf.DUMMYFUNCTION("GOOGLETRANSLATE(B3895,""en"",""ja"")"),"適応する")</f>
        <v>適応する</v>
      </c>
    </row>
    <row r="3861" spans="1:3" ht="18" customHeight="1" x14ac:dyDescent="0.3">
      <c r="A3861" s="1">
        <v>7</v>
      </c>
      <c r="B3861" s="1" t="s">
        <v>658</v>
      </c>
      <c r="C3861" s="1" t="str">
        <f ca="1">IFERROR(__xludf.DUMMYFUNCTION("GOOGLETRANSLATE(B3896,""en"",""ja"")"),"実際")</f>
        <v>実際</v>
      </c>
    </row>
    <row r="3862" spans="1:3" ht="18" customHeight="1" x14ac:dyDescent="0.3">
      <c r="A3862" s="1">
        <v>7</v>
      </c>
      <c r="B3862" s="1" t="s">
        <v>3150</v>
      </c>
      <c r="C3862" s="1" t="str">
        <f ca="1">IFERROR(__xludf.DUMMYFUNCTION("GOOGLETRANSLATE(B3897,""en"",""ja"")"),"訴えます")</f>
        <v>訴えます</v>
      </c>
    </row>
    <row r="3863" spans="1:3" ht="18" customHeight="1" x14ac:dyDescent="0.3">
      <c r="A3863" s="1">
        <v>7</v>
      </c>
      <c r="B3863" s="1" t="s">
        <v>3151</v>
      </c>
      <c r="C3863" s="1" t="str">
        <f ca="1">IFERROR(__xludf.DUMMYFUNCTION("GOOGLETRANSLATE(B3898,""en"",""ja"")"),"累積")</f>
        <v>累積</v>
      </c>
    </row>
    <row r="3864" spans="1:3" ht="18" customHeight="1" x14ac:dyDescent="0.3">
      <c r="A3864" s="1">
        <v>7</v>
      </c>
      <c r="B3864" s="1" t="s">
        <v>3152</v>
      </c>
      <c r="C3864" s="1" t="str">
        <f ca="1">IFERROR(__xludf.DUMMYFUNCTION("GOOGLETRANSLATE(B3899,""en"",""ja"")"),"会計士")</f>
        <v>会計士</v>
      </c>
    </row>
    <row r="3865" spans="1:3" ht="18" customHeight="1" x14ac:dyDescent="0.3">
      <c r="A3865" s="1">
        <v>7</v>
      </c>
      <c r="B3865" s="1" t="s">
        <v>1612</v>
      </c>
      <c r="C3865" s="1" t="str">
        <f ca="1">IFERROR(__xludf.DUMMYFUNCTION("GOOGLETRANSLATE(B3901,""en"",""ja"")"),"上記")</f>
        <v>上記</v>
      </c>
    </row>
    <row r="3866" spans="1:3" ht="18" customHeight="1" x14ac:dyDescent="0.3">
      <c r="A3866" s="1">
        <v>6</v>
      </c>
      <c r="B3866" s="1" t="s">
        <v>3153</v>
      </c>
      <c r="C3866" s="1" t="str">
        <f ca="1">IFERROR(__xludf.DUMMYFUNCTION("GOOGLETRANSLATE(B3902,""en"",""ja"")"),"降伏")</f>
        <v>降伏</v>
      </c>
    </row>
    <row r="3867" spans="1:3" ht="18" customHeight="1" x14ac:dyDescent="0.3">
      <c r="A3867" s="1">
        <v>6</v>
      </c>
      <c r="B3867" s="1" t="s">
        <v>1865</v>
      </c>
      <c r="C3867" s="1" t="str">
        <f ca="1">IFERROR(__xludf.DUMMYFUNCTION("GOOGLETRANSLATE(B3903,""en"",""ja"")"),"はい")</f>
        <v>はい</v>
      </c>
    </row>
    <row r="3868" spans="1:3" ht="18" customHeight="1" x14ac:dyDescent="0.3">
      <c r="A3868" s="1">
        <v>6</v>
      </c>
      <c r="B3868" s="1" t="s">
        <v>3154</v>
      </c>
      <c r="C3868" s="1" t="str">
        <f ca="1">IFERROR(__xludf.DUMMYFUNCTION("GOOGLETRANSLATE(B3904,""en"",""ja"")"),"悪化")</f>
        <v>悪化</v>
      </c>
    </row>
    <row r="3869" spans="1:3" ht="18" customHeight="1" x14ac:dyDescent="0.3">
      <c r="A3869" s="1">
        <v>6</v>
      </c>
      <c r="B3869" s="1" t="s">
        <v>2489</v>
      </c>
      <c r="C3869" s="1" t="str">
        <f ca="1">IFERROR(__xludf.DUMMYFUNCTION("GOOGLETRANSLATE(B3905,""en"",""ja"")"),"世界観")</f>
        <v>世界観</v>
      </c>
    </row>
    <row r="3870" spans="1:3" ht="18" customHeight="1" x14ac:dyDescent="0.3">
      <c r="A3870" s="1">
        <v>6</v>
      </c>
      <c r="B3870" s="1" t="s">
        <v>2253</v>
      </c>
      <c r="C3870" s="1" t="str">
        <f ca="1">IFERROR(__xludf.DUMMYFUNCTION("GOOGLETRANSLATE(B3906,""en"",""ja"")"),"女性")</f>
        <v>女性</v>
      </c>
    </row>
    <row r="3871" spans="1:3" ht="18" customHeight="1" x14ac:dyDescent="0.3">
      <c r="A3871" s="1">
        <v>6</v>
      </c>
      <c r="B3871" s="1" t="s">
        <v>3155</v>
      </c>
      <c r="C3871" s="1" t="str">
        <f ca="1">IFERROR(__xludf.DUMMYFUNCTION("GOOGLETRANSLATE(B3907,""en"",""ja"")"),"無線")</f>
        <v>無線</v>
      </c>
    </row>
    <row r="3872" spans="1:3" ht="18" customHeight="1" x14ac:dyDescent="0.3">
      <c r="A3872" s="1">
        <v>6</v>
      </c>
      <c r="B3872" s="1" t="s">
        <v>3156</v>
      </c>
      <c r="C3872" s="1" t="str">
        <f ca="1">IFERROR(__xludf.DUMMYFUNCTION("GOOGLETRANSLATE(B3908,""en"",""ja"")"),"羽")</f>
        <v>羽</v>
      </c>
    </row>
    <row r="3873" spans="1:3" ht="18" customHeight="1" x14ac:dyDescent="0.3">
      <c r="A3873" s="1">
        <v>6</v>
      </c>
      <c r="B3873" s="1" t="s">
        <v>980</v>
      </c>
      <c r="C3873" s="1" t="str">
        <f ca="1">IFERROR(__xludf.DUMMYFUNCTION("GOOGLETRANSLATE(B3909,""en"",""ja"")"),"誰")</f>
        <v>誰</v>
      </c>
    </row>
    <row r="3874" spans="1:3" ht="18" customHeight="1" x14ac:dyDescent="0.3">
      <c r="A3874" s="1">
        <v>6</v>
      </c>
      <c r="B3874" s="1" t="s">
        <v>3157</v>
      </c>
      <c r="C3874" s="1" t="str">
        <f ca="1">IFERROR(__xludf.DUMMYFUNCTION("GOOGLETRANSLATE(B3910,""en"",""ja"")"),"歓迎")</f>
        <v>歓迎</v>
      </c>
    </row>
    <row r="3875" spans="1:3" ht="18" customHeight="1" x14ac:dyDescent="0.3">
      <c r="A3875" s="1">
        <v>6</v>
      </c>
      <c r="B3875" s="1" t="s">
        <v>1728</v>
      </c>
      <c r="C3875" s="1" t="str">
        <f ca="1">IFERROR(__xludf.DUMMYFUNCTION("GOOGLETRANSLATE(B3911,""en"",""ja"")"),"着る")</f>
        <v>着る</v>
      </c>
    </row>
    <row r="3876" spans="1:3" ht="18" customHeight="1" x14ac:dyDescent="0.3">
      <c r="A3876" s="1">
        <v>6</v>
      </c>
      <c r="B3876" s="1" t="s">
        <v>3158</v>
      </c>
      <c r="C3876" s="1" t="str">
        <f ca="1">IFERROR(__xludf.DUMMYFUNCTION("GOOGLETRANSLATE(B3912,""en"",""ja"")"),"武器")</f>
        <v>武器</v>
      </c>
    </row>
    <row r="3877" spans="1:3" ht="18" customHeight="1" x14ac:dyDescent="0.3">
      <c r="A3877" s="1">
        <v>6</v>
      </c>
      <c r="B3877" s="1" t="s">
        <v>3159</v>
      </c>
      <c r="C3877" s="1" t="str">
        <f ca="1">IFERROR(__xludf.DUMMYFUNCTION("GOOGLETRANSLATE(B3913,""en"",""ja"")"),"水性")</f>
        <v>水性</v>
      </c>
    </row>
    <row r="3878" spans="1:3" ht="18" customHeight="1" x14ac:dyDescent="0.3">
      <c r="A3878" s="1">
        <v>6</v>
      </c>
      <c r="B3878" s="1" t="s">
        <v>3160</v>
      </c>
      <c r="C3878" s="1" t="str">
        <f ca="1">IFERROR(__xludf.DUMMYFUNCTION("GOOGLETRANSLATE(B3914,""en"",""ja"")"),"見て")</f>
        <v>見て</v>
      </c>
    </row>
    <row r="3879" spans="1:3" ht="18" customHeight="1" x14ac:dyDescent="0.3">
      <c r="A3879" s="1">
        <v>6</v>
      </c>
      <c r="B3879" s="1" t="s">
        <v>1036</v>
      </c>
      <c r="C3879" s="1" t="str">
        <f ca="1">IFERROR(__xludf.DUMMYFUNCTION("GOOGLETRANSLATE(B3915,""en"",""ja"")"),"ワシュー")</f>
        <v>ワシュー</v>
      </c>
    </row>
    <row r="3880" spans="1:3" ht="18" customHeight="1" x14ac:dyDescent="0.3">
      <c r="A3880" s="1">
        <v>6</v>
      </c>
      <c r="B3880" s="1" t="s">
        <v>3161</v>
      </c>
      <c r="C3880" s="1" t="str">
        <f ca="1">IFERROR(__xludf.DUMMYFUNCTION("GOOGLETRANSLATE(B3916,""en"",""ja"")"),"ワット")</f>
        <v>ワット</v>
      </c>
    </row>
    <row r="3881" spans="1:3" ht="18" customHeight="1" x14ac:dyDescent="0.3">
      <c r="A3881" s="1">
        <v>6</v>
      </c>
      <c r="B3881" s="1" t="s">
        <v>3162</v>
      </c>
      <c r="C3881" s="1" t="str">
        <f ca="1">IFERROR(__xludf.DUMMYFUNCTION("GOOGLETRANSLATE(B3917,""en"",""ja"")"),"ボランティア")</f>
        <v>ボランティア</v>
      </c>
    </row>
    <row r="3882" spans="1:3" ht="18" customHeight="1" x14ac:dyDescent="0.3">
      <c r="A3882" s="1">
        <v>6</v>
      </c>
      <c r="B3882" s="1" t="s">
        <v>3163</v>
      </c>
      <c r="C3882" s="1" t="str">
        <f ca="1">IFERROR(__xludf.DUMMYFUNCTION("GOOGLETRANSLATE(B3918,""en"",""ja"")"),"ヴォルテール")</f>
        <v>ヴォルテール</v>
      </c>
    </row>
    <row r="3883" spans="1:3" ht="18" customHeight="1" x14ac:dyDescent="0.3">
      <c r="A3883" s="1">
        <v>6</v>
      </c>
      <c r="B3883" s="1" t="s">
        <v>3164</v>
      </c>
      <c r="C3883" s="1" t="str">
        <f ca="1">IFERROR(__xludf.DUMMYFUNCTION("GOOGLETRANSLATE(B3919,""en"",""ja"")"),"天職")</f>
        <v>天職</v>
      </c>
    </row>
    <row r="3884" spans="1:3" ht="18" customHeight="1" x14ac:dyDescent="0.3">
      <c r="A3884" s="1">
        <v>6</v>
      </c>
      <c r="B3884" s="1" t="s">
        <v>3165</v>
      </c>
      <c r="C3884" s="1" t="str">
        <f ca="1">IFERROR(__xludf.DUMMYFUNCTION("GOOGLETRANSLATE(B3920,""en"",""ja"")"),"ビジョン")</f>
        <v>ビジョン</v>
      </c>
    </row>
    <row r="3885" spans="1:3" ht="18" customHeight="1" x14ac:dyDescent="0.3">
      <c r="A3885" s="1">
        <v>6</v>
      </c>
      <c r="B3885" s="1" t="s">
        <v>3166</v>
      </c>
      <c r="C3885" s="1" t="str">
        <f ca="1">IFERROR(__xludf.DUMMYFUNCTION("GOOGLETRANSLATE(B3921,""en"",""ja"")"),"実行可能な")</f>
        <v>実行可能な</v>
      </c>
    </row>
    <row r="3886" spans="1:3" ht="18" customHeight="1" x14ac:dyDescent="0.3">
      <c r="A3886" s="1">
        <v>6</v>
      </c>
      <c r="B3886" s="1" t="s">
        <v>3167</v>
      </c>
      <c r="C3886" s="1" t="str">
        <f ca="1">IFERROR(__xludf.DUMMYFUNCTION("GOOGLETRANSLATE(B3922,""en"",""ja"")"),"バージョン")</f>
        <v>バージョン</v>
      </c>
    </row>
    <row r="3887" spans="1:3" ht="18" customHeight="1" x14ac:dyDescent="0.3">
      <c r="A3887" s="1">
        <v>6</v>
      </c>
      <c r="B3887" s="1" t="s">
        <v>3168</v>
      </c>
      <c r="C3887" s="1" t="str">
        <f ca="1">IFERROR(__xludf.DUMMYFUNCTION("GOOGLETRANSLATE(B3923,""en"",""ja"")"),"動詞")</f>
        <v>動詞</v>
      </c>
    </row>
    <row r="3888" spans="1:3" ht="18" customHeight="1" x14ac:dyDescent="0.3">
      <c r="A3888" s="1">
        <v>6</v>
      </c>
      <c r="B3888" s="1" t="s">
        <v>3169</v>
      </c>
      <c r="C3888" s="1" t="str">
        <f ca="1">IFERROR(__xludf.DUMMYFUNCTION("GOOGLETRANSLATE(B3924,""en"",""ja"")"),"大幅に")</f>
        <v>大幅に</v>
      </c>
    </row>
    <row r="3889" spans="1:3" ht="18" customHeight="1" x14ac:dyDescent="0.3">
      <c r="A3889" s="1">
        <v>6</v>
      </c>
      <c r="B3889" s="1" t="s">
        <v>3170</v>
      </c>
      <c r="C3889" s="1" t="str">
        <f ca="1">IFERROR(__xludf.DUMMYFUNCTION("GOOGLETRANSLATE(B3925,""en"",""ja"")"),"貴重")</f>
        <v>貴重</v>
      </c>
    </row>
    <row r="3890" spans="1:3" ht="18" customHeight="1" x14ac:dyDescent="0.3">
      <c r="A3890" s="1">
        <v>6</v>
      </c>
      <c r="B3890" s="1" t="s">
        <v>3171</v>
      </c>
      <c r="C3890" s="1" t="str">
        <f ca="1">IFERROR(__xludf.DUMMYFUNCTION("GOOGLETRANSLATE(B3926,""en"",""ja"")"),"全くの")</f>
        <v>全くの</v>
      </c>
    </row>
    <row r="3891" spans="1:3" ht="18" customHeight="1" x14ac:dyDescent="0.3">
      <c r="A3891" s="1">
        <v>6</v>
      </c>
      <c r="B3891" s="1" t="s">
        <v>3172</v>
      </c>
      <c r="C3891" s="1" t="str">
        <f ca="1">IFERROR(__xludf.DUMMYFUNCTION("GOOGLETRANSLATE(B3927,""en"",""ja"")"),"一般")</f>
        <v>一般</v>
      </c>
    </row>
    <row r="3892" spans="1:3" ht="18" customHeight="1" x14ac:dyDescent="0.3">
      <c r="A3892" s="1">
        <v>6</v>
      </c>
      <c r="B3892" s="1" t="s">
        <v>257</v>
      </c>
      <c r="C3892" s="1" t="str">
        <f ca="1">IFERROR(__xludf.DUMMYFUNCTION("GOOGLETRANSLATE(B3928,""en"",""ja"")"),"に")</f>
        <v>に</v>
      </c>
    </row>
    <row r="3893" spans="1:3" ht="18" customHeight="1" x14ac:dyDescent="0.3">
      <c r="A3893" s="1">
        <v>6</v>
      </c>
      <c r="B3893" s="1" t="s">
        <v>2845</v>
      </c>
      <c r="C3893" s="1" t="str">
        <f ca="1">IFERROR(__xludf.DUMMYFUNCTION("GOOGLETRANSLATE(B3929,""en"",""ja"")"),"アップグレード")</f>
        <v>アップグレード</v>
      </c>
    </row>
    <row r="3894" spans="1:3" ht="18" customHeight="1" x14ac:dyDescent="0.3">
      <c r="A3894" s="1">
        <v>6</v>
      </c>
      <c r="B3894" s="1" t="s">
        <v>3173</v>
      </c>
      <c r="C3894" s="1" t="str">
        <f ca="1">IFERROR(__xludf.DUMMYFUNCTION("GOOGLETRANSLATE(B3930,""en"",""ja"")"),"予測不可能性")</f>
        <v>予測不可能性</v>
      </c>
    </row>
    <row r="3895" spans="1:3" ht="18" customHeight="1" x14ac:dyDescent="0.3">
      <c r="A3895" s="1">
        <v>6</v>
      </c>
      <c r="B3895" s="1" t="s">
        <v>3174</v>
      </c>
      <c r="C3895" s="1" t="str">
        <f ca="1">IFERROR(__xludf.DUMMYFUNCTION("GOOGLETRANSLATE(B3931,""en"",""ja"")"),"非摂動")</f>
        <v>非摂動</v>
      </c>
    </row>
    <row r="3896" spans="1:3" ht="18" customHeight="1" x14ac:dyDescent="0.3">
      <c r="A3896" s="1">
        <v>6</v>
      </c>
      <c r="B3896" s="1" t="s">
        <v>3175</v>
      </c>
      <c r="C3896" s="1" t="str">
        <f ca="1">IFERROR(__xludf.DUMMYFUNCTION("GOOGLETRANSLATE(B3932,""en"",""ja"")"),"人目に付きません")</f>
        <v>人目に付きません</v>
      </c>
    </row>
    <row r="3897" spans="1:3" ht="18" customHeight="1" x14ac:dyDescent="0.3">
      <c r="A3897" s="1">
        <v>6</v>
      </c>
      <c r="B3897" s="1" t="s">
        <v>3176</v>
      </c>
      <c r="C3897" s="1" t="str">
        <f ca="1">IFERROR(__xludf.DUMMYFUNCTION("GOOGLETRANSLATE(B3933,""en"",""ja"")"),"不自然")</f>
        <v>不自然</v>
      </c>
    </row>
    <row r="3898" spans="1:3" ht="18" customHeight="1" x14ac:dyDescent="0.3">
      <c r="A3898" s="1">
        <v>6</v>
      </c>
      <c r="B3898" s="1" t="s">
        <v>2027</v>
      </c>
      <c r="C3898" s="1" t="str">
        <f ca="1">IFERROR(__xludf.DUMMYFUNCTION("GOOGLETRANSLATE(B3934,""en"",""ja"")"),"ない限り、")</f>
        <v>ない限り、</v>
      </c>
    </row>
    <row r="3899" spans="1:3" ht="18" customHeight="1" x14ac:dyDescent="0.3">
      <c r="A3899" s="1">
        <v>6</v>
      </c>
      <c r="B3899" s="1" t="s">
        <v>3177</v>
      </c>
      <c r="C3899" s="1" t="str">
        <f ca="1">IFERROR(__xludf.DUMMYFUNCTION("GOOGLETRANSLATE(B3935,""en"",""ja"")"),"重要でありません")</f>
        <v>重要でありません</v>
      </c>
    </row>
    <row r="3900" spans="1:3" ht="18" customHeight="1" x14ac:dyDescent="0.3">
      <c r="A3900" s="1">
        <v>6</v>
      </c>
      <c r="B3900" s="1" t="s">
        <v>3178</v>
      </c>
      <c r="C3900" s="1" t="str">
        <f ca="1">IFERROR(__xludf.DUMMYFUNCTION("GOOGLETRANSLATE(B3936,""en"",""ja"")"),"展開]")</f>
        <v>展開]</v>
      </c>
    </row>
    <row r="3901" spans="1:3" ht="18" customHeight="1" x14ac:dyDescent="0.3">
      <c r="A3901" s="1">
        <v>6</v>
      </c>
      <c r="B3901" s="1" t="s">
        <v>3179</v>
      </c>
      <c r="C3901" s="1" t="str">
        <f ca="1">IFERROR(__xludf.DUMMYFUNCTION("GOOGLETRANSLATE(B3937,""en"",""ja"")"),"下側")</f>
        <v>下側</v>
      </c>
    </row>
    <row r="3902" spans="1:3" ht="18" customHeight="1" x14ac:dyDescent="0.3">
      <c r="A3902" s="1">
        <v>6</v>
      </c>
      <c r="B3902" s="1" t="s">
        <v>2507</v>
      </c>
      <c r="C3902" s="1" t="str">
        <f ca="1">IFERROR(__xludf.DUMMYFUNCTION("GOOGLETRANSLATE(B3938,""en"",""ja"")"),"恵まれません")</f>
        <v>恵まれません</v>
      </c>
    </row>
    <row r="3903" spans="1:3" ht="18" customHeight="1" x14ac:dyDescent="0.3">
      <c r="A3903" s="1">
        <v>6</v>
      </c>
      <c r="B3903" s="1" t="s">
        <v>3180</v>
      </c>
      <c r="C3903" s="1" t="str">
        <f ca="1">IFERROR(__xludf.DUMMYFUNCTION("GOOGLETRANSLATE(B3939,""en"",""ja"")"),"施さ")</f>
        <v>施さ</v>
      </c>
    </row>
    <row r="3904" spans="1:3" ht="18" customHeight="1" x14ac:dyDescent="0.3">
      <c r="A3904" s="1">
        <v>6</v>
      </c>
      <c r="B3904" s="1" t="s">
        <v>289</v>
      </c>
      <c r="C3904" s="1" t="str">
        <f ca="1">IFERROR(__xludf.DUMMYFUNCTION("GOOGLETRANSLATE(B3940,""en"",""ja"")"),"下")</f>
        <v>下</v>
      </c>
    </row>
    <row r="3905" spans="1:3" ht="18" customHeight="1" x14ac:dyDescent="0.3">
      <c r="A3905" s="1">
        <v>6</v>
      </c>
      <c r="B3905" s="1" t="s">
        <v>3181</v>
      </c>
      <c r="C3905" s="1" t="str">
        <f ca="1">IFERROR(__xludf.DUMMYFUNCTION("GOOGLETRANSLATE(B3941,""en"",""ja"")"),"無礼")</f>
        <v>無礼</v>
      </c>
    </row>
    <row r="3906" spans="1:3" ht="18" customHeight="1" x14ac:dyDescent="0.3">
      <c r="A3906" s="1">
        <v>6</v>
      </c>
      <c r="B3906" s="1" t="s">
        <v>3182</v>
      </c>
      <c r="C3906" s="1" t="str">
        <f ca="1">IFERROR(__xludf.DUMMYFUNCTION("GOOGLETRANSLATE(B3942,""en"",""ja"")"),"信じられないほど")</f>
        <v>信じられないほど</v>
      </c>
    </row>
    <row r="3907" spans="1:3" ht="18" customHeight="1" x14ac:dyDescent="0.3">
      <c r="A3907" s="1">
        <v>6</v>
      </c>
      <c r="B3907" s="1" t="s">
        <v>3183</v>
      </c>
      <c r="C3907" s="1" t="str">
        <f ca="1">IFERROR(__xludf.DUMMYFUNCTION("GOOGLETRANSLATE(B3943,""en"",""ja"")"),"ウクライナ")</f>
        <v>ウクライナ</v>
      </c>
    </row>
    <row r="3908" spans="1:3" ht="18" customHeight="1" x14ac:dyDescent="0.3">
      <c r="A3908" s="1">
        <v>6</v>
      </c>
      <c r="B3908" s="1" t="s">
        <v>3184</v>
      </c>
      <c r="C3908" s="1" t="str">
        <f ca="1">IFERROR(__xludf.DUMMYFUNCTION("GOOGLETRANSLATE(B3944,""en"",""ja"")"),"12")</f>
        <v>12</v>
      </c>
    </row>
    <row r="3909" spans="1:3" ht="18" customHeight="1" x14ac:dyDescent="0.3">
      <c r="A3909" s="1">
        <v>6</v>
      </c>
      <c r="B3909" s="1" t="s">
        <v>3185</v>
      </c>
      <c r="C3909" s="1" t="str">
        <f ca="1">IFERROR(__xludf.DUMMYFUNCTION("GOOGLETRANSLATE(B3945,""en"",""ja"")"),"曲")</f>
        <v>曲</v>
      </c>
    </row>
    <row r="3910" spans="1:3" ht="18" customHeight="1" x14ac:dyDescent="0.3">
      <c r="A3910" s="1">
        <v>6</v>
      </c>
      <c r="B3910" s="1" t="s">
        <v>3186</v>
      </c>
      <c r="C3910" s="1" t="str">
        <f ca="1">IFERROR(__xludf.DUMMYFUNCTION("GOOGLETRANSLATE(B3946,""en"",""ja"")"),"大騒ぎ")</f>
        <v>大騒ぎ</v>
      </c>
    </row>
    <row r="3911" spans="1:3" ht="18" customHeight="1" x14ac:dyDescent="0.3">
      <c r="A3911" s="1">
        <v>6</v>
      </c>
      <c r="B3911" s="1" t="s">
        <v>3187</v>
      </c>
      <c r="C3911" s="1" t="str">
        <f ca="1">IFERROR(__xludf.DUMMYFUNCTION("GOOGLETRANSLATE(B3947,""en"",""ja"")"),"チューブ")</f>
        <v>チューブ</v>
      </c>
    </row>
    <row r="3912" spans="1:3" ht="18" customHeight="1" x14ac:dyDescent="0.3">
      <c r="A3912" s="1">
        <v>6</v>
      </c>
      <c r="B3912" s="1" t="s">
        <v>3188</v>
      </c>
      <c r="C3912" s="1" t="str">
        <f ca="1">IFERROR(__xludf.DUMMYFUNCTION("GOOGLETRANSLATE(B3948,""en"",""ja"")"),"信頼")</f>
        <v>信頼</v>
      </c>
    </row>
    <row r="3913" spans="1:3" ht="18" customHeight="1" x14ac:dyDescent="0.3">
      <c r="A3913" s="1">
        <v>6</v>
      </c>
      <c r="B3913" s="1" t="s">
        <v>3189</v>
      </c>
      <c r="C3913" s="1" t="str">
        <f ca="1">IFERROR(__xludf.DUMMYFUNCTION("GOOGLETRANSLATE(B3949,""en"",""ja"")"),"厄介")</f>
        <v>厄介</v>
      </c>
    </row>
    <row r="3914" spans="1:3" ht="18" customHeight="1" x14ac:dyDescent="0.3">
      <c r="A3914" s="1">
        <v>6</v>
      </c>
      <c r="B3914" s="1" t="s">
        <v>3190</v>
      </c>
      <c r="C3914" s="1" t="str">
        <f ca="1">IFERROR(__xludf.DUMMYFUNCTION("GOOGLETRANSLATE(B3950,""en"",""ja"")"),"部隊")</f>
        <v>部隊</v>
      </c>
    </row>
    <row r="3915" spans="1:3" ht="18" customHeight="1" x14ac:dyDescent="0.3">
      <c r="A3915" s="1">
        <v>6</v>
      </c>
      <c r="B3915" s="1" t="s">
        <v>3191</v>
      </c>
      <c r="C3915" s="1" t="str">
        <f ca="1">IFERROR(__xludf.DUMMYFUNCTION("GOOGLETRANSLATE(B3951,""en"",""ja"")"),"試行")</f>
        <v>試行</v>
      </c>
    </row>
    <row r="3916" spans="1:3" ht="18" customHeight="1" x14ac:dyDescent="0.3">
      <c r="A3916" s="1">
        <v>6</v>
      </c>
      <c r="B3916" s="1" t="s">
        <v>815</v>
      </c>
      <c r="C3916" s="1" t="str">
        <f ca="1">IFERROR(__xludf.DUMMYFUNCTION("GOOGLETRANSLATE(B3952,""en"",""ja"")"),"木")</f>
        <v>木</v>
      </c>
    </row>
    <row r="3917" spans="1:3" ht="18" customHeight="1" x14ac:dyDescent="0.3">
      <c r="A3917" s="1">
        <v>6</v>
      </c>
      <c r="B3917" s="1" t="s">
        <v>3192</v>
      </c>
      <c r="C3917" s="1" t="str">
        <f ca="1">IFERROR(__xludf.DUMMYFUNCTION("GOOGLETRANSLATE(B3953,""en"",""ja"")"),"透明度")</f>
        <v>透明度</v>
      </c>
    </row>
    <row r="3918" spans="1:3" ht="18" customHeight="1" x14ac:dyDescent="0.3">
      <c r="A3918" s="1">
        <v>6</v>
      </c>
      <c r="B3918" s="1" t="s">
        <v>3193</v>
      </c>
      <c r="C3918" s="1" t="str">
        <f ca="1">IFERROR(__xludf.DUMMYFUNCTION("GOOGLETRANSLATE(B3954,""en"",""ja"")"),"送信")</f>
        <v>送信</v>
      </c>
    </row>
    <row r="3919" spans="1:3" ht="18" customHeight="1" x14ac:dyDescent="0.3">
      <c r="A3919" s="1">
        <v>6</v>
      </c>
      <c r="B3919" s="1" t="s">
        <v>3194</v>
      </c>
      <c r="C3919" s="1" t="str">
        <f ca="1">IFERROR(__xludf.DUMMYFUNCTION("GOOGLETRANSLATE(B3955,""en"",""ja"")"),"トランジション")</f>
        <v>トランジション</v>
      </c>
    </row>
    <row r="3920" spans="1:3" ht="18" customHeight="1" x14ac:dyDescent="0.3">
      <c r="A3920" s="1">
        <v>6</v>
      </c>
      <c r="B3920" s="1" t="s">
        <v>3195</v>
      </c>
      <c r="C3920" s="1" t="str">
        <f ca="1">IFERROR(__xludf.DUMMYFUNCTION("GOOGLETRANSLATE(B3956,""en"",""ja"")"),"変革")</f>
        <v>変革</v>
      </c>
    </row>
    <row r="3921" spans="1:3" ht="18" customHeight="1" x14ac:dyDescent="0.3">
      <c r="A3921" s="1">
        <v>6</v>
      </c>
      <c r="B3921" s="1" t="s">
        <v>3196</v>
      </c>
      <c r="C3921" s="1" t="str">
        <f ca="1">IFERROR(__xludf.DUMMYFUNCTION("GOOGLETRANSLATE(B3957,""en"",""ja"")"),"変換")</f>
        <v>変換</v>
      </c>
    </row>
    <row r="3922" spans="1:3" ht="18" customHeight="1" x14ac:dyDescent="0.3">
      <c r="A3922" s="1">
        <v>6</v>
      </c>
      <c r="B3922" s="1" t="s">
        <v>2271</v>
      </c>
      <c r="C3922" s="1" t="str">
        <f ca="1">IFERROR(__xludf.DUMMYFUNCTION("GOOGLETRANSLATE(B3958,""en"",""ja"")"),"追跡")</f>
        <v>追跡</v>
      </c>
    </row>
    <row r="3923" spans="1:3" ht="18" customHeight="1" x14ac:dyDescent="0.3">
      <c r="A3923" s="1">
        <v>6</v>
      </c>
      <c r="B3923" s="1" t="s">
        <v>1095</v>
      </c>
      <c r="C3923" s="1" t="str">
        <f ca="1">IFERROR(__xludf.DUMMYFUNCTION("GOOGLETRANSLATE(B3959,""en"",""ja"")"),"向かって")</f>
        <v>向かって</v>
      </c>
    </row>
    <row r="3924" spans="1:3" ht="18" customHeight="1" x14ac:dyDescent="0.3">
      <c r="A3924" s="1">
        <v>6</v>
      </c>
      <c r="B3924" s="1" t="s">
        <v>3197</v>
      </c>
      <c r="C3924" s="1" t="str">
        <f ca="1">IFERROR(__xludf.DUMMYFUNCTION("GOOGLETRANSLATE(B3960,""en"",""ja"")"),"ツーリスト")</f>
        <v>ツーリスト</v>
      </c>
    </row>
    <row r="3925" spans="1:3" ht="18" customHeight="1" x14ac:dyDescent="0.3">
      <c r="A3925" s="1">
        <v>6</v>
      </c>
      <c r="B3925" s="1" t="s">
        <v>3198</v>
      </c>
      <c r="C3925" s="1" t="str">
        <f ca="1">IFERROR(__xludf.DUMMYFUNCTION("GOOGLETRANSLATE(B3961,""en"",""ja"")"),"提供するよう")</f>
        <v>提供するよう</v>
      </c>
    </row>
    <row r="3926" spans="1:3" ht="18" customHeight="1" x14ac:dyDescent="0.3">
      <c r="A3926" s="1">
        <v>6</v>
      </c>
      <c r="B3926" s="1" t="s">
        <v>3199</v>
      </c>
      <c r="C3926" s="1" t="str">
        <f ca="1">IFERROR(__xludf.DUMMYFUNCTION("GOOGLETRANSLATE(B3962,""en"",""ja"")"),"トピック")</f>
        <v>トピック</v>
      </c>
    </row>
    <row r="3927" spans="1:3" ht="18" customHeight="1" x14ac:dyDescent="0.3">
      <c r="A3927" s="1">
        <v>6</v>
      </c>
      <c r="B3927" s="1" t="s">
        <v>3200</v>
      </c>
      <c r="C3927" s="1" t="str">
        <f ca="1">IFERROR(__xludf.DUMMYFUNCTION("GOOGLETRANSLATE(B3963,""en"",""ja"")"),"トーン")</f>
        <v>トーン</v>
      </c>
    </row>
    <row r="3928" spans="1:3" ht="18" customHeight="1" x14ac:dyDescent="0.3">
      <c r="A3928" s="1">
        <v>6</v>
      </c>
      <c r="B3928" s="1" t="s">
        <v>544</v>
      </c>
      <c r="C3928" s="1" t="str">
        <f ca="1">IFERROR(__xludf.DUMMYFUNCTION("GOOGLETRANSLATE(B3964,""en"",""ja"")"),"一緒")</f>
        <v>一緒</v>
      </c>
    </row>
    <row r="3929" spans="1:3" ht="18" customHeight="1" x14ac:dyDescent="0.3">
      <c r="A3929" s="1">
        <v>6</v>
      </c>
      <c r="B3929" s="1" t="s">
        <v>3201</v>
      </c>
      <c r="C3929" s="1" t="str">
        <f ca="1">IFERROR(__xludf.DUMMYFUNCTION("GOOGLETRANSLATE(B3965,""en"",""ja"")"),"しっかり")</f>
        <v>しっかり</v>
      </c>
    </row>
    <row r="3930" spans="1:3" ht="18" customHeight="1" x14ac:dyDescent="0.3">
      <c r="A3930" s="1">
        <v>6</v>
      </c>
      <c r="B3930" s="1" t="s">
        <v>3202</v>
      </c>
      <c r="C3930" s="1" t="str">
        <f ca="1">IFERROR(__xludf.DUMMYFUNCTION("GOOGLETRANSLATE(B3966,""en"",""ja"")"),"スロー")</f>
        <v>スロー</v>
      </c>
    </row>
    <row r="3931" spans="1:3" ht="18" customHeight="1" x14ac:dyDescent="0.3">
      <c r="A3931" s="1">
        <v>6</v>
      </c>
      <c r="B3931" s="1" t="s">
        <v>25</v>
      </c>
      <c r="C3931" s="1" t="str">
        <f ca="1">IFERROR(__xludf.DUMMYFUNCTION("GOOGLETRANSLATE(B3967,""en"",""ja"")"),"彼ら")</f>
        <v>彼ら</v>
      </c>
    </row>
    <row r="3932" spans="1:3" ht="18" customHeight="1" x14ac:dyDescent="0.3">
      <c r="A3932" s="1">
        <v>6</v>
      </c>
      <c r="B3932" s="1" t="s">
        <v>3203</v>
      </c>
      <c r="C3932" s="1" t="str">
        <f ca="1">IFERROR(__xludf.DUMMYFUNCTION("GOOGLETRANSLATE(B3968,""en"",""ja"")"),"神学")</f>
        <v>神学</v>
      </c>
    </row>
    <row r="3933" spans="1:3" ht="18" customHeight="1" x14ac:dyDescent="0.3">
      <c r="A3933" s="1">
        <v>6</v>
      </c>
      <c r="B3933" s="1" t="s">
        <v>3204</v>
      </c>
      <c r="C3933" s="1" t="str">
        <f ca="1">IFERROR(__xludf.DUMMYFUNCTION("GOOGLETRANSLATE(B3969,""en"",""ja"")"),"テーマ")</f>
        <v>テーマ</v>
      </c>
    </row>
    <row r="3934" spans="1:3" ht="18" customHeight="1" x14ac:dyDescent="0.3">
      <c r="A3934" s="1">
        <v>6</v>
      </c>
      <c r="B3934" s="1" t="s">
        <v>3205</v>
      </c>
      <c r="C3934" s="1" t="str">
        <f ca="1">IFERROR(__xludf.DUMMYFUNCTION("GOOGLETRANSLATE(B3970,""en"",""ja"")"),"劇場")</f>
        <v>劇場</v>
      </c>
    </row>
    <row r="3935" spans="1:3" ht="18" customHeight="1" x14ac:dyDescent="0.3">
      <c r="A3935" s="1">
        <v>6</v>
      </c>
      <c r="B3935" s="1" t="s">
        <v>3206</v>
      </c>
      <c r="C3935" s="1" t="str">
        <f ca="1">IFERROR(__xludf.DUMMYFUNCTION("GOOGLETRANSLATE(B3971,""en"",""ja"")"),"領土の")</f>
        <v>領土の</v>
      </c>
    </row>
    <row r="3936" spans="1:3" ht="18" customHeight="1" x14ac:dyDescent="0.3">
      <c r="A3936" s="1">
        <v>6</v>
      </c>
      <c r="B3936" s="1" t="s">
        <v>2866</v>
      </c>
      <c r="C3936" s="1" t="str">
        <f ca="1">IFERROR(__xludf.DUMMYFUNCTION("GOOGLETRANSLATE(B3972,""en"",""ja"")"),"用語")</f>
        <v>用語</v>
      </c>
    </row>
    <row r="3937" spans="1:3" ht="18" customHeight="1" x14ac:dyDescent="0.3">
      <c r="A3937" s="1">
        <v>6</v>
      </c>
      <c r="B3937" s="1" t="s">
        <v>3207</v>
      </c>
      <c r="C3937" s="1" t="str">
        <f ca="1">IFERROR(__xludf.DUMMYFUNCTION("GOOGLETRANSLATE(B3973,""en"",""ja"")"),"緊張")</f>
        <v>緊張</v>
      </c>
    </row>
    <row r="3938" spans="1:3" ht="18" customHeight="1" x14ac:dyDescent="0.3">
      <c r="A3938" s="1">
        <v>6</v>
      </c>
      <c r="B3938" s="1" t="s">
        <v>928</v>
      </c>
      <c r="C3938" s="1" t="str">
        <f ca="1">IFERROR(__xludf.DUMMYFUNCTION("GOOGLETRANSLATE(B3974,""en"",""ja"")"),"十")</f>
        <v>十</v>
      </c>
    </row>
    <row r="3939" spans="1:3" ht="18" customHeight="1" x14ac:dyDescent="0.3">
      <c r="A3939" s="1">
        <v>6</v>
      </c>
      <c r="B3939" s="1" t="s">
        <v>3208</v>
      </c>
      <c r="C3939" s="1" t="str">
        <f ca="1">IFERROR(__xludf.DUMMYFUNCTION("GOOGLETRANSLATE(B3975,""en"",""ja"")"),"誘惑")</f>
        <v>誘惑</v>
      </c>
    </row>
    <row r="3940" spans="1:3" ht="18" customHeight="1" x14ac:dyDescent="0.3">
      <c r="A3940" s="1">
        <v>6</v>
      </c>
      <c r="B3940" s="1" t="s">
        <v>3209</v>
      </c>
      <c r="C3940" s="1" t="str">
        <f ca="1">IFERROR(__xludf.DUMMYFUNCTION("GOOGLETRANSLATE(B3976,""en"",""ja"")"),"そそります")</f>
        <v>そそります</v>
      </c>
    </row>
    <row r="3941" spans="1:3" ht="18" customHeight="1" x14ac:dyDescent="0.3">
      <c r="A3941" s="1">
        <v>6</v>
      </c>
      <c r="B3941" s="1" t="s">
        <v>3210</v>
      </c>
      <c r="C3941" s="1" t="str">
        <f ca="1">IFERROR(__xludf.DUMMYFUNCTION("GOOGLETRANSLATE(B3977,""en"",""ja"")"),"味")</f>
        <v>味</v>
      </c>
    </row>
    <row r="3942" spans="1:3" ht="18" customHeight="1" x14ac:dyDescent="0.3">
      <c r="A3942" s="1">
        <v>6</v>
      </c>
      <c r="B3942" s="1" t="s">
        <v>1321</v>
      </c>
      <c r="C3942" s="1" t="str">
        <f ca="1">IFERROR(__xludf.DUMMYFUNCTION("GOOGLETRANSLATE(B3978,""en"",""ja"")"),"才能")</f>
        <v>才能</v>
      </c>
    </row>
    <row r="3943" spans="1:3" ht="18" customHeight="1" x14ac:dyDescent="0.3">
      <c r="A3943" s="1">
        <v>6</v>
      </c>
      <c r="B3943" s="1" t="s">
        <v>3211</v>
      </c>
      <c r="C3943" s="1" t="str">
        <f ca="1">IFERROR(__xludf.DUMMYFUNCTION("GOOGLETRANSLATE(B3979,""en"",""ja"")"),"タックル")</f>
        <v>タックル</v>
      </c>
    </row>
    <row r="3944" spans="1:3" ht="18" customHeight="1" x14ac:dyDescent="0.3">
      <c r="A3944" s="1">
        <v>6</v>
      </c>
      <c r="B3944" s="1" t="s">
        <v>3212</v>
      </c>
      <c r="C3944" s="1" t="str">
        <f ca="1">IFERROR(__xludf.DUMMYFUNCTION("GOOGLETRANSLATE(B3980,""en"",""ja"")"),"シンジケート")</f>
        <v>シンジケート</v>
      </c>
    </row>
    <row r="3945" spans="1:3" ht="18" customHeight="1" x14ac:dyDescent="0.3">
      <c r="A3945" s="1">
        <v>6</v>
      </c>
      <c r="B3945" s="1" t="s">
        <v>3213</v>
      </c>
      <c r="C3945" s="1" t="str">
        <f ca="1">IFERROR(__xludf.DUMMYFUNCTION("GOOGLETRANSLATE(B3981,""en"",""ja"")"),"切り替え")</f>
        <v>切り替え</v>
      </c>
    </row>
    <row r="3946" spans="1:3" ht="18" customHeight="1" x14ac:dyDescent="0.3">
      <c r="A3946" s="1">
        <v>6</v>
      </c>
      <c r="B3946" s="1" t="s">
        <v>3214</v>
      </c>
      <c r="C3946" s="1" t="str">
        <f ca="1">IFERROR(__xludf.DUMMYFUNCTION("GOOGLETRANSLATE(B3982,""en"",""ja"")"),"サステイン")</f>
        <v>サステイン</v>
      </c>
    </row>
    <row r="3947" spans="1:3" ht="18" customHeight="1" x14ac:dyDescent="0.3">
      <c r="A3947" s="1">
        <v>6</v>
      </c>
      <c r="B3947" s="1" t="s">
        <v>3215</v>
      </c>
      <c r="C3947" s="1" t="str">
        <f ca="1">IFERROR(__xludf.DUMMYFUNCTION("GOOGLETRANSLATE(B3983,""en"",""ja"")"),"surveiller")</f>
        <v>surveiller</v>
      </c>
    </row>
    <row r="3948" spans="1:3" ht="18" customHeight="1" x14ac:dyDescent="0.3">
      <c r="A3948" s="1">
        <v>6</v>
      </c>
      <c r="B3948" s="1" t="s">
        <v>3216</v>
      </c>
      <c r="C3948" s="1" t="str">
        <f ca="1">IFERROR(__xludf.DUMMYFUNCTION("GOOGLETRANSLATE(B3984,""en"",""ja"")"),"周囲")</f>
        <v>周囲</v>
      </c>
    </row>
    <row r="3949" spans="1:3" ht="18" customHeight="1" x14ac:dyDescent="0.3">
      <c r="A3949" s="1">
        <v>6</v>
      </c>
      <c r="B3949" s="1" t="s">
        <v>3217</v>
      </c>
      <c r="C3949" s="1" t="str">
        <f ca="1">IFERROR(__xludf.DUMMYFUNCTION("GOOGLETRANSLATE(B3985,""en"",""ja"")"),"サポーター")</f>
        <v>サポーター</v>
      </c>
    </row>
    <row r="3950" spans="1:3" ht="18" customHeight="1" x14ac:dyDescent="0.3">
      <c r="A3950" s="1">
        <v>6</v>
      </c>
      <c r="B3950" s="1" t="s">
        <v>3218</v>
      </c>
      <c r="C3950" s="1" t="str">
        <f ca="1">IFERROR(__xludf.DUMMYFUNCTION("GOOGLETRANSLATE(B3986,""en"",""ja"")"),"用品")</f>
        <v>用品</v>
      </c>
    </row>
    <row r="3951" spans="1:3" ht="18" customHeight="1" x14ac:dyDescent="0.3">
      <c r="A3951" s="1">
        <v>6</v>
      </c>
      <c r="B3951" s="1" t="s">
        <v>2039</v>
      </c>
      <c r="C3951" s="1" t="str">
        <f ca="1">IFERROR(__xludf.DUMMYFUNCTION("GOOGLETRANSLATE(B3987,""en"",""ja"")"),"優れました")</f>
        <v>優れました</v>
      </c>
    </row>
    <row r="3952" spans="1:3" ht="18" customHeight="1" x14ac:dyDescent="0.3">
      <c r="A3952" s="1">
        <v>6</v>
      </c>
      <c r="B3952" s="1" t="s">
        <v>3219</v>
      </c>
      <c r="C3952" s="1" t="str">
        <f ca="1">IFERROR(__xludf.DUMMYFUNCTION("GOOGLETRANSLATE(B3988,""en"",""ja"")"),"素晴らしい")</f>
        <v>素晴らしい</v>
      </c>
    </row>
    <row r="3953" spans="1:3" ht="18" customHeight="1" x14ac:dyDescent="0.3">
      <c r="A3953" s="1">
        <v>6</v>
      </c>
      <c r="B3953" s="1" t="s">
        <v>3220</v>
      </c>
      <c r="C3953" s="1" t="str">
        <f ca="1">IFERROR(__xludf.DUMMYFUNCTION("GOOGLETRANSLATE(B3989,""en"",""ja"")"),"辟易")</f>
        <v>辟易</v>
      </c>
    </row>
    <row r="3954" spans="1:3" ht="18" customHeight="1" x14ac:dyDescent="0.3">
      <c r="A3954" s="1">
        <v>6</v>
      </c>
      <c r="B3954" s="1" t="s">
        <v>3221</v>
      </c>
      <c r="C3954" s="1" t="str">
        <f ca="1">IFERROR(__xludf.DUMMYFUNCTION("GOOGLETRANSLATE(B3990,""en"",""ja"")"),"生存")</f>
        <v>生存</v>
      </c>
    </row>
    <row r="3955" spans="1:3" ht="18" customHeight="1" x14ac:dyDescent="0.3">
      <c r="A3955" s="1">
        <v>6</v>
      </c>
      <c r="B3955" s="1" t="s">
        <v>3222</v>
      </c>
      <c r="C3955" s="1" t="str">
        <f ca="1">IFERROR(__xludf.DUMMYFUNCTION("GOOGLETRANSLATE(B3991,""en"",""ja"")"),"補助金")</f>
        <v>補助金</v>
      </c>
    </row>
    <row r="3956" spans="1:3" ht="18" customHeight="1" x14ac:dyDescent="0.3">
      <c r="A3956" s="1">
        <v>6</v>
      </c>
      <c r="B3956" s="1" t="s">
        <v>3223</v>
      </c>
      <c r="C3956" s="1" t="str">
        <f ca="1">IFERROR(__xludf.DUMMYFUNCTION("GOOGLETRANSLATE(B3992,""en"",""ja"")"),"主観")</f>
        <v>主観</v>
      </c>
    </row>
    <row r="3957" spans="1:3" ht="18" customHeight="1" x14ac:dyDescent="0.3">
      <c r="A3957" s="1">
        <v>6</v>
      </c>
      <c r="B3957" s="1" t="s">
        <v>3224</v>
      </c>
      <c r="C3957" s="1" t="str">
        <f ca="1">IFERROR(__xludf.DUMMYFUNCTION("GOOGLETRANSLATE(B3993,""en"",""ja"")"),"潜在意識")</f>
        <v>潜在意識</v>
      </c>
    </row>
    <row r="3958" spans="1:3" ht="18" customHeight="1" x14ac:dyDescent="0.3">
      <c r="A3958" s="1">
        <v>6</v>
      </c>
      <c r="B3958" s="1" t="s">
        <v>3225</v>
      </c>
      <c r="C3958" s="1" t="str">
        <f ca="1">IFERROR(__xludf.DUMMYFUNCTION("GOOGLETRANSLATE(B3994,""en"",""ja"")"),"ベビーカー")</f>
        <v>ベビーカー</v>
      </c>
    </row>
    <row r="3959" spans="1:3" ht="18" customHeight="1" x14ac:dyDescent="0.3">
      <c r="A3959" s="1">
        <v>6</v>
      </c>
      <c r="B3959" s="1" t="s">
        <v>3226</v>
      </c>
      <c r="C3959" s="1" t="str">
        <f ca="1">IFERROR(__xludf.DUMMYFUNCTION("GOOGLETRANSLATE(B3995,""en"",""ja"")"),"努力")</f>
        <v>努力</v>
      </c>
    </row>
    <row r="3960" spans="1:3" ht="18" customHeight="1" x14ac:dyDescent="0.3">
      <c r="A3960" s="1">
        <v>6</v>
      </c>
      <c r="B3960" s="1" t="s">
        <v>3227</v>
      </c>
      <c r="C3960" s="1" t="str">
        <f ca="1">IFERROR(__xludf.DUMMYFUNCTION("GOOGLETRANSLATE(B3996,""en"",""ja"")"),"厳密に")</f>
        <v>厳密に</v>
      </c>
    </row>
    <row r="3961" spans="1:3" ht="18" customHeight="1" x14ac:dyDescent="0.3">
      <c r="A3961" s="1">
        <v>6</v>
      </c>
      <c r="B3961" s="1" t="s">
        <v>1414</v>
      </c>
      <c r="C3961" s="1" t="str">
        <f ca="1">IFERROR(__xludf.DUMMYFUNCTION("GOOGLETRANSLATE(B3997,""en"",""ja"")"),"通り")</f>
        <v>通り</v>
      </c>
    </row>
    <row r="3962" spans="1:3" ht="18" customHeight="1" x14ac:dyDescent="0.3">
      <c r="A3962" s="1">
        <v>6</v>
      </c>
      <c r="B3962" s="1" t="s">
        <v>3228</v>
      </c>
      <c r="C3962" s="1" t="str">
        <f ca="1">IFERROR(__xludf.DUMMYFUNCTION("GOOGLETRANSLATE(B3998,""en"",""ja"")"),"ストーリー")</f>
        <v>ストーリー</v>
      </c>
    </row>
    <row r="3963" spans="1:3" ht="18" customHeight="1" x14ac:dyDescent="0.3">
      <c r="A3963" s="1">
        <v>6</v>
      </c>
      <c r="B3963" s="1" t="s">
        <v>3229</v>
      </c>
      <c r="C3963" s="1" t="str">
        <f ca="1">IFERROR(__xludf.DUMMYFUNCTION("GOOGLETRANSLATE(B3999,""en"",""ja"")"),"停止")</f>
        <v>停止</v>
      </c>
    </row>
    <row r="3964" spans="1:3" ht="18" customHeight="1" x14ac:dyDescent="0.3">
      <c r="A3964" s="1">
        <v>6</v>
      </c>
      <c r="B3964" s="1" t="s">
        <v>3230</v>
      </c>
      <c r="C3964" s="1" t="str">
        <f ca="1">IFERROR(__xludf.DUMMYFUNCTION("GOOGLETRANSLATE(B4000,""en"",""ja"")"),"針魚")</f>
        <v>針魚</v>
      </c>
    </row>
    <row r="3965" spans="1:3" ht="18" customHeight="1" x14ac:dyDescent="0.3">
      <c r="A3965" s="1">
        <v>6</v>
      </c>
      <c r="B3965" s="1" t="s">
        <v>3231</v>
      </c>
      <c r="C3965" s="1" t="str">
        <f ca="1">IFERROR(__xludf.DUMMYFUNCTION("GOOGLETRANSLATE(B4001,""en"",""ja"")"),"ステップ")</f>
        <v>ステップ</v>
      </c>
    </row>
    <row r="3966" spans="1:3" ht="18" customHeight="1" x14ac:dyDescent="0.3">
      <c r="A3966" s="1">
        <v>6</v>
      </c>
      <c r="B3966" s="1" t="s">
        <v>3232</v>
      </c>
      <c r="C3966" s="1" t="str">
        <f ca="1">IFERROR(__xludf.DUMMYFUNCTION("GOOGLETRANSLATE(B4002,""en"",""ja"")"),"茎")</f>
        <v>茎</v>
      </c>
    </row>
    <row r="3967" spans="1:3" ht="18" customHeight="1" x14ac:dyDescent="0.3">
      <c r="A3967" s="1">
        <v>6</v>
      </c>
      <c r="B3967" s="1" t="s">
        <v>3233</v>
      </c>
      <c r="C3967" s="1" t="str">
        <f ca="1">IFERROR(__xludf.DUMMYFUNCTION("GOOGLETRANSLATE(B4003,""en"",""ja"")"),"鋼")</f>
        <v>鋼</v>
      </c>
    </row>
    <row r="3968" spans="1:3" ht="18" customHeight="1" x14ac:dyDescent="0.3">
      <c r="A3968" s="1">
        <v>6</v>
      </c>
      <c r="B3968" s="1" t="s">
        <v>3234</v>
      </c>
      <c r="C3968" s="1" t="str">
        <f ca="1">IFERROR(__xludf.DUMMYFUNCTION("GOOGLETRANSLATE(B4004,""en"",""ja"")"),"飢え")</f>
        <v>飢え</v>
      </c>
    </row>
    <row r="3969" spans="1:3" ht="18" customHeight="1" x14ac:dyDescent="0.3">
      <c r="A3969" s="1">
        <v>6</v>
      </c>
      <c r="B3969" s="1" t="s">
        <v>3235</v>
      </c>
      <c r="C3969" s="1" t="str">
        <f ca="1">IFERROR(__xludf.DUMMYFUNCTION("GOOGLETRANSLATE(B4005,""en"",""ja"")"),"スプリング")</f>
        <v>スプリング</v>
      </c>
    </row>
    <row r="3970" spans="1:3" ht="18" customHeight="1" x14ac:dyDescent="0.3">
      <c r="A3970" s="1">
        <v>6</v>
      </c>
      <c r="B3970" s="1" t="s">
        <v>3236</v>
      </c>
      <c r="C3970" s="1" t="str">
        <f ca="1">IFERROR(__xludf.DUMMYFUNCTION("GOOGLETRANSLATE(B4006,""en"",""ja"")"),"春")</f>
        <v>春</v>
      </c>
    </row>
    <row r="3971" spans="1:3" ht="18" customHeight="1" x14ac:dyDescent="0.3">
      <c r="A3971" s="1">
        <v>6</v>
      </c>
      <c r="B3971" s="1" t="s">
        <v>3237</v>
      </c>
      <c r="C3971" s="1" t="str">
        <f ca="1">IFERROR(__xludf.DUMMYFUNCTION("GOOGLETRANSLATE(B4007,""en"",""ja"")"),"主催")</f>
        <v>主催</v>
      </c>
    </row>
    <row r="3972" spans="1:3" ht="18" customHeight="1" x14ac:dyDescent="0.3">
      <c r="A3972" s="1">
        <v>6</v>
      </c>
      <c r="B3972" s="1" t="s">
        <v>3238</v>
      </c>
      <c r="C3972" s="1" t="str">
        <f ca="1">IFERROR(__xludf.DUMMYFUNCTION("GOOGLETRANSLATE(B4008,""en"",""ja"")"),"話した")</f>
        <v>話した</v>
      </c>
    </row>
    <row r="3973" spans="1:3" ht="18" customHeight="1" x14ac:dyDescent="0.3">
      <c r="A3973" s="1">
        <v>6</v>
      </c>
      <c r="B3973" s="1" t="s">
        <v>3239</v>
      </c>
      <c r="C3973" s="1" t="str">
        <f ca="1">IFERROR(__xludf.DUMMYFUNCTION("GOOGLETRANSLATE(B4009,""en"",""ja"")"),"スピルバーグ")</f>
        <v>スピルバーグ</v>
      </c>
    </row>
    <row r="3974" spans="1:3" ht="18" customHeight="1" x14ac:dyDescent="0.3">
      <c r="A3974" s="1">
        <v>6</v>
      </c>
      <c r="B3974" s="1" t="s">
        <v>3240</v>
      </c>
      <c r="C3974" s="1" t="str">
        <f ca="1">IFERROR(__xludf.DUMMYFUNCTION("GOOGLETRANSLATE(B4010,""en"",""ja"")"),"妖怪")</f>
        <v>妖怪</v>
      </c>
    </row>
    <row r="3975" spans="1:3" ht="18" customHeight="1" x14ac:dyDescent="0.3">
      <c r="A3975" s="1">
        <v>6</v>
      </c>
      <c r="B3975" s="1" t="s">
        <v>3241</v>
      </c>
      <c r="C3975" s="1" t="str">
        <f ca="1">IFERROR(__xludf.DUMMYFUNCTION("GOOGLETRANSLATE(B4011,""en"",""ja"")"),"仕様")</f>
        <v>仕様</v>
      </c>
    </row>
    <row r="3976" spans="1:3" ht="18" customHeight="1" x14ac:dyDescent="0.3">
      <c r="A3976" s="1">
        <v>6</v>
      </c>
      <c r="B3976" s="1" t="s">
        <v>2542</v>
      </c>
      <c r="C3976" s="1" t="str">
        <f ca="1">IFERROR(__xludf.DUMMYFUNCTION("GOOGLETRANSLATE(B4012,""en"",""ja"")"),"スペイン")</f>
        <v>スペイン</v>
      </c>
    </row>
    <row r="3977" spans="1:3" ht="18" customHeight="1" x14ac:dyDescent="0.3">
      <c r="A3977" s="1">
        <v>6</v>
      </c>
      <c r="B3977" s="1" t="s">
        <v>3242</v>
      </c>
      <c r="C3977" s="1" t="str">
        <f ca="1">IFERROR(__xludf.DUMMYFUNCTION("GOOGLETRANSLATE(B4013,""en"",""ja"")"),"悲しみ")</f>
        <v>悲しみ</v>
      </c>
    </row>
    <row r="3978" spans="1:3" ht="18" customHeight="1" x14ac:dyDescent="0.3">
      <c r="A3978" s="1">
        <v>6</v>
      </c>
      <c r="B3978" s="1" t="s">
        <v>3243</v>
      </c>
      <c r="C3978" s="1" t="str">
        <f ca="1">IFERROR(__xludf.DUMMYFUNCTION("GOOGLETRANSLATE(B4014,""en"",""ja"")"),"いつか")</f>
        <v>いつか</v>
      </c>
    </row>
    <row r="3979" spans="1:3" ht="18" customHeight="1" x14ac:dyDescent="0.3">
      <c r="A3979" s="1">
        <v>6</v>
      </c>
      <c r="B3979" s="1" t="s">
        <v>1418</v>
      </c>
      <c r="C3979" s="1" t="str">
        <f ca="1">IFERROR(__xludf.DUMMYFUNCTION("GOOGLETRANSLATE(B4015,""en"",""ja"")"),"解決する")</f>
        <v>解決する</v>
      </c>
    </row>
    <row r="3980" spans="1:3" ht="18" customHeight="1" x14ac:dyDescent="0.3">
      <c r="A3980" s="1">
        <v>6</v>
      </c>
      <c r="B3980" s="1" t="s">
        <v>3244</v>
      </c>
      <c r="C3980" s="1" t="str">
        <f ca="1">IFERROR(__xludf.DUMMYFUNCTION("GOOGLETRANSLATE(B4016,""en"",""ja"")"),"単に")</f>
        <v>単に</v>
      </c>
    </row>
    <row r="3981" spans="1:3" ht="18" customHeight="1" x14ac:dyDescent="0.3">
      <c r="A3981" s="1">
        <v>6</v>
      </c>
      <c r="B3981" s="1" t="s">
        <v>3245</v>
      </c>
      <c r="C3981" s="1" t="str">
        <f ca="1">IFERROR(__xludf.DUMMYFUNCTION("GOOGLETRANSLATE(B4017,""en"",""ja"")"),"肌")</f>
        <v>肌</v>
      </c>
    </row>
    <row r="3982" spans="1:3" ht="18" customHeight="1" x14ac:dyDescent="0.3">
      <c r="A3982" s="1">
        <v>6</v>
      </c>
      <c r="B3982" s="1" t="s">
        <v>3246</v>
      </c>
      <c r="C3982" s="1" t="str">
        <f ca="1">IFERROR(__xludf.DUMMYFUNCTION("GOOGLETRANSLATE(B4018,""en"",""ja"")"),"習熟")</f>
        <v>習熟</v>
      </c>
    </row>
    <row r="3983" spans="1:3" ht="18" customHeight="1" x14ac:dyDescent="0.3">
      <c r="A3983" s="1">
        <v>6</v>
      </c>
      <c r="B3983" s="1" t="s">
        <v>3247</v>
      </c>
      <c r="C3983" s="1" t="str">
        <f ca="1">IFERROR(__xludf.DUMMYFUNCTION("GOOGLETRANSLATE(B4019,""en"",""ja"")"),"疑い深いです")</f>
        <v>疑い深いです</v>
      </c>
    </row>
    <row r="3984" spans="1:3" ht="18" customHeight="1" x14ac:dyDescent="0.3">
      <c r="A3984" s="1">
        <v>6</v>
      </c>
      <c r="B3984" s="1" t="s">
        <v>1747</v>
      </c>
      <c r="C3984" s="1" t="str">
        <f ca="1">IFERROR(__xludf.DUMMYFUNCTION("GOOGLETRANSLATE(B4020,""en"",""ja"")"),"同時に")</f>
        <v>同時に</v>
      </c>
    </row>
    <row r="3985" spans="1:3" ht="18" customHeight="1" x14ac:dyDescent="0.3">
      <c r="A3985" s="1">
        <v>6</v>
      </c>
      <c r="B3985" s="1" t="s">
        <v>3248</v>
      </c>
      <c r="C3985" s="1" t="str">
        <f ca="1">IFERROR(__xludf.DUMMYFUNCTION("GOOGLETRANSLATE(B4021,""en"",""ja"")"),"サイン")</f>
        <v>サイン</v>
      </c>
    </row>
    <row r="3986" spans="1:3" ht="18" customHeight="1" x14ac:dyDescent="0.3">
      <c r="A3986" s="1">
        <v>6</v>
      </c>
      <c r="B3986" s="1" t="s">
        <v>3249</v>
      </c>
      <c r="C3986" s="1" t="str">
        <f ca="1">IFERROR(__xludf.DUMMYFUNCTION("GOOGLETRANSLATE(B4022,""en"",""ja"")"),"シグナリング")</f>
        <v>シグナリング</v>
      </c>
    </row>
    <row r="3987" spans="1:3" ht="18" customHeight="1" x14ac:dyDescent="0.3">
      <c r="A3987" s="1">
        <v>6</v>
      </c>
      <c r="B3987" s="1" t="s">
        <v>2892</v>
      </c>
      <c r="C3987" s="1" t="str">
        <f ca="1">IFERROR(__xludf.DUMMYFUNCTION("GOOGLETRANSLATE(B4023,""en"",""ja"")"),"視力")</f>
        <v>視力</v>
      </c>
    </row>
    <row r="3988" spans="1:3" ht="18" customHeight="1" x14ac:dyDescent="0.3">
      <c r="A3988" s="1">
        <v>6</v>
      </c>
      <c r="B3988" s="1" t="s">
        <v>3250</v>
      </c>
      <c r="C3988" s="1" t="str">
        <f ca="1">IFERROR(__xludf.DUMMYFUNCTION("GOOGLETRANSLATE(B4024,""en"",""ja"")"),"まもなく")</f>
        <v>まもなく</v>
      </c>
    </row>
    <row r="3989" spans="1:3" ht="18" customHeight="1" x14ac:dyDescent="0.3">
      <c r="A3989" s="1">
        <v>6</v>
      </c>
      <c r="B3989" s="1" t="s">
        <v>3251</v>
      </c>
      <c r="C3989" s="1" t="str">
        <f ca="1">IFERROR(__xludf.DUMMYFUNCTION("GOOGLETRANSLATE(B4025,""en"",""ja"")"),"靴")</f>
        <v>靴</v>
      </c>
    </row>
    <row r="3990" spans="1:3" ht="18" customHeight="1" x14ac:dyDescent="0.3">
      <c r="A3990" s="1">
        <v>6</v>
      </c>
      <c r="B3990" s="1" t="s">
        <v>3252</v>
      </c>
      <c r="C3990" s="1" t="str">
        <f ca="1">IFERROR(__xludf.DUMMYFUNCTION("GOOGLETRANSLATE(B4026,""en"",""ja"")"),"靴")</f>
        <v>靴</v>
      </c>
    </row>
    <row r="3991" spans="1:3" ht="18" customHeight="1" x14ac:dyDescent="0.3">
      <c r="A3991" s="1">
        <v>6</v>
      </c>
      <c r="B3991" s="1" t="s">
        <v>3253</v>
      </c>
      <c r="C3991" s="1" t="str">
        <f ca="1">IFERROR(__xludf.DUMMYFUNCTION("GOOGLETRANSLATE(B4027,""en"",""ja"")"),"ショック")</f>
        <v>ショック</v>
      </c>
    </row>
    <row r="3992" spans="1:3" ht="18" customHeight="1" x14ac:dyDescent="0.3">
      <c r="A3992" s="1">
        <v>6</v>
      </c>
      <c r="B3992" s="1" t="s">
        <v>3254</v>
      </c>
      <c r="C3992" s="1" t="str">
        <f ca="1">IFERROR(__xludf.DUMMYFUNCTION("GOOGLETRANSLATE(B4029,""en"",""ja"")"),"シェル")</f>
        <v>シェル</v>
      </c>
    </row>
    <row r="3993" spans="1:3" ht="18" customHeight="1" x14ac:dyDescent="0.3">
      <c r="A3993" s="1">
        <v>6</v>
      </c>
      <c r="B3993" s="1" t="s">
        <v>3255</v>
      </c>
      <c r="C3993" s="1" t="str">
        <f ca="1">IFERROR(__xludf.DUMMYFUNCTION("GOOGLETRANSLATE(B4030,""en"",""ja"")"),"全くの")</f>
        <v>全くの</v>
      </c>
    </row>
    <row r="3994" spans="1:3" ht="18" customHeight="1" x14ac:dyDescent="0.3">
      <c r="A3994" s="1">
        <v>6</v>
      </c>
      <c r="B3994" s="1" t="s">
        <v>3256</v>
      </c>
      <c r="C3994" s="1" t="str">
        <f ca="1">IFERROR(__xludf.DUMMYFUNCTION("GOOGLETRANSLATE(B4031,""en"",""ja"")"),"シャープ")</f>
        <v>シャープ</v>
      </c>
    </row>
    <row r="3995" spans="1:3" ht="18" customHeight="1" x14ac:dyDescent="0.3">
      <c r="A3995" s="1">
        <v>6</v>
      </c>
      <c r="B3995" s="1" t="s">
        <v>3257</v>
      </c>
      <c r="C3995" s="1" t="str">
        <f ca="1">IFERROR(__xludf.DUMMYFUNCTION("GOOGLETRANSLATE(B4032,""en"",""ja"")"),"上海")</f>
        <v>上海</v>
      </c>
    </row>
    <row r="3996" spans="1:3" ht="18" customHeight="1" x14ac:dyDescent="0.3">
      <c r="A3996" s="1">
        <v>6</v>
      </c>
      <c r="B3996" s="1" t="s">
        <v>3258</v>
      </c>
      <c r="C3996" s="1" t="str">
        <f ca="1">IFERROR(__xludf.DUMMYFUNCTION("GOOGLETRANSLATE(B4033,""en"",""ja"")"),"浅い")</f>
        <v>浅い</v>
      </c>
    </row>
    <row r="3997" spans="1:3" ht="18" customHeight="1" x14ac:dyDescent="0.3">
      <c r="A3997" s="1">
        <v>6</v>
      </c>
      <c r="B3997" s="1" t="s">
        <v>3259</v>
      </c>
      <c r="C3997" s="1" t="str">
        <f ca="1">IFERROR(__xludf.DUMMYFUNCTION("GOOGLETRANSLATE(B4034,""en"",""ja"")"),"シェード")</f>
        <v>シェード</v>
      </c>
    </row>
    <row r="3998" spans="1:3" ht="18" customHeight="1" x14ac:dyDescent="0.3">
      <c r="A3998" s="1">
        <v>6</v>
      </c>
      <c r="B3998" s="1" t="s">
        <v>933</v>
      </c>
      <c r="C3998" s="1" t="str">
        <f ca="1">IFERROR(__xludf.DUMMYFUNCTION("GOOGLETRANSLATE(B4035,""en"",""ja"")"),"サーブ")</f>
        <v>サーブ</v>
      </c>
    </row>
    <row r="3999" spans="1:3" ht="18" customHeight="1" x14ac:dyDescent="0.3">
      <c r="A3999" s="1">
        <v>6</v>
      </c>
      <c r="B3999" s="1" t="s">
        <v>3260</v>
      </c>
      <c r="C3999" s="1" t="str">
        <f ca="1">IFERROR(__xludf.DUMMYFUNCTION("GOOGLETRANSLATE(B4036,""en"",""ja"")"),"蛇")</f>
        <v>蛇</v>
      </c>
    </row>
    <row r="4000" spans="1:3" ht="18" customHeight="1" x14ac:dyDescent="0.3">
      <c r="A4000" s="1">
        <v>6</v>
      </c>
      <c r="B4000" s="1" t="s">
        <v>3261</v>
      </c>
      <c r="C4000" s="1" t="str">
        <f ca="1">IFERROR(__xludf.DUMMYFUNCTION("GOOGLETRANSLATE(B4037,""en"",""ja"")"),"ひどく")</f>
        <v>ひどく</v>
      </c>
    </row>
    <row r="4001" spans="1:3" ht="18" customHeight="1" x14ac:dyDescent="0.3">
      <c r="A4001" s="1">
        <v>6</v>
      </c>
      <c r="B4001" s="1" t="s">
        <v>3262</v>
      </c>
      <c r="C4001" s="1" t="str">
        <f ca="1">IFERROR(__xludf.DUMMYFUNCTION("GOOGLETRANSLATE(B4038,""en"",""ja"")"),"文")</f>
        <v>文</v>
      </c>
    </row>
    <row r="4002" spans="1:3" ht="18" customHeight="1" x14ac:dyDescent="0.3">
      <c r="A4002" s="1">
        <v>6</v>
      </c>
      <c r="B4002" s="1" t="s">
        <v>3263</v>
      </c>
      <c r="C4002" s="1" t="str">
        <f ca="1">IFERROR(__xludf.DUMMYFUNCTION("GOOGLETRANSLATE(B4039,""en"",""ja"")"),"敏感")</f>
        <v>敏感</v>
      </c>
    </row>
    <row r="4003" spans="1:3" ht="18" customHeight="1" x14ac:dyDescent="0.3">
      <c r="A4003" s="1">
        <v>6</v>
      </c>
      <c r="B4003" s="1" t="s">
        <v>3264</v>
      </c>
      <c r="C4003" s="1" t="str">
        <f ca="1">IFERROR(__xludf.DUMMYFUNCTION("GOOGLETRANSLATE(B4040,""en"",""ja"")"),"感覚")</f>
        <v>感覚</v>
      </c>
    </row>
    <row r="4004" spans="1:3" ht="18" customHeight="1" x14ac:dyDescent="0.3">
      <c r="A4004" s="1">
        <v>6</v>
      </c>
      <c r="B4004" s="1" t="s">
        <v>3265</v>
      </c>
      <c r="C4004" s="1" t="str">
        <f ca="1">IFERROR(__xludf.DUMMYFUNCTION("GOOGLETRANSLATE(B4041,""en"",""ja"")"),"利己的")</f>
        <v>利己的</v>
      </c>
    </row>
    <row r="4005" spans="1:3" ht="18" customHeight="1" x14ac:dyDescent="0.3">
      <c r="A4005" s="1">
        <v>6</v>
      </c>
      <c r="B4005" s="1" t="s">
        <v>320</v>
      </c>
      <c r="C4005" s="1" t="str">
        <f ca="1">IFERROR(__xludf.DUMMYFUNCTION("GOOGLETRANSLATE(B4042,""en"",""ja"")"),"思われる")</f>
        <v>思われる</v>
      </c>
    </row>
    <row r="4006" spans="1:3" ht="18" customHeight="1" x14ac:dyDescent="0.3">
      <c r="A4006" s="1">
        <v>6</v>
      </c>
      <c r="B4006" s="1" t="s">
        <v>3266</v>
      </c>
      <c r="C4006" s="1" t="str">
        <f ca="1">IFERROR(__xludf.DUMMYFUNCTION("GOOGLETRANSLATE(B4043,""en"",""ja"")"),"堆積物")</f>
        <v>堆積物</v>
      </c>
    </row>
    <row r="4007" spans="1:3" ht="18" customHeight="1" x14ac:dyDescent="0.3">
      <c r="A4007" s="1">
        <v>6</v>
      </c>
      <c r="B4007" s="1" t="s">
        <v>3267</v>
      </c>
      <c r="C4007" s="1" t="str">
        <f ca="1">IFERROR(__xludf.DUMMYFUNCTION("GOOGLETRANSLATE(B4044,""en"",""ja"")"),"シーズン")</f>
        <v>シーズン</v>
      </c>
    </row>
    <row r="4008" spans="1:3" ht="18" customHeight="1" x14ac:dyDescent="0.3">
      <c r="A4008" s="1">
        <v>6</v>
      </c>
      <c r="B4008" s="1" t="s">
        <v>3268</v>
      </c>
      <c r="C4008" s="1" t="str">
        <f ca="1">IFERROR(__xludf.DUMMYFUNCTION("GOOGLETRANSLATE(B4045,""en"",""ja"")"),"学者")</f>
        <v>学者</v>
      </c>
    </row>
    <row r="4009" spans="1:3" ht="18" customHeight="1" x14ac:dyDescent="0.3">
      <c r="A4009" s="1">
        <v>6</v>
      </c>
      <c r="B4009" s="1" t="s">
        <v>3269</v>
      </c>
      <c r="C4009" s="1" t="str">
        <f ca="1">IFERROR(__xludf.DUMMYFUNCTION("GOOGLETRANSLATE(B4046,""en"",""ja"")"),"学問的")</f>
        <v>学問的</v>
      </c>
    </row>
    <row r="4010" spans="1:3" ht="18" customHeight="1" x14ac:dyDescent="0.3">
      <c r="A4010" s="1">
        <v>6</v>
      </c>
      <c r="B4010" s="1" t="s">
        <v>3270</v>
      </c>
      <c r="C4010" s="1" t="str">
        <f ca="1">IFERROR(__xludf.DUMMYFUNCTION("GOOGLETRANSLATE(B4047,""en"",""ja"")"),"散布")</f>
        <v>散布</v>
      </c>
    </row>
    <row r="4011" spans="1:3" ht="18" customHeight="1" x14ac:dyDescent="0.3">
      <c r="A4011" s="1">
        <v>6</v>
      </c>
      <c r="B4011" s="1" t="s">
        <v>3271</v>
      </c>
      <c r="C4011" s="1" t="str">
        <f ca="1">IFERROR(__xludf.DUMMYFUNCTION("GOOGLETRANSLATE(B4048,""en"",""ja"")"),"スケープゴート")</f>
        <v>スケープゴート</v>
      </c>
    </row>
    <row r="4012" spans="1:3" ht="18" customHeight="1" x14ac:dyDescent="0.3">
      <c r="A4012" s="1">
        <v>6</v>
      </c>
      <c r="B4012" s="1" t="s">
        <v>2299</v>
      </c>
      <c r="C4012" s="1" t="str">
        <f ca="1">IFERROR(__xludf.DUMMYFUNCTION("GOOGLETRANSLATE(B4049,""en"",""ja"")"),"セーブ")</f>
        <v>セーブ</v>
      </c>
    </row>
    <row r="4013" spans="1:3" ht="18" customHeight="1" x14ac:dyDescent="0.3">
      <c r="A4013" s="1">
        <v>6</v>
      </c>
      <c r="B4013" s="1" t="s">
        <v>3272</v>
      </c>
      <c r="C4013" s="1" t="str">
        <f ca="1">IFERROR(__xludf.DUMMYFUNCTION("GOOGLETRANSLATE(B4050,""en"",""ja"")"),"満足させる")</f>
        <v>満足させる</v>
      </c>
    </row>
    <row r="4014" spans="1:3" ht="18" customHeight="1" x14ac:dyDescent="0.3">
      <c r="A4014" s="1">
        <v>6</v>
      </c>
      <c r="B4014" s="1" t="s">
        <v>3273</v>
      </c>
      <c r="C4014" s="1" t="str">
        <f ca="1">IFERROR(__xludf.DUMMYFUNCTION("GOOGLETRANSLATE(B4051,""en"",""ja"")"),"顕著")</f>
        <v>顕著</v>
      </c>
    </row>
    <row r="4015" spans="1:3" ht="18" customHeight="1" x14ac:dyDescent="0.3">
      <c r="A4015" s="1">
        <v>6</v>
      </c>
      <c r="B4015" s="1" t="s">
        <v>3274</v>
      </c>
      <c r="C4015" s="1" t="str">
        <f ca="1">IFERROR(__xludf.DUMMYFUNCTION("GOOGLETRANSLATE(B4052,""en"",""ja"")"),"安全に")</f>
        <v>安全に</v>
      </c>
    </row>
    <row r="4016" spans="1:3" ht="18" customHeight="1" x14ac:dyDescent="0.3">
      <c r="A4016" s="1">
        <v>6</v>
      </c>
      <c r="B4016" s="1" t="s">
        <v>3275</v>
      </c>
      <c r="C4016" s="1" t="str">
        <f ca="1">IFERROR(__xludf.DUMMYFUNCTION("GOOGLETRANSLATE(B4053,""en"",""ja"")"),"ロシア")</f>
        <v>ロシア</v>
      </c>
    </row>
    <row r="4017" spans="1:3" ht="18" customHeight="1" x14ac:dyDescent="0.3">
      <c r="A4017" s="1">
        <v>6</v>
      </c>
      <c r="B4017" s="1" t="s">
        <v>2557</v>
      </c>
      <c r="C4017" s="1" t="str">
        <f ca="1">IFERROR(__xludf.DUMMYFUNCTION("GOOGLETRANSLATE(B4054,""en"",""ja"")"),"ロシア")</f>
        <v>ロシア</v>
      </c>
    </row>
    <row r="4018" spans="1:3" ht="18" customHeight="1" x14ac:dyDescent="0.3">
      <c r="A4018" s="1">
        <v>6</v>
      </c>
      <c r="B4018" s="1" t="s">
        <v>3276</v>
      </c>
      <c r="C4018" s="1" t="str">
        <f ca="1">IFERROR(__xludf.DUMMYFUNCTION("GOOGLETRANSLATE(B4055,""en"",""ja"")"),"ロビン")</f>
        <v>ロビン</v>
      </c>
    </row>
    <row r="4019" spans="1:3" ht="18" customHeight="1" x14ac:dyDescent="0.3">
      <c r="A4019" s="1">
        <v>6</v>
      </c>
      <c r="B4019" s="1" t="s">
        <v>3277</v>
      </c>
      <c r="C4019" s="1" t="str">
        <f ca="1">IFERROR(__xludf.DUMMYFUNCTION("GOOGLETRANSLATE(B4056,""en"",""ja"")"),"リスキーな")</f>
        <v>リスキーな</v>
      </c>
    </row>
    <row r="4020" spans="1:3" ht="18" customHeight="1" x14ac:dyDescent="0.3">
      <c r="A4020" s="1">
        <v>6</v>
      </c>
      <c r="B4020" s="1" t="s">
        <v>1637</v>
      </c>
      <c r="C4020" s="1" t="str">
        <f ca="1">IFERROR(__xludf.DUMMYFUNCTION("GOOGLETRANSLATE(B4057,""en"",""ja"")"),"リング")</f>
        <v>リング</v>
      </c>
    </row>
    <row r="4021" spans="1:3" ht="18" customHeight="1" x14ac:dyDescent="0.3">
      <c r="A4021" s="1">
        <v>6</v>
      </c>
      <c r="B4021" s="1" t="s">
        <v>3278</v>
      </c>
      <c r="C4021" s="1" t="str">
        <f ca="1">IFERROR(__xludf.DUMMYFUNCTION("GOOGLETRANSLATE(B4058,""en"",""ja"")"),"厳格")</f>
        <v>厳格</v>
      </c>
    </row>
    <row r="4022" spans="1:3" ht="18" customHeight="1" x14ac:dyDescent="0.3">
      <c r="A4022" s="1">
        <v>6</v>
      </c>
      <c r="B4022" s="1" t="s">
        <v>3279</v>
      </c>
      <c r="C4022" s="1" t="str">
        <f ca="1">IFERROR(__xludf.DUMMYFUNCTION("GOOGLETRANSLATE(B4059,""en"",""ja"")"),"豊かな")</f>
        <v>豊かな</v>
      </c>
    </row>
    <row r="4023" spans="1:3" ht="18" customHeight="1" x14ac:dyDescent="0.3">
      <c r="A4023" s="1">
        <v>6</v>
      </c>
      <c r="B4023" s="1" t="s">
        <v>3280</v>
      </c>
      <c r="C4023" s="1" t="str">
        <f ca="1">IFERROR(__xludf.DUMMYFUNCTION("GOOGLETRANSLATE(B4060,""en"",""ja"")"),"レトリック")</f>
        <v>レトリック</v>
      </c>
    </row>
    <row r="4024" spans="1:3" ht="18" customHeight="1" x14ac:dyDescent="0.3">
      <c r="A4024" s="1">
        <v>6</v>
      </c>
      <c r="B4024" s="1" t="s">
        <v>1525</v>
      </c>
      <c r="C4024" s="1" t="str">
        <f ca="1">IFERROR(__xludf.DUMMYFUNCTION("GOOGLETRANSLATE(B4061,""en"",""ja"")"),"革命的")</f>
        <v>革命的</v>
      </c>
    </row>
    <row r="4025" spans="1:3" ht="18" customHeight="1" x14ac:dyDescent="0.3">
      <c r="A4025" s="1">
        <v>6</v>
      </c>
      <c r="B4025" s="1" t="s">
        <v>2908</v>
      </c>
      <c r="C4025" s="1" t="str">
        <f ca="1">IFERROR(__xludf.DUMMYFUNCTION("GOOGLETRANSLATE(B4062,""en"",""ja"")"),"逆転")</f>
        <v>逆転</v>
      </c>
    </row>
    <row r="4026" spans="1:3" ht="18" customHeight="1" x14ac:dyDescent="0.3">
      <c r="A4026" s="1">
        <v>6</v>
      </c>
      <c r="B4026" s="1" t="s">
        <v>3281</v>
      </c>
      <c r="C4026" s="1" t="str">
        <f ca="1">IFERROR(__xludf.DUMMYFUNCTION("GOOGLETRANSLATE(B4063,""en"",""ja"")"),"明らかに")</f>
        <v>明らかに</v>
      </c>
    </row>
    <row r="4027" spans="1:3" ht="18" customHeight="1" x14ac:dyDescent="0.3">
      <c r="A4027" s="1">
        <v>6</v>
      </c>
      <c r="B4027" s="1" t="s">
        <v>3282</v>
      </c>
      <c r="C4027" s="1" t="str">
        <f ca="1">IFERROR(__xludf.DUMMYFUNCTION("GOOGLETRANSLATE(B4064,""en"",""ja"")"),"保持")</f>
        <v>保持</v>
      </c>
    </row>
    <row r="4028" spans="1:3" ht="18" customHeight="1" x14ac:dyDescent="0.3">
      <c r="A4028" s="1">
        <v>6</v>
      </c>
      <c r="B4028" s="1" t="s">
        <v>1526</v>
      </c>
      <c r="C4028" s="1" t="str">
        <f ca="1">IFERROR(__xludf.DUMMYFUNCTION("GOOGLETRANSLATE(B4065,""en"",""ja"")"),"保ちます")</f>
        <v>保ちます</v>
      </c>
    </row>
    <row r="4029" spans="1:3" ht="18" customHeight="1" x14ac:dyDescent="0.3">
      <c r="A4029" s="1">
        <v>6</v>
      </c>
      <c r="B4029" s="1" t="s">
        <v>3283</v>
      </c>
      <c r="C4029" s="1" t="str">
        <f ca="1">IFERROR(__xludf.DUMMYFUNCTION("GOOGLETRANSLATE(B4066,""en"",""ja"")"),"結果")</f>
        <v>結果</v>
      </c>
    </row>
    <row r="4030" spans="1:3" ht="18" customHeight="1" x14ac:dyDescent="0.3">
      <c r="A4030" s="1">
        <v>6</v>
      </c>
      <c r="B4030" s="1" t="s">
        <v>3284</v>
      </c>
      <c r="C4030" s="1" t="str">
        <f ca="1">IFERROR(__xludf.DUMMYFUNCTION("GOOGLETRANSLATE(B4067,""en"",""ja"")"),"結果")</f>
        <v>結果</v>
      </c>
    </row>
    <row r="4031" spans="1:3" ht="18" customHeight="1" x14ac:dyDescent="0.3">
      <c r="A4031" s="1">
        <v>6</v>
      </c>
      <c r="B4031" s="1" t="s">
        <v>3285</v>
      </c>
      <c r="C4031" s="1" t="str">
        <f ca="1">IFERROR(__xludf.DUMMYFUNCTION("GOOGLETRANSLATE(B4068,""en"",""ja"")"),"制限されました")</f>
        <v>制限されました</v>
      </c>
    </row>
    <row r="4032" spans="1:3" ht="18" customHeight="1" x14ac:dyDescent="0.3">
      <c r="A4032" s="1">
        <v>6</v>
      </c>
      <c r="B4032" s="1" t="s">
        <v>3286</v>
      </c>
      <c r="C4032" s="1" t="str">
        <f ca="1">IFERROR(__xludf.DUMMYFUNCTION("GOOGLETRANSLATE(B4069,""en"",""ja"")"),"抑えます")</f>
        <v>抑えます</v>
      </c>
    </row>
    <row r="4033" spans="1:3" ht="18" customHeight="1" x14ac:dyDescent="0.3">
      <c r="A4033" s="1">
        <v>6</v>
      </c>
      <c r="B4033" s="1" t="s">
        <v>3287</v>
      </c>
      <c r="C4033" s="1" t="str">
        <f ca="1">IFERROR(__xludf.DUMMYFUNCTION("GOOGLETRANSLATE(B4070,""en"",""ja"")"),"解決")</f>
        <v>解決</v>
      </c>
    </row>
    <row r="4034" spans="1:3" ht="18" customHeight="1" x14ac:dyDescent="0.3">
      <c r="A4034" s="1">
        <v>6</v>
      </c>
      <c r="B4034" s="1" t="s">
        <v>163</v>
      </c>
      <c r="C4034" s="1" t="str">
        <f ca="1">IFERROR(__xludf.DUMMYFUNCTION("GOOGLETRANSLATE(B4071,""en"",""ja"")"),"研究")</f>
        <v>研究</v>
      </c>
    </row>
    <row r="4035" spans="1:3" ht="18" customHeight="1" x14ac:dyDescent="0.3">
      <c r="A4035" s="1">
        <v>6</v>
      </c>
      <c r="B4035" s="1" t="s">
        <v>3288</v>
      </c>
      <c r="C4035" s="1" t="str">
        <f ca="1">IFERROR(__xludf.DUMMYFUNCTION("GOOGLETRANSLATE(B4072,""en"",""ja"")"),"repressively")</f>
        <v>repressively</v>
      </c>
    </row>
    <row r="4036" spans="1:3" ht="18" customHeight="1" x14ac:dyDescent="0.3">
      <c r="A4036" s="1">
        <v>6</v>
      </c>
      <c r="B4036" s="1" t="s">
        <v>3289</v>
      </c>
      <c r="C4036" s="1" t="str">
        <f ca="1">IFERROR(__xludf.DUMMYFUNCTION("GOOGLETRANSLATE(B4073,""en"",""ja"")"),"反発")</f>
        <v>反発</v>
      </c>
    </row>
    <row r="4037" spans="1:3" ht="18" customHeight="1" x14ac:dyDescent="0.3">
      <c r="A4037" s="1">
        <v>6</v>
      </c>
      <c r="B4037" s="1" t="s">
        <v>3290</v>
      </c>
      <c r="C4037" s="1" t="str">
        <f ca="1">IFERROR(__xludf.DUMMYFUNCTION("GOOGLETRANSLATE(B4074,""en"",""ja"")"),"再編成")</f>
        <v>再編成</v>
      </c>
    </row>
    <row r="4038" spans="1:3" ht="18" customHeight="1" x14ac:dyDescent="0.3">
      <c r="A4038" s="1">
        <v>6</v>
      </c>
      <c r="B4038" s="1" t="s">
        <v>3291</v>
      </c>
      <c r="C4038" s="1" t="str">
        <f ca="1">IFERROR(__xludf.DUMMYFUNCTION("GOOGLETRANSLATE(B4075,""en"",""ja"")"),"レンダリング")</f>
        <v>レンダリング</v>
      </c>
    </row>
    <row r="4039" spans="1:3" ht="18" customHeight="1" x14ac:dyDescent="0.3">
      <c r="A4039" s="1">
        <v>6</v>
      </c>
      <c r="B4039" s="1" t="s">
        <v>3292</v>
      </c>
      <c r="C4039" s="1" t="str">
        <f ca="1">IFERROR(__xludf.DUMMYFUNCTION("GOOGLETRANSLATE(B4076,""en"",""ja"")"),"リマインダー")</f>
        <v>リマインダー</v>
      </c>
    </row>
    <row r="4040" spans="1:3" ht="18" customHeight="1" x14ac:dyDescent="0.3">
      <c r="A4040" s="1">
        <v>6</v>
      </c>
      <c r="B4040" s="1" t="s">
        <v>3293</v>
      </c>
      <c r="C4040" s="1" t="str">
        <f ca="1">IFERROR(__xludf.DUMMYFUNCTION("GOOGLETRANSLATE(B4077,""en"",""ja"")"),"覚えています")</f>
        <v>覚えています</v>
      </c>
    </row>
    <row r="4041" spans="1:3" ht="18" customHeight="1" x14ac:dyDescent="0.3">
      <c r="A4041" s="1">
        <v>6</v>
      </c>
      <c r="B4041" s="1" t="s">
        <v>2912</v>
      </c>
      <c r="C4041" s="1" t="str">
        <f ca="1">IFERROR(__xludf.DUMMYFUNCTION("GOOGLETRANSLATE(B4078,""en"",""ja"")"),"関連しました")</f>
        <v>関連しました</v>
      </c>
    </row>
    <row r="4042" spans="1:3" ht="18" customHeight="1" x14ac:dyDescent="0.3">
      <c r="A4042" s="1">
        <v>6</v>
      </c>
      <c r="B4042" s="1" t="s">
        <v>3294</v>
      </c>
      <c r="C4042" s="1" t="str">
        <f ca="1">IFERROR(__xludf.DUMMYFUNCTION("GOOGLETRANSLATE(B4079,""en"",""ja"")"),"解除")</f>
        <v>解除</v>
      </c>
    </row>
    <row r="4043" spans="1:3" ht="18" customHeight="1" x14ac:dyDescent="0.3">
      <c r="A4043" s="1">
        <v>6</v>
      </c>
      <c r="B4043" s="1" t="s">
        <v>3295</v>
      </c>
      <c r="C4043" s="1" t="str">
        <f ca="1">IFERROR(__xludf.DUMMYFUNCTION("GOOGLETRANSLATE(B4080,""en"",""ja"")"),"拒否")</f>
        <v>拒否</v>
      </c>
    </row>
    <row r="4044" spans="1:3" ht="18" customHeight="1" x14ac:dyDescent="0.3">
      <c r="A4044" s="1">
        <v>6</v>
      </c>
      <c r="B4044" s="1" t="s">
        <v>2569</v>
      </c>
      <c r="C4044" s="1" t="str">
        <f ca="1">IFERROR(__xludf.DUMMYFUNCTION("GOOGLETRANSLATE(B4081,""en"",""ja"")"),"領域")</f>
        <v>領域</v>
      </c>
    </row>
    <row r="4045" spans="1:3" ht="18" customHeight="1" x14ac:dyDescent="0.3">
      <c r="A4045" s="1">
        <v>6</v>
      </c>
      <c r="B4045" s="1" t="s">
        <v>3296</v>
      </c>
      <c r="C4045" s="1" t="str">
        <f ca="1">IFERROR(__xludf.DUMMYFUNCTION("GOOGLETRANSLATE(B4082,""en"",""ja"")"),"取り戻します")</f>
        <v>取り戻します</v>
      </c>
    </row>
    <row r="4046" spans="1:3" ht="18" customHeight="1" x14ac:dyDescent="0.3">
      <c r="A4046" s="1">
        <v>6</v>
      </c>
      <c r="B4046" s="1" t="s">
        <v>3297</v>
      </c>
      <c r="C4046" s="1" t="str">
        <f ca="1">IFERROR(__xludf.DUMMYFUNCTION("GOOGLETRANSLATE(B4083,""en"",""ja"")"),"改革")</f>
        <v>改革</v>
      </c>
    </row>
    <row r="4047" spans="1:3" ht="18" customHeight="1" x14ac:dyDescent="0.3">
      <c r="A4047" s="1">
        <v>6</v>
      </c>
      <c r="B4047" s="1" t="s">
        <v>3298</v>
      </c>
      <c r="C4047" s="1" t="str">
        <f ca="1">IFERROR(__xludf.DUMMYFUNCTION("GOOGLETRANSLATE(B4084,""en"",""ja"")"),"削減")</f>
        <v>削減</v>
      </c>
    </row>
    <row r="4048" spans="1:3" ht="18" customHeight="1" x14ac:dyDescent="0.3">
      <c r="A4048" s="1">
        <v>6</v>
      </c>
      <c r="B4048" s="1" t="s">
        <v>2065</v>
      </c>
      <c r="C4048" s="1" t="str">
        <f ca="1">IFERROR(__xludf.DUMMYFUNCTION("GOOGLETRANSLATE(B4085,""en"",""ja"")"),"削減")</f>
        <v>削減</v>
      </c>
    </row>
    <row r="4049" spans="1:3" ht="18" customHeight="1" x14ac:dyDescent="0.3">
      <c r="A4049" s="1">
        <v>6</v>
      </c>
      <c r="B4049" s="1" t="s">
        <v>3299</v>
      </c>
      <c r="C4049" s="1" t="str">
        <f ca="1">IFERROR(__xludf.DUMMYFUNCTION("GOOGLETRANSLATE(B4086,""en"",""ja"")"),"RECONCILE")</f>
        <v>RECONCILE</v>
      </c>
    </row>
    <row r="4050" spans="1:3" ht="18" customHeight="1" x14ac:dyDescent="0.3">
      <c r="A4050" s="1">
        <v>6</v>
      </c>
      <c r="B4050" s="1" t="s">
        <v>3300</v>
      </c>
      <c r="C4050" s="1" t="str">
        <f ca="1">IFERROR(__xludf.DUMMYFUNCTION("GOOGLETRANSLATE(B4087,""en"",""ja"")"),"認識")</f>
        <v>認識</v>
      </c>
    </row>
    <row r="4051" spans="1:3" ht="18" customHeight="1" x14ac:dyDescent="0.3">
      <c r="A4051" s="1">
        <v>6</v>
      </c>
      <c r="B4051" s="1" t="s">
        <v>938</v>
      </c>
      <c r="C4051" s="1" t="str">
        <f ca="1">IFERROR(__xludf.DUMMYFUNCTION("GOOGLETRANSLATE(B4088,""en"",""ja"")"),"最近")</f>
        <v>最近</v>
      </c>
    </row>
    <row r="4052" spans="1:3" ht="18" customHeight="1" x14ac:dyDescent="0.3">
      <c r="A4052" s="1">
        <v>6</v>
      </c>
      <c r="B4052" s="1" t="s">
        <v>3301</v>
      </c>
      <c r="C4052" s="1" t="str">
        <f ca="1">IFERROR(__xludf.DUMMYFUNCTION("GOOGLETRANSLATE(B4089,""en"",""ja"")"),"安心させます")</f>
        <v>安心させます</v>
      </c>
    </row>
    <row r="4053" spans="1:3" ht="18" customHeight="1" x14ac:dyDescent="0.3">
      <c r="A4053" s="1">
        <v>6</v>
      </c>
      <c r="B4053" s="1" t="s">
        <v>3302</v>
      </c>
      <c r="C4053" s="1" t="str">
        <f ca="1">IFERROR(__xludf.DUMMYFUNCTION("GOOGLETRANSLATE(B4090,""en"",""ja"")"),"反応")</f>
        <v>反応</v>
      </c>
    </row>
    <row r="4054" spans="1:3" ht="18" customHeight="1" x14ac:dyDescent="0.3">
      <c r="A4054" s="1">
        <v>6</v>
      </c>
      <c r="B4054" s="1" t="s">
        <v>3303</v>
      </c>
      <c r="C4054" s="1" t="str">
        <f ca="1">IFERROR(__xludf.DUMMYFUNCTION("GOOGLETRANSLATE(B4092,""en"",""ja"")"),"合理性")</f>
        <v>合理性</v>
      </c>
    </row>
    <row r="4055" spans="1:3" ht="18" customHeight="1" x14ac:dyDescent="0.3">
      <c r="A4055" s="1">
        <v>6</v>
      </c>
      <c r="B4055" s="1" t="s">
        <v>3304</v>
      </c>
      <c r="C4055" s="1" t="str">
        <f ca="1">IFERROR(__xludf.DUMMYFUNCTION("GOOGLETRANSLATE(B4093,""en"",""ja"")"),"順位")</f>
        <v>順位</v>
      </c>
    </row>
    <row r="4056" spans="1:3" ht="18" customHeight="1" x14ac:dyDescent="0.3">
      <c r="A4056" s="1">
        <v>6</v>
      </c>
      <c r="B4056" s="1" t="s">
        <v>3305</v>
      </c>
      <c r="C4056" s="1" t="str">
        <f ca="1">IFERROR(__xludf.DUMMYFUNCTION("GOOGLETRANSLATE(B4094,""en"",""ja"")"),"まで")</f>
        <v>まで</v>
      </c>
    </row>
    <row r="4057" spans="1:3" ht="18" customHeight="1" x14ac:dyDescent="0.3">
      <c r="A4057" s="1">
        <v>6</v>
      </c>
      <c r="B4057" s="1" t="s">
        <v>3306</v>
      </c>
      <c r="C4057" s="1" t="str">
        <f ca="1">IFERROR(__xludf.DUMMYFUNCTION("GOOGLETRANSLATE(B4095,""en"",""ja"")"),"ウサギ")</f>
        <v>ウサギ</v>
      </c>
    </row>
    <row r="4058" spans="1:3" ht="18" customHeight="1" x14ac:dyDescent="0.3">
      <c r="A4058" s="1">
        <v>6</v>
      </c>
      <c r="B4058" s="1" t="s">
        <v>3307</v>
      </c>
      <c r="C4058" s="1" t="str">
        <f ca="1">IFERROR(__xludf.DUMMYFUNCTION("GOOGLETRANSLATE(B4096,""en"",""ja"")"),"R")</f>
        <v>R</v>
      </c>
    </row>
    <row r="4059" spans="1:3" ht="18" customHeight="1" x14ac:dyDescent="0.3">
      <c r="A4059" s="1">
        <v>6</v>
      </c>
      <c r="B4059" s="1" t="s">
        <v>3308</v>
      </c>
      <c r="C4059" s="1" t="str">
        <f ca="1">IFERROR(__xludf.DUMMYFUNCTION("GOOGLETRANSLATE(B4097,""en"",""ja"")"),"クイズ")</f>
        <v>クイズ</v>
      </c>
    </row>
    <row r="4060" spans="1:3" ht="18" customHeight="1" x14ac:dyDescent="0.3">
      <c r="A4060" s="1">
        <v>6</v>
      </c>
      <c r="B4060" s="1" t="s">
        <v>3309</v>
      </c>
      <c r="C4060" s="1" t="str">
        <f ca="1">IFERROR(__xludf.DUMMYFUNCTION("GOOGLETRANSLATE(B4098,""en"",""ja"")"),"四半期")</f>
        <v>四半期</v>
      </c>
    </row>
    <row r="4061" spans="1:3" ht="18" customHeight="1" x14ac:dyDescent="0.3">
      <c r="A4061" s="1">
        <v>6</v>
      </c>
      <c r="B4061" s="1" t="s">
        <v>3310</v>
      </c>
      <c r="C4061" s="1" t="str">
        <f ca="1">IFERROR(__xludf.DUMMYFUNCTION("GOOGLETRANSLATE(B4099,""en"",""ja"")"),"追撃")</f>
        <v>追撃</v>
      </c>
    </row>
    <row r="4062" spans="1:3" ht="18" customHeight="1" x14ac:dyDescent="0.3">
      <c r="A4062" s="1">
        <v>6</v>
      </c>
      <c r="B4062" s="1" t="s">
        <v>3311</v>
      </c>
      <c r="C4062" s="1" t="str">
        <f ca="1">IFERROR(__xludf.DUMMYFUNCTION("GOOGLETRANSLATE(B4100,""en"",""ja"")"),"罰します")</f>
        <v>罰します</v>
      </c>
    </row>
    <row r="4063" spans="1:3" ht="18" customHeight="1" x14ac:dyDescent="0.3">
      <c r="A4063" s="1">
        <v>6</v>
      </c>
      <c r="B4063" s="1" t="s">
        <v>3312</v>
      </c>
      <c r="C4063" s="1" t="str">
        <f ca="1">IFERROR(__xludf.DUMMYFUNCTION("GOOGLETRANSLATE(B4101,""en"",""ja"")"),"引っ張っ")</f>
        <v>引っ張っ</v>
      </c>
    </row>
    <row r="4064" spans="1:3" ht="18" customHeight="1" x14ac:dyDescent="0.3">
      <c r="A4064" s="1">
        <v>6</v>
      </c>
      <c r="B4064" s="1" t="s">
        <v>3313</v>
      </c>
      <c r="C4064" s="1" t="str">
        <f ca="1">IFERROR(__xludf.DUMMYFUNCTION("GOOGLETRANSLATE(B4102,""en"",""ja"")"),"プロイセン")</f>
        <v>プロイセン</v>
      </c>
    </row>
    <row r="4065" spans="1:3" ht="18" customHeight="1" x14ac:dyDescent="0.3">
      <c r="A4065" s="1">
        <v>6</v>
      </c>
      <c r="B4065" s="1" t="s">
        <v>3314</v>
      </c>
      <c r="C4065" s="1" t="str">
        <f ca="1">IFERROR(__xludf.DUMMYFUNCTION("GOOGLETRANSLATE(B4103,""en"",""ja"")"),"証明")</f>
        <v>証明</v>
      </c>
    </row>
    <row r="4066" spans="1:3" ht="18" customHeight="1" x14ac:dyDescent="0.3">
      <c r="A4066" s="1">
        <v>6</v>
      </c>
      <c r="B4066" s="1" t="s">
        <v>3315</v>
      </c>
      <c r="C4066" s="1" t="str">
        <f ca="1">IFERROR(__xludf.DUMMYFUNCTION("GOOGLETRANSLATE(B4104,""en"",""ja"")"),"プロトタイプ")</f>
        <v>プロトタイプ</v>
      </c>
    </row>
    <row r="4067" spans="1:3" ht="18" customHeight="1" x14ac:dyDescent="0.3">
      <c r="A4067" s="1">
        <v>6</v>
      </c>
      <c r="B4067" s="1" t="s">
        <v>3316</v>
      </c>
      <c r="C4067" s="1" t="str">
        <f ca="1">IFERROR(__xludf.DUMMYFUNCTION("GOOGLETRANSLATE(B4105,""en"",""ja"")"),"プロトコル")</f>
        <v>プロトコル</v>
      </c>
    </row>
    <row r="4068" spans="1:3" ht="18" customHeight="1" x14ac:dyDescent="0.3">
      <c r="A4068" s="1">
        <v>6</v>
      </c>
      <c r="B4068" s="1" t="s">
        <v>3317</v>
      </c>
      <c r="C4068" s="1" t="str">
        <f ca="1">IFERROR(__xludf.DUMMYFUNCTION("GOOGLETRANSLATE(B4106,""en"",""ja"")"),"保護")</f>
        <v>保護</v>
      </c>
    </row>
    <row r="4069" spans="1:3" ht="18" customHeight="1" x14ac:dyDescent="0.3">
      <c r="A4069" s="1">
        <v>6</v>
      </c>
      <c r="B4069" s="1" t="s">
        <v>3318</v>
      </c>
      <c r="C4069" s="1" t="str">
        <f ca="1">IFERROR(__xludf.DUMMYFUNCTION("GOOGLETRANSLATE(B4107,""en"",""ja"")"),"保護")</f>
        <v>保護</v>
      </c>
    </row>
    <row r="4070" spans="1:3" ht="18" customHeight="1" x14ac:dyDescent="0.3">
      <c r="A4070" s="1">
        <v>6</v>
      </c>
      <c r="B4070" s="1" t="s">
        <v>3319</v>
      </c>
      <c r="C4070" s="1" t="str">
        <f ca="1">IFERROR(__xludf.DUMMYFUNCTION("GOOGLETRANSLATE(B4108,""en"",""ja"")"),"所有者")</f>
        <v>所有者</v>
      </c>
    </row>
    <row r="4071" spans="1:3" ht="18" customHeight="1" x14ac:dyDescent="0.3">
      <c r="A4071" s="1">
        <v>6</v>
      </c>
      <c r="B4071" s="1" t="s">
        <v>3320</v>
      </c>
      <c r="C4071" s="1" t="str">
        <f ca="1">IFERROR(__xludf.DUMMYFUNCTION("GOOGLETRANSLATE(B4109,""en"",""ja"")"),"支持者")</f>
        <v>支持者</v>
      </c>
    </row>
    <row r="4072" spans="1:3" ht="18" customHeight="1" x14ac:dyDescent="0.3">
      <c r="A4072" s="1">
        <v>6</v>
      </c>
      <c r="B4072" s="1" t="s">
        <v>3321</v>
      </c>
      <c r="C4072" s="1" t="str">
        <f ca="1">IFERROR(__xludf.DUMMYFUNCTION("GOOGLETRANSLATE(B4110,""en"",""ja"")"),"プロパティ")</f>
        <v>プロパティ</v>
      </c>
    </row>
    <row r="4073" spans="1:3" ht="18" customHeight="1" x14ac:dyDescent="0.3">
      <c r="A4073" s="1">
        <v>6</v>
      </c>
      <c r="B4073" s="1" t="s">
        <v>3322</v>
      </c>
      <c r="C4073" s="1" t="str">
        <f ca="1">IFERROR(__xludf.DUMMYFUNCTION("GOOGLETRANSLATE(B4111,""en"",""ja"")"),"適切な")</f>
        <v>適切な</v>
      </c>
    </row>
    <row r="4074" spans="1:3" ht="18" customHeight="1" x14ac:dyDescent="0.3">
      <c r="A4074" s="1">
        <v>6</v>
      </c>
      <c r="B4074" s="1" t="s">
        <v>3323</v>
      </c>
      <c r="C4074" s="1" t="str">
        <f ca="1">IFERROR(__xludf.DUMMYFUNCTION("GOOGLETRANSLATE(B4112,""en"",""ja"")"),"増進")</f>
        <v>増進</v>
      </c>
    </row>
    <row r="4075" spans="1:3" ht="18" customHeight="1" x14ac:dyDescent="0.3">
      <c r="A4075" s="1">
        <v>6</v>
      </c>
      <c r="B4075" s="1" t="s">
        <v>3324</v>
      </c>
      <c r="C4075" s="1" t="str">
        <f ca="1">IFERROR(__xludf.DUMMYFUNCTION("GOOGLETRANSLATE(B4113,""en"",""ja"")"),"プロモーター")</f>
        <v>プロモーター</v>
      </c>
    </row>
    <row r="4076" spans="1:3" ht="18" customHeight="1" x14ac:dyDescent="0.3">
      <c r="A4076" s="1">
        <v>6</v>
      </c>
      <c r="B4076" s="1" t="s">
        <v>3325</v>
      </c>
      <c r="C4076" s="1" t="str">
        <f ca="1">IFERROR(__xludf.DUMMYFUNCTION("GOOGLETRANSLATE(B4114,""en"",""ja"")"),"主要")</f>
        <v>主要</v>
      </c>
    </row>
    <row r="4077" spans="1:3" ht="18" customHeight="1" x14ac:dyDescent="0.3">
      <c r="A4077" s="1">
        <v>6</v>
      </c>
      <c r="B4077" s="1" t="s">
        <v>3326</v>
      </c>
      <c r="C4077" s="1" t="str">
        <f ca="1">IFERROR(__xludf.DUMMYFUNCTION("GOOGLETRANSLATE(B4115,""en"",""ja"")"),"長引きます")</f>
        <v>長引きます</v>
      </c>
    </row>
    <row r="4078" spans="1:3" ht="18" customHeight="1" x14ac:dyDescent="0.3">
      <c r="A4078" s="1">
        <v>6</v>
      </c>
      <c r="B4078" s="1" t="s">
        <v>3327</v>
      </c>
      <c r="C4078" s="1" t="str">
        <f ca="1">IFERROR(__xludf.DUMMYFUNCTION("GOOGLETRANSLATE(B4116,""en"",""ja"")"),"プログラミング")</f>
        <v>プログラミング</v>
      </c>
    </row>
    <row r="4079" spans="1:3" ht="18" customHeight="1" x14ac:dyDescent="0.3">
      <c r="A4079" s="1">
        <v>6</v>
      </c>
      <c r="B4079" s="1" t="s">
        <v>1254</v>
      </c>
      <c r="C4079" s="1" t="str">
        <f ca="1">IFERROR(__xludf.DUMMYFUNCTION("GOOGLETRANSLATE(B4117,""en"",""ja"")"),"プロフェッショナル")</f>
        <v>プロフェッショナル</v>
      </c>
    </row>
    <row r="4080" spans="1:3" ht="18" customHeight="1" x14ac:dyDescent="0.3">
      <c r="A4080" s="1">
        <v>6</v>
      </c>
      <c r="B4080" s="1" t="s">
        <v>3328</v>
      </c>
      <c r="C4080" s="1" t="str">
        <f ca="1">IFERROR(__xludf.DUMMYFUNCTION("GOOGLETRANSLATE(B4118,""en"",""ja"")"),"処理されました")</f>
        <v>処理されました</v>
      </c>
    </row>
    <row r="4081" spans="1:3" ht="18" customHeight="1" x14ac:dyDescent="0.3">
      <c r="A4081" s="1">
        <v>6</v>
      </c>
      <c r="B4081" s="1" t="s">
        <v>2928</v>
      </c>
      <c r="C4081" s="1" t="str">
        <f ca="1">IFERROR(__xludf.DUMMYFUNCTION("GOOGLETRANSLATE(B4119,""en"",""ja"")"),"賞")</f>
        <v>賞</v>
      </c>
    </row>
    <row r="4082" spans="1:3" ht="18" customHeight="1" x14ac:dyDescent="0.3">
      <c r="A4082" s="1">
        <v>6</v>
      </c>
      <c r="B4082" s="1" t="s">
        <v>3329</v>
      </c>
      <c r="C4082" s="1" t="str">
        <f ca="1">IFERROR(__xludf.DUMMYFUNCTION("GOOGLETRANSLATE(B4120,""en"",""ja"")"),"霊長類")</f>
        <v>霊長類</v>
      </c>
    </row>
    <row r="4083" spans="1:3" ht="18" customHeight="1" x14ac:dyDescent="0.3">
      <c r="A4083" s="1">
        <v>6</v>
      </c>
      <c r="B4083" s="1" t="s">
        <v>3330</v>
      </c>
      <c r="C4083" s="1" t="str">
        <f ca="1">IFERROR(__xludf.DUMMYFUNCTION("GOOGLETRANSLATE(B4121,""en"",""ja"")"),"勝っ")</f>
        <v>勝っ</v>
      </c>
    </row>
    <row r="4084" spans="1:3" ht="18" customHeight="1" x14ac:dyDescent="0.3">
      <c r="A4084" s="1">
        <v>6</v>
      </c>
      <c r="B4084" s="1" t="s">
        <v>3331</v>
      </c>
      <c r="C4084" s="1" t="str">
        <f ca="1">IFERROR(__xludf.DUMMYFUNCTION("GOOGLETRANSLATE(B4122,""en"",""ja"")"),"勝っ")</f>
        <v>勝っ</v>
      </c>
    </row>
    <row r="4085" spans="1:3" ht="18" customHeight="1" x14ac:dyDescent="0.3">
      <c r="A4085" s="1">
        <v>6</v>
      </c>
      <c r="B4085" s="1" t="s">
        <v>3332</v>
      </c>
      <c r="C4085" s="1" t="str">
        <f ca="1">IFERROR(__xludf.DUMMYFUNCTION("GOOGLETRANSLATE(B4123,""en"",""ja"")"),"押す")</f>
        <v>押す</v>
      </c>
    </row>
    <row r="4086" spans="1:3" ht="18" customHeight="1" x14ac:dyDescent="0.3">
      <c r="A4086" s="1">
        <v>6</v>
      </c>
      <c r="B4086" s="1" t="s">
        <v>3333</v>
      </c>
      <c r="C4086" s="1" t="str">
        <f ca="1">IFERROR(__xludf.DUMMYFUNCTION("GOOGLETRANSLATE(B4124,""en"",""ja"")"),"処方")</f>
        <v>処方</v>
      </c>
    </row>
    <row r="4087" spans="1:3" ht="18" customHeight="1" x14ac:dyDescent="0.3">
      <c r="A4087" s="1">
        <v>6</v>
      </c>
      <c r="B4087" s="1" t="s">
        <v>3334</v>
      </c>
      <c r="C4087" s="1" t="str">
        <f ca="1">IFERROR(__xludf.DUMMYFUNCTION("GOOGLETRANSLATE(B4125,""en"",""ja"")"),"作ります")</f>
        <v>作ります</v>
      </c>
    </row>
    <row r="4088" spans="1:3" ht="18" customHeight="1" x14ac:dyDescent="0.3">
      <c r="A4088" s="1">
        <v>6</v>
      </c>
      <c r="B4088" s="1" t="s">
        <v>3335</v>
      </c>
      <c r="C4088" s="1" t="str">
        <f ca="1">IFERROR(__xludf.DUMMYFUNCTION("GOOGLETRANSLATE(B4126,""en"",""ja"")"),"先占")</f>
        <v>先占</v>
      </c>
    </row>
    <row r="4089" spans="1:3" ht="18" customHeight="1" x14ac:dyDescent="0.3">
      <c r="A4089" s="1">
        <v>6</v>
      </c>
      <c r="B4089" s="1" t="s">
        <v>3336</v>
      </c>
      <c r="C4089" s="1" t="str">
        <f ca="1">IFERROR(__xludf.DUMMYFUNCTION("GOOGLETRANSLATE(B4127,""en"",""ja"")"),"終始")</f>
        <v>終始</v>
      </c>
    </row>
    <row r="4090" spans="1:3" ht="18" customHeight="1" x14ac:dyDescent="0.3">
      <c r="A4090" s="1">
        <v>6</v>
      </c>
      <c r="B4090" s="1" t="s">
        <v>1259</v>
      </c>
      <c r="C4090" s="1" t="str">
        <f ca="1">IFERROR(__xludf.DUMMYFUNCTION("GOOGLETRANSLATE(B4128,""en"",""ja"")"),"偏見")</f>
        <v>偏見</v>
      </c>
    </row>
    <row r="4091" spans="1:3" ht="18" customHeight="1" x14ac:dyDescent="0.3">
      <c r="A4091" s="1">
        <v>6</v>
      </c>
      <c r="B4091" s="1" t="s">
        <v>3337</v>
      </c>
      <c r="C4091" s="1" t="str">
        <f ca="1">IFERROR(__xludf.DUMMYFUNCTION("GOOGLETRANSLATE(B4129,""en"",""ja"")"),"前の")</f>
        <v>前の</v>
      </c>
    </row>
    <row r="4092" spans="1:3" ht="18" customHeight="1" x14ac:dyDescent="0.3">
      <c r="A4092" s="1">
        <v>6</v>
      </c>
      <c r="B4092" s="1" t="s">
        <v>3338</v>
      </c>
      <c r="C4092" s="1" t="str">
        <f ca="1">IFERROR(__xludf.DUMMYFUNCTION("GOOGLETRANSLATE(B4130,""en"",""ja"")"),"貧困")</f>
        <v>貧困</v>
      </c>
    </row>
    <row r="4093" spans="1:3" ht="18" customHeight="1" x14ac:dyDescent="0.3">
      <c r="A4093" s="1">
        <v>6</v>
      </c>
      <c r="B4093" s="1" t="s">
        <v>3339</v>
      </c>
      <c r="C4093" s="1" t="str">
        <f ca="1">IFERROR(__xludf.DUMMYFUNCTION("GOOGLETRANSLATE(B4131,""en"",""ja"")"),"posturings")</f>
        <v>posturings</v>
      </c>
    </row>
    <row r="4094" spans="1:3" ht="18" customHeight="1" x14ac:dyDescent="0.3">
      <c r="A4094" s="1">
        <v>6</v>
      </c>
      <c r="B4094" s="1" t="s">
        <v>3340</v>
      </c>
      <c r="C4094" s="1" t="str">
        <f ca="1">IFERROR(__xludf.DUMMYFUNCTION("GOOGLETRANSLATE(B4132,""en"",""ja"")"),"積極的に")</f>
        <v>積極的に</v>
      </c>
    </row>
    <row r="4095" spans="1:3" ht="18" customHeight="1" x14ac:dyDescent="0.3">
      <c r="A4095" s="1">
        <v>6</v>
      </c>
      <c r="B4095" s="1" t="s">
        <v>3341</v>
      </c>
      <c r="C4095" s="1" t="str">
        <f ca="1">IFERROR(__xludf.DUMMYFUNCTION("GOOGLETRANSLATE(B4133,""en"",""ja"")"),"ポジション")</f>
        <v>ポジション</v>
      </c>
    </row>
    <row r="4096" spans="1:3" ht="18" customHeight="1" x14ac:dyDescent="0.3">
      <c r="A4096" s="1">
        <v>6</v>
      </c>
      <c r="B4096" s="1" t="s">
        <v>3342</v>
      </c>
      <c r="C4096" s="1" t="str">
        <f ca="1">IFERROR(__xludf.DUMMYFUNCTION("GOOGLETRANSLATE(B4134,""en"",""ja"")"),"ポジショニング")</f>
        <v>ポジショニング</v>
      </c>
    </row>
    <row r="4097" spans="1:3" ht="18" customHeight="1" x14ac:dyDescent="0.3">
      <c r="A4097" s="1">
        <v>6</v>
      </c>
      <c r="B4097" s="1" t="s">
        <v>3343</v>
      </c>
      <c r="C4097" s="1" t="str">
        <f ca="1">IFERROR(__xludf.DUMMYFUNCTION("GOOGLETRANSLATE(B4135,""en"",""ja"")"),"普及")</f>
        <v>普及</v>
      </c>
    </row>
    <row r="4098" spans="1:3" ht="18" customHeight="1" x14ac:dyDescent="0.3">
      <c r="A4098" s="1">
        <v>6</v>
      </c>
      <c r="B4098" s="1" t="s">
        <v>3344</v>
      </c>
      <c r="C4098" s="1" t="str">
        <f ca="1">IFERROR(__xludf.DUMMYFUNCTION("GOOGLETRANSLATE(B4136,""en"",""ja"")"),"貧しいです")</f>
        <v>貧しいです</v>
      </c>
    </row>
    <row r="4099" spans="1:3" ht="18" customHeight="1" x14ac:dyDescent="0.3">
      <c r="A4099" s="1">
        <v>6</v>
      </c>
      <c r="B4099" s="1" t="s">
        <v>3345</v>
      </c>
      <c r="C4099" s="1" t="str">
        <f ca="1">IFERROR(__xludf.DUMMYFUNCTION("GOOGLETRANSLATE(B4137,""en"",""ja"")"),"政治家")</f>
        <v>政治家</v>
      </c>
    </row>
    <row r="4100" spans="1:3" ht="18" customHeight="1" x14ac:dyDescent="0.3">
      <c r="A4100" s="1">
        <v>6</v>
      </c>
      <c r="B4100" s="1" t="s">
        <v>3346</v>
      </c>
      <c r="C4100" s="1" t="str">
        <f ca="1">IFERROR(__xludf.DUMMYFUNCTION("GOOGLETRANSLATE(B4138,""en"",""ja"")"),"中毒")</f>
        <v>中毒</v>
      </c>
    </row>
    <row r="4101" spans="1:3" ht="18" customHeight="1" x14ac:dyDescent="0.3">
      <c r="A4101" s="1">
        <v>6</v>
      </c>
      <c r="B4101" s="1" t="s">
        <v>3347</v>
      </c>
      <c r="C4101" s="1" t="str">
        <f ca="1">IFERROR(__xludf.DUMMYFUNCTION("GOOGLETRANSLATE(B4139,""en"",""ja"")"),"苦境")</f>
        <v>苦境</v>
      </c>
    </row>
    <row r="4102" spans="1:3" ht="18" customHeight="1" x14ac:dyDescent="0.3">
      <c r="A4102" s="1">
        <v>6</v>
      </c>
      <c r="B4102" s="1" t="s">
        <v>3348</v>
      </c>
      <c r="C4102" s="1" t="str">
        <f ca="1">IFERROR(__xludf.DUMMYFUNCTION("GOOGLETRANSLATE(B4140,""en"",""ja"")"),"劇")</f>
        <v>劇</v>
      </c>
    </row>
    <row r="4103" spans="1:3" ht="18" customHeight="1" x14ac:dyDescent="0.3">
      <c r="A4103" s="1">
        <v>6</v>
      </c>
      <c r="B4103" s="1" t="s">
        <v>3349</v>
      </c>
      <c r="C4103" s="1" t="str">
        <f ca="1">IFERROR(__xludf.DUMMYFUNCTION("GOOGLETRANSLATE(B4141,""en"",""ja"")"),"プランナー")</f>
        <v>プランナー</v>
      </c>
    </row>
    <row r="4104" spans="1:3" ht="18" customHeight="1" x14ac:dyDescent="0.3">
      <c r="A4104" s="1">
        <v>6</v>
      </c>
      <c r="B4104" s="1" t="s">
        <v>3350</v>
      </c>
      <c r="C4104" s="1" t="str">
        <f ca="1">IFERROR(__xludf.DUMMYFUNCTION("GOOGLETRANSLATE(B4142,""en"",""ja"")"),"ピン")</f>
        <v>ピン</v>
      </c>
    </row>
    <row r="4105" spans="1:3" ht="18" customHeight="1" x14ac:dyDescent="0.3">
      <c r="A4105" s="1">
        <v>6</v>
      </c>
      <c r="B4105" s="1" t="s">
        <v>3351</v>
      </c>
      <c r="C4105" s="1" t="str">
        <f ca="1">IFERROR(__xludf.DUMMYFUNCTION("GOOGLETRANSLATE(B4143,""en"",""ja"")"),"ピアノ")</f>
        <v>ピアノ</v>
      </c>
    </row>
    <row r="4106" spans="1:3" ht="18" customHeight="1" x14ac:dyDescent="0.3">
      <c r="A4106" s="1">
        <v>6</v>
      </c>
      <c r="B4106" s="1" t="s">
        <v>3352</v>
      </c>
      <c r="C4106" s="1" t="str">
        <f ca="1">IFERROR(__xludf.DUMMYFUNCTION("GOOGLETRANSLATE(B4145,""en"",""ja"")"),"生理的な")</f>
        <v>生理的な</v>
      </c>
    </row>
    <row r="4107" spans="1:3" ht="18" customHeight="1" x14ac:dyDescent="0.3">
      <c r="A4107" s="1">
        <v>6</v>
      </c>
      <c r="B4107" s="1" t="s">
        <v>3353</v>
      </c>
      <c r="C4107" s="1" t="str">
        <f ca="1">IFERROR(__xludf.DUMMYFUNCTION("GOOGLETRANSLATE(B4146,""en"",""ja"")"),"写真の")</f>
        <v>写真の</v>
      </c>
    </row>
    <row r="4108" spans="1:3" ht="18" customHeight="1" x14ac:dyDescent="0.3">
      <c r="A4108" s="1">
        <v>6</v>
      </c>
      <c r="B4108" s="1" t="s">
        <v>3354</v>
      </c>
      <c r="C4108" s="1" t="str">
        <f ca="1">IFERROR(__xludf.DUMMYFUNCTION("GOOGLETRANSLATE(B4147,""en"",""ja"")"),"哲学者")</f>
        <v>哲学者</v>
      </c>
    </row>
    <row r="4109" spans="1:3" ht="18" customHeight="1" x14ac:dyDescent="0.3">
      <c r="A4109" s="1">
        <v>6</v>
      </c>
      <c r="B4109" s="1" t="s">
        <v>3355</v>
      </c>
      <c r="C4109" s="1" t="str">
        <f ca="1">IFERROR(__xludf.DUMMYFUNCTION("GOOGLETRANSLATE(B4148,""en"",""ja"")"),"現象")</f>
        <v>現象</v>
      </c>
    </row>
    <row r="4110" spans="1:3" ht="18" customHeight="1" x14ac:dyDescent="0.3">
      <c r="A4110" s="1">
        <v>6</v>
      </c>
      <c r="B4110" s="1" t="s">
        <v>3356</v>
      </c>
      <c r="C4110" s="1" t="str">
        <f ca="1">IFERROR(__xludf.DUMMYFUNCTION("GOOGLETRANSLATE(B4149,""en"",""ja"")"),"摂動")</f>
        <v>摂動</v>
      </c>
    </row>
    <row r="4111" spans="1:3" ht="18" customHeight="1" x14ac:dyDescent="0.3">
      <c r="A4111" s="1">
        <v>6</v>
      </c>
      <c r="B4111" s="1" t="s">
        <v>3357</v>
      </c>
      <c r="C4111" s="1" t="str">
        <f ca="1">IFERROR(__xludf.DUMMYFUNCTION("GOOGLETRANSLATE(B4150,""en"",""ja"")"),"展望")</f>
        <v>展望</v>
      </c>
    </row>
    <row r="4112" spans="1:3" ht="18" customHeight="1" x14ac:dyDescent="0.3">
      <c r="A4112" s="1">
        <v>6</v>
      </c>
      <c r="B4112" s="1" t="s">
        <v>3358</v>
      </c>
      <c r="C4112" s="1" t="str">
        <f ca="1">IFERROR(__xludf.DUMMYFUNCTION("GOOGLETRANSLATE(B4151,""en"",""ja"")"),"個性")</f>
        <v>個性</v>
      </c>
    </row>
    <row r="4113" spans="1:3" ht="18" customHeight="1" x14ac:dyDescent="0.3">
      <c r="A4113" s="1">
        <v>6</v>
      </c>
      <c r="B4113" s="1" t="s">
        <v>3359</v>
      </c>
      <c r="C4113" s="1" t="str">
        <f ca="1">IFERROR(__xludf.DUMMYFUNCTION("GOOGLETRANSLATE(B4152,""en"",""ja"")"),"実行")</f>
        <v>実行</v>
      </c>
    </row>
    <row r="4114" spans="1:3" ht="18" customHeight="1" x14ac:dyDescent="0.3">
      <c r="A4114" s="1">
        <v>6</v>
      </c>
      <c r="B4114" s="1" t="s">
        <v>2089</v>
      </c>
      <c r="C4114" s="1" t="str">
        <f ca="1">IFERROR(__xludf.DUMMYFUNCTION("GOOGLETRANSLATE(B4153,""en"",""ja"")"),"パーフェクト")</f>
        <v>パーフェクト</v>
      </c>
    </row>
    <row r="4115" spans="1:3" ht="18" customHeight="1" x14ac:dyDescent="0.3">
      <c r="A4115" s="1">
        <v>6</v>
      </c>
      <c r="B4115" s="1" t="s">
        <v>607</v>
      </c>
      <c r="C4115" s="1" t="str">
        <f ca="1">IFERROR(__xludf.DUMMYFUNCTION("GOOGLETRANSLATE(B4154,""en"",""ja"")"),"パーセント")</f>
        <v>パーセント</v>
      </c>
    </row>
    <row r="4116" spans="1:3" ht="18" customHeight="1" x14ac:dyDescent="0.3">
      <c r="A4116" s="1">
        <v>6</v>
      </c>
      <c r="B4116" s="1" t="s">
        <v>3360</v>
      </c>
      <c r="C4116" s="1" t="str">
        <f ca="1">IFERROR(__xludf.DUMMYFUNCTION("GOOGLETRANSLATE(B4155,""en"",""ja"")"),"一人あたり")</f>
        <v>一人あたり</v>
      </c>
    </row>
    <row r="4117" spans="1:3" ht="18" customHeight="1" x14ac:dyDescent="0.3">
      <c r="A4117" s="1">
        <v>6</v>
      </c>
      <c r="B4117" s="1" t="s">
        <v>3361</v>
      </c>
      <c r="C4117" s="1" t="str">
        <f ca="1">IFERROR(__xludf.DUMMYFUNCTION("GOOGLETRANSLATE(B4156,""en"",""ja"")"),"人々")</f>
        <v>人々</v>
      </c>
    </row>
    <row r="4118" spans="1:3" ht="18" customHeight="1" x14ac:dyDescent="0.3">
      <c r="A4118" s="1">
        <v>6</v>
      </c>
      <c r="B4118" s="1" t="s">
        <v>3362</v>
      </c>
      <c r="C4118" s="1" t="str">
        <f ca="1">IFERROR(__xludf.DUMMYFUNCTION("GOOGLETRANSLATE(B4157,""en"",""ja"")"),"ペンシルバニア")</f>
        <v>ペンシルバニア</v>
      </c>
    </row>
    <row r="4119" spans="1:3" ht="18" customHeight="1" x14ac:dyDescent="0.3">
      <c r="A4119" s="1">
        <v>6</v>
      </c>
      <c r="B4119" s="1" t="s">
        <v>1919</v>
      </c>
      <c r="C4119" s="1" t="str">
        <f ca="1">IFERROR(__xludf.DUMMYFUNCTION("GOOGLETRANSLATE(B4158,""en"",""ja"")"),"支払う")</f>
        <v>支払う</v>
      </c>
    </row>
    <row r="4120" spans="1:3" ht="18" customHeight="1" x14ac:dyDescent="0.3">
      <c r="A4120" s="1">
        <v>6</v>
      </c>
      <c r="B4120" s="1" t="s">
        <v>3363</v>
      </c>
      <c r="C4120" s="1" t="str">
        <f ca="1">IFERROR(__xludf.DUMMYFUNCTION("GOOGLETRANSLATE(B4159,""en"",""ja"")"),"情欲")</f>
        <v>情欲</v>
      </c>
    </row>
    <row r="4121" spans="1:3" ht="18" customHeight="1" x14ac:dyDescent="0.3">
      <c r="A4121" s="1">
        <v>6</v>
      </c>
      <c r="B4121" s="1" t="s">
        <v>3364</v>
      </c>
      <c r="C4121" s="1" t="str">
        <f ca="1">IFERROR(__xludf.DUMMYFUNCTION("GOOGLETRANSLATE(B4160,""en"",""ja"")"),"通過")</f>
        <v>通過</v>
      </c>
    </row>
    <row r="4122" spans="1:3" ht="18" customHeight="1" x14ac:dyDescent="0.3">
      <c r="A4122" s="1">
        <v>6</v>
      </c>
      <c r="B4122" s="1" t="s">
        <v>3365</v>
      </c>
      <c r="C4122" s="1" t="str">
        <f ca="1">IFERROR(__xludf.DUMMYFUNCTION("GOOGLETRANSLATE(B4161,""en"",""ja"")"),"パルチザン")</f>
        <v>パルチザン</v>
      </c>
    </row>
    <row r="4123" spans="1:3" ht="18" customHeight="1" x14ac:dyDescent="0.3">
      <c r="A4123" s="1">
        <v>6</v>
      </c>
      <c r="B4123" s="1" t="s">
        <v>3366</v>
      </c>
      <c r="C4123" s="1" t="str">
        <f ca="1">IFERROR(__xludf.DUMMYFUNCTION("GOOGLETRANSLATE(B4162,""en"",""ja"")"),"特に")</f>
        <v>特に</v>
      </c>
    </row>
    <row r="4124" spans="1:3" ht="18" customHeight="1" x14ac:dyDescent="0.3">
      <c r="A4124" s="1">
        <v>6</v>
      </c>
      <c r="B4124" s="1" t="s">
        <v>3367</v>
      </c>
      <c r="C4124" s="1" t="str">
        <f ca="1">IFERROR(__xludf.DUMMYFUNCTION("GOOGLETRANSLATE(B4163,""en"",""ja"")"),"パーク")</f>
        <v>パーク</v>
      </c>
    </row>
    <row r="4125" spans="1:3" ht="18" customHeight="1" x14ac:dyDescent="0.3">
      <c r="A4125" s="1">
        <v>6</v>
      </c>
      <c r="B4125" s="1" t="s">
        <v>3368</v>
      </c>
      <c r="C4125" s="1" t="str">
        <f ca="1">IFERROR(__xludf.DUMMYFUNCTION("GOOGLETRANSLATE(B4164,""en"",""ja"")"),"パラダイス")</f>
        <v>パラダイス</v>
      </c>
    </row>
    <row r="4126" spans="1:3" ht="18" customHeight="1" x14ac:dyDescent="0.3">
      <c r="A4126" s="1">
        <v>6</v>
      </c>
      <c r="B4126" s="1" t="s">
        <v>3369</v>
      </c>
      <c r="C4126" s="1" t="str">
        <f ca="1">IFERROR(__xludf.DUMMYFUNCTION("GOOGLETRANSLATE(B4165,""en"",""ja"")"),"ペア")</f>
        <v>ペア</v>
      </c>
    </row>
    <row r="4127" spans="1:3" ht="18" customHeight="1" x14ac:dyDescent="0.3">
      <c r="A4127" s="1">
        <v>6</v>
      </c>
      <c r="B4127" s="1" t="s">
        <v>3370</v>
      </c>
      <c r="C4127" s="1" t="str">
        <f ca="1">IFERROR(__xludf.DUMMYFUNCTION("GOOGLETRANSLATE(B4166,""en"",""ja"")"),"ペア")</f>
        <v>ペア</v>
      </c>
    </row>
    <row r="4128" spans="1:3" ht="18" customHeight="1" x14ac:dyDescent="0.3">
      <c r="A4128" s="1">
        <v>6</v>
      </c>
      <c r="B4128" s="1" t="s">
        <v>3371</v>
      </c>
      <c r="C4128" s="1" t="str">
        <f ca="1">IFERROR(__xludf.DUMMYFUNCTION("GOOGLETRANSLATE(B4167,""en"",""ja"")"),"描きました")</f>
        <v>描きました</v>
      </c>
    </row>
    <row r="4129" spans="1:3" ht="18" customHeight="1" x14ac:dyDescent="0.3">
      <c r="A4129" s="1">
        <v>6</v>
      </c>
      <c r="B4129" s="1" t="s">
        <v>3372</v>
      </c>
      <c r="C4129" s="1" t="str">
        <f ca="1">IFERROR(__xludf.DUMMYFUNCTION("GOOGLETRANSLATE(B4168,""en"",""ja"")"),"ペイント")</f>
        <v>ペイント</v>
      </c>
    </row>
    <row r="4130" spans="1:3" ht="18" customHeight="1" x14ac:dyDescent="0.3">
      <c r="A4130" s="1">
        <v>6</v>
      </c>
      <c r="B4130" s="1" t="s">
        <v>3373</v>
      </c>
      <c r="C4130" s="1" t="str">
        <f ca="1">IFERROR(__xludf.DUMMYFUNCTION("GOOGLETRANSLATE(B4170,""en"",""ja"")"),"ページ")</f>
        <v>ページ</v>
      </c>
    </row>
    <row r="4131" spans="1:3" ht="18" customHeight="1" x14ac:dyDescent="0.3">
      <c r="A4131" s="1">
        <v>6</v>
      </c>
      <c r="B4131" s="1" t="s">
        <v>1540</v>
      </c>
      <c r="C4131" s="1" t="str">
        <f ca="1">IFERROR(__xludf.DUMMYFUNCTION("GOOGLETRANSLATE(B4171,""en"",""ja"")"),"ペース")</f>
        <v>ペース</v>
      </c>
    </row>
    <row r="4132" spans="1:3" ht="18" customHeight="1" x14ac:dyDescent="0.3">
      <c r="A4132" s="1">
        <v>6</v>
      </c>
      <c r="B4132" s="1" t="s">
        <v>3374</v>
      </c>
      <c r="C4132" s="1" t="str">
        <f ca="1">IFERROR(__xludf.DUMMYFUNCTION("GOOGLETRANSLATE(B4172,""en"",""ja"")"),"倍音")</f>
        <v>倍音</v>
      </c>
    </row>
    <row r="4133" spans="1:3" ht="18" customHeight="1" x14ac:dyDescent="0.3">
      <c r="A4133" s="1">
        <v>6</v>
      </c>
      <c r="B4133" s="1" t="s">
        <v>3375</v>
      </c>
      <c r="C4133" s="1" t="str">
        <f ca="1">IFERROR(__xludf.DUMMYFUNCTION("GOOGLETRANSLATE(B4173,""en"",""ja"")"),"過大評価")</f>
        <v>過大評価</v>
      </c>
    </row>
    <row r="4134" spans="1:3" ht="18" customHeight="1" x14ac:dyDescent="0.3">
      <c r="A4134" s="1">
        <v>6</v>
      </c>
      <c r="B4134" s="1" t="s">
        <v>3376</v>
      </c>
      <c r="C4134" s="1" t="str">
        <f ca="1">IFERROR(__xludf.DUMMYFUNCTION("GOOGLETRANSLATE(B4174,""en"",""ja"")"),"アウトソーシング")</f>
        <v>アウトソーシング</v>
      </c>
    </row>
    <row r="4135" spans="1:3" ht="18" customHeight="1" x14ac:dyDescent="0.3">
      <c r="A4135" s="1">
        <v>6</v>
      </c>
      <c r="B4135" s="1" t="s">
        <v>429</v>
      </c>
      <c r="C4135" s="1" t="str">
        <f ca="1">IFERROR(__xludf.DUMMYFUNCTION("GOOGLETRANSLATE(B4175,""en"",""ja"")"),"外側")</f>
        <v>外側</v>
      </c>
    </row>
    <row r="4136" spans="1:3" ht="18" customHeight="1" x14ac:dyDescent="0.3">
      <c r="A4136" s="1">
        <v>6</v>
      </c>
      <c r="B4136" s="1" t="s">
        <v>3377</v>
      </c>
      <c r="C4136" s="1" t="str">
        <f ca="1">IFERROR(__xludf.DUMMYFUNCTION("GOOGLETRANSLATE(B4176,""en"",""ja"")"),"最初")</f>
        <v>最初</v>
      </c>
    </row>
    <row r="4137" spans="1:3" ht="18" customHeight="1" x14ac:dyDescent="0.3">
      <c r="A4137" s="1">
        <v>6</v>
      </c>
      <c r="B4137" s="1" t="s">
        <v>3378</v>
      </c>
      <c r="C4137" s="1" t="str">
        <f ca="1">IFERROR(__xludf.DUMMYFUNCTION("GOOGLETRANSLATE(B4177,""en"",""ja"")"),"出力")</f>
        <v>出力</v>
      </c>
    </row>
    <row r="4138" spans="1:3" ht="18" customHeight="1" x14ac:dyDescent="0.3">
      <c r="A4138" s="1">
        <v>6</v>
      </c>
      <c r="B4138" s="1" t="s">
        <v>3379</v>
      </c>
      <c r="C4138" s="1" t="str">
        <f ca="1">IFERROR(__xludf.DUMMYFUNCTION("GOOGLETRANSLATE(B4178,""en"",""ja"")"),"古いです")</f>
        <v>古いです</v>
      </c>
    </row>
    <row r="4139" spans="1:3" ht="18" customHeight="1" x14ac:dyDescent="0.3">
      <c r="A4139" s="1">
        <v>6</v>
      </c>
      <c r="B4139" s="1" t="s">
        <v>3380</v>
      </c>
      <c r="C4139" s="1" t="str">
        <f ca="1">IFERROR(__xludf.DUMMYFUNCTION("GOOGLETRANSLATE(B4179,""en"",""ja"")"),"概要")</f>
        <v>概要</v>
      </c>
    </row>
    <row r="4140" spans="1:3" ht="18" customHeight="1" x14ac:dyDescent="0.3">
      <c r="A4140" s="1">
        <v>6</v>
      </c>
      <c r="B4140" s="1" t="s">
        <v>2614</v>
      </c>
      <c r="C4140" s="1" t="str">
        <f ca="1">IFERROR(__xludf.DUMMYFUNCTION("GOOGLETRANSLATE(B4180,""en"",""ja"")"),"操作")</f>
        <v>操作</v>
      </c>
    </row>
    <row r="4141" spans="1:3" ht="18" customHeight="1" x14ac:dyDescent="0.3">
      <c r="A4141" s="1">
        <v>6</v>
      </c>
      <c r="B4141" s="1" t="s">
        <v>3381</v>
      </c>
      <c r="C4141" s="1" t="str">
        <f ca="1">IFERROR(__xludf.DUMMYFUNCTION("GOOGLETRANSLATE(B4181,""en"",""ja"")"),"動作")</f>
        <v>動作</v>
      </c>
    </row>
    <row r="4142" spans="1:3" ht="18" customHeight="1" x14ac:dyDescent="0.3">
      <c r="A4142" s="1">
        <v>6</v>
      </c>
      <c r="B4142" s="1" t="s">
        <v>3382</v>
      </c>
      <c r="C4142" s="1" t="str">
        <f ca="1">IFERROR(__xludf.DUMMYFUNCTION("GOOGLETRANSLATE(B4182,""en"",""ja"")"),"開きます")</f>
        <v>開きます</v>
      </c>
    </row>
    <row r="4143" spans="1:3" ht="18" customHeight="1" x14ac:dyDescent="0.3">
      <c r="A4143" s="1">
        <v>6</v>
      </c>
      <c r="B4143" s="1" t="s">
        <v>3383</v>
      </c>
      <c r="C4143" s="1" t="str">
        <f ca="1">IFERROR(__xludf.DUMMYFUNCTION("GOOGLETRANSLATE(B4183,""en"",""ja"")"),"オープン性")</f>
        <v>オープン性</v>
      </c>
    </row>
    <row r="4144" spans="1:3" ht="18" customHeight="1" x14ac:dyDescent="0.3">
      <c r="A4144" s="1">
        <v>6</v>
      </c>
      <c r="B4144" s="1" t="s">
        <v>71</v>
      </c>
      <c r="C4144" s="1" t="str">
        <f ca="1">IFERROR(__xludf.DUMMYFUNCTION("GOOGLETRANSLATE(B4184,""en"",""ja"")"),"のみ")</f>
        <v>のみ</v>
      </c>
    </row>
    <row r="4145" spans="1:3" ht="18" customHeight="1" x14ac:dyDescent="0.3">
      <c r="A4145" s="1">
        <v>6</v>
      </c>
      <c r="B4145" s="1" t="s">
        <v>1926</v>
      </c>
      <c r="C4145" s="1" t="str">
        <f ca="1">IFERROR(__xludf.DUMMYFUNCTION("GOOGLETRANSLATE(B4185,""en"",""ja"")"),"オフィス")</f>
        <v>オフィス</v>
      </c>
    </row>
    <row r="4146" spans="1:3" ht="18" customHeight="1" x14ac:dyDescent="0.3">
      <c r="A4146" s="1">
        <v>6</v>
      </c>
      <c r="B4146" s="1" t="s">
        <v>3384</v>
      </c>
      <c r="C4146" s="1" t="str">
        <f ca="1">IFERROR(__xludf.DUMMYFUNCTION("GOOGLETRANSLATE(B4186,""en"",""ja"")"),"機会")</f>
        <v>機会</v>
      </c>
    </row>
    <row r="4147" spans="1:3" ht="18" customHeight="1" x14ac:dyDescent="0.3">
      <c r="A4147" s="1">
        <v>6</v>
      </c>
      <c r="B4147" s="1" t="s">
        <v>3385</v>
      </c>
      <c r="C4147" s="1" t="str">
        <f ca="1">IFERROR(__xludf.DUMMYFUNCTION("GOOGLETRANSLATE(B4187,""en"",""ja"")"),"得られ")</f>
        <v>得られ</v>
      </c>
    </row>
    <row r="4148" spans="1:3" ht="18" customHeight="1" x14ac:dyDescent="0.3">
      <c r="A4148" s="1">
        <v>6</v>
      </c>
      <c r="B4148" s="1" t="s">
        <v>3386</v>
      </c>
      <c r="C4148" s="1" t="str">
        <f ca="1">IFERROR(__xludf.DUMMYFUNCTION("GOOGLETRANSLATE(B4188,""en"",""ja"")"),"頑固")</f>
        <v>頑固</v>
      </c>
    </row>
    <row r="4149" spans="1:3" ht="18" customHeight="1" x14ac:dyDescent="0.3">
      <c r="A4149" s="1">
        <v>6</v>
      </c>
      <c r="B4149" s="1" t="s">
        <v>3387</v>
      </c>
      <c r="C4149" s="1" t="str">
        <f ca="1">IFERROR(__xludf.DUMMYFUNCTION("GOOGLETRANSLATE(B4189,""en"",""ja"")"),"オブザーバー")</f>
        <v>オブザーバー</v>
      </c>
    </row>
    <row r="4150" spans="1:3" ht="18" customHeight="1" x14ac:dyDescent="0.3">
      <c r="A4150" s="1">
        <v>6</v>
      </c>
      <c r="B4150" s="1" t="s">
        <v>3388</v>
      </c>
      <c r="C4150" s="1" t="str">
        <f ca="1">IFERROR(__xludf.DUMMYFUNCTION("GOOGLETRANSLATE(B4190,""en"",""ja"")"),"ニュアンス")</f>
        <v>ニュアンス</v>
      </c>
    </row>
    <row r="4151" spans="1:3" ht="18" customHeight="1" x14ac:dyDescent="0.3">
      <c r="A4151" s="1">
        <v>6</v>
      </c>
      <c r="B4151" s="1" t="s">
        <v>3389</v>
      </c>
      <c r="C4151" s="1" t="str">
        <f ca="1">IFERROR(__xludf.DUMMYFUNCTION("GOOGLETRANSLATE(B4191,""en"",""ja"")"),"小説")</f>
        <v>小説</v>
      </c>
    </row>
    <row r="4152" spans="1:3" ht="18" customHeight="1" x14ac:dyDescent="0.3">
      <c r="A4152" s="1">
        <v>6</v>
      </c>
      <c r="B4152" s="1" t="s">
        <v>3390</v>
      </c>
      <c r="C4152" s="1" t="str">
        <f ca="1">IFERROR(__xludf.DUMMYFUNCTION("GOOGLETRANSLATE(B4192,""en"",""ja"")"),"通知")</f>
        <v>通知</v>
      </c>
    </row>
    <row r="4153" spans="1:3" ht="18" customHeight="1" x14ac:dyDescent="0.3">
      <c r="A4153" s="1">
        <v>6</v>
      </c>
      <c r="B4153" s="1" t="s">
        <v>3391</v>
      </c>
      <c r="C4153" s="1" t="str">
        <f ca="1">IFERROR(__xludf.DUMMYFUNCTION("GOOGLETRANSLATE(B4193,""en"",""ja"")"),"非言語")</f>
        <v>非言語</v>
      </c>
    </row>
    <row r="4154" spans="1:3" ht="18" customHeight="1" x14ac:dyDescent="0.3">
      <c r="A4154" s="1">
        <v>6</v>
      </c>
      <c r="B4154" s="1" t="s">
        <v>3392</v>
      </c>
      <c r="C4154" s="1" t="str">
        <f ca="1">IFERROR(__xludf.DUMMYFUNCTION("GOOGLETRANSLATE(B4194,""en"",""ja"")"),"非政府")</f>
        <v>非政府</v>
      </c>
    </row>
    <row r="4155" spans="1:3" ht="18" customHeight="1" x14ac:dyDescent="0.3">
      <c r="A4155" s="1">
        <v>6</v>
      </c>
      <c r="B4155" s="1" t="s">
        <v>3393</v>
      </c>
      <c r="C4155" s="1" t="str">
        <f ca="1">IFERROR(__xludf.DUMMYFUNCTION("GOOGLETRANSLATE(B4195,""en"",""ja"")"),"ノイズ")</f>
        <v>ノイズ</v>
      </c>
    </row>
    <row r="4156" spans="1:3" ht="18" customHeight="1" x14ac:dyDescent="0.3">
      <c r="A4156" s="1">
        <v>6</v>
      </c>
      <c r="B4156" s="1" t="s">
        <v>3394</v>
      </c>
      <c r="C4156" s="1" t="str">
        <f ca="1">IFERROR(__xludf.DUMMYFUNCTION("GOOGLETRANSLATE(B4196,""en"",""ja"")"),"第十九")</f>
        <v>第十九</v>
      </c>
    </row>
    <row r="4157" spans="1:3" ht="18" customHeight="1" x14ac:dyDescent="0.3">
      <c r="A4157" s="1">
        <v>6</v>
      </c>
      <c r="B4157" s="1" t="s">
        <v>3395</v>
      </c>
      <c r="C4157" s="1" t="str">
        <f ca="1">IFERROR(__xludf.DUMMYFUNCTION("GOOGLETRANSLATE(B4197,""en"",""ja"")"),"神経")</f>
        <v>神経</v>
      </c>
    </row>
    <row r="4158" spans="1:3" ht="18" customHeight="1" x14ac:dyDescent="0.3">
      <c r="A4158" s="1">
        <v>6</v>
      </c>
      <c r="B4158" s="1" t="s">
        <v>3396</v>
      </c>
      <c r="C4158" s="1" t="str">
        <f ca="1">IFERROR(__xludf.DUMMYFUNCTION("GOOGLETRANSLATE(B4198,""en"",""ja"")"),"ネット")</f>
        <v>ネット</v>
      </c>
    </row>
    <row r="4159" spans="1:3" ht="18" customHeight="1" x14ac:dyDescent="0.3">
      <c r="A4159" s="1">
        <v>6</v>
      </c>
      <c r="B4159" s="1" t="s">
        <v>3397</v>
      </c>
      <c r="C4159" s="1" t="str">
        <f ca="1">IFERROR(__xludf.DUMMYFUNCTION("GOOGLETRANSLATE(B4199,""en"",""ja"")"),"ナポレオン")</f>
        <v>ナポレオン</v>
      </c>
    </row>
    <row r="4160" spans="1:3" ht="18" customHeight="1" x14ac:dyDescent="0.3">
      <c r="A4160" s="1">
        <v>6</v>
      </c>
      <c r="B4160" s="1" t="s">
        <v>3398</v>
      </c>
      <c r="C4160" s="1" t="str">
        <f ca="1">IFERROR(__xludf.DUMMYFUNCTION("GOOGLETRANSLATE(B4200,""en"",""ja"")"),"ナポレオン")</f>
        <v>ナポレオン</v>
      </c>
    </row>
    <row r="4161" spans="1:3" ht="18" customHeight="1" x14ac:dyDescent="0.3">
      <c r="A4161" s="1">
        <v>6</v>
      </c>
      <c r="B4161" s="1" t="s">
        <v>2101</v>
      </c>
      <c r="C4161" s="1" t="str">
        <f ca="1">IFERROR(__xludf.DUMMYFUNCTION("GOOGLETRANSLATE(B4201,""en"",""ja"")"),"つまり")</f>
        <v>つまり</v>
      </c>
    </row>
    <row r="4162" spans="1:3" ht="18" customHeight="1" x14ac:dyDescent="0.3">
      <c r="A4162" s="1">
        <v>6</v>
      </c>
      <c r="B4162" s="1" t="s">
        <v>3399</v>
      </c>
      <c r="C4162" s="1" t="str">
        <f ca="1">IFERROR(__xludf.DUMMYFUNCTION("GOOGLETRANSLATE(B4202,""en"",""ja"")"),"ムスリム")</f>
        <v>ムスリム</v>
      </c>
    </row>
    <row r="4163" spans="1:3" ht="18" customHeight="1" x14ac:dyDescent="0.3">
      <c r="A4163" s="1">
        <v>6</v>
      </c>
      <c r="B4163" s="1" t="s">
        <v>3400</v>
      </c>
      <c r="C4163" s="1" t="str">
        <f ca="1">IFERROR(__xludf.DUMMYFUNCTION("GOOGLETRANSLATE(B4203,""en"",""ja"")"),"平凡な")</f>
        <v>平凡な</v>
      </c>
    </row>
    <row r="4164" spans="1:3" ht="18" customHeight="1" x14ac:dyDescent="0.3">
      <c r="A4164" s="1">
        <v>6</v>
      </c>
      <c r="B4164" s="1" t="s">
        <v>3401</v>
      </c>
      <c r="C4164" s="1" t="str">
        <f ca="1">IFERROR(__xludf.DUMMYFUNCTION("GOOGLETRANSLATE(B4204,""en"",""ja"")"),"ムンバイ")</f>
        <v>ムンバイ</v>
      </c>
    </row>
    <row r="4165" spans="1:3" ht="18" customHeight="1" x14ac:dyDescent="0.3">
      <c r="A4165" s="1">
        <v>6</v>
      </c>
      <c r="B4165" s="1" t="s">
        <v>3402</v>
      </c>
      <c r="C4165" s="1" t="str">
        <f ca="1">IFERROR(__xludf.DUMMYFUNCTION("GOOGLETRANSLATE(B4205,""en"",""ja"")"),"動きます")</f>
        <v>動きます</v>
      </c>
    </row>
    <row r="4166" spans="1:3" ht="18" customHeight="1" x14ac:dyDescent="0.3">
      <c r="A4166" s="1">
        <v>6</v>
      </c>
      <c r="B4166" s="1" t="s">
        <v>3403</v>
      </c>
      <c r="C4166" s="1" t="str">
        <f ca="1">IFERROR(__xludf.DUMMYFUNCTION("GOOGLETRANSLATE(B4206,""en"",""ja"")"),"山岳")</f>
        <v>山岳</v>
      </c>
    </row>
    <row r="4167" spans="1:3" ht="18" customHeight="1" x14ac:dyDescent="0.3">
      <c r="A4167" s="1">
        <v>6</v>
      </c>
      <c r="B4167" s="1" t="s">
        <v>3404</v>
      </c>
      <c r="C4167" s="1" t="str">
        <f ca="1">IFERROR(__xludf.DUMMYFUNCTION("GOOGLETRANSLATE(B4207,""en"",""ja"")"),"動機")</f>
        <v>動機</v>
      </c>
    </row>
    <row r="4168" spans="1:3" ht="18" customHeight="1" x14ac:dyDescent="0.3">
      <c r="A4168" s="1">
        <v>6</v>
      </c>
      <c r="B4168" s="1" t="s">
        <v>3405</v>
      </c>
      <c r="C4168" s="1" t="str">
        <f ca="1">IFERROR(__xludf.DUMMYFUNCTION("GOOGLETRANSLATE(B4208,""en"",""ja"")"),"王政")</f>
        <v>王政</v>
      </c>
    </row>
    <row r="4169" spans="1:3" ht="18" customHeight="1" x14ac:dyDescent="0.3">
      <c r="A4169" s="1">
        <v>6</v>
      </c>
      <c r="B4169" s="1" t="s">
        <v>3406</v>
      </c>
      <c r="C4169" s="1" t="str">
        <f ca="1">IFERROR(__xludf.DUMMYFUNCTION("GOOGLETRANSLATE(B4209,""en"",""ja"")"),"君主")</f>
        <v>君主</v>
      </c>
    </row>
    <row r="4170" spans="1:3" ht="18" customHeight="1" x14ac:dyDescent="0.3">
      <c r="A4170" s="1">
        <v>6</v>
      </c>
      <c r="B4170" s="1" t="s">
        <v>3407</v>
      </c>
      <c r="C4170" s="1" t="str">
        <f ca="1">IFERROR(__xludf.DUMMYFUNCTION("GOOGLETRANSLATE(B4210,""en"",""ja"")"),"控えめ")</f>
        <v>控えめ</v>
      </c>
    </row>
    <row r="4171" spans="1:3" ht="18" customHeight="1" x14ac:dyDescent="0.3">
      <c r="A4171" s="1">
        <v>6</v>
      </c>
      <c r="B4171" s="1" t="s">
        <v>3408</v>
      </c>
      <c r="C4171" s="1" t="str">
        <f ca="1">IFERROR(__xludf.DUMMYFUNCTION("GOOGLETRANSLATE(B4211,""en"",""ja"")"),"モード")</f>
        <v>モード</v>
      </c>
    </row>
    <row r="4172" spans="1:3" ht="18" customHeight="1" x14ac:dyDescent="0.3">
      <c r="A4172" s="1">
        <v>6</v>
      </c>
      <c r="B4172" s="1" t="s">
        <v>3409</v>
      </c>
      <c r="C4172" s="1" t="str">
        <f ca="1">IFERROR(__xludf.DUMMYFUNCTION("GOOGLETRANSLATE(B4213,""en"",""ja"")"),"動かします")</f>
        <v>動かします</v>
      </c>
    </row>
    <row r="4173" spans="1:3" ht="18" customHeight="1" x14ac:dyDescent="0.3">
      <c r="A4173" s="1">
        <v>6</v>
      </c>
      <c r="B4173" s="1" t="s">
        <v>1061</v>
      </c>
      <c r="C4173" s="1" t="str">
        <f ca="1">IFERROR(__xludf.DUMMYFUNCTION("GOOGLETRANSLATE(B4215,""en"",""ja"")"),"MJO")</f>
        <v>MJO</v>
      </c>
    </row>
    <row r="4174" spans="1:3" ht="18" customHeight="1" x14ac:dyDescent="0.3">
      <c r="A4174" s="1">
        <v>6</v>
      </c>
      <c r="B4174" s="1" t="s">
        <v>3410</v>
      </c>
      <c r="C4174" s="1" t="str">
        <f ca="1">IFERROR(__xludf.DUMMYFUNCTION("GOOGLETRANSLATE(B4216,""en"",""ja"")"),"お嬢")</f>
        <v>お嬢</v>
      </c>
    </row>
    <row r="4175" spans="1:3" ht="18" customHeight="1" x14ac:dyDescent="0.3">
      <c r="A4175" s="1">
        <v>6</v>
      </c>
      <c r="B4175" s="1" t="s">
        <v>3411</v>
      </c>
      <c r="C4175" s="1" t="str">
        <f ca="1">IFERROR(__xludf.DUMMYFUNCTION("GOOGLETRANSLATE(B4217,""en"",""ja"")"),"不始末")</f>
        <v>不始末</v>
      </c>
    </row>
    <row r="4176" spans="1:3" ht="18" customHeight="1" x14ac:dyDescent="0.3">
      <c r="A4176" s="1">
        <v>6</v>
      </c>
      <c r="B4176" s="1" t="s">
        <v>3412</v>
      </c>
      <c r="C4176" s="1" t="str">
        <f ca="1">IFERROR(__xludf.DUMMYFUNCTION("GOOGLETRANSLATE(B4218,""en"",""ja"")"),"誤算")</f>
        <v>誤算</v>
      </c>
    </row>
    <row r="4177" spans="1:3" ht="18" customHeight="1" x14ac:dyDescent="0.3">
      <c r="A4177" s="1">
        <v>6</v>
      </c>
      <c r="B4177" s="1" t="s">
        <v>3413</v>
      </c>
      <c r="C4177" s="1" t="str">
        <f ca="1">IFERROR(__xludf.DUMMYFUNCTION("GOOGLETRANSLATE(B4219,""en"",""ja"")"),"少数")</f>
        <v>少数</v>
      </c>
    </row>
    <row r="4178" spans="1:3" ht="18" customHeight="1" x14ac:dyDescent="0.3">
      <c r="A4178" s="1">
        <v>6</v>
      </c>
      <c r="B4178" s="1" t="s">
        <v>3414</v>
      </c>
      <c r="C4178" s="1" t="str">
        <f ca="1">IFERROR(__xludf.DUMMYFUNCTION("GOOGLETRANSLATE(B4220,""en"",""ja"")"),"マイナー")</f>
        <v>マイナー</v>
      </c>
    </row>
    <row r="4179" spans="1:3" ht="18" customHeight="1" x14ac:dyDescent="0.3">
      <c r="A4179" s="1">
        <v>6</v>
      </c>
      <c r="B4179" s="1" t="s">
        <v>3415</v>
      </c>
      <c r="C4179" s="1" t="str">
        <f ca="1">IFERROR(__xludf.DUMMYFUNCTION("GOOGLETRANSLATE(B4221,""en"",""ja"")"),"心")</f>
        <v>心</v>
      </c>
    </row>
    <row r="4180" spans="1:3" ht="18" customHeight="1" x14ac:dyDescent="0.3">
      <c r="A4180" s="1">
        <v>6</v>
      </c>
      <c r="B4180" s="1" t="s">
        <v>3416</v>
      </c>
      <c r="C4180" s="1" t="str">
        <f ca="1">IFERROR(__xludf.DUMMYFUNCTION("GOOGLETRANSLATE(B4222,""en"",""ja"")"),"心")</f>
        <v>心</v>
      </c>
    </row>
    <row r="4181" spans="1:3" ht="18" customHeight="1" x14ac:dyDescent="0.3">
      <c r="A4181" s="1">
        <v>6</v>
      </c>
      <c r="B4181" s="1" t="s">
        <v>3417</v>
      </c>
      <c r="C4181" s="1" t="str">
        <f ca="1">IFERROR(__xludf.DUMMYFUNCTION("GOOGLETRANSLATE(B4223,""en"",""ja"")"),"移行")</f>
        <v>移行</v>
      </c>
    </row>
    <row r="4182" spans="1:3" ht="18" customHeight="1" x14ac:dyDescent="0.3">
      <c r="A4182" s="1">
        <v>6</v>
      </c>
      <c r="B4182" s="1" t="s">
        <v>123</v>
      </c>
      <c r="C4182" s="1" t="str">
        <f ca="1">IFERROR(__xludf.DUMMYFUNCTION("GOOGLETRANSLATE(B4224,""en"",""ja"")"),"かもしれません")</f>
        <v>かもしれません</v>
      </c>
    </row>
    <row r="4183" spans="1:3" ht="18" customHeight="1" x14ac:dyDescent="0.3">
      <c r="A4183" s="1">
        <v>6</v>
      </c>
      <c r="B4183" s="1" t="s">
        <v>3418</v>
      </c>
      <c r="C4183" s="1" t="str">
        <f ca="1">IFERROR(__xludf.DUMMYFUNCTION("GOOGLETRANSLATE(B4225,""en"",""ja"")"),"ミシガン州")</f>
        <v>ミシガン州</v>
      </c>
    </row>
    <row r="4184" spans="1:3" ht="18" customHeight="1" x14ac:dyDescent="0.3">
      <c r="A4184" s="1">
        <v>6</v>
      </c>
      <c r="B4184" s="1" t="s">
        <v>3419</v>
      </c>
      <c r="C4184" s="1" t="str">
        <f ca="1">IFERROR(__xludf.DUMMYFUNCTION("GOOGLETRANSLATE(B4226,""en"",""ja"")"),"メートル")</f>
        <v>メートル</v>
      </c>
    </row>
    <row r="4185" spans="1:3" ht="18" customHeight="1" x14ac:dyDescent="0.3">
      <c r="A4185" s="1">
        <v>6</v>
      </c>
      <c r="B4185" s="1" t="s">
        <v>3420</v>
      </c>
      <c r="C4185" s="1" t="str">
        <f ca="1">IFERROR(__xludf.DUMMYFUNCTION("GOOGLETRANSLATE(B4227,""en"",""ja"")"),"言及")</f>
        <v>言及</v>
      </c>
    </row>
    <row r="4186" spans="1:3" ht="18" customHeight="1" x14ac:dyDescent="0.3">
      <c r="A4186" s="1">
        <v>6</v>
      </c>
      <c r="B4186" s="1" t="s">
        <v>3421</v>
      </c>
      <c r="C4186" s="1" t="str">
        <f ca="1">IFERROR(__xludf.DUMMYFUNCTION("GOOGLETRANSLATE(B4228,""en"",""ja"")"),"メンロパーク")</f>
        <v>メンロパーク</v>
      </c>
    </row>
    <row r="4187" spans="1:3" ht="18" customHeight="1" x14ac:dyDescent="0.3">
      <c r="A4187" s="1">
        <v>6</v>
      </c>
      <c r="B4187" s="1" t="s">
        <v>2975</v>
      </c>
      <c r="C4187" s="1" t="str">
        <f ca="1">IFERROR(__xludf.DUMMYFUNCTION("GOOGLETRANSLATE(B4229,""en"",""ja"")"),"メンバー")</f>
        <v>メンバー</v>
      </c>
    </row>
    <row r="4188" spans="1:3" ht="18" customHeight="1" x14ac:dyDescent="0.3">
      <c r="A4188" s="1">
        <v>6</v>
      </c>
      <c r="B4188" s="1" t="s">
        <v>3422</v>
      </c>
      <c r="C4188" s="1" t="str">
        <f ca="1">IFERROR(__xludf.DUMMYFUNCTION("GOOGLETRANSLATE(B4230,""en"",""ja"")"),"機構")</f>
        <v>機構</v>
      </c>
    </row>
    <row r="4189" spans="1:3" ht="18" customHeight="1" x14ac:dyDescent="0.3">
      <c r="A4189" s="1">
        <v>6</v>
      </c>
      <c r="B4189" s="1" t="s">
        <v>3423</v>
      </c>
      <c r="C4189" s="1" t="str">
        <f ca="1">IFERROR(__xludf.DUMMYFUNCTION("GOOGLETRANSLATE(B4231,""en"",""ja"")"),"最大")</f>
        <v>最大</v>
      </c>
    </row>
    <row r="4190" spans="1:3" ht="18" customHeight="1" x14ac:dyDescent="0.3">
      <c r="A4190" s="1">
        <v>6</v>
      </c>
      <c r="B4190" s="1" t="s">
        <v>3424</v>
      </c>
      <c r="C4190" s="1" t="str">
        <f ca="1">IFERROR(__xludf.DUMMYFUNCTION("GOOGLETRANSLATE(B4232,""en"",""ja"")"),"成熟しました")</f>
        <v>成熟しました</v>
      </c>
    </row>
    <row r="4191" spans="1:3" ht="18" customHeight="1" x14ac:dyDescent="0.3">
      <c r="A4191" s="1">
        <v>6</v>
      </c>
      <c r="B4191" s="1" t="s">
        <v>3425</v>
      </c>
      <c r="C4191" s="1" t="str">
        <f ca="1">IFERROR(__xludf.DUMMYFUNCTION("GOOGLETRANSLATE(B4233,""en"",""ja"")"),"数学の")</f>
        <v>数学の</v>
      </c>
    </row>
    <row r="4192" spans="1:3" ht="18" customHeight="1" x14ac:dyDescent="0.3">
      <c r="A4192" s="1">
        <v>6</v>
      </c>
      <c r="B4192" s="1" t="s">
        <v>3426</v>
      </c>
      <c r="C4192" s="1" t="str">
        <f ca="1">IFERROR(__xludf.DUMMYFUNCTION("GOOGLETRANSLATE(B4234,""en"",""ja"")"),"仲間")</f>
        <v>仲間</v>
      </c>
    </row>
    <row r="4193" spans="1:3" ht="18" customHeight="1" x14ac:dyDescent="0.3">
      <c r="A4193" s="1">
        <v>6</v>
      </c>
      <c r="B4193" s="1" t="s">
        <v>3427</v>
      </c>
      <c r="C4193" s="1" t="str">
        <f ca="1">IFERROR(__xludf.DUMMYFUNCTION("GOOGLETRANSLATE(B4235,""en"",""ja"")"),"マテリアライズ")</f>
        <v>マテリアライズ</v>
      </c>
    </row>
    <row r="4194" spans="1:3" ht="18" customHeight="1" x14ac:dyDescent="0.3">
      <c r="A4194" s="1">
        <v>6</v>
      </c>
      <c r="B4194" s="1" t="s">
        <v>3428</v>
      </c>
      <c r="C4194" s="1" t="str">
        <f ca="1">IFERROR(__xludf.DUMMYFUNCTION("GOOGLETRANSLATE(B4236,""en"",""ja"")"),"習得")</f>
        <v>習得</v>
      </c>
    </row>
    <row r="4195" spans="1:3" ht="18" customHeight="1" x14ac:dyDescent="0.3">
      <c r="A4195" s="1">
        <v>6</v>
      </c>
      <c r="B4195" s="1" t="s">
        <v>3429</v>
      </c>
      <c r="C4195" s="1" t="str">
        <f ca="1">IFERROR(__xludf.DUMMYFUNCTION("GOOGLETRANSLATE(B4237,""en"",""ja"")"),"元帥")</f>
        <v>元帥</v>
      </c>
    </row>
    <row r="4196" spans="1:3" ht="18" customHeight="1" x14ac:dyDescent="0.3">
      <c r="A4196" s="1">
        <v>6</v>
      </c>
      <c r="B4196" s="1" t="s">
        <v>3430</v>
      </c>
      <c r="C4196" s="1" t="str">
        <f ca="1">IFERROR(__xludf.DUMMYFUNCTION("GOOGLETRANSLATE(B4238,""en"",""ja"")"),"マーグリーズ")</f>
        <v>マーグリーズ</v>
      </c>
    </row>
    <row r="4197" spans="1:3" ht="18" customHeight="1" x14ac:dyDescent="0.3">
      <c r="A4197" s="1">
        <v>6</v>
      </c>
      <c r="B4197" s="1" t="s">
        <v>3431</v>
      </c>
      <c r="C4197" s="1" t="str">
        <f ca="1">IFERROR(__xludf.DUMMYFUNCTION("GOOGLETRANSLATE(B4239,""en"",""ja"")"),"マッピング")</f>
        <v>マッピング</v>
      </c>
    </row>
    <row r="4198" spans="1:3" ht="18" customHeight="1" x14ac:dyDescent="0.3">
      <c r="A4198" s="1">
        <v>6</v>
      </c>
      <c r="B4198" s="1" t="s">
        <v>893</v>
      </c>
      <c r="C4198" s="1" t="str">
        <f ca="1">IFERROR(__xludf.DUMMYFUNCTION("GOOGLETRANSLATE(B4240,""en"",""ja"")"),"やり方")</f>
        <v>やり方</v>
      </c>
    </row>
    <row r="4199" spans="1:3" ht="18" customHeight="1" x14ac:dyDescent="0.3">
      <c r="A4199" s="1">
        <v>6</v>
      </c>
      <c r="B4199" s="1" t="s">
        <v>3432</v>
      </c>
      <c r="C4199" s="1" t="str">
        <f ca="1">IFERROR(__xludf.DUMMYFUNCTION("GOOGLETRANSLATE(B4241,""en"",""ja"")"),"たてがみ")</f>
        <v>たてがみ</v>
      </c>
    </row>
    <row r="4200" spans="1:3" ht="18" customHeight="1" x14ac:dyDescent="0.3">
      <c r="A4200" s="1">
        <v>6</v>
      </c>
      <c r="B4200" s="1" t="s">
        <v>705</v>
      </c>
      <c r="C4200" s="1" t="str">
        <f ca="1">IFERROR(__xludf.DUMMYFUNCTION("GOOGLETRANSLATE(B4242,""en"",""ja"")"),"管理")</f>
        <v>管理</v>
      </c>
    </row>
    <row r="4201" spans="1:3" ht="18" customHeight="1" x14ac:dyDescent="0.3">
      <c r="A4201" s="1">
        <v>6</v>
      </c>
      <c r="B4201" s="1" t="s">
        <v>3433</v>
      </c>
      <c r="C4201" s="1" t="str">
        <f ca="1">IFERROR(__xludf.DUMMYFUNCTION("GOOGLETRANSLATE(B4243,""en"",""ja"")"),"マルサス")</f>
        <v>マルサス</v>
      </c>
    </row>
    <row r="4202" spans="1:3" ht="18" customHeight="1" x14ac:dyDescent="0.3">
      <c r="A4202" s="1">
        <v>6</v>
      </c>
      <c r="B4202" s="1" t="s">
        <v>3434</v>
      </c>
      <c r="C4202" s="1" t="str">
        <f ca="1">IFERROR(__xludf.DUMMYFUNCTION("GOOGLETRANSLATE(B4244,""en"",""ja"")"),"柔軟")</f>
        <v>柔軟</v>
      </c>
    </row>
    <row r="4203" spans="1:3" ht="18" customHeight="1" x14ac:dyDescent="0.3">
      <c r="A4203" s="1">
        <v>6</v>
      </c>
      <c r="B4203" s="1" t="s">
        <v>3435</v>
      </c>
      <c r="C4203" s="1" t="str">
        <f ca="1">IFERROR(__xludf.DUMMYFUNCTION("GOOGLETRANSLATE(B4245,""en"",""ja"")"),"維持")</f>
        <v>維持</v>
      </c>
    </row>
    <row r="4204" spans="1:3" ht="18" customHeight="1" x14ac:dyDescent="0.3">
      <c r="A4204" s="1">
        <v>6</v>
      </c>
      <c r="B4204" s="1" t="s">
        <v>3436</v>
      </c>
      <c r="C4204" s="1" t="str">
        <f ca="1">IFERROR(__xludf.DUMMYFUNCTION("GOOGLETRANSLATE(B4246,""en"",""ja"")"),"磁気")</f>
        <v>磁気</v>
      </c>
    </row>
    <row r="4205" spans="1:3" ht="18" customHeight="1" x14ac:dyDescent="0.3">
      <c r="A4205" s="1">
        <v>6</v>
      </c>
      <c r="B4205" s="1" t="s">
        <v>3437</v>
      </c>
      <c r="C4205" s="1" t="str">
        <f ca="1">IFERROR(__xludf.DUMMYFUNCTION("GOOGLETRANSLATE(B4247,""en"",""ja"")"),"マッキー")</f>
        <v>マッキー</v>
      </c>
    </row>
    <row r="4206" spans="1:3" ht="18" customHeight="1" x14ac:dyDescent="0.3">
      <c r="A4206" s="1">
        <v>6</v>
      </c>
      <c r="B4206" s="1" t="s">
        <v>731</v>
      </c>
      <c r="C4206" s="1" t="str">
        <f ca="1">IFERROR(__xludf.DUMMYFUNCTION("GOOGLETRANSLATE(B4248,""en"",""ja"")"),"失う")</f>
        <v>失う</v>
      </c>
    </row>
    <row r="4207" spans="1:3" ht="18" customHeight="1" x14ac:dyDescent="0.3">
      <c r="A4207" s="1">
        <v>6</v>
      </c>
      <c r="B4207" s="1" t="s">
        <v>3438</v>
      </c>
      <c r="C4207" s="1" t="str">
        <f ca="1">IFERROR(__xludf.DUMMYFUNCTION("GOOGLETRANSLATE(B4249,""en"",""ja"")"),"緩いです")</f>
        <v>緩いです</v>
      </c>
    </row>
    <row r="4208" spans="1:3" ht="18" customHeight="1" x14ac:dyDescent="0.3">
      <c r="A4208" s="1">
        <v>6</v>
      </c>
      <c r="B4208" s="1" t="s">
        <v>3439</v>
      </c>
      <c r="C4208" s="1" t="str">
        <f ca="1">IFERROR(__xludf.DUMMYFUNCTION("GOOGLETRANSLATE(B4250,""en"",""ja"")"),"ロック")</f>
        <v>ロック</v>
      </c>
    </row>
    <row r="4209" spans="1:3" ht="18" customHeight="1" x14ac:dyDescent="0.3">
      <c r="A4209" s="1">
        <v>6</v>
      </c>
      <c r="B4209" s="1" t="s">
        <v>2653</v>
      </c>
      <c r="C4209" s="1" t="str">
        <f ca="1">IFERROR(__xludf.DUMMYFUNCTION("GOOGLETRANSLATE(B4251,""en"",""ja"")"),"ローカル")</f>
        <v>ローカル</v>
      </c>
    </row>
    <row r="4210" spans="1:3" ht="18" customHeight="1" x14ac:dyDescent="0.3">
      <c r="A4210" s="1">
        <v>6</v>
      </c>
      <c r="B4210" s="1" t="s">
        <v>3440</v>
      </c>
      <c r="C4210" s="1" t="str">
        <f ca="1">IFERROR(__xludf.DUMMYFUNCTION("GOOGLETRANSLATE(B4252,""en"",""ja"")"),"文献")</f>
        <v>文献</v>
      </c>
    </row>
    <row r="4211" spans="1:3" ht="18" customHeight="1" x14ac:dyDescent="0.3">
      <c r="A4211" s="1">
        <v>6</v>
      </c>
      <c r="B4211" s="1" t="s">
        <v>3441</v>
      </c>
      <c r="C4211" s="1" t="str">
        <f ca="1">IFERROR(__xludf.DUMMYFUNCTION("GOOGLETRANSLATE(B4253,""en"",""ja"")"),"リテラシー")</f>
        <v>リテラシー</v>
      </c>
    </row>
    <row r="4212" spans="1:3" ht="18" customHeight="1" x14ac:dyDescent="0.3">
      <c r="A4212" s="1">
        <v>6</v>
      </c>
      <c r="B4212" s="1" t="s">
        <v>3442</v>
      </c>
      <c r="C4212" s="1" t="str">
        <f ca="1">IFERROR(__xludf.DUMMYFUNCTION("GOOGLETRANSLATE(B4254,""en"",""ja"")"),"聴く")</f>
        <v>聴く</v>
      </c>
    </row>
    <row r="4213" spans="1:3" ht="18" customHeight="1" x14ac:dyDescent="0.3">
      <c r="A4213" s="1">
        <v>6</v>
      </c>
      <c r="B4213" s="1" t="s">
        <v>3443</v>
      </c>
      <c r="C4213" s="1" t="str">
        <f ca="1">IFERROR(__xludf.DUMMYFUNCTION("GOOGLETRANSLATE(B4255,""en"",""ja"")"),"言語学者")</f>
        <v>言語学者</v>
      </c>
    </row>
    <row r="4214" spans="1:3" ht="18" customHeight="1" x14ac:dyDescent="0.3">
      <c r="A4214" s="1">
        <v>6</v>
      </c>
      <c r="B4214" s="1" t="s">
        <v>3444</v>
      </c>
      <c r="C4214" s="1" t="str">
        <f ca="1">IFERROR(__xludf.DUMMYFUNCTION("GOOGLETRANSLATE(B4256,""en"",""ja"")"),"系統")</f>
        <v>系統</v>
      </c>
    </row>
    <row r="4215" spans="1:3" ht="18" customHeight="1" x14ac:dyDescent="0.3">
      <c r="A4215" s="1">
        <v>6</v>
      </c>
      <c r="B4215" s="1" t="s">
        <v>3445</v>
      </c>
      <c r="C4215" s="1" t="str">
        <f ca="1">IFERROR(__xludf.DUMMYFUNCTION("GOOGLETRANSLATE(B4257,""en"",""ja"")"),"リミット")</f>
        <v>リミット</v>
      </c>
    </row>
    <row r="4216" spans="1:3" ht="18" customHeight="1" x14ac:dyDescent="0.3">
      <c r="A4216" s="1">
        <v>6</v>
      </c>
      <c r="B4216" s="1" t="s">
        <v>3446</v>
      </c>
      <c r="C4216" s="1" t="str">
        <f ca="1">IFERROR(__xludf.DUMMYFUNCTION("GOOGLETRANSLATE(B4258,""en"",""ja"")"),"点灯")</f>
        <v>点灯</v>
      </c>
    </row>
    <row r="4217" spans="1:3" ht="18" customHeight="1" x14ac:dyDescent="0.3">
      <c r="A4217" s="1">
        <v>6</v>
      </c>
      <c r="B4217" s="1" t="s">
        <v>3447</v>
      </c>
      <c r="C4217" s="1" t="str">
        <f ca="1">IFERROR(__xludf.DUMMYFUNCTION("GOOGLETRANSLATE(B4259,""en"",""ja"")"),"一生")</f>
        <v>一生</v>
      </c>
    </row>
    <row r="4218" spans="1:3" ht="18" customHeight="1" x14ac:dyDescent="0.3">
      <c r="A4218" s="1">
        <v>6</v>
      </c>
      <c r="B4218" s="1" t="s">
        <v>1190</v>
      </c>
      <c r="C4218" s="1" t="str">
        <f ca="1">IFERROR(__xludf.DUMMYFUNCTION("GOOGLETRANSLATE(B4260,""en"",""ja"")"),"自由")</f>
        <v>自由</v>
      </c>
    </row>
    <row r="4219" spans="1:3" ht="18" customHeight="1" x14ac:dyDescent="0.3">
      <c r="A4219" s="1">
        <v>6</v>
      </c>
      <c r="B4219" s="1" t="s">
        <v>3448</v>
      </c>
      <c r="C4219" s="1" t="str">
        <f ca="1">IFERROR(__xludf.DUMMYFUNCTION("GOOGLETRANSLATE(B4261,""en"",""ja"")"),"少なくなります")</f>
        <v>少なくなります</v>
      </c>
    </row>
    <row r="4220" spans="1:3" ht="18" customHeight="1" x14ac:dyDescent="0.3">
      <c r="A4220" s="1">
        <v>6</v>
      </c>
      <c r="B4220" s="1" t="s">
        <v>2657</v>
      </c>
      <c r="C4220" s="1" t="str">
        <f ca="1">IFERROR(__xludf.DUMMYFUNCTION("GOOGLETRANSLATE(B4262,""en"",""ja"")"),"立法")</f>
        <v>立法</v>
      </c>
    </row>
    <row r="4221" spans="1:3" ht="18" customHeight="1" x14ac:dyDescent="0.3">
      <c r="A4221" s="1">
        <v>6</v>
      </c>
      <c r="B4221" s="1" t="s">
        <v>3449</v>
      </c>
      <c r="C4221" s="1" t="str">
        <f ca="1">IFERROR(__xludf.DUMMYFUNCTION("GOOGLETRANSLATE(B4263,""en"",""ja"")"),"最新")</f>
        <v>最新</v>
      </c>
    </row>
    <row r="4222" spans="1:3" ht="18" customHeight="1" x14ac:dyDescent="0.3">
      <c r="A4222" s="1">
        <v>6</v>
      </c>
      <c r="B4222" s="1" t="s">
        <v>1941</v>
      </c>
      <c r="C4222" s="1" t="str">
        <f ca="1">IFERROR(__xludf.DUMMYFUNCTION("GOOGLETRANSLATE(B4264,""en"",""ja"")"),"労働")</f>
        <v>労働</v>
      </c>
    </row>
    <row r="4223" spans="1:3" ht="18" customHeight="1" x14ac:dyDescent="0.3">
      <c r="A4223" s="1">
        <v>6</v>
      </c>
      <c r="B4223" s="1" t="s">
        <v>1665</v>
      </c>
      <c r="C4223" s="1" t="str">
        <f ca="1">IFERROR(__xludf.DUMMYFUNCTION("GOOGLETRANSLATE(B4265,""en"",""ja"")"),"キッチン")</f>
        <v>キッチン</v>
      </c>
    </row>
    <row r="4224" spans="1:3" ht="18" customHeight="1" x14ac:dyDescent="0.3">
      <c r="A4224" s="1">
        <v>6</v>
      </c>
      <c r="B4224" s="1" t="s">
        <v>3450</v>
      </c>
      <c r="C4224" s="1" t="str">
        <f ca="1">IFERROR(__xludf.DUMMYFUNCTION("GOOGLETRANSLATE(B4266,""en"",""ja"")"),"血縁者")</f>
        <v>血縁者</v>
      </c>
    </row>
    <row r="4225" spans="1:3" ht="18" customHeight="1" x14ac:dyDescent="0.3">
      <c r="A4225" s="1">
        <v>6</v>
      </c>
      <c r="B4225" s="1" t="s">
        <v>3451</v>
      </c>
      <c r="C4225" s="1" t="str">
        <f ca="1">IFERROR(__xludf.DUMMYFUNCTION("GOOGLETRANSLATE(B4267,""en"",""ja"")"),"ジャスティン")</f>
        <v>ジャスティン</v>
      </c>
    </row>
    <row r="4226" spans="1:3" ht="18" customHeight="1" x14ac:dyDescent="0.3">
      <c r="A4226" s="1">
        <v>6</v>
      </c>
      <c r="B4226" s="1" t="s">
        <v>3452</v>
      </c>
      <c r="C4226" s="1" t="str">
        <f ca="1">IFERROR(__xludf.DUMMYFUNCTION("GOOGLETRANSLATE(B4268,""en"",""ja"")"),"正当化")</f>
        <v>正当化</v>
      </c>
    </row>
    <row r="4227" spans="1:3" ht="18" customHeight="1" x14ac:dyDescent="0.3">
      <c r="A4227" s="1">
        <v>6</v>
      </c>
      <c r="B4227" s="1" t="s">
        <v>3453</v>
      </c>
      <c r="C4227" s="1" t="str">
        <f ca="1">IFERROR(__xludf.DUMMYFUNCTION("GOOGLETRANSLATE(B4269,""en"",""ja"")"),"正当")</f>
        <v>正当</v>
      </c>
    </row>
    <row r="4228" spans="1:3" ht="18" customHeight="1" x14ac:dyDescent="0.3">
      <c r="A4228" s="1">
        <v>6</v>
      </c>
      <c r="B4228" s="1" t="s">
        <v>3454</v>
      </c>
      <c r="C4228" s="1" t="str">
        <f ca="1">IFERROR(__xludf.DUMMYFUNCTION("GOOGLETRANSLATE(B4270,""en"",""ja"")"),"司法")</f>
        <v>司法</v>
      </c>
    </row>
    <row r="4229" spans="1:3" ht="18" customHeight="1" x14ac:dyDescent="0.3">
      <c r="A4229" s="1">
        <v>6</v>
      </c>
      <c r="B4229" s="1" t="s">
        <v>1004</v>
      </c>
      <c r="C4229" s="1" t="str">
        <f ca="1">IFERROR(__xludf.DUMMYFUNCTION("GOOGLETRANSLATE(B4271,""en"",""ja"")"),"裁判官")</f>
        <v>裁判官</v>
      </c>
    </row>
    <row r="4230" spans="1:3" ht="18" customHeight="1" x14ac:dyDescent="0.3">
      <c r="A4230" s="1">
        <v>6</v>
      </c>
      <c r="B4230" s="1" t="s">
        <v>3455</v>
      </c>
      <c r="C4230" s="1" t="str">
        <f ca="1">IFERROR(__xludf.DUMMYFUNCTION("GOOGLETRANSLATE(B4272,""en"",""ja"")"),"もま")</f>
        <v>もま</v>
      </c>
    </row>
    <row r="4231" spans="1:3" ht="18" customHeight="1" x14ac:dyDescent="0.3">
      <c r="A4231" s="1">
        <v>6</v>
      </c>
      <c r="B4231" s="1" t="s">
        <v>3456</v>
      </c>
      <c r="C4231" s="1" t="str">
        <f ca="1">IFERROR(__xludf.DUMMYFUNCTION("GOOGLETRANSLATE(B4273,""en"",""ja"")"),"ジャージー")</f>
        <v>ジャージー</v>
      </c>
    </row>
    <row r="4232" spans="1:3" ht="18" customHeight="1" x14ac:dyDescent="0.3">
      <c r="A4232" s="1">
        <v>6</v>
      </c>
      <c r="B4232" s="1" t="s">
        <v>3457</v>
      </c>
      <c r="C4232" s="1" t="str">
        <f ca="1">IFERROR(__xludf.DUMMYFUNCTION("GOOGLETRANSLATE(B4274,""en"",""ja"")"),"日本")</f>
        <v>日本</v>
      </c>
    </row>
    <row r="4233" spans="1:3" ht="18" customHeight="1" x14ac:dyDescent="0.3">
      <c r="A4233" s="1">
        <v>6</v>
      </c>
      <c r="B4233" s="1" t="s">
        <v>3458</v>
      </c>
      <c r="C4233" s="1" t="str">
        <f ca="1">IFERROR(__xludf.DUMMYFUNCTION("GOOGLETRANSLATE(B4275,""en"",""ja"")"),"発行済み")</f>
        <v>発行済み</v>
      </c>
    </row>
    <row r="4234" spans="1:3" ht="18" customHeight="1" x14ac:dyDescent="0.3">
      <c r="A4234" s="1">
        <v>6</v>
      </c>
      <c r="B4234" s="1" t="s">
        <v>3459</v>
      </c>
      <c r="C4234" s="1" t="str">
        <f ca="1">IFERROR(__xludf.DUMMYFUNCTION("GOOGLETRANSLATE(B4276,""en"",""ja"")"),"隔離")</f>
        <v>隔離</v>
      </c>
    </row>
    <row r="4235" spans="1:3" ht="18" customHeight="1" x14ac:dyDescent="0.3">
      <c r="A4235" s="1">
        <v>6</v>
      </c>
      <c r="B4235" s="1" t="s">
        <v>3460</v>
      </c>
      <c r="C4235" s="1" t="str">
        <f ca="1">IFERROR(__xludf.DUMMYFUNCTION("GOOGLETRANSLATE(B4277,""en"",""ja"")"),"イズム")</f>
        <v>イズム</v>
      </c>
    </row>
    <row r="4236" spans="1:3" ht="18" customHeight="1" x14ac:dyDescent="0.3">
      <c r="A4236" s="1">
        <v>6</v>
      </c>
      <c r="B4236" s="1" t="s">
        <v>3461</v>
      </c>
      <c r="C4236" s="1" t="str">
        <f ca="1">IFERROR(__xludf.DUMMYFUNCTION("GOOGLETRANSLATE(B4278,""en"",""ja"")"),"不合理")</f>
        <v>不合理</v>
      </c>
    </row>
    <row r="4237" spans="1:3" ht="18" customHeight="1" x14ac:dyDescent="0.3">
      <c r="A4237" s="1">
        <v>6</v>
      </c>
      <c r="B4237" s="1" t="s">
        <v>3462</v>
      </c>
      <c r="C4237" s="1" t="str">
        <f ca="1">IFERROR(__xludf.DUMMYFUNCTION("GOOGLETRANSLATE(B4279,""en"",""ja"")"),"IP")</f>
        <v>IP</v>
      </c>
    </row>
    <row r="4238" spans="1:3" ht="18" customHeight="1" x14ac:dyDescent="0.3">
      <c r="A4238" s="1">
        <v>6</v>
      </c>
      <c r="B4238" s="1" t="s">
        <v>3463</v>
      </c>
      <c r="C4238" s="1" t="str">
        <f ca="1">IFERROR(__xludf.DUMMYFUNCTION("GOOGLETRANSLATE(B4280,""en"",""ja"")"),"研究者")</f>
        <v>研究者</v>
      </c>
    </row>
    <row r="4239" spans="1:3" ht="18" customHeight="1" x14ac:dyDescent="0.3">
      <c r="A4239" s="1">
        <v>6</v>
      </c>
      <c r="B4239" s="1" t="s">
        <v>3464</v>
      </c>
      <c r="C4239" s="1" t="str">
        <f ca="1">IFERROR(__xludf.DUMMYFUNCTION("GOOGLETRANSLATE(B4281,""en"",""ja"")"),"侵入")</f>
        <v>侵入</v>
      </c>
    </row>
    <row r="4240" spans="1:3" ht="18" customHeight="1" x14ac:dyDescent="0.3">
      <c r="A4240" s="1">
        <v>6</v>
      </c>
      <c r="B4240" s="1" t="s">
        <v>3465</v>
      </c>
      <c r="C4240" s="1" t="str">
        <f ca="1">IFERROR(__xludf.DUMMYFUNCTION("GOOGLETRANSLATE(B4282,""en"",""ja"")"),"イントネーション")</f>
        <v>イントネーション</v>
      </c>
    </row>
    <row r="4241" spans="1:3" ht="18" customHeight="1" x14ac:dyDescent="0.3">
      <c r="A4241" s="1">
        <v>6</v>
      </c>
      <c r="B4241" s="1" t="s">
        <v>3466</v>
      </c>
      <c r="C4241" s="1" t="str">
        <f ca="1">IFERROR(__xludf.DUMMYFUNCTION("GOOGLETRANSLATE(B4283,""en"",""ja"")"),"解釈")</f>
        <v>解釈</v>
      </c>
    </row>
    <row r="4242" spans="1:3" ht="18" customHeight="1" x14ac:dyDescent="0.3">
      <c r="A4242" s="1">
        <v>6</v>
      </c>
      <c r="B4242" s="1" t="s">
        <v>3467</v>
      </c>
      <c r="C4242" s="1" t="str">
        <f ca="1">IFERROR(__xludf.DUMMYFUNCTION("GOOGLETRANSLATE(B4284,""en"",""ja"")"),"興味がある")</f>
        <v>興味がある</v>
      </c>
    </row>
    <row r="4243" spans="1:3" ht="18" customHeight="1" x14ac:dyDescent="0.3">
      <c r="A4243" s="1">
        <v>6</v>
      </c>
      <c r="B4243" s="1" t="s">
        <v>3468</v>
      </c>
      <c r="C4243" s="1" t="str">
        <f ca="1">IFERROR(__xludf.DUMMYFUNCTION("GOOGLETRANSLATE(B4285,""en"",""ja"")"),"相互作用")</f>
        <v>相互作用</v>
      </c>
    </row>
    <row r="4244" spans="1:3" ht="18" customHeight="1" x14ac:dyDescent="0.3">
      <c r="A4244" s="1">
        <v>6</v>
      </c>
      <c r="B4244" s="1" t="s">
        <v>1947</v>
      </c>
      <c r="C4244" s="1" t="str">
        <f ca="1">IFERROR(__xludf.DUMMYFUNCTION("GOOGLETRANSLATE(B4286,""en"",""ja"")"),"集中的な")</f>
        <v>集中的な</v>
      </c>
    </row>
    <row r="4245" spans="1:3" ht="18" customHeight="1" x14ac:dyDescent="0.3">
      <c r="A4245" s="1">
        <v>6</v>
      </c>
      <c r="B4245" s="1" t="s">
        <v>3469</v>
      </c>
      <c r="C4245" s="1" t="str">
        <f ca="1">IFERROR(__xludf.DUMMYFUNCTION("GOOGLETRANSLATE(B4287,""en"",""ja"")"),"意図されました")</f>
        <v>意図されました</v>
      </c>
    </row>
    <row r="4246" spans="1:3" ht="18" customHeight="1" x14ac:dyDescent="0.3">
      <c r="A4246" s="1">
        <v>6</v>
      </c>
      <c r="B4246" s="1" t="s">
        <v>1948</v>
      </c>
      <c r="C4246" s="1" t="str">
        <f ca="1">IFERROR(__xludf.DUMMYFUNCTION("GOOGLETRANSLATE(B4288,""en"",""ja"")"),"器械")</f>
        <v>器械</v>
      </c>
    </row>
    <row r="4247" spans="1:3" ht="18" customHeight="1" x14ac:dyDescent="0.3">
      <c r="A4247" s="1">
        <v>6</v>
      </c>
      <c r="B4247" s="1" t="s">
        <v>3470</v>
      </c>
      <c r="C4247" s="1" t="str">
        <f ca="1">IFERROR(__xludf.DUMMYFUNCTION("GOOGLETRANSLATE(B4289,""en"",""ja"")"),"差止命令")</f>
        <v>差止命令</v>
      </c>
    </row>
    <row r="4248" spans="1:3" ht="18" customHeight="1" x14ac:dyDescent="0.3">
      <c r="A4248" s="1">
        <v>6</v>
      </c>
      <c r="B4248" s="1" t="s">
        <v>3471</v>
      </c>
      <c r="C4248" s="1" t="str">
        <f ca="1">IFERROR(__xludf.DUMMYFUNCTION("GOOGLETRANSLATE(B4290,""en"",""ja"")"),"非人間的")</f>
        <v>非人間的</v>
      </c>
    </row>
    <row r="4249" spans="1:3" ht="18" customHeight="1" x14ac:dyDescent="0.3">
      <c r="A4249" s="1">
        <v>6</v>
      </c>
      <c r="B4249" s="1" t="s">
        <v>3472</v>
      </c>
      <c r="C4249" s="1" t="str">
        <f ca="1">IFERROR(__xludf.DUMMYFUNCTION("GOOGLETRANSLATE(B4291,""en"",""ja"")"),"不親切な優しくない")</f>
        <v>不親切な優しくない</v>
      </c>
    </row>
    <row r="4250" spans="1:3" ht="18" customHeight="1" x14ac:dyDescent="0.3">
      <c r="A4250" s="1">
        <v>6</v>
      </c>
      <c r="B4250" s="1" t="s">
        <v>2384</v>
      </c>
      <c r="C4250" s="1" t="str">
        <f ca="1">IFERROR(__xludf.DUMMYFUNCTION("GOOGLETRANSLATE(B4292,""en"",""ja"")"),"固有")</f>
        <v>固有</v>
      </c>
    </row>
    <row r="4251" spans="1:3" ht="18" customHeight="1" x14ac:dyDescent="0.3">
      <c r="A4251" s="1">
        <v>6</v>
      </c>
      <c r="B4251" s="1" t="s">
        <v>3473</v>
      </c>
      <c r="C4251" s="1" t="str">
        <f ca="1">IFERROR(__xludf.DUMMYFUNCTION("GOOGLETRANSLATE(B4293,""en"",""ja"")"),"インフラ")</f>
        <v>インフラ</v>
      </c>
    </row>
    <row r="4252" spans="1:3" ht="18" customHeight="1" x14ac:dyDescent="0.3">
      <c r="A4252" s="1">
        <v>6</v>
      </c>
      <c r="B4252" s="1" t="s">
        <v>92</v>
      </c>
      <c r="C4252" s="1" t="str">
        <f ca="1">IFERROR(__xludf.DUMMYFUNCTION("GOOGLETRANSLATE(B4294,""en"",""ja"")"),"情報")</f>
        <v>情報</v>
      </c>
    </row>
    <row r="4253" spans="1:3" ht="18" customHeight="1" x14ac:dyDescent="0.3">
      <c r="A4253" s="1">
        <v>6</v>
      </c>
      <c r="B4253" s="1" t="s">
        <v>3474</v>
      </c>
      <c r="C4253" s="1" t="str">
        <f ca="1">IFERROR(__xludf.DUMMYFUNCTION("GOOGLETRANSLATE(B4295,""en"",""ja"")"),"影響力のあります")</f>
        <v>影響力のあります</v>
      </c>
    </row>
    <row r="4254" spans="1:3" ht="18" customHeight="1" x14ac:dyDescent="0.3">
      <c r="A4254" s="1">
        <v>6</v>
      </c>
      <c r="B4254" s="1" t="s">
        <v>3475</v>
      </c>
      <c r="C4254" s="1" t="str">
        <f ca="1">IFERROR(__xludf.DUMMYFUNCTION("GOOGLETRANSLATE(B4296,""en"",""ja"")"),"無限に")</f>
        <v>無限に</v>
      </c>
    </row>
    <row r="4255" spans="1:3" ht="18" customHeight="1" x14ac:dyDescent="0.3">
      <c r="A4255" s="1">
        <v>6</v>
      </c>
      <c r="B4255" s="1" t="s">
        <v>3476</v>
      </c>
      <c r="C4255" s="1" t="str">
        <f ca="1">IFERROR(__xludf.DUMMYFUNCTION("GOOGLETRANSLATE(B4297,""en"",""ja"")"),"幼児")</f>
        <v>幼児</v>
      </c>
    </row>
    <row r="4256" spans="1:3" ht="18" customHeight="1" x14ac:dyDescent="0.3">
      <c r="A4256" s="1">
        <v>6</v>
      </c>
      <c r="B4256" s="1" t="s">
        <v>3003</v>
      </c>
      <c r="C4256" s="1" t="str">
        <f ca="1">IFERROR(__xludf.DUMMYFUNCTION("GOOGLETRANSLATE(B4298,""en"",""ja"")"),"非効率的な")</f>
        <v>非効率的な</v>
      </c>
    </row>
    <row r="4257" spans="1:3" ht="18" customHeight="1" x14ac:dyDescent="0.3">
      <c r="A4257" s="1">
        <v>6</v>
      </c>
      <c r="B4257" s="1" t="s">
        <v>3477</v>
      </c>
      <c r="C4257" s="1" t="str">
        <f ca="1">IFERROR(__xludf.DUMMYFUNCTION("GOOGLETRANSLATE(B4299,""en"",""ja"")"),"工業化")</f>
        <v>工業化</v>
      </c>
    </row>
    <row r="4258" spans="1:3" ht="18" customHeight="1" x14ac:dyDescent="0.3">
      <c r="A4258" s="1">
        <v>6</v>
      </c>
      <c r="B4258" s="1" t="s">
        <v>2675</v>
      </c>
      <c r="C4258" s="1" t="str">
        <f ca="1">IFERROR(__xludf.DUMMYFUNCTION("GOOGLETRANSLATE(B4300,""en"",""ja"")"),"誘発します")</f>
        <v>誘発します</v>
      </c>
    </row>
    <row r="4259" spans="1:3" ht="18" customHeight="1" x14ac:dyDescent="0.3">
      <c r="A4259" s="1">
        <v>6</v>
      </c>
      <c r="B4259" s="1" t="s">
        <v>3478</v>
      </c>
      <c r="C4259" s="1" t="str">
        <f ca="1">IFERROR(__xludf.DUMMYFUNCTION("GOOGLETRANSLATE(B4301,""en"",""ja"")"),"屋内")</f>
        <v>屋内</v>
      </c>
    </row>
    <row r="4260" spans="1:3" ht="18" customHeight="1" x14ac:dyDescent="0.3">
      <c r="A4260" s="1">
        <v>6</v>
      </c>
      <c r="B4260" s="1" t="s">
        <v>3479</v>
      </c>
      <c r="C4260" s="1" t="str">
        <f ca="1">IFERROR(__xludf.DUMMYFUNCTION("GOOGLETRANSLATE(B4302,""en"",""ja"")"),"教化")</f>
        <v>教化</v>
      </c>
    </row>
    <row r="4261" spans="1:3" ht="18" customHeight="1" x14ac:dyDescent="0.3">
      <c r="A4261" s="1">
        <v>6</v>
      </c>
      <c r="B4261" s="1" t="s">
        <v>3480</v>
      </c>
      <c r="C4261" s="1" t="str">
        <f ca="1">IFERROR(__xludf.DUMMYFUNCTION("GOOGLETRANSLATE(B4303,""en"",""ja"")"),"冷淡")</f>
        <v>冷淡</v>
      </c>
    </row>
    <row r="4262" spans="1:3" ht="18" customHeight="1" x14ac:dyDescent="0.3">
      <c r="A4262" s="1">
        <v>6</v>
      </c>
      <c r="B4262" s="1" t="s">
        <v>3481</v>
      </c>
      <c r="C4262" s="1" t="str">
        <f ca="1">IFERROR(__xludf.DUMMYFUNCTION("GOOGLETRANSLATE(B4304,""en"",""ja"")"),"貧しいです")</f>
        <v>貧しいです</v>
      </c>
    </row>
    <row r="4263" spans="1:3" ht="18" customHeight="1" x14ac:dyDescent="0.3">
      <c r="A4263" s="1">
        <v>6</v>
      </c>
      <c r="B4263" s="1" t="s">
        <v>3482</v>
      </c>
      <c r="C4263" s="1" t="str">
        <f ca="1">IFERROR(__xludf.DUMMYFUNCTION("GOOGLETRANSLATE(B4305,""en"",""ja"")"),"インポの")</f>
        <v>インポの</v>
      </c>
    </row>
    <row r="4264" spans="1:3" ht="18" customHeight="1" x14ac:dyDescent="0.3">
      <c r="A4264" s="1">
        <v>6</v>
      </c>
      <c r="B4264" s="1" t="s">
        <v>3483</v>
      </c>
      <c r="C4264" s="1" t="str">
        <f ca="1">IFERROR(__xludf.DUMMYFUNCTION("GOOGLETRANSLATE(B4306,""en"",""ja"")"),"意味")</f>
        <v>意味</v>
      </c>
    </row>
    <row r="4265" spans="1:3" ht="18" customHeight="1" x14ac:dyDescent="0.3">
      <c r="A4265" s="1">
        <v>6</v>
      </c>
      <c r="B4265" s="1" t="s">
        <v>3484</v>
      </c>
      <c r="C4265" s="1" t="str">
        <f ca="1">IFERROR(__xludf.DUMMYFUNCTION("GOOGLETRANSLATE(B4307,""en"",""ja"")"),"公平")</f>
        <v>公平</v>
      </c>
    </row>
    <row r="4266" spans="1:3" ht="18" customHeight="1" x14ac:dyDescent="0.3">
      <c r="A4266" s="1">
        <v>6</v>
      </c>
      <c r="B4266" s="1" t="s">
        <v>3485</v>
      </c>
      <c r="C4266" s="1" t="str">
        <f ca="1">IFERROR(__xludf.DUMMYFUNCTION("GOOGLETRANSLATE(B4308,""en"",""ja"")"),"模倣")</f>
        <v>模倣</v>
      </c>
    </row>
    <row r="4267" spans="1:3" ht="18" customHeight="1" x14ac:dyDescent="0.3">
      <c r="A4267" s="1">
        <v>6</v>
      </c>
      <c r="B4267" s="1" t="s">
        <v>3486</v>
      </c>
      <c r="C4267" s="1" t="str">
        <f ca="1">IFERROR(__xludf.DUMMYFUNCTION("GOOGLETRANSLATE(B4309,""en"",""ja"")"),"想像力")</f>
        <v>想像力</v>
      </c>
    </row>
    <row r="4268" spans="1:3" ht="18" customHeight="1" x14ac:dyDescent="0.3">
      <c r="A4268" s="1">
        <v>6</v>
      </c>
      <c r="B4268" s="1" t="s">
        <v>3487</v>
      </c>
      <c r="C4268" s="1" t="str">
        <f ca="1">IFERROR(__xludf.DUMMYFUNCTION("GOOGLETRANSLATE(B4310,""en"",""ja"")"),"III")</f>
        <v>III</v>
      </c>
    </row>
    <row r="4269" spans="1:3" ht="18" customHeight="1" x14ac:dyDescent="0.3">
      <c r="A4269" s="1">
        <v>6</v>
      </c>
      <c r="B4269" s="1" t="s">
        <v>3016</v>
      </c>
      <c r="C4269" s="1" t="str">
        <f ca="1">IFERROR(__xludf.DUMMYFUNCTION("GOOGLETRANSLATE(B4311,""en"",""ja"")"),"hyperparenting")</f>
        <v>hyperparenting</v>
      </c>
    </row>
    <row r="4270" spans="1:3" ht="18" customHeight="1" x14ac:dyDescent="0.3">
      <c r="A4270" s="1">
        <v>6</v>
      </c>
      <c r="B4270" s="1" t="s">
        <v>3488</v>
      </c>
      <c r="C4270" s="1" t="str">
        <f ca="1">IFERROR(__xludf.DUMMYFUNCTION("GOOGLETRANSLATE(B4312,""en"",""ja"")"),"空腹の")</f>
        <v>空腹の</v>
      </c>
    </row>
    <row r="4271" spans="1:3" ht="18" customHeight="1" x14ac:dyDescent="0.3">
      <c r="A4271" s="1">
        <v>6</v>
      </c>
      <c r="B4271" s="1" t="s">
        <v>3489</v>
      </c>
      <c r="C4271" s="1" t="str">
        <f ca="1">IFERROR(__xludf.DUMMYFUNCTION("GOOGLETRANSLATE(B4313,""en"",""ja"")"),"飢え")</f>
        <v>飢え</v>
      </c>
    </row>
    <row r="4272" spans="1:3" ht="18" customHeight="1" x14ac:dyDescent="0.3">
      <c r="A4272" s="1">
        <v>6</v>
      </c>
      <c r="B4272" s="1" t="s">
        <v>3490</v>
      </c>
      <c r="C4272" s="1" t="str">
        <f ca="1">IFERROR(__xludf.DUMMYFUNCTION("GOOGLETRANSLATE(B4314,""en"",""ja"")"),"HTML")</f>
        <v>HTML</v>
      </c>
    </row>
    <row r="4273" spans="1:3" ht="18" customHeight="1" x14ac:dyDescent="0.3">
      <c r="A4273" s="1">
        <v>6</v>
      </c>
      <c r="B4273" s="1" t="s">
        <v>3491</v>
      </c>
      <c r="C4273" s="1" t="str">
        <f ca="1">IFERROR(__xludf.DUMMYFUNCTION("GOOGLETRANSLATE(B4315,""en"",""ja"")"),"家事")</f>
        <v>家事</v>
      </c>
    </row>
    <row r="4274" spans="1:3" ht="18" customHeight="1" x14ac:dyDescent="0.3">
      <c r="A4274" s="1">
        <v>6</v>
      </c>
      <c r="B4274" s="1" t="s">
        <v>3492</v>
      </c>
      <c r="C4274" s="1" t="str">
        <f ca="1">IFERROR(__xludf.DUMMYFUNCTION("GOOGLETRANSLATE(B4316,""en"",""ja"")"),"世帯")</f>
        <v>世帯</v>
      </c>
    </row>
    <row r="4275" spans="1:3" ht="18" customHeight="1" x14ac:dyDescent="0.3">
      <c r="A4275" s="1">
        <v>6</v>
      </c>
      <c r="B4275" s="1" t="s">
        <v>1199</v>
      </c>
      <c r="C4275" s="1" t="str">
        <f ca="1">IFERROR(__xludf.DUMMYFUNCTION("GOOGLETRANSLATE(B4317,""en"",""ja"")"),"時間")</f>
        <v>時間</v>
      </c>
    </row>
    <row r="4276" spans="1:3" ht="18" customHeight="1" x14ac:dyDescent="0.3">
      <c r="A4276" s="1">
        <v>6</v>
      </c>
      <c r="B4276" s="1" t="s">
        <v>3493</v>
      </c>
      <c r="C4276" s="1" t="str">
        <f ca="1">IFERROR(__xludf.DUMMYFUNCTION("GOOGLETRANSLATE(B4318,""en"",""ja"")"),"ヒッチコック")</f>
        <v>ヒッチコック</v>
      </c>
    </row>
    <row r="4277" spans="1:3" ht="18" customHeight="1" x14ac:dyDescent="0.3">
      <c r="A4277" s="1">
        <v>6</v>
      </c>
      <c r="B4277" s="1" t="s">
        <v>3021</v>
      </c>
      <c r="C4277" s="1" t="str">
        <f ca="1">IFERROR(__xludf.DUMMYFUNCTION("GOOGLETRANSLATE(B4319,""en"",""ja"")"),"隠す")</f>
        <v>隠す</v>
      </c>
    </row>
    <row r="4278" spans="1:3" ht="18" customHeight="1" x14ac:dyDescent="0.3">
      <c r="A4278" s="1">
        <v>6</v>
      </c>
      <c r="B4278" s="1" t="s">
        <v>3494</v>
      </c>
      <c r="C4278" s="1" t="str">
        <f ca="1">IFERROR(__xludf.DUMMYFUNCTION("GOOGLETRANSLATE(B4320,""en"",""ja"")"),"英雄")</f>
        <v>英雄</v>
      </c>
    </row>
    <row r="4279" spans="1:3" ht="18" customHeight="1" x14ac:dyDescent="0.3">
      <c r="A4279" s="1">
        <v>6</v>
      </c>
      <c r="B4279" s="1" t="s">
        <v>768</v>
      </c>
      <c r="C4279" s="1" t="str">
        <f ca="1">IFERROR(__xludf.DUMMYFUNCTION("GOOGLETRANSLATE(B4321,""en"",""ja"")"),"ここに")</f>
        <v>ここに</v>
      </c>
    </row>
    <row r="4280" spans="1:3" ht="18" customHeight="1" x14ac:dyDescent="0.3">
      <c r="A4280" s="1">
        <v>6</v>
      </c>
      <c r="B4280" s="1" t="s">
        <v>3495</v>
      </c>
      <c r="C4280" s="1" t="str">
        <f ca="1">IFERROR(__xludf.DUMMYFUNCTION("GOOGLETRANSLATE(B4322,""en"",""ja"")"),"半球")</f>
        <v>半球</v>
      </c>
    </row>
    <row r="4281" spans="1:3" ht="18" customHeight="1" x14ac:dyDescent="0.3">
      <c r="A4281" s="1">
        <v>6</v>
      </c>
      <c r="B4281" s="1" t="s">
        <v>165</v>
      </c>
      <c r="C4281" s="1" t="str">
        <f ca="1">IFERROR(__xludf.DUMMYFUNCTION("GOOGLETRANSLATE(B4323,""en"",""ja"")"),"助けて")</f>
        <v>助けて</v>
      </c>
    </row>
    <row r="4282" spans="1:3" ht="18" customHeight="1" x14ac:dyDescent="0.3">
      <c r="A4282" s="1">
        <v>6</v>
      </c>
      <c r="B4282" s="1" t="s">
        <v>2395</v>
      </c>
      <c r="C4282" s="1" t="str">
        <f ca="1">IFERROR(__xludf.DUMMYFUNCTION("GOOGLETRANSLATE(B4324,""en"",""ja"")"),"高さ")</f>
        <v>高さ</v>
      </c>
    </row>
    <row r="4283" spans="1:3" ht="18" customHeight="1" x14ac:dyDescent="0.3">
      <c r="A4283" s="1">
        <v>6</v>
      </c>
      <c r="B4283" s="1" t="s">
        <v>3496</v>
      </c>
      <c r="C4283" s="1" t="str">
        <f ca="1">IFERROR(__xludf.DUMMYFUNCTION("GOOGLETRANSLATE(B4325,""en"",""ja"")"),"ヘクタール")</f>
        <v>ヘクタール</v>
      </c>
    </row>
    <row r="4284" spans="1:3" ht="18" customHeight="1" x14ac:dyDescent="0.3">
      <c r="A4284" s="1">
        <v>6</v>
      </c>
      <c r="B4284" s="1" t="s">
        <v>2688</v>
      </c>
      <c r="C4284" s="1" t="str">
        <f ca="1">IFERROR(__xludf.DUMMYFUNCTION("GOOGLETRANSLATE(B4326,""en"",""ja"")"),"ヘクタール")</f>
        <v>ヘクタール</v>
      </c>
    </row>
    <row r="4285" spans="1:3" ht="18" customHeight="1" x14ac:dyDescent="0.3">
      <c r="A4285" s="1">
        <v>6</v>
      </c>
      <c r="B4285" s="1" t="s">
        <v>3497</v>
      </c>
      <c r="C4285" s="1" t="str">
        <f ca="1">IFERROR(__xludf.DUMMYFUNCTION("GOOGLETRANSLATE(B4327,""en"",""ja"")"),"暖房")</f>
        <v>暖房</v>
      </c>
    </row>
    <row r="4286" spans="1:3" ht="18" customHeight="1" x14ac:dyDescent="0.3">
      <c r="A4286" s="1">
        <v>6</v>
      </c>
      <c r="B4286" s="1" t="s">
        <v>3498</v>
      </c>
      <c r="C4286" s="1" t="str">
        <f ca="1">IFERROR(__xludf.DUMMYFUNCTION("GOOGLETRANSLATE(B4328,""en"",""ja"")"),"加熱されました")</f>
        <v>加熱されました</v>
      </c>
    </row>
    <row r="4287" spans="1:3" ht="18" customHeight="1" x14ac:dyDescent="0.3">
      <c r="A4287" s="1">
        <v>6</v>
      </c>
      <c r="B4287" s="1" t="s">
        <v>3499</v>
      </c>
      <c r="C4287" s="1" t="str">
        <f ca="1">IFERROR(__xludf.DUMMYFUNCTION("GOOGLETRANSLATE(B4329,""en"",""ja"")"),"ハート")</f>
        <v>ハート</v>
      </c>
    </row>
    <row r="4288" spans="1:3" ht="18" customHeight="1" x14ac:dyDescent="0.3">
      <c r="A4288" s="1">
        <v>6</v>
      </c>
      <c r="B4288" s="1" t="s">
        <v>3500</v>
      </c>
      <c r="C4288" s="1" t="str">
        <f ca="1">IFERROR(__xludf.DUMMYFUNCTION("GOOGLETRANSLATE(B4330,""en"",""ja"")"),"聴覚")</f>
        <v>聴覚</v>
      </c>
    </row>
    <row r="4289" spans="1:3" ht="18" customHeight="1" x14ac:dyDescent="0.3">
      <c r="A4289" s="1">
        <v>6</v>
      </c>
      <c r="B4289" s="1" t="s">
        <v>3501</v>
      </c>
      <c r="C4289" s="1" t="str">
        <f ca="1">IFERROR(__xludf.DUMMYFUNCTION("GOOGLETRANSLATE(B4331,""en"",""ja"")"),"嫌い")</f>
        <v>嫌い</v>
      </c>
    </row>
    <row r="4290" spans="1:3" ht="18" customHeight="1" x14ac:dyDescent="0.3">
      <c r="A4290" s="1">
        <v>6</v>
      </c>
      <c r="B4290" s="1" t="s">
        <v>3502</v>
      </c>
      <c r="C4290" s="1" t="str">
        <f ca="1">IFERROR(__xludf.DUMMYFUNCTION("GOOGLETRANSLATE(B4332,""en"",""ja"")"),"廊下")</f>
        <v>廊下</v>
      </c>
    </row>
    <row r="4291" spans="1:3" ht="18" customHeight="1" x14ac:dyDescent="0.3">
      <c r="A4291" s="1">
        <v>6</v>
      </c>
      <c r="B4291" s="1" t="s">
        <v>710</v>
      </c>
      <c r="C4291" s="1" t="str">
        <f ca="1">IFERROR(__xludf.DUMMYFUNCTION("GOOGLETRANSLATE(B4333,""en"",""ja"")"),"生息地")</f>
        <v>生息地</v>
      </c>
    </row>
    <row r="4292" spans="1:3" ht="18" customHeight="1" x14ac:dyDescent="0.3">
      <c r="A4292" s="1">
        <v>6</v>
      </c>
      <c r="B4292" s="1" t="s">
        <v>3503</v>
      </c>
      <c r="C4292" s="1" t="str">
        <f ca="1">IFERROR(__xludf.DUMMYFUNCTION("GOOGLETRANSLATE(B4334,""en"",""ja"")"),"ガイド付き")</f>
        <v>ガイド付き</v>
      </c>
    </row>
    <row r="4293" spans="1:3" ht="18" customHeight="1" x14ac:dyDescent="0.3">
      <c r="A4293" s="1">
        <v>6</v>
      </c>
      <c r="B4293" s="1" t="s">
        <v>3504</v>
      </c>
      <c r="C4293" s="1" t="str">
        <f ca="1">IFERROR(__xludf.DUMMYFUNCTION("GOOGLETRANSLATE(B4335,""en"",""ja"")"),"愚痴")</f>
        <v>愚痴</v>
      </c>
    </row>
    <row r="4294" spans="1:3" ht="18" customHeight="1" x14ac:dyDescent="0.3">
      <c r="A4294" s="1">
        <v>6</v>
      </c>
      <c r="B4294" s="1" t="s">
        <v>3505</v>
      </c>
      <c r="C4294" s="1" t="str">
        <f ca="1">IFERROR(__xludf.DUMMYFUNCTION("GOOGLETRANSLATE(B4336,""en"",""ja"")"),"根拠")</f>
        <v>根拠</v>
      </c>
    </row>
    <row r="4295" spans="1:3" ht="18" customHeight="1" x14ac:dyDescent="0.3">
      <c r="A4295" s="1">
        <v>6</v>
      </c>
      <c r="B4295" s="1" t="s">
        <v>3506</v>
      </c>
      <c r="C4295" s="1" t="str">
        <f ca="1">IFERROR(__xludf.DUMMYFUNCTION("GOOGLETRANSLATE(B4337,""en"",""ja"")"),"ギリシャ語")</f>
        <v>ギリシャ語</v>
      </c>
    </row>
    <row r="4296" spans="1:3" ht="18" customHeight="1" x14ac:dyDescent="0.3">
      <c r="A4296" s="1">
        <v>6</v>
      </c>
      <c r="B4296" s="1" t="s">
        <v>3507</v>
      </c>
      <c r="C4296" s="1" t="str">
        <f ca="1">IFERROR(__xludf.DUMMYFUNCTION("GOOGLETRANSLATE(B4338,""en"",""ja"")"),"重力")</f>
        <v>重力</v>
      </c>
    </row>
    <row r="4297" spans="1:3" ht="18" customHeight="1" x14ac:dyDescent="0.3">
      <c r="A4297" s="1">
        <v>6</v>
      </c>
      <c r="B4297" s="1" t="s">
        <v>3508</v>
      </c>
      <c r="C4297" s="1" t="str">
        <f ca="1">IFERROR(__xludf.DUMMYFUNCTION("GOOGLETRANSLATE(B4339,""en"",""ja"")"),"把握")</f>
        <v>把握</v>
      </c>
    </row>
    <row r="4298" spans="1:3" ht="18" customHeight="1" x14ac:dyDescent="0.3">
      <c r="A4298" s="1">
        <v>6</v>
      </c>
      <c r="B4298" s="1" t="s">
        <v>3509</v>
      </c>
      <c r="C4298" s="1" t="str">
        <f ca="1">IFERROR(__xludf.DUMMYFUNCTION("GOOGLETRANSLATE(B4340,""en"",""ja"")"),"文法的")</f>
        <v>文法的</v>
      </c>
    </row>
    <row r="4299" spans="1:3" ht="18" customHeight="1" x14ac:dyDescent="0.3">
      <c r="A4299" s="1">
        <v>6</v>
      </c>
      <c r="B4299" s="1" t="s">
        <v>3510</v>
      </c>
      <c r="C4299" s="1" t="str">
        <f ca="1">IFERROR(__xludf.DUMMYFUNCTION("GOOGLETRANSLATE(B4341,""en"",""ja"")"),"グレード")</f>
        <v>グレード</v>
      </c>
    </row>
    <row r="4300" spans="1:3" ht="18" customHeight="1" x14ac:dyDescent="0.3">
      <c r="A4300" s="1">
        <v>6</v>
      </c>
      <c r="B4300" s="1" t="s">
        <v>3511</v>
      </c>
      <c r="C4300" s="1" t="str">
        <f ca="1">IFERROR(__xludf.DUMMYFUNCTION("GOOGLETRANSLATE(B4342,""en"",""ja"")"),"治めます")</f>
        <v>治めます</v>
      </c>
    </row>
    <row r="4301" spans="1:3" ht="18" customHeight="1" x14ac:dyDescent="0.3">
      <c r="A4301" s="1">
        <v>6</v>
      </c>
      <c r="B4301" s="1" t="s">
        <v>3512</v>
      </c>
      <c r="C4301" s="1" t="str">
        <f ca="1">IFERROR(__xludf.DUMMYFUNCTION("GOOGLETRANSLATE(B4343,""en"",""ja"")"),"GM")</f>
        <v>GM</v>
      </c>
    </row>
    <row r="4302" spans="1:3" ht="18" customHeight="1" x14ac:dyDescent="0.3">
      <c r="A4302" s="1">
        <v>6</v>
      </c>
      <c r="B4302" s="1" t="s">
        <v>3513</v>
      </c>
      <c r="C4302" s="1" t="str">
        <f ca="1">IFERROR(__xludf.DUMMYFUNCTION("GOOGLETRANSLATE(B4344,""en"",""ja"")"),"かすめます")</f>
        <v>かすめます</v>
      </c>
    </row>
    <row r="4303" spans="1:3" ht="18" customHeight="1" x14ac:dyDescent="0.3">
      <c r="A4303" s="1">
        <v>6</v>
      </c>
      <c r="B4303" s="1" t="s">
        <v>3514</v>
      </c>
      <c r="C4303" s="1" t="str">
        <f ca="1">IFERROR(__xludf.DUMMYFUNCTION("GOOGLETRANSLATE(B4345,""en"",""ja"")"),"giftedness")</f>
        <v>giftedness</v>
      </c>
    </row>
    <row r="4304" spans="1:3" ht="18" customHeight="1" x14ac:dyDescent="0.3">
      <c r="A4304" s="1">
        <v>6</v>
      </c>
      <c r="B4304" s="1" t="s">
        <v>3515</v>
      </c>
      <c r="C4304" s="1" t="str">
        <f ca="1">IFERROR(__xludf.DUMMYFUNCTION("GOOGLETRANSLATE(B4346,""en"",""ja"")"),"贈り物")</f>
        <v>贈り物</v>
      </c>
    </row>
    <row r="4305" spans="1:3" ht="18" customHeight="1" x14ac:dyDescent="0.3">
      <c r="A4305" s="1">
        <v>6</v>
      </c>
      <c r="B4305" s="1" t="s">
        <v>3516</v>
      </c>
      <c r="C4305" s="1" t="str">
        <f ca="1">IFERROR(__xludf.DUMMYFUNCTION("GOOGLETRANSLATE(B4347,""en"",""ja"")"),"地理")</f>
        <v>地理</v>
      </c>
    </row>
    <row r="4306" spans="1:3" ht="18" customHeight="1" x14ac:dyDescent="0.3">
      <c r="A4306" s="1">
        <v>6</v>
      </c>
      <c r="B4306" s="1" t="s">
        <v>3517</v>
      </c>
      <c r="C4306" s="1" t="str">
        <f ca="1">IFERROR(__xludf.DUMMYFUNCTION("GOOGLETRANSLATE(B4348,""en"",""ja"")"),"ゲノム")</f>
        <v>ゲノム</v>
      </c>
    </row>
    <row r="4307" spans="1:3" ht="18" customHeight="1" x14ac:dyDescent="0.3">
      <c r="A4307" s="1">
        <v>6</v>
      </c>
      <c r="B4307" s="1" t="s">
        <v>3518</v>
      </c>
      <c r="C4307" s="1" t="str">
        <f ca="1">IFERROR(__xludf.DUMMYFUNCTION("GOOGLETRANSLATE(B4349,""en"",""ja"")"),"遺伝学")</f>
        <v>遺伝学</v>
      </c>
    </row>
    <row r="4308" spans="1:3" ht="18" customHeight="1" x14ac:dyDescent="0.3">
      <c r="A4308" s="1">
        <v>6</v>
      </c>
      <c r="B4308" s="1" t="s">
        <v>3519</v>
      </c>
      <c r="C4308" s="1" t="str">
        <f ca="1">IFERROR(__xludf.DUMMYFUNCTION("GOOGLETRANSLATE(B4350,""en"",""ja"")"),"遺伝子")</f>
        <v>遺伝子</v>
      </c>
    </row>
    <row r="4309" spans="1:3" ht="18" customHeight="1" x14ac:dyDescent="0.3">
      <c r="A4309" s="1">
        <v>6</v>
      </c>
      <c r="B4309" s="1" t="s">
        <v>3520</v>
      </c>
      <c r="C4309" s="1" t="str">
        <f ca="1">IFERROR(__xludf.DUMMYFUNCTION("GOOGLETRANSLATE(B4351,""en"",""ja"")"),"生成されました")</f>
        <v>生成されました</v>
      </c>
    </row>
    <row r="4310" spans="1:3" ht="18" customHeight="1" x14ac:dyDescent="0.3">
      <c r="A4310" s="1">
        <v>6</v>
      </c>
      <c r="B4310" s="1" t="s">
        <v>3521</v>
      </c>
      <c r="C4310" s="1" t="str">
        <f ca="1">IFERROR(__xludf.DUMMYFUNCTION("GOOGLETRANSLATE(B4352,""en"",""ja"")"),"生む")</f>
        <v>生む</v>
      </c>
    </row>
    <row r="4311" spans="1:3" ht="18" customHeight="1" x14ac:dyDescent="0.3">
      <c r="A4311" s="1">
        <v>6</v>
      </c>
      <c r="B4311" s="1" t="s">
        <v>3522</v>
      </c>
      <c r="C4311" s="1" t="str">
        <f ca="1">IFERROR(__xludf.DUMMYFUNCTION("GOOGLETRANSLATE(B4353,""en"",""ja"")"),"ガソリン")</f>
        <v>ガソリン</v>
      </c>
    </row>
    <row r="4312" spans="1:3" ht="18" customHeight="1" x14ac:dyDescent="0.3">
      <c r="A4312" s="1">
        <v>6</v>
      </c>
      <c r="B4312" s="1" t="s">
        <v>1013</v>
      </c>
      <c r="C4312" s="1" t="str">
        <f ca="1">IFERROR(__xludf.DUMMYFUNCTION("GOOGLETRANSLATE(B4354,""en"",""ja"")"),"ニンニク")</f>
        <v>ニンニク</v>
      </c>
    </row>
    <row r="4313" spans="1:3" ht="18" customHeight="1" x14ac:dyDescent="0.3">
      <c r="A4313" s="1">
        <v>6</v>
      </c>
      <c r="B4313" s="1" t="s">
        <v>3523</v>
      </c>
      <c r="C4313" s="1" t="str">
        <f ca="1">IFERROR(__xludf.DUMMYFUNCTION("GOOGLETRANSLATE(B4355,""en"",""ja"")"),"獲得")</f>
        <v>獲得</v>
      </c>
    </row>
    <row r="4314" spans="1:3" ht="18" customHeight="1" x14ac:dyDescent="0.3">
      <c r="A4314" s="1">
        <v>6</v>
      </c>
      <c r="B4314" s="1" t="s">
        <v>3524</v>
      </c>
      <c r="C4314" s="1" t="str">
        <f ca="1">IFERROR(__xludf.DUMMYFUNCTION("GOOGLETRANSLATE(B4356,""en"",""ja"")"),"未来")</f>
        <v>未来</v>
      </c>
    </row>
    <row r="4315" spans="1:3" ht="18" customHeight="1" x14ac:dyDescent="0.3">
      <c r="A4315" s="1">
        <v>6</v>
      </c>
      <c r="B4315" s="1" t="s">
        <v>3525</v>
      </c>
      <c r="C4315" s="1" t="str">
        <f ca="1">IFERROR(__xludf.DUMMYFUNCTION("GOOGLETRANSLATE(B4357,""en"",""ja"")"),"機能的に")</f>
        <v>機能的に</v>
      </c>
    </row>
    <row r="4316" spans="1:3" ht="18" customHeight="1" x14ac:dyDescent="0.3">
      <c r="A4316" s="1">
        <v>6</v>
      </c>
      <c r="B4316" s="1" t="s">
        <v>3526</v>
      </c>
      <c r="C4316" s="1" t="str">
        <f ca="1">IFERROR(__xludf.DUMMYFUNCTION("GOOGLETRANSLATE(B4358,""en"",""ja"")"),"前面")</f>
        <v>前面</v>
      </c>
    </row>
    <row r="4317" spans="1:3" ht="18" customHeight="1" x14ac:dyDescent="0.3">
      <c r="A4317" s="1">
        <v>6</v>
      </c>
      <c r="B4317" s="1" t="s">
        <v>3527</v>
      </c>
      <c r="C4317" s="1" t="str">
        <f ca="1">IFERROR(__xludf.DUMMYFUNCTION("GOOGLETRANSLATE(B4359,""en"",""ja"")"),"フライドポテト")</f>
        <v>フライドポテト</v>
      </c>
    </row>
    <row r="4318" spans="1:3" ht="18" customHeight="1" x14ac:dyDescent="0.3">
      <c r="A4318" s="1">
        <v>6</v>
      </c>
      <c r="B4318" s="1" t="s">
        <v>3528</v>
      </c>
      <c r="C4318" s="1" t="str">
        <f ca="1">IFERROR(__xludf.DUMMYFUNCTION("GOOGLETRANSLATE(B4360,""en"",""ja"")"),"友情")</f>
        <v>友情</v>
      </c>
    </row>
    <row r="4319" spans="1:3" ht="18" customHeight="1" x14ac:dyDescent="0.3">
      <c r="A4319" s="1">
        <v>6</v>
      </c>
      <c r="B4319" s="1" t="s">
        <v>3529</v>
      </c>
      <c r="C4319" s="1" t="str">
        <f ca="1">IFERROR(__xludf.DUMMYFUNCTION("GOOGLETRANSLATE(B4361,""en"",""ja"")"),"フランク")</f>
        <v>フランク</v>
      </c>
    </row>
    <row r="4320" spans="1:3" ht="18" customHeight="1" x14ac:dyDescent="0.3">
      <c r="A4320" s="1">
        <v>6</v>
      </c>
      <c r="B4320" s="1" t="s">
        <v>1364</v>
      </c>
      <c r="C4320" s="1" t="str">
        <f ca="1">IFERROR(__xludf.DUMMYFUNCTION("GOOGLETRANSLATE(B4362,""en"",""ja"")"),"フランス")</f>
        <v>フランス</v>
      </c>
    </row>
    <row r="4321" spans="1:3" ht="18" customHeight="1" x14ac:dyDescent="0.3">
      <c r="A4321" s="1">
        <v>6</v>
      </c>
      <c r="B4321" s="1" t="s">
        <v>3530</v>
      </c>
      <c r="C4321" s="1" t="str">
        <f ca="1">IFERROR(__xludf.DUMMYFUNCTION("GOOGLETRANSLATE(B4363,""en"",""ja"")"),"創業者")</f>
        <v>創業者</v>
      </c>
    </row>
    <row r="4322" spans="1:3" ht="18" customHeight="1" x14ac:dyDescent="0.3">
      <c r="A4322" s="1">
        <v>6</v>
      </c>
      <c r="B4322" s="1" t="s">
        <v>3531</v>
      </c>
      <c r="C4322" s="1" t="str">
        <f ca="1">IFERROR(__xludf.DUMMYFUNCTION("GOOGLETRANSLATE(B4364,""en"",""ja"")"),"四十")</f>
        <v>四十</v>
      </c>
    </row>
    <row r="4323" spans="1:3" ht="18" customHeight="1" x14ac:dyDescent="0.3">
      <c r="A4323" s="1">
        <v>6</v>
      </c>
      <c r="B4323" s="1" t="s">
        <v>3532</v>
      </c>
      <c r="C4323" s="1" t="str">
        <f ca="1">IFERROR(__xludf.DUMMYFUNCTION("GOOGLETRANSLATE(B4365,""en"",""ja"")"),"先見の明")</f>
        <v>先見の明</v>
      </c>
    </row>
    <row r="4324" spans="1:3" ht="18" customHeight="1" x14ac:dyDescent="0.3">
      <c r="A4324" s="1">
        <v>6</v>
      </c>
      <c r="B4324" s="1" t="s">
        <v>3533</v>
      </c>
      <c r="C4324" s="1" t="str">
        <f ca="1">IFERROR(__xludf.DUMMYFUNCTION("GOOGLETRANSLATE(B4366,""en"",""ja"")"),"フォア")</f>
        <v>フォア</v>
      </c>
    </row>
    <row r="4325" spans="1:3" ht="18" customHeight="1" x14ac:dyDescent="0.3">
      <c r="A4325" s="1">
        <v>6</v>
      </c>
      <c r="B4325" s="1" t="s">
        <v>3534</v>
      </c>
      <c r="C4325" s="1" t="str">
        <f ca="1">IFERROR(__xludf.DUMMYFUNCTION("GOOGLETRANSLATE(B4367,""en"",""ja"")"),"愚かに")</f>
        <v>愚かに</v>
      </c>
    </row>
    <row r="4326" spans="1:3" ht="18" customHeight="1" x14ac:dyDescent="0.3">
      <c r="A4326" s="1">
        <v>6</v>
      </c>
      <c r="B4326" s="1" t="s">
        <v>515</v>
      </c>
      <c r="C4326" s="1" t="str">
        <f ca="1">IFERROR(__xludf.DUMMYFUNCTION("GOOGLETRANSLATE(B4368,""en"",""ja"")"),"食物")</f>
        <v>食物</v>
      </c>
    </row>
    <row r="4327" spans="1:3" ht="18" customHeight="1" x14ac:dyDescent="0.3">
      <c r="A4327" s="1">
        <v>6</v>
      </c>
      <c r="B4327" s="1" t="s">
        <v>3535</v>
      </c>
      <c r="C4327" s="1" t="str">
        <f ca="1">IFERROR(__xludf.DUMMYFUNCTION("GOOGLETRANSLATE(B4369,""en"",""ja"")"),"フォーク")</f>
        <v>フォーク</v>
      </c>
    </row>
    <row r="4328" spans="1:3" ht="18" customHeight="1" x14ac:dyDescent="0.3">
      <c r="A4328" s="1">
        <v>6</v>
      </c>
      <c r="B4328" s="1" t="s">
        <v>3536</v>
      </c>
      <c r="C4328" s="1" t="str">
        <f ca="1">IFERROR(__xludf.DUMMYFUNCTION("GOOGLETRANSLATE(B4370,""en"",""ja"")"),"飛ぶ")</f>
        <v>飛ぶ</v>
      </c>
    </row>
    <row r="4329" spans="1:3" ht="18" customHeight="1" x14ac:dyDescent="0.3">
      <c r="A4329" s="1">
        <v>6</v>
      </c>
      <c r="B4329" s="1" t="s">
        <v>3537</v>
      </c>
      <c r="C4329" s="1" t="str">
        <f ca="1">IFERROR(__xludf.DUMMYFUNCTION("GOOGLETRANSLATE(B4371,""en"",""ja"")"),"逃げます")</f>
        <v>逃げます</v>
      </c>
    </row>
    <row r="4330" spans="1:3" ht="18" customHeight="1" x14ac:dyDescent="0.3">
      <c r="A4330" s="1">
        <v>6</v>
      </c>
      <c r="B4330" s="1" t="s">
        <v>3538</v>
      </c>
      <c r="C4330" s="1" t="str">
        <f ca="1">IFERROR(__xludf.DUMMYFUNCTION("GOOGLETRANSLATE(B4372,""en"",""ja"")"),"フラッシュさ")</f>
        <v>フラッシュさ</v>
      </c>
    </row>
    <row r="4331" spans="1:3" ht="18" customHeight="1" x14ac:dyDescent="0.3">
      <c r="A4331" s="1">
        <v>6</v>
      </c>
      <c r="B4331" s="1" t="s">
        <v>3539</v>
      </c>
      <c r="C4331" s="1" t="str">
        <f ca="1">IFERROR(__xludf.DUMMYFUNCTION("GOOGLETRANSLATE(B4373,""en"",""ja"")"),"魚")</f>
        <v>魚</v>
      </c>
    </row>
    <row r="4332" spans="1:3" ht="18" customHeight="1" x14ac:dyDescent="0.3">
      <c r="A4332" s="1">
        <v>6</v>
      </c>
      <c r="B4332" s="1" t="s">
        <v>3540</v>
      </c>
      <c r="C4332" s="1" t="str">
        <f ca="1">IFERROR(__xludf.DUMMYFUNCTION("GOOGLETRANSLATE(B4374,""en"",""ja"")"),"固く")</f>
        <v>固く</v>
      </c>
    </row>
    <row r="4333" spans="1:3" ht="18" customHeight="1" x14ac:dyDescent="0.3">
      <c r="A4333" s="1">
        <v>6</v>
      </c>
      <c r="B4333" s="1" t="s">
        <v>3541</v>
      </c>
      <c r="C4333" s="1" t="str">
        <f ca="1">IFERROR(__xludf.DUMMYFUNCTION("GOOGLETRANSLATE(B4375,""en"",""ja"")"),"火")</f>
        <v>火</v>
      </c>
    </row>
    <row r="4334" spans="1:3" ht="18" customHeight="1" x14ac:dyDescent="0.3">
      <c r="A4334" s="1">
        <v>6</v>
      </c>
      <c r="B4334" s="1" t="s">
        <v>3542</v>
      </c>
      <c r="C4334" s="1" t="str">
        <f ca="1">IFERROR(__xludf.DUMMYFUNCTION("GOOGLETRANSLATE(B4376,""en"",""ja"")"),"調査結果")</f>
        <v>調査結果</v>
      </c>
    </row>
    <row r="4335" spans="1:3" ht="18" customHeight="1" x14ac:dyDescent="0.3">
      <c r="A4335" s="1">
        <v>6</v>
      </c>
      <c r="B4335" s="1" t="s">
        <v>3543</v>
      </c>
      <c r="C4335" s="1" t="str">
        <f ca="1">IFERROR(__xludf.DUMMYFUNCTION("GOOGLETRANSLATE(B4377,""en"",""ja"")"),"充填")</f>
        <v>充填</v>
      </c>
    </row>
    <row r="4336" spans="1:3" ht="18" customHeight="1" x14ac:dyDescent="0.3">
      <c r="A4336" s="1">
        <v>6</v>
      </c>
      <c r="B4336" s="1" t="s">
        <v>3544</v>
      </c>
      <c r="C4336" s="1" t="str">
        <f ca="1">IFERROR(__xludf.DUMMYFUNCTION("GOOGLETRANSLATE(B4378,""en"",""ja"")"),"フィエスタ")</f>
        <v>フィエスタ</v>
      </c>
    </row>
    <row r="4337" spans="1:3" ht="18" customHeight="1" x14ac:dyDescent="0.3">
      <c r="A4337" s="1">
        <v>6</v>
      </c>
      <c r="B4337" s="1" t="s">
        <v>3545</v>
      </c>
      <c r="C4337" s="1" t="str">
        <f ca="1">IFERROR(__xludf.DUMMYFUNCTION("GOOGLETRANSLATE(B4379,""en"",""ja"")"),"激しく")</f>
        <v>激しく</v>
      </c>
    </row>
    <row r="4338" spans="1:3" ht="18" customHeight="1" x14ac:dyDescent="0.3">
      <c r="A4338" s="1">
        <v>6</v>
      </c>
      <c r="B4338" s="1" t="s">
        <v>2712</v>
      </c>
      <c r="C4338" s="1" t="str">
        <f ca="1">IFERROR(__xludf.DUMMYFUNCTION("GOOGLETRANSLATE(B4380,""en"",""ja"")"),"封建制度")</f>
        <v>封建制度</v>
      </c>
    </row>
    <row r="4339" spans="1:3" ht="18" customHeight="1" x14ac:dyDescent="0.3">
      <c r="A4339" s="1">
        <v>6</v>
      </c>
      <c r="B4339" s="1" t="s">
        <v>3546</v>
      </c>
      <c r="C4339" s="1" t="str">
        <f ca="1">IFERROR(__xludf.DUMMYFUNCTION("GOOGLETRANSLATE(B4381,""en"",""ja"")"),"熟成")</f>
        <v>熟成</v>
      </c>
    </row>
    <row r="4340" spans="1:3" ht="18" customHeight="1" x14ac:dyDescent="0.3">
      <c r="A4340" s="1">
        <v>6</v>
      </c>
      <c r="B4340" s="1" t="s">
        <v>3547</v>
      </c>
      <c r="C4340" s="1" t="str">
        <f ca="1">IFERROR(__xludf.DUMMYFUNCTION("GOOGLETRANSLATE(B4382,""en"",""ja"")"),"給餌")</f>
        <v>給餌</v>
      </c>
    </row>
    <row r="4341" spans="1:3" ht="18" customHeight="1" x14ac:dyDescent="0.3">
      <c r="A4341" s="1">
        <v>6</v>
      </c>
      <c r="B4341" s="1" t="s">
        <v>3548</v>
      </c>
      <c r="C4341" s="1" t="str">
        <f ca="1">IFERROR(__xludf.DUMMYFUNCTION("GOOGLETRANSLATE(B4383,""en"",""ja"")"),"実現可能性")</f>
        <v>実現可能性</v>
      </c>
    </row>
    <row r="4342" spans="1:3" ht="18" customHeight="1" x14ac:dyDescent="0.3">
      <c r="A4342" s="1">
        <v>6</v>
      </c>
      <c r="B4342" s="1" t="s">
        <v>3549</v>
      </c>
      <c r="C4342" s="1" t="str">
        <f ca="1">IFERROR(__xludf.DUMMYFUNCTION("GOOGLETRANSLATE(B4384,""en"",""ja"")"),"好ま")</f>
        <v>好ま</v>
      </c>
    </row>
    <row r="4343" spans="1:3" ht="18" customHeight="1" x14ac:dyDescent="0.3">
      <c r="A4343" s="1">
        <v>6</v>
      </c>
      <c r="B4343" s="1" t="s">
        <v>3550</v>
      </c>
      <c r="C4343" s="1" t="str">
        <f ca="1">IFERROR(__xludf.DUMMYFUNCTION("GOOGLETRANSLATE(B4385,""en"",""ja"")"),"運命")</f>
        <v>運命</v>
      </c>
    </row>
    <row r="4344" spans="1:3" ht="18" customHeight="1" x14ac:dyDescent="0.3">
      <c r="A4344" s="1">
        <v>6</v>
      </c>
      <c r="B4344" s="1" t="s">
        <v>3551</v>
      </c>
      <c r="C4344" s="1" t="str">
        <f ca="1">IFERROR(__xludf.DUMMYFUNCTION("GOOGLETRANSLATE(B4386,""en"",""ja"")"),"農民")</f>
        <v>農民</v>
      </c>
    </row>
    <row r="4345" spans="1:3" ht="18" customHeight="1" x14ac:dyDescent="0.3">
      <c r="A4345" s="1">
        <v>6</v>
      </c>
      <c r="B4345" s="1" t="s">
        <v>3552</v>
      </c>
      <c r="C4345" s="1" t="str">
        <f ca="1">IFERROR(__xludf.DUMMYFUNCTION("GOOGLETRANSLATE(B4387,""en"",""ja"")"),"牙")</f>
        <v>牙</v>
      </c>
    </row>
    <row r="4346" spans="1:3" ht="18" customHeight="1" x14ac:dyDescent="0.3">
      <c r="A4346" s="1">
        <v>6</v>
      </c>
      <c r="B4346" s="1" t="s">
        <v>3553</v>
      </c>
      <c r="C4346" s="1" t="str">
        <f ca="1">IFERROR(__xludf.DUMMYFUNCTION("GOOGLETRANSLATE(B4388,""en"",""ja"")"),"名声")</f>
        <v>名声</v>
      </c>
    </row>
    <row r="4347" spans="1:3" ht="18" customHeight="1" x14ac:dyDescent="0.3">
      <c r="A4347" s="1">
        <v>6</v>
      </c>
      <c r="B4347" s="1" t="s">
        <v>3554</v>
      </c>
      <c r="C4347" s="1" t="str">
        <f ca="1">IFERROR(__xludf.DUMMYFUNCTION("GOOGLETRANSLATE(B4389,""en"",""ja"")"),"公正な")</f>
        <v>公正な</v>
      </c>
    </row>
    <row r="4348" spans="1:3" ht="18" customHeight="1" x14ac:dyDescent="0.3">
      <c r="A4348" s="1">
        <v>6</v>
      </c>
      <c r="B4348" s="1" t="s">
        <v>3555</v>
      </c>
      <c r="C4348" s="1" t="str">
        <f ca="1">IFERROR(__xludf.DUMMYFUNCTION("GOOGLETRANSLATE(B4390,""en"",""ja"")"),"失敗")</f>
        <v>失敗</v>
      </c>
    </row>
    <row r="4349" spans="1:3" ht="18" customHeight="1" x14ac:dyDescent="0.3">
      <c r="A4349" s="1">
        <v>6</v>
      </c>
      <c r="B4349" s="1" t="s">
        <v>3556</v>
      </c>
      <c r="C4349" s="1" t="str">
        <f ca="1">IFERROR(__xludf.DUMMYFUNCTION("GOOGLETRANSLATE(B4391,""en"",""ja"")"),"施設")</f>
        <v>施設</v>
      </c>
    </row>
    <row r="4350" spans="1:3" ht="18" customHeight="1" x14ac:dyDescent="0.3">
      <c r="A4350" s="1">
        <v>6</v>
      </c>
      <c r="B4350" s="1" t="s">
        <v>3557</v>
      </c>
      <c r="C4350" s="1" t="str">
        <f ca="1">IFERROR(__xludf.DUMMYFUNCTION("GOOGLETRANSLATE(B4393,""en"",""ja"")"),"促進")</f>
        <v>促進</v>
      </c>
    </row>
    <row r="4351" spans="1:3" ht="18" customHeight="1" x14ac:dyDescent="0.3">
      <c r="A4351" s="1">
        <v>6</v>
      </c>
      <c r="B4351" s="1" t="s">
        <v>3558</v>
      </c>
      <c r="C4351" s="1" t="str">
        <f ca="1">IFERROR(__xludf.DUMMYFUNCTION("GOOGLETRANSLATE(B4394,""en"",""ja"")"),"促進")</f>
        <v>促進</v>
      </c>
    </row>
    <row r="4352" spans="1:3" ht="18" customHeight="1" x14ac:dyDescent="0.3">
      <c r="A4352" s="1">
        <v>6</v>
      </c>
      <c r="B4352" s="1" t="s">
        <v>3559</v>
      </c>
      <c r="C4352" s="1" t="str">
        <f ca="1">IFERROR(__xludf.DUMMYFUNCTION("GOOGLETRANSLATE(B4395,""en"",""ja"")"),"小面")</f>
        <v>小面</v>
      </c>
    </row>
    <row r="4353" spans="1:3" ht="18" customHeight="1" x14ac:dyDescent="0.3">
      <c r="A4353" s="1">
        <v>6</v>
      </c>
      <c r="B4353" s="1" t="s">
        <v>558</v>
      </c>
      <c r="C4353" s="1" t="str">
        <f ca="1">IFERROR(__xludf.DUMMYFUNCTION("GOOGLETRANSLATE(B4396,""en"",""ja"")"),"フェイスブック")</f>
        <v>フェイスブック</v>
      </c>
    </row>
    <row r="4354" spans="1:3" ht="18" customHeight="1" x14ac:dyDescent="0.3">
      <c r="A4354" s="1">
        <v>6</v>
      </c>
      <c r="B4354" s="1" t="s">
        <v>3560</v>
      </c>
      <c r="C4354" s="1" t="str">
        <f ca="1">IFERROR(__xludf.DUMMYFUNCTION("GOOGLETRANSLATE(B4397,""en"",""ja"")"),"消火")</f>
        <v>消火</v>
      </c>
    </row>
    <row r="4355" spans="1:3" ht="18" customHeight="1" x14ac:dyDescent="0.3">
      <c r="A4355" s="1">
        <v>6</v>
      </c>
      <c r="B4355" s="1" t="s">
        <v>3561</v>
      </c>
      <c r="C4355" s="1" t="str">
        <f ca="1">IFERROR(__xludf.DUMMYFUNCTION("GOOGLETRANSLATE(B4398,""en"",""ja"")"),"拡張")</f>
        <v>拡張</v>
      </c>
    </row>
    <row r="4356" spans="1:3" ht="18" customHeight="1" x14ac:dyDescent="0.3">
      <c r="A4356" s="1">
        <v>6</v>
      </c>
      <c r="B4356" s="1" t="s">
        <v>3562</v>
      </c>
      <c r="C4356" s="1" t="str">
        <f ca="1">IFERROR(__xludf.DUMMYFUNCTION("GOOGLETRANSLATE(B4399,""en"",""ja"")"),"指数関数的に")</f>
        <v>指数関数的に</v>
      </c>
    </row>
    <row r="4357" spans="1:3" ht="18" customHeight="1" x14ac:dyDescent="0.3">
      <c r="A4357" s="1">
        <v>6</v>
      </c>
      <c r="B4357" s="1" t="s">
        <v>3563</v>
      </c>
      <c r="C4357" s="1" t="str">
        <f ca="1">IFERROR(__xludf.DUMMYFUNCTION("GOOGLETRANSLATE(B4400,""en"",""ja"")"),"爆発的")</f>
        <v>爆発的</v>
      </c>
    </row>
    <row r="4358" spans="1:3" ht="18" customHeight="1" x14ac:dyDescent="0.3">
      <c r="A4358" s="1">
        <v>6</v>
      </c>
      <c r="B4358" s="1" t="s">
        <v>3564</v>
      </c>
      <c r="C4358" s="1" t="str">
        <f ca="1">IFERROR(__xludf.DUMMYFUNCTION("GOOGLETRANSLATE(B4401,""en"",""ja"")"),"体験")</f>
        <v>体験</v>
      </c>
    </row>
    <row r="4359" spans="1:3" ht="18" customHeight="1" x14ac:dyDescent="0.3">
      <c r="A4359" s="1">
        <v>6</v>
      </c>
      <c r="B4359" s="1" t="s">
        <v>3565</v>
      </c>
      <c r="C4359" s="1" t="str">
        <f ca="1">IFERROR(__xludf.DUMMYFUNCTION("GOOGLETRANSLATE(B4402,""en"",""ja"")"),"費用")</f>
        <v>費用</v>
      </c>
    </row>
    <row r="4360" spans="1:3" ht="18" customHeight="1" x14ac:dyDescent="0.3">
      <c r="A4360" s="1">
        <v>6</v>
      </c>
      <c r="B4360" s="1" t="s">
        <v>3566</v>
      </c>
      <c r="C4360" s="1" t="str">
        <f ca="1">IFERROR(__xludf.DUMMYFUNCTION("GOOGLETRANSLATE(B4403,""en"",""ja"")"),"期待")</f>
        <v>期待</v>
      </c>
    </row>
    <row r="4361" spans="1:3" ht="18" customHeight="1" x14ac:dyDescent="0.3">
      <c r="A4361" s="1">
        <v>6</v>
      </c>
      <c r="B4361" s="1" t="s">
        <v>957</v>
      </c>
      <c r="C4361" s="1" t="str">
        <f ca="1">IFERROR(__xludf.DUMMYFUNCTION("GOOGLETRANSLATE(B4404,""en"",""ja"")"),"存在")</f>
        <v>存在</v>
      </c>
    </row>
    <row r="4362" spans="1:3" ht="18" customHeight="1" x14ac:dyDescent="0.3">
      <c r="A4362" s="1">
        <v>6</v>
      </c>
      <c r="B4362" s="1" t="s">
        <v>3567</v>
      </c>
      <c r="C4362" s="1" t="str">
        <f ca="1">IFERROR(__xludf.DUMMYFUNCTION("GOOGLETRANSLATE(B4405,""en"",""ja"")"),"発揮")</f>
        <v>発揮</v>
      </c>
    </row>
    <row r="4363" spans="1:3" ht="18" customHeight="1" x14ac:dyDescent="0.3">
      <c r="A4363" s="1">
        <v>6</v>
      </c>
      <c r="B4363" s="1" t="s">
        <v>3568</v>
      </c>
      <c r="C4363" s="1" t="str">
        <f ca="1">IFERROR(__xludf.DUMMYFUNCTION("GOOGLETRANSLATE(B4406,""en"",""ja"")"),"行使")</f>
        <v>行使</v>
      </c>
    </row>
    <row r="4364" spans="1:3" ht="18" customHeight="1" x14ac:dyDescent="0.3">
      <c r="A4364" s="1">
        <v>6</v>
      </c>
      <c r="B4364" s="1" t="s">
        <v>2174</v>
      </c>
      <c r="C4364" s="1" t="str">
        <f ca="1">IFERROR(__xludf.DUMMYFUNCTION("GOOGLETRANSLATE(B4407,""en"",""ja"")"),"排他的に")</f>
        <v>排他的に</v>
      </c>
    </row>
    <row r="4365" spans="1:3" ht="18" customHeight="1" x14ac:dyDescent="0.3">
      <c r="A4365" s="1">
        <v>6</v>
      </c>
      <c r="B4365" s="1" t="s">
        <v>3569</v>
      </c>
      <c r="C4365" s="1" t="str">
        <f ca="1">IFERROR(__xludf.DUMMYFUNCTION("GOOGLETRANSLATE(B4408,""en"",""ja"")"),"両替")</f>
        <v>両替</v>
      </c>
    </row>
    <row r="4366" spans="1:3" ht="18" customHeight="1" x14ac:dyDescent="0.3">
      <c r="A4366" s="1">
        <v>6</v>
      </c>
      <c r="B4366" s="1" t="s">
        <v>1367</v>
      </c>
      <c r="C4366" s="1" t="str">
        <f ca="1">IFERROR(__xludf.DUMMYFUNCTION("GOOGLETRANSLATE(B4409,""en"",""ja"")"),"過剰")</f>
        <v>過剰</v>
      </c>
    </row>
    <row r="4367" spans="1:3" ht="18" customHeight="1" x14ac:dyDescent="0.3">
      <c r="A4367" s="1">
        <v>6</v>
      </c>
      <c r="B4367" s="1" t="s">
        <v>3570</v>
      </c>
      <c r="C4367" s="1" t="str">
        <f ca="1">IFERROR(__xludf.DUMMYFUNCTION("GOOGLETRANSLATE(B4410,""en"",""ja"")"),"例外")</f>
        <v>例外</v>
      </c>
    </row>
    <row r="4368" spans="1:3" ht="18" customHeight="1" x14ac:dyDescent="0.3">
      <c r="A4368" s="1">
        <v>6</v>
      </c>
      <c r="B4368" s="1" t="s">
        <v>3571</v>
      </c>
      <c r="C4368" s="1" t="str">
        <f ca="1">IFERROR(__xludf.DUMMYFUNCTION("GOOGLETRANSLATE(B4411,""en"",""ja"")"),"どこにでも")</f>
        <v>どこにでも</v>
      </c>
    </row>
    <row r="4369" spans="1:3" ht="18" customHeight="1" x14ac:dyDescent="0.3">
      <c r="A4369" s="1">
        <v>6</v>
      </c>
      <c r="B4369" s="1" t="s">
        <v>75</v>
      </c>
      <c r="C4369" s="1" t="str">
        <f ca="1">IFERROR(__xludf.DUMMYFUNCTION("GOOGLETRANSLATE(B4412,""en"",""ja"")"),"さえ")</f>
        <v>さえ</v>
      </c>
    </row>
    <row r="4370" spans="1:3" ht="18" customHeight="1" x14ac:dyDescent="0.3">
      <c r="A4370" s="1">
        <v>6</v>
      </c>
      <c r="B4370" s="1" t="s">
        <v>3572</v>
      </c>
      <c r="C4370" s="1" t="str">
        <f ca="1">IFERROR(__xludf.DUMMYFUNCTION("GOOGLETRANSLATE(B4413,""en"",""ja"")"),"回避")</f>
        <v>回避</v>
      </c>
    </row>
    <row r="4371" spans="1:3" ht="18" customHeight="1" x14ac:dyDescent="0.3">
      <c r="A4371" s="1">
        <v>6</v>
      </c>
      <c r="B4371" s="1" t="s">
        <v>3573</v>
      </c>
      <c r="C4371" s="1" t="str">
        <f ca="1">IFERROR(__xludf.DUMMYFUNCTION("GOOGLETRANSLATE(B4414,""en"",""ja"")"),"エトス")</f>
        <v>エトス</v>
      </c>
    </row>
    <row r="4372" spans="1:3" ht="18" customHeight="1" x14ac:dyDescent="0.3">
      <c r="A4372" s="1">
        <v>6</v>
      </c>
      <c r="B4372" s="1" t="s">
        <v>3574</v>
      </c>
      <c r="C4372" s="1" t="str">
        <f ca="1">IFERROR(__xludf.DUMMYFUNCTION("GOOGLETRANSLATE(B4415,""en"",""ja"")"),"設立する")</f>
        <v>設立する</v>
      </c>
    </row>
    <row r="4373" spans="1:3" ht="18" customHeight="1" x14ac:dyDescent="0.3">
      <c r="A4373" s="1">
        <v>6</v>
      </c>
      <c r="B4373" s="1" t="s">
        <v>1688</v>
      </c>
      <c r="C4373" s="1" t="str">
        <f ca="1">IFERROR(__xludf.DUMMYFUNCTION("GOOGLETRANSLATE(B4416,""en"",""ja"")"),"エッセイ")</f>
        <v>エッセイ</v>
      </c>
    </row>
    <row r="4374" spans="1:3" ht="18" customHeight="1" x14ac:dyDescent="0.3">
      <c r="A4374" s="1">
        <v>6</v>
      </c>
      <c r="B4374" s="1" t="s">
        <v>3575</v>
      </c>
      <c r="C4374" s="1" t="str">
        <f ca="1">IFERROR(__xludf.DUMMYFUNCTION("GOOGLETRANSLATE(B4417,""en"",""ja"")"),"エリクソン")</f>
        <v>エリクソン</v>
      </c>
    </row>
    <row r="4375" spans="1:3" ht="18" customHeight="1" x14ac:dyDescent="0.3">
      <c r="A4375" s="1">
        <v>6</v>
      </c>
      <c r="B4375" s="1" t="s">
        <v>3576</v>
      </c>
      <c r="C4375" s="1" t="str">
        <f ca="1">IFERROR(__xludf.DUMMYFUNCTION("GOOGLETRANSLATE(B4418,""en"",""ja"")"),"装備")</f>
        <v>装備</v>
      </c>
    </row>
    <row r="4376" spans="1:3" ht="18" customHeight="1" x14ac:dyDescent="0.3">
      <c r="A4376" s="1">
        <v>6</v>
      </c>
      <c r="B4376" s="1" t="s">
        <v>1689</v>
      </c>
      <c r="C4376" s="1" t="str">
        <f ca="1">IFERROR(__xludf.DUMMYFUNCTION("GOOGLETRANSLATE(B4419,""en"",""ja"")"),"平衡")</f>
        <v>平衡</v>
      </c>
    </row>
    <row r="4377" spans="1:3" ht="18" customHeight="1" x14ac:dyDescent="0.3">
      <c r="A4377" s="1">
        <v>6</v>
      </c>
      <c r="B4377" s="1" t="s">
        <v>3577</v>
      </c>
      <c r="C4377" s="1" t="str">
        <f ca="1">IFERROR(__xludf.DUMMYFUNCTION("GOOGLETRANSLATE(B4420,""en"",""ja"")"),"平等")</f>
        <v>平等</v>
      </c>
    </row>
    <row r="4378" spans="1:3" ht="18" customHeight="1" x14ac:dyDescent="0.3">
      <c r="A4378" s="1">
        <v>6</v>
      </c>
      <c r="B4378" s="1" t="s">
        <v>3578</v>
      </c>
      <c r="C4378" s="1" t="str">
        <f ca="1">IFERROR(__xludf.DUMMYFUNCTION("GOOGLETRANSLATE(B4422,""en"",""ja"")"),"流行")</f>
        <v>流行</v>
      </c>
    </row>
    <row r="4379" spans="1:3" ht="18" customHeight="1" x14ac:dyDescent="0.3">
      <c r="A4379" s="1">
        <v>6</v>
      </c>
      <c r="B4379" s="1" t="s">
        <v>3579</v>
      </c>
      <c r="C4379" s="1" t="str">
        <f ca="1">IFERROR(__xludf.DUMMYFUNCTION("GOOGLETRANSLATE(B4423,""en"",""ja"")"),"想定されます")</f>
        <v>想定されます</v>
      </c>
    </row>
    <row r="4380" spans="1:3" ht="18" customHeight="1" x14ac:dyDescent="0.3">
      <c r="A4380" s="1">
        <v>6</v>
      </c>
      <c r="B4380" s="1" t="s">
        <v>3580</v>
      </c>
      <c r="C4380" s="1" t="str">
        <f ca="1">IFERROR(__xludf.DUMMYFUNCTION("GOOGLETRANSLATE(B4424,""en"",""ja"")"),"入力されました")</f>
        <v>入力されました</v>
      </c>
    </row>
    <row r="4381" spans="1:3" ht="18" customHeight="1" x14ac:dyDescent="0.3">
      <c r="A4381" s="1">
        <v>6</v>
      </c>
      <c r="B4381" s="1" t="s">
        <v>3581</v>
      </c>
      <c r="C4381" s="1" t="str">
        <f ca="1">IFERROR(__xludf.DUMMYFUNCTION("GOOGLETRANSLATE(B4425,""en"",""ja"")"),"楽しみ")</f>
        <v>楽しみ</v>
      </c>
    </row>
    <row r="4382" spans="1:3" ht="18" customHeight="1" x14ac:dyDescent="0.3">
      <c r="A4382" s="1">
        <v>6</v>
      </c>
      <c r="B4382" s="1" t="s">
        <v>3582</v>
      </c>
      <c r="C4382" s="1" t="str">
        <f ca="1">IFERROR(__xludf.DUMMYFUNCTION("GOOGLETRANSLATE(B4426,""en"",""ja"")"),"終了しました")</f>
        <v>終了しました</v>
      </c>
    </row>
    <row r="4383" spans="1:3" ht="18" customHeight="1" x14ac:dyDescent="0.3">
      <c r="A4383" s="1">
        <v>6</v>
      </c>
      <c r="B4383" s="1" t="s">
        <v>3583</v>
      </c>
      <c r="C4383" s="1" t="str">
        <f ca="1">IFERROR(__xludf.DUMMYFUNCTION("GOOGLETRANSLATE(B4427,""en"",""ja"")"),"採用")</f>
        <v>採用</v>
      </c>
    </row>
    <row r="4384" spans="1:3" ht="18" customHeight="1" x14ac:dyDescent="0.3">
      <c r="A4384" s="1">
        <v>6</v>
      </c>
      <c r="B4384" s="1" t="s">
        <v>3584</v>
      </c>
      <c r="C4384" s="1" t="str">
        <f ca="1">IFERROR(__xludf.DUMMYFUNCTION("GOOGLETRANSLATE(B4428,""en"",""ja"")"),"帝国")</f>
        <v>帝国</v>
      </c>
    </row>
    <row r="4385" spans="1:3" ht="18" customHeight="1" x14ac:dyDescent="0.3">
      <c r="A4385" s="1">
        <v>6</v>
      </c>
      <c r="B4385" s="1" t="s">
        <v>3585</v>
      </c>
      <c r="C4385" s="1" t="str">
        <f ca="1">IFERROR(__xludf.DUMMYFUNCTION("GOOGLETRANSLATE(B4429,""en"",""ja"")"),"強調")</f>
        <v>強調</v>
      </c>
    </row>
    <row r="4386" spans="1:3" ht="18" customHeight="1" x14ac:dyDescent="0.3">
      <c r="A4386" s="1">
        <v>6</v>
      </c>
      <c r="B4386" s="1" t="s">
        <v>3056</v>
      </c>
      <c r="C4386" s="1" t="str">
        <f ca="1">IFERROR(__xludf.DUMMYFUNCTION("GOOGLETRANSLATE(B4430,""en"",""ja"")"),"共感")</f>
        <v>共感</v>
      </c>
    </row>
    <row r="4387" spans="1:3" ht="18" customHeight="1" x14ac:dyDescent="0.3">
      <c r="A4387" s="1">
        <v>6</v>
      </c>
      <c r="B4387" s="1" t="s">
        <v>3586</v>
      </c>
      <c r="C4387" s="1" t="str">
        <f ca="1">IFERROR(__xludf.DUMMYFUNCTION("GOOGLETRANSLATE(B4431,""en"",""ja"")"),"感情的に")</f>
        <v>感情的に</v>
      </c>
    </row>
    <row r="4388" spans="1:3" ht="18" customHeight="1" x14ac:dyDescent="0.3">
      <c r="A4388" s="1">
        <v>6</v>
      </c>
      <c r="B4388" s="1" t="s">
        <v>3587</v>
      </c>
      <c r="C4388" s="1" t="str">
        <f ca="1">IFERROR(__xludf.DUMMYFUNCTION("GOOGLETRANSLATE(B4432,""en"",""ja"")"),"羽化")</f>
        <v>羽化</v>
      </c>
    </row>
    <row r="4389" spans="1:3" ht="18" customHeight="1" x14ac:dyDescent="0.3">
      <c r="A4389" s="1">
        <v>6</v>
      </c>
      <c r="B4389" s="1" t="s">
        <v>3588</v>
      </c>
      <c r="C4389" s="1" t="str">
        <f ca="1">IFERROR(__xludf.DUMMYFUNCTION("GOOGLETRANSLATE(B4433,""en"",""ja"")"),"実施の形態")</f>
        <v>実施の形態</v>
      </c>
    </row>
    <row r="4390" spans="1:3" ht="18" customHeight="1" x14ac:dyDescent="0.3">
      <c r="A4390" s="1">
        <v>6</v>
      </c>
      <c r="B4390" s="1" t="s">
        <v>3589</v>
      </c>
      <c r="C4390" s="1" t="str">
        <f ca="1">IFERROR(__xludf.DUMMYFUNCTION("GOOGLETRANSLATE(B4434,""en"",""ja"")"),"エリート")</f>
        <v>エリート</v>
      </c>
    </row>
    <row r="4391" spans="1:3" ht="18" customHeight="1" x14ac:dyDescent="0.3">
      <c r="A4391" s="1">
        <v>6</v>
      </c>
      <c r="B4391" s="1" t="s">
        <v>1581</v>
      </c>
      <c r="C4391" s="1" t="str">
        <f ca="1">IFERROR(__xludf.DUMMYFUNCTION("GOOGLETRANSLATE(B4435,""en"",""ja"")"),"素子")</f>
        <v>素子</v>
      </c>
    </row>
    <row r="4392" spans="1:3" ht="18" customHeight="1" x14ac:dyDescent="0.3">
      <c r="A4392" s="1">
        <v>6</v>
      </c>
      <c r="B4392" s="1" t="s">
        <v>3590</v>
      </c>
      <c r="C4392" s="1" t="str">
        <f ca="1">IFERROR(__xludf.DUMMYFUNCTION("GOOGLETRANSLATE(B4436,""en"",""ja"")"),"平等主義")</f>
        <v>平等主義</v>
      </c>
    </row>
    <row r="4393" spans="1:3" ht="18" customHeight="1" x14ac:dyDescent="0.3">
      <c r="A4393" s="1">
        <v>6</v>
      </c>
      <c r="B4393" s="1" t="s">
        <v>407</v>
      </c>
      <c r="C4393" s="1" t="str">
        <f ca="1">IFERROR(__xludf.DUMMYFUNCTION("GOOGLETRANSLATE(B4437,""en"",""ja"")"),"エジソン")</f>
        <v>エジソン</v>
      </c>
    </row>
    <row r="4394" spans="1:3" ht="18" customHeight="1" x14ac:dyDescent="0.3">
      <c r="A4394" s="1">
        <v>6</v>
      </c>
      <c r="B4394" s="1" t="s">
        <v>3591</v>
      </c>
      <c r="C4394" s="1" t="str">
        <f ca="1">IFERROR(__xludf.DUMMYFUNCTION("GOOGLETRANSLATE(B4438,""en"",""ja"")"),"エド")</f>
        <v>エド</v>
      </c>
    </row>
    <row r="4395" spans="1:3" ht="18" customHeight="1" x14ac:dyDescent="0.3">
      <c r="A4395" s="1">
        <v>6</v>
      </c>
      <c r="B4395" s="1" t="s">
        <v>3592</v>
      </c>
      <c r="C4395" s="1" t="str">
        <f ca="1">IFERROR(__xludf.DUMMYFUNCTION("GOOGLETRANSLATE(B4439,""en"",""ja"")"),"生態系")</f>
        <v>生態系</v>
      </c>
    </row>
    <row r="4396" spans="1:3" ht="18" customHeight="1" x14ac:dyDescent="0.3">
      <c r="A4396" s="1">
        <v>6</v>
      </c>
      <c r="B4396" s="1" t="s">
        <v>3593</v>
      </c>
      <c r="C4396" s="1" t="str">
        <f ca="1">IFERROR(__xludf.DUMMYFUNCTION("GOOGLETRANSLATE(B4440,""en"",""ja"")"),"エコー")</f>
        <v>エコー</v>
      </c>
    </row>
    <row r="4397" spans="1:3" ht="18" customHeight="1" x14ac:dyDescent="0.3">
      <c r="A4397" s="1">
        <v>6</v>
      </c>
      <c r="B4397" s="1" t="s">
        <v>3594</v>
      </c>
      <c r="C4397" s="1" t="str">
        <f ca="1">IFERROR(__xludf.DUMMYFUNCTION("GOOGLETRANSLATE(B4441,""en"",""ja"")"),"動的")</f>
        <v>動的</v>
      </c>
    </row>
    <row r="4398" spans="1:3" ht="18" customHeight="1" x14ac:dyDescent="0.3">
      <c r="A4398" s="1">
        <v>6</v>
      </c>
      <c r="B4398" s="1" t="s">
        <v>2743</v>
      </c>
      <c r="C4398" s="1" t="str">
        <f ca="1">IFERROR(__xludf.DUMMYFUNCTION("GOOGLETRANSLATE(B4442,""en"",""ja"")"),"薬")</f>
        <v>薬</v>
      </c>
    </row>
    <row r="4399" spans="1:3" ht="18" customHeight="1" x14ac:dyDescent="0.3">
      <c r="A4399" s="1">
        <v>6</v>
      </c>
      <c r="B4399" s="1" t="s">
        <v>3595</v>
      </c>
      <c r="C4399" s="1" t="str">
        <f ca="1">IFERROR(__xludf.DUMMYFUNCTION("GOOGLETRANSLATE(B4443,""en"",""ja"")"),"駆動")</f>
        <v>駆動</v>
      </c>
    </row>
    <row r="4400" spans="1:3" ht="18" customHeight="1" x14ac:dyDescent="0.3">
      <c r="A4400" s="1">
        <v>6</v>
      </c>
      <c r="B4400" s="1" t="s">
        <v>3596</v>
      </c>
      <c r="C4400" s="1" t="str">
        <f ca="1">IFERROR(__xludf.DUMMYFUNCTION("GOOGLETRANSLATE(B4444,""en"",""ja"")"),"夢")</f>
        <v>夢</v>
      </c>
    </row>
    <row r="4401" spans="1:3" ht="18" customHeight="1" x14ac:dyDescent="0.3">
      <c r="A4401" s="1">
        <v>6</v>
      </c>
      <c r="B4401" s="1" t="s">
        <v>3597</v>
      </c>
      <c r="C4401" s="1" t="str">
        <f ca="1">IFERROR(__xludf.DUMMYFUNCTION("GOOGLETRANSLATE(B4445,""en"",""ja"")"),"ダブル")</f>
        <v>ダブル</v>
      </c>
    </row>
    <row r="4402" spans="1:3" ht="18" customHeight="1" x14ac:dyDescent="0.3">
      <c r="A4402" s="1">
        <v>6</v>
      </c>
      <c r="B4402" s="1" t="s">
        <v>3598</v>
      </c>
      <c r="C4402" s="1" t="str">
        <f ca="1">IFERROR(__xludf.DUMMYFUNCTION("GOOGLETRANSLATE(B4446,""en"",""ja"")"),"doomsayers")</f>
        <v>doomsayers</v>
      </c>
    </row>
    <row r="4403" spans="1:3" ht="18" customHeight="1" x14ac:dyDescent="0.3">
      <c r="A4403" s="1">
        <v>6</v>
      </c>
      <c r="B4403" s="1" t="s">
        <v>3599</v>
      </c>
      <c r="C4403" s="1" t="str">
        <f ca="1">IFERROR(__xludf.DUMMYFUNCTION("GOOGLETRANSLATE(B4447,""en"",""ja"")"),"高飛車")</f>
        <v>高飛車</v>
      </c>
    </row>
    <row r="4404" spans="1:3" ht="18" customHeight="1" x14ac:dyDescent="0.3">
      <c r="A4404" s="1">
        <v>6</v>
      </c>
      <c r="B4404" s="1" t="s">
        <v>3600</v>
      </c>
      <c r="C4404" s="1" t="str">
        <f ca="1">IFERROR(__xludf.DUMMYFUNCTION("GOOGLETRANSLATE(B4448,""en"",""ja"")"),"支配")</f>
        <v>支配</v>
      </c>
    </row>
    <row r="4405" spans="1:3" ht="18" customHeight="1" x14ac:dyDescent="0.3">
      <c r="A4405" s="1">
        <v>6</v>
      </c>
      <c r="B4405" s="1" t="s">
        <v>2191</v>
      </c>
      <c r="C4405" s="1" t="str">
        <f ca="1">IFERROR(__xludf.DUMMYFUNCTION("GOOGLETRANSLATE(B4449,""en"",""ja"")"),"優性")</f>
        <v>優性</v>
      </c>
    </row>
    <row r="4406" spans="1:3" ht="18" customHeight="1" x14ac:dyDescent="0.3">
      <c r="A4406" s="1">
        <v>6</v>
      </c>
      <c r="B4406" s="1" t="s">
        <v>3601</v>
      </c>
      <c r="C4406" s="1" t="str">
        <f ca="1">IFERROR(__xludf.DUMMYFUNCTION("GOOGLETRANSLATE(B4450,""en"",""ja"")"),"教義")</f>
        <v>教義</v>
      </c>
    </row>
    <row r="4407" spans="1:3" ht="18" customHeight="1" x14ac:dyDescent="0.3">
      <c r="A4407" s="1">
        <v>6</v>
      </c>
      <c r="B4407" s="1" t="s">
        <v>3602</v>
      </c>
      <c r="C4407" s="1" t="str">
        <f ca="1">IFERROR(__xludf.DUMMYFUNCTION("GOOGLETRANSLATE(B4451,""en"",""ja"")"),"分割")</f>
        <v>分割</v>
      </c>
    </row>
    <row r="4408" spans="1:3" ht="18" customHeight="1" x14ac:dyDescent="0.3">
      <c r="A4408" s="1">
        <v>6</v>
      </c>
      <c r="B4408" s="1" t="s">
        <v>1975</v>
      </c>
      <c r="C4408" s="1" t="str">
        <f ca="1">IFERROR(__xludf.DUMMYFUNCTION("GOOGLETRANSLATE(B4452,""en"",""ja"")"),"多様性")</f>
        <v>多様性</v>
      </c>
    </row>
    <row r="4409" spans="1:3" ht="18" customHeight="1" x14ac:dyDescent="0.3">
      <c r="A4409" s="1">
        <v>6</v>
      </c>
      <c r="B4409" s="1" t="s">
        <v>3603</v>
      </c>
      <c r="C4409" s="1" t="str">
        <f ca="1">IFERROR(__xludf.DUMMYFUNCTION("GOOGLETRANSLATE(B4453,""en"",""ja"")"),"明確な")</f>
        <v>明確な</v>
      </c>
    </row>
    <row r="4410" spans="1:3" ht="18" customHeight="1" x14ac:dyDescent="0.3">
      <c r="A4410" s="1">
        <v>6</v>
      </c>
      <c r="B4410" s="1" t="s">
        <v>3604</v>
      </c>
      <c r="C4410" s="1" t="str">
        <f ca="1">IFERROR(__xludf.DUMMYFUNCTION("GOOGLETRANSLATE(B4454,""en"",""ja"")"),"混乱させる")</f>
        <v>混乱させる</v>
      </c>
    </row>
    <row r="4411" spans="1:3" ht="18" customHeight="1" x14ac:dyDescent="0.3">
      <c r="A4411" s="1">
        <v>6</v>
      </c>
      <c r="B4411" s="1" t="s">
        <v>2749</v>
      </c>
      <c r="C4411" s="1" t="str">
        <f ca="1">IFERROR(__xludf.DUMMYFUNCTION("GOOGLETRANSLATE(B4455,""en"",""ja"")"),"紛争")</f>
        <v>紛争</v>
      </c>
    </row>
    <row r="4412" spans="1:3" ht="18" customHeight="1" x14ac:dyDescent="0.3">
      <c r="A4412" s="1">
        <v>6</v>
      </c>
      <c r="B4412" s="1" t="s">
        <v>3605</v>
      </c>
      <c r="C4412" s="1" t="str">
        <f ca="1">IFERROR(__xludf.DUMMYFUNCTION("GOOGLETRANSLATE(B4456,""en"",""ja"")"),"変位")</f>
        <v>変位</v>
      </c>
    </row>
    <row r="4413" spans="1:3" ht="18" customHeight="1" x14ac:dyDescent="0.3">
      <c r="A4413" s="1">
        <v>6</v>
      </c>
      <c r="B4413" s="1" t="s">
        <v>3606</v>
      </c>
      <c r="C4413" s="1" t="str">
        <f ca="1">IFERROR(__xludf.DUMMYFUNCTION("GOOGLETRANSLATE(B4457,""en"",""ja"")"),"無秩序")</f>
        <v>無秩序</v>
      </c>
    </row>
    <row r="4414" spans="1:3" ht="18" customHeight="1" x14ac:dyDescent="0.3">
      <c r="A4414" s="1">
        <v>6</v>
      </c>
      <c r="B4414" s="1" t="s">
        <v>3607</v>
      </c>
      <c r="C4414" s="1" t="str">
        <f ca="1">IFERROR(__xludf.DUMMYFUNCTION("GOOGLETRANSLATE(B4458,""en"",""ja"")"),"違えます")</f>
        <v>違えます</v>
      </c>
    </row>
    <row r="4415" spans="1:3" ht="18" customHeight="1" x14ac:dyDescent="0.3">
      <c r="A4415" s="1">
        <v>6</v>
      </c>
      <c r="B4415" s="1" t="s">
        <v>3608</v>
      </c>
      <c r="C4415" s="1" t="str">
        <f ca="1">IFERROR(__xludf.DUMMYFUNCTION("GOOGLETRANSLATE(B4459,""en"",""ja"")"),"不均衡")</f>
        <v>不均衡</v>
      </c>
    </row>
    <row r="4416" spans="1:3" ht="18" customHeight="1" x14ac:dyDescent="0.3">
      <c r="A4416" s="1">
        <v>6</v>
      </c>
      <c r="B4416" s="1" t="s">
        <v>3609</v>
      </c>
      <c r="C4416" s="1" t="str">
        <f ca="1">IFERROR(__xludf.DUMMYFUNCTION("GOOGLETRANSLATE(B4460,""en"",""ja"")"),"落胆")</f>
        <v>落胆</v>
      </c>
    </row>
    <row r="4417" spans="1:3" ht="18" customHeight="1" x14ac:dyDescent="0.3">
      <c r="A4417" s="1">
        <v>6</v>
      </c>
      <c r="B4417" s="1" t="s">
        <v>3610</v>
      </c>
      <c r="C4417" s="1" t="str">
        <f ca="1">IFERROR(__xludf.DUMMYFUNCTION("GOOGLETRANSLATE(B4461,""en"",""ja"")"),"不連続")</f>
        <v>不連続</v>
      </c>
    </row>
    <row r="4418" spans="1:3" ht="18" customHeight="1" x14ac:dyDescent="0.3">
      <c r="A4418" s="1">
        <v>6</v>
      </c>
      <c r="B4418" s="1" t="s">
        <v>3611</v>
      </c>
      <c r="C4418" s="1" t="str">
        <f ca="1">IFERROR(__xludf.DUMMYFUNCTION("GOOGLETRANSLATE(B4462,""en"",""ja"")"),"dipankar")</f>
        <v>dipankar</v>
      </c>
    </row>
    <row r="4419" spans="1:3" ht="18" customHeight="1" x14ac:dyDescent="0.3">
      <c r="A4419" s="1">
        <v>6</v>
      </c>
      <c r="B4419" s="1" t="s">
        <v>3612</v>
      </c>
      <c r="C4419" s="1" t="str">
        <f ca="1">IFERROR(__xludf.DUMMYFUNCTION("GOOGLETRANSLATE(B4463,""en"",""ja"")"),"減らします")</f>
        <v>減らします</v>
      </c>
    </row>
    <row r="4420" spans="1:3" ht="18" customHeight="1" x14ac:dyDescent="0.3">
      <c r="A4420" s="1">
        <v>6</v>
      </c>
      <c r="B4420" s="1" t="s">
        <v>3613</v>
      </c>
      <c r="C4420" s="1" t="str">
        <f ca="1">IFERROR(__xludf.DUMMYFUNCTION("GOOGLETRANSLATE(B4464,""en"",""ja"")"),"大きさ")</f>
        <v>大きさ</v>
      </c>
    </row>
    <row r="4421" spans="1:3" ht="18" customHeight="1" x14ac:dyDescent="0.3">
      <c r="A4421" s="1">
        <v>6</v>
      </c>
      <c r="B4421" s="1" t="s">
        <v>2426</v>
      </c>
      <c r="C4421" s="1" t="str">
        <f ca="1">IFERROR(__xludf.DUMMYFUNCTION("GOOGLETRANSLATE(B4465,""en"",""ja"")"),"異なっ")</f>
        <v>異なっ</v>
      </c>
    </row>
    <row r="4422" spans="1:3" ht="18" customHeight="1" x14ac:dyDescent="0.3">
      <c r="A4422" s="1">
        <v>6</v>
      </c>
      <c r="B4422" s="1" t="s">
        <v>2427</v>
      </c>
      <c r="C4422" s="1" t="str">
        <f ca="1">IFERROR(__xludf.DUMMYFUNCTION("GOOGLETRANSLATE(B4466,""en"",""ja"")"),"異なる")</f>
        <v>異なる</v>
      </c>
    </row>
    <row r="4423" spans="1:3" ht="18" customHeight="1" x14ac:dyDescent="0.3">
      <c r="A4423" s="1">
        <v>6</v>
      </c>
      <c r="B4423" s="1" t="s">
        <v>3614</v>
      </c>
      <c r="C4423" s="1" t="str">
        <f ca="1">IFERROR(__xludf.DUMMYFUNCTION("GOOGLETRANSLATE(B4467,""en"",""ja"")"),"死亡しました")</f>
        <v>死亡しました</v>
      </c>
    </row>
    <row r="4424" spans="1:3" ht="18" customHeight="1" x14ac:dyDescent="0.3">
      <c r="A4424" s="1">
        <v>6</v>
      </c>
      <c r="B4424" s="1" t="s">
        <v>3615</v>
      </c>
      <c r="C4424" s="1" t="str">
        <f ca="1">IFERROR(__xludf.DUMMYFUNCTION("GOOGLETRANSLATE(B4468,""en"",""ja"")"),"ディアン")</f>
        <v>ディアン</v>
      </c>
    </row>
    <row r="4425" spans="1:3" ht="18" customHeight="1" x14ac:dyDescent="0.3">
      <c r="A4425" s="1">
        <v>6</v>
      </c>
      <c r="B4425" s="1" t="s">
        <v>3616</v>
      </c>
      <c r="C4425" s="1" t="str">
        <f ca="1">IFERROR(__xludf.DUMMYFUNCTION("GOOGLETRANSLATE(B4469,""en"",""ja"")"),"考案されました")</f>
        <v>考案されました</v>
      </c>
    </row>
    <row r="4426" spans="1:3" ht="18" customHeight="1" x14ac:dyDescent="0.3">
      <c r="A4426" s="1">
        <v>6</v>
      </c>
      <c r="B4426" s="1" t="s">
        <v>3617</v>
      </c>
      <c r="C4426" s="1" t="str">
        <f ca="1">IFERROR(__xludf.DUMMYFUNCTION("GOOGLETRANSLATE(B4470,""en"",""ja"")"),"悪魔")</f>
        <v>悪魔</v>
      </c>
    </row>
    <row r="4427" spans="1:3" ht="18" customHeight="1" x14ac:dyDescent="0.3">
      <c r="A4427" s="1">
        <v>6</v>
      </c>
      <c r="B4427" s="1" t="s">
        <v>3618</v>
      </c>
      <c r="C4427" s="1" t="str">
        <f ca="1">IFERROR(__xludf.DUMMYFUNCTION("GOOGLETRANSLATE(B4471,""en"",""ja"")"),"残骸")</f>
        <v>残骸</v>
      </c>
    </row>
    <row r="4428" spans="1:3" ht="18" customHeight="1" x14ac:dyDescent="0.3">
      <c r="A4428" s="1">
        <v>6</v>
      </c>
      <c r="B4428" s="1" t="s">
        <v>3619</v>
      </c>
      <c r="C4428" s="1" t="str">
        <f ca="1">IFERROR(__xludf.DUMMYFUNCTION("GOOGLETRANSLATE(B4472,""en"",""ja"")"),"砂漠化")</f>
        <v>砂漠化</v>
      </c>
    </row>
    <row r="4429" spans="1:3" ht="18" customHeight="1" x14ac:dyDescent="0.3">
      <c r="A4429" s="1">
        <v>6</v>
      </c>
      <c r="B4429" s="1" t="s">
        <v>3620</v>
      </c>
      <c r="C4429" s="1" t="str">
        <f ca="1">IFERROR(__xludf.DUMMYFUNCTION("GOOGLETRANSLATE(B4473,""en"",""ja"")"),"降順")</f>
        <v>降順</v>
      </c>
    </row>
    <row r="4430" spans="1:3" ht="18" customHeight="1" x14ac:dyDescent="0.3">
      <c r="A4430" s="1">
        <v>6</v>
      </c>
      <c r="B4430" s="1" t="s">
        <v>3621</v>
      </c>
      <c r="C4430" s="1" t="str">
        <f ca="1">IFERROR(__xludf.DUMMYFUNCTION("GOOGLETRANSLATE(B4474,""en"",""ja"")"),"子孫")</f>
        <v>子孫</v>
      </c>
    </row>
    <row r="4431" spans="1:3" ht="18" customHeight="1" x14ac:dyDescent="0.3">
      <c r="A4431" s="1">
        <v>6</v>
      </c>
      <c r="B4431" s="1" t="s">
        <v>1700</v>
      </c>
      <c r="C4431" s="1" t="str">
        <f ca="1">IFERROR(__xludf.DUMMYFUNCTION("GOOGLETRANSLATE(B4475,""en"",""ja"")"),"描い")</f>
        <v>描い</v>
      </c>
    </row>
    <row r="4432" spans="1:3" ht="18" customHeight="1" x14ac:dyDescent="0.3">
      <c r="A4432" s="1">
        <v>6</v>
      </c>
      <c r="B4432" s="1" t="s">
        <v>2759</v>
      </c>
      <c r="C4432" s="1" t="str">
        <f ca="1">IFERROR(__xludf.DUMMYFUNCTION("GOOGLETRANSLATE(B4476,""en"",""ja"")"),"証明します")</f>
        <v>証明します</v>
      </c>
    </row>
    <row r="4433" spans="1:3" ht="18" customHeight="1" x14ac:dyDescent="0.3">
      <c r="A4433" s="1">
        <v>6</v>
      </c>
      <c r="B4433" s="1" t="s">
        <v>3622</v>
      </c>
      <c r="C4433" s="1" t="str">
        <f ca="1">IFERROR(__xludf.DUMMYFUNCTION("GOOGLETRANSLATE(B4477,""en"",""ja"")"),"民主党員")</f>
        <v>民主党員</v>
      </c>
    </row>
    <row r="4434" spans="1:3" ht="18" customHeight="1" x14ac:dyDescent="0.3">
      <c r="A4434" s="1">
        <v>6</v>
      </c>
      <c r="B4434" s="1" t="s">
        <v>3623</v>
      </c>
      <c r="C4434" s="1" t="str">
        <f ca="1">IFERROR(__xludf.DUMMYFUNCTION("GOOGLETRANSLATE(B4478,""en"",""ja"")"),"配信")</f>
        <v>配信</v>
      </c>
    </row>
    <row r="4435" spans="1:3" ht="18" customHeight="1" x14ac:dyDescent="0.3">
      <c r="A4435" s="1">
        <v>6</v>
      </c>
      <c r="B4435" s="1" t="s">
        <v>3624</v>
      </c>
      <c r="C4435" s="1" t="str">
        <f ca="1">IFERROR(__xludf.DUMMYFUNCTION("GOOGLETRANSLATE(B4479,""en"",""ja"")"),"劣化")</f>
        <v>劣化</v>
      </c>
    </row>
    <row r="4436" spans="1:3" ht="18" customHeight="1" x14ac:dyDescent="0.3">
      <c r="A4436" s="1">
        <v>6</v>
      </c>
      <c r="B4436" s="1" t="s">
        <v>3080</v>
      </c>
      <c r="C4436" s="1" t="str">
        <f ca="1">IFERROR(__xludf.DUMMYFUNCTION("GOOGLETRANSLATE(B4480,""en"",""ja"")"),"定義")</f>
        <v>定義</v>
      </c>
    </row>
    <row r="4437" spans="1:3" ht="18" customHeight="1" x14ac:dyDescent="0.3">
      <c r="A4437" s="1">
        <v>6</v>
      </c>
      <c r="B4437" s="1" t="s">
        <v>3625</v>
      </c>
      <c r="C4437" s="1" t="str">
        <f ca="1">IFERROR(__xludf.DUMMYFUNCTION("GOOGLETRANSLATE(B4481,""en"",""ja"")"),"挑発")</f>
        <v>挑発</v>
      </c>
    </row>
    <row r="4438" spans="1:3" ht="18" customHeight="1" x14ac:dyDescent="0.3">
      <c r="A4438" s="1">
        <v>6</v>
      </c>
      <c r="B4438" s="1" t="s">
        <v>3626</v>
      </c>
      <c r="C4438" s="1" t="str">
        <f ca="1">IFERROR(__xludf.DUMMYFUNCTION("GOOGLETRANSLATE(B4482,""en"",""ja"")"),"もっと深く")</f>
        <v>もっと深く</v>
      </c>
    </row>
    <row r="4439" spans="1:3" ht="18" customHeight="1" x14ac:dyDescent="0.3">
      <c r="A4439" s="1">
        <v>6</v>
      </c>
      <c r="B4439" s="1" t="s">
        <v>3627</v>
      </c>
      <c r="C4439" s="1" t="str">
        <f ca="1">IFERROR(__xludf.DUMMYFUNCTION("GOOGLETRANSLATE(B4483,""en"",""ja"")"),"深める")</f>
        <v>深める</v>
      </c>
    </row>
    <row r="4440" spans="1:3" ht="18" customHeight="1" x14ac:dyDescent="0.3">
      <c r="A4440" s="1">
        <v>6</v>
      </c>
      <c r="B4440" s="1" t="s">
        <v>3628</v>
      </c>
      <c r="C4440" s="1" t="str">
        <f ca="1">IFERROR(__xludf.DUMMYFUNCTION("GOOGLETRANSLATE(B4484,""en"",""ja"")"),"行為")</f>
        <v>行為</v>
      </c>
    </row>
    <row r="4441" spans="1:3" ht="18" customHeight="1" x14ac:dyDescent="0.3">
      <c r="A4441" s="1">
        <v>6</v>
      </c>
      <c r="B4441" s="1" t="s">
        <v>2202</v>
      </c>
      <c r="C4441" s="1" t="str">
        <f ca="1">IFERROR(__xludf.DUMMYFUNCTION("GOOGLETRANSLATE(B4485,""en"",""ja"")"),"減少")</f>
        <v>減少</v>
      </c>
    </row>
    <row r="4442" spans="1:3" ht="18" customHeight="1" x14ac:dyDescent="0.3">
      <c r="A4442" s="1">
        <v>6</v>
      </c>
      <c r="B4442" s="1" t="s">
        <v>3629</v>
      </c>
      <c r="C4442" s="1" t="str">
        <f ca="1">IFERROR(__xludf.DUMMYFUNCTION("GOOGLETRANSLATE(B4486,""en"",""ja"")"),"下落")</f>
        <v>下落</v>
      </c>
    </row>
    <row r="4443" spans="1:3" ht="18" customHeight="1" x14ac:dyDescent="0.3">
      <c r="A4443" s="1">
        <v>6</v>
      </c>
      <c r="B4443" s="1" t="s">
        <v>1021</v>
      </c>
      <c r="C4443" s="1" t="str">
        <f ca="1">IFERROR(__xludf.DUMMYFUNCTION("GOOGLETRANSLATE(B4487,""en"",""ja"")"),"一昔")</f>
        <v>一昔</v>
      </c>
    </row>
    <row r="4444" spans="1:3" ht="18" customHeight="1" x14ac:dyDescent="0.3">
      <c r="A4444" s="1">
        <v>6</v>
      </c>
      <c r="B4444" s="1" t="s">
        <v>3630</v>
      </c>
      <c r="C4444" s="1" t="str">
        <f ca="1">IFERROR(__xludf.DUMMYFUNCTION("GOOGLETRANSLATE(B4488,""en"",""ja"")"),"討論者")</f>
        <v>討論者</v>
      </c>
    </row>
    <row r="4445" spans="1:3" ht="18" customHeight="1" x14ac:dyDescent="0.3">
      <c r="A4445" s="1">
        <v>6</v>
      </c>
      <c r="B4445" s="1" t="s">
        <v>3631</v>
      </c>
      <c r="C4445" s="1" t="str">
        <f ca="1">IFERROR(__xludf.DUMMYFUNCTION("GOOGLETRANSLATE(B4489,""en"",""ja"")"),"取引")</f>
        <v>取引</v>
      </c>
    </row>
    <row r="4446" spans="1:3" ht="18" customHeight="1" x14ac:dyDescent="0.3">
      <c r="A4446" s="1">
        <v>6</v>
      </c>
      <c r="B4446" s="1" t="s">
        <v>3632</v>
      </c>
      <c r="C4446" s="1" t="str">
        <f ca="1">IFERROR(__xludf.DUMMYFUNCTION("GOOGLETRANSLATE(B4490,""en"",""ja"")"),"DDT")</f>
        <v>DDT</v>
      </c>
    </row>
    <row r="4447" spans="1:3" ht="18" customHeight="1" x14ac:dyDescent="0.3">
      <c r="A4447" s="1">
        <v>6</v>
      </c>
      <c r="B4447" s="1" t="s">
        <v>3633</v>
      </c>
      <c r="C4447" s="1" t="str">
        <f ca="1">IFERROR(__xludf.DUMMYFUNCTION("GOOGLETRANSLATE(B4491,""en"",""ja"")"),"損傷を受けました")</f>
        <v>損傷を受けました</v>
      </c>
    </row>
    <row r="4448" spans="1:3" ht="18" customHeight="1" x14ac:dyDescent="0.3">
      <c r="A4448" s="1">
        <v>6</v>
      </c>
      <c r="B4448" s="1" t="s">
        <v>3634</v>
      </c>
      <c r="C4448" s="1" t="str">
        <f ca="1">IFERROR(__xludf.DUMMYFUNCTION("GOOGLETRANSLATE(B4492,""en"",""ja"")"),"サイクリング")</f>
        <v>サイクリング</v>
      </c>
    </row>
    <row r="4449" spans="1:3" ht="18" customHeight="1" x14ac:dyDescent="0.3">
      <c r="A4449" s="1">
        <v>6</v>
      </c>
      <c r="B4449" s="1" t="s">
        <v>3635</v>
      </c>
      <c r="C4449" s="1" t="str">
        <f ca="1">IFERROR(__xludf.DUMMYFUNCTION("GOOGLETRANSLATE(B4493,""en"",""ja"")"),"サイバー")</f>
        <v>サイバー</v>
      </c>
    </row>
    <row r="4450" spans="1:3" ht="18" customHeight="1" x14ac:dyDescent="0.3">
      <c r="A4450" s="1">
        <v>6</v>
      </c>
      <c r="B4450" s="1" t="s">
        <v>3636</v>
      </c>
      <c r="C4450" s="1" t="str">
        <f ca="1">IFERROR(__xludf.DUMMYFUNCTION("GOOGLETRANSLATE(B4494,""en"",""ja"")"),"カット")</f>
        <v>カット</v>
      </c>
    </row>
    <row r="4451" spans="1:3" ht="18" customHeight="1" x14ac:dyDescent="0.3">
      <c r="A4451" s="1">
        <v>6</v>
      </c>
      <c r="B4451" s="1" t="s">
        <v>3637</v>
      </c>
      <c r="C4451" s="1" t="str">
        <f ca="1">IFERROR(__xludf.DUMMYFUNCTION("GOOGLETRANSLATE(B4495,""en"",""ja"")"),"慣用")</f>
        <v>慣用</v>
      </c>
    </row>
    <row r="4452" spans="1:3" ht="18" customHeight="1" x14ac:dyDescent="0.3">
      <c r="A4452" s="1">
        <v>6</v>
      </c>
      <c r="B4452" s="1" t="s">
        <v>3638</v>
      </c>
      <c r="C4452" s="1" t="str">
        <f ca="1">IFERROR(__xludf.DUMMYFUNCTION("GOOGLETRANSLATE(B4496,""en"",""ja"")"),"曲線")</f>
        <v>曲線</v>
      </c>
    </row>
    <row r="4453" spans="1:3" ht="18" customHeight="1" x14ac:dyDescent="0.3">
      <c r="A4453" s="1">
        <v>6</v>
      </c>
      <c r="B4453" s="1" t="s">
        <v>3639</v>
      </c>
      <c r="C4453" s="1" t="str">
        <f ca="1">IFERROR(__xludf.DUMMYFUNCTION("GOOGLETRANSLATE(B4497,""en"",""ja"")"),"合図")</f>
        <v>合図</v>
      </c>
    </row>
    <row r="4454" spans="1:3" ht="18" customHeight="1" x14ac:dyDescent="0.3">
      <c r="A4454" s="1">
        <v>6</v>
      </c>
      <c r="B4454" s="1" t="s">
        <v>3640</v>
      </c>
      <c r="C4454" s="1" t="str">
        <f ca="1">IFERROR(__xludf.DUMMYFUNCTION("GOOGLETRANSLATE(B4498,""en"",""ja"")"),"クランブル")</f>
        <v>クランブル</v>
      </c>
    </row>
    <row r="4455" spans="1:3" ht="18" customHeight="1" x14ac:dyDescent="0.3">
      <c r="A4455" s="1">
        <v>6</v>
      </c>
      <c r="B4455" s="1" t="s">
        <v>3641</v>
      </c>
      <c r="C4455" s="1" t="str">
        <f ca="1">IFERROR(__xludf.DUMMYFUNCTION("GOOGLETRANSLATE(B4499,""en"",""ja"")"),"作物")</f>
        <v>作物</v>
      </c>
    </row>
    <row r="4456" spans="1:3" ht="18" customHeight="1" x14ac:dyDescent="0.3">
      <c r="A4456" s="1">
        <v>6</v>
      </c>
      <c r="B4456" s="1" t="s">
        <v>1593</v>
      </c>
      <c r="C4456" s="1" t="str">
        <f ca="1">IFERROR(__xludf.DUMMYFUNCTION("GOOGLETRANSLATE(B4500,""en"",""ja"")"),"批判")</f>
        <v>批判</v>
      </c>
    </row>
    <row r="4457" spans="1:3" ht="18" customHeight="1" x14ac:dyDescent="0.3">
      <c r="A4457" s="1">
        <v>6</v>
      </c>
      <c r="B4457" s="1" t="s">
        <v>3642</v>
      </c>
      <c r="C4457" s="1" t="str">
        <f ca="1">IFERROR(__xludf.DUMMYFUNCTION("GOOGLETRANSLATE(B4501,""en"",""ja"")"),"危機")</f>
        <v>危機</v>
      </c>
    </row>
    <row r="4458" spans="1:3" ht="18" customHeight="1" x14ac:dyDescent="0.3">
      <c r="A4458" s="1">
        <v>6</v>
      </c>
      <c r="B4458" s="1" t="s">
        <v>3643</v>
      </c>
      <c r="C4458" s="1" t="str">
        <f ca="1">IFERROR(__xludf.DUMMYFUNCTION("GOOGLETRANSLATE(B4502,""en"",""ja"")"),"信頼性")</f>
        <v>信頼性</v>
      </c>
    </row>
    <row r="4459" spans="1:3" ht="18" customHeight="1" x14ac:dyDescent="0.3">
      <c r="A4459" s="1">
        <v>6</v>
      </c>
      <c r="B4459" s="1" t="s">
        <v>2770</v>
      </c>
      <c r="C4459" s="1" t="str">
        <f ca="1">IFERROR(__xludf.DUMMYFUNCTION("GOOGLETRANSLATE(B4503,""en"",""ja"")"),"創造")</f>
        <v>創造</v>
      </c>
    </row>
    <row r="4460" spans="1:3" ht="18" customHeight="1" x14ac:dyDescent="0.3">
      <c r="A4460" s="1">
        <v>6</v>
      </c>
      <c r="B4460" s="1" t="s">
        <v>3644</v>
      </c>
      <c r="C4460" s="1" t="str">
        <f ca="1">IFERROR(__xludf.DUMMYFUNCTION("GOOGLETRANSLATE(B4504,""en"",""ja"")"),"クレージー")</f>
        <v>クレージー</v>
      </c>
    </row>
    <row r="4461" spans="1:3" ht="18" customHeight="1" x14ac:dyDescent="0.3">
      <c r="A4461" s="1">
        <v>6</v>
      </c>
      <c r="B4461" s="1" t="s">
        <v>3645</v>
      </c>
      <c r="C4461" s="1" t="str">
        <f ca="1">IFERROR(__xludf.DUMMYFUNCTION("GOOGLETRANSLATE(B4505,""en"",""ja"")"),"クロール")</f>
        <v>クロール</v>
      </c>
    </row>
    <row r="4462" spans="1:3" ht="18" customHeight="1" x14ac:dyDescent="0.3">
      <c r="A4462" s="1">
        <v>6</v>
      </c>
      <c r="B4462" s="1" t="s">
        <v>1080</v>
      </c>
      <c r="C4462" s="1" t="str">
        <f ca="1">IFERROR(__xludf.DUMMYFUNCTION("GOOGLETRANSLATE(B4506,""en"",""ja"")"),"カバー")</f>
        <v>カバー</v>
      </c>
    </row>
    <row r="4463" spans="1:3" ht="18" customHeight="1" x14ac:dyDescent="0.3">
      <c r="A4463" s="1">
        <v>6</v>
      </c>
      <c r="B4463" s="1" t="s">
        <v>2207</v>
      </c>
      <c r="C4463" s="1" t="str">
        <f ca="1">IFERROR(__xludf.DUMMYFUNCTION("GOOGLETRANSLATE(B4507,""en"",""ja"")"),"対応")</f>
        <v>対応</v>
      </c>
    </row>
    <row r="4464" spans="1:3" ht="18" customHeight="1" x14ac:dyDescent="0.3">
      <c r="A4464" s="1">
        <v>6</v>
      </c>
      <c r="B4464" s="1" t="s">
        <v>3646</v>
      </c>
      <c r="C4464" s="1" t="str">
        <f ca="1">IFERROR(__xludf.DUMMYFUNCTION("GOOGLETRANSLATE(B4508,""en"",""ja"")"),"カウント")</f>
        <v>カウント</v>
      </c>
    </row>
    <row r="4465" spans="1:3" ht="18" customHeight="1" x14ac:dyDescent="0.3">
      <c r="A4465" s="1">
        <v>6</v>
      </c>
      <c r="B4465" s="1" t="s">
        <v>3647</v>
      </c>
      <c r="C4465" s="1" t="str">
        <f ca="1">IFERROR(__xludf.DUMMYFUNCTION("GOOGLETRANSLATE(B4509,""en"",""ja"")"),"相関関係")</f>
        <v>相関関係</v>
      </c>
    </row>
    <row r="4466" spans="1:3" ht="18" customHeight="1" x14ac:dyDescent="0.3">
      <c r="A4466" s="1">
        <v>6</v>
      </c>
      <c r="B4466" s="1" t="s">
        <v>3648</v>
      </c>
      <c r="C4466" s="1" t="str">
        <f ca="1">IFERROR(__xludf.DUMMYFUNCTION("GOOGLETRANSLATE(B4510,""en"",""ja"")"),"相関")</f>
        <v>相関</v>
      </c>
    </row>
    <row r="4467" spans="1:3" ht="18" customHeight="1" x14ac:dyDescent="0.3">
      <c r="A4467" s="1">
        <v>6</v>
      </c>
      <c r="B4467" s="1" t="s">
        <v>3649</v>
      </c>
      <c r="C4467" s="1" t="str">
        <f ca="1">IFERROR(__xludf.DUMMYFUNCTION("GOOGLETRANSLATE(B4511,""en"",""ja"")"),"企業")</f>
        <v>企業</v>
      </c>
    </row>
    <row r="4468" spans="1:3" ht="18" customHeight="1" x14ac:dyDescent="0.3">
      <c r="A4468" s="1">
        <v>6</v>
      </c>
      <c r="B4468" s="1" t="s">
        <v>3650</v>
      </c>
      <c r="C4468" s="1" t="str">
        <f ca="1">IFERROR(__xludf.DUMMYFUNCTION("GOOGLETRANSLATE(B4512,""en"",""ja"")"),"対処")</f>
        <v>対処</v>
      </c>
    </row>
    <row r="4469" spans="1:3" ht="18" customHeight="1" x14ac:dyDescent="0.3">
      <c r="A4469" s="1">
        <v>6</v>
      </c>
      <c r="B4469" s="1" t="s">
        <v>3651</v>
      </c>
      <c r="C4469" s="1" t="str">
        <f ca="1">IFERROR(__xludf.DUMMYFUNCTION("GOOGLETRANSLATE(B4513,""en"",""ja"")"),"説得力")</f>
        <v>説得力</v>
      </c>
    </row>
    <row r="4470" spans="1:3" ht="18" customHeight="1" x14ac:dyDescent="0.3">
      <c r="A4470" s="1">
        <v>6</v>
      </c>
      <c r="B4470" s="1" t="s">
        <v>3652</v>
      </c>
      <c r="C4470" s="1" t="str">
        <f ca="1">IFERROR(__xludf.DUMMYFUNCTION("GOOGLETRANSLATE(B4514,""en"",""ja"")"),"搬送")</f>
        <v>搬送</v>
      </c>
    </row>
    <row r="4471" spans="1:3" ht="18" customHeight="1" x14ac:dyDescent="0.3">
      <c r="A4471" s="1">
        <v>6</v>
      </c>
      <c r="B4471" s="1" t="s">
        <v>3653</v>
      </c>
      <c r="C4471" s="1" t="str">
        <f ca="1">IFERROR(__xludf.DUMMYFUNCTION("GOOGLETRANSLATE(B4515,""en"",""ja"")"),"伝える")</f>
        <v>伝える</v>
      </c>
    </row>
    <row r="4472" spans="1:3" ht="18" customHeight="1" x14ac:dyDescent="0.3">
      <c r="A4472" s="1">
        <v>6</v>
      </c>
      <c r="B4472" s="1" t="s">
        <v>3654</v>
      </c>
      <c r="C4472" s="1" t="str">
        <f ca="1">IFERROR(__xludf.DUMMYFUNCTION("GOOGLETRANSLATE(B4516,""en"",""ja"")"),"逆に")</f>
        <v>逆に</v>
      </c>
    </row>
    <row r="4473" spans="1:3" ht="18" customHeight="1" x14ac:dyDescent="0.3">
      <c r="A4473" s="1">
        <v>6</v>
      </c>
      <c r="B4473" s="1" t="s">
        <v>1985</v>
      </c>
      <c r="C4473" s="1" t="str">
        <f ca="1">IFERROR(__xludf.DUMMYFUNCTION("GOOGLETRANSLATE(B4517,""en"",""ja"")"),"反対")</f>
        <v>反対</v>
      </c>
    </row>
    <row r="4474" spans="1:3" ht="18" customHeight="1" x14ac:dyDescent="0.3">
      <c r="A4474" s="1">
        <v>6</v>
      </c>
      <c r="B4474" s="1" t="s">
        <v>3655</v>
      </c>
      <c r="C4474" s="1" t="str">
        <f ca="1">IFERROR(__xludf.DUMMYFUNCTION("GOOGLETRANSLATE(B4518,""en"",""ja"")"),"契約")</f>
        <v>契約</v>
      </c>
    </row>
    <row r="4475" spans="1:3" ht="18" customHeight="1" x14ac:dyDescent="0.3">
      <c r="A4475" s="1">
        <v>6</v>
      </c>
      <c r="B4475" s="1" t="s">
        <v>3656</v>
      </c>
      <c r="C4475" s="1" t="str">
        <f ca="1">IFERROR(__xludf.DUMMYFUNCTION("GOOGLETRANSLATE(B4519,""en"",""ja"")"),"消費する")</f>
        <v>消費する</v>
      </c>
    </row>
    <row r="4476" spans="1:3" ht="18" customHeight="1" x14ac:dyDescent="0.3">
      <c r="A4476" s="1">
        <v>6</v>
      </c>
      <c r="B4476" s="1" t="s">
        <v>1081</v>
      </c>
      <c r="C4476" s="1" t="str">
        <f ca="1">IFERROR(__xludf.DUMMYFUNCTION("GOOGLETRANSLATE(B4520,""en"",""ja"")"),"絶え間ない")</f>
        <v>絶え間ない</v>
      </c>
    </row>
    <row r="4477" spans="1:3" ht="18" customHeight="1" x14ac:dyDescent="0.3">
      <c r="A4477" s="1">
        <v>6</v>
      </c>
      <c r="B4477" s="1" t="s">
        <v>3657</v>
      </c>
      <c r="C4477" s="1" t="str">
        <f ca="1">IFERROR(__xludf.DUMMYFUNCTION("GOOGLETRANSLATE(B4521,""en"",""ja"")"),"注意事項")</f>
        <v>注意事項</v>
      </c>
    </row>
    <row r="4478" spans="1:3" ht="18" customHeight="1" x14ac:dyDescent="0.3">
      <c r="A4478" s="1">
        <v>6</v>
      </c>
      <c r="B4478" s="1" t="s">
        <v>3658</v>
      </c>
      <c r="C4478" s="1" t="str">
        <f ca="1">IFERROR(__xludf.DUMMYFUNCTION("GOOGLETRANSLATE(B4522,""en"",""ja"")"),"かなりの")</f>
        <v>かなりの</v>
      </c>
    </row>
    <row r="4479" spans="1:3" ht="18" customHeight="1" x14ac:dyDescent="0.3">
      <c r="A4479" s="1">
        <v>6</v>
      </c>
      <c r="B4479" s="1" t="s">
        <v>3659</v>
      </c>
      <c r="C4479" s="1" t="str">
        <f ca="1">IFERROR(__xludf.DUMMYFUNCTION("GOOGLETRANSLATE(B4523,""en"",""ja"")"),"節約")</f>
        <v>節約</v>
      </c>
    </row>
    <row r="4480" spans="1:3" ht="18" customHeight="1" x14ac:dyDescent="0.3">
      <c r="A4480" s="1">
        <v>6</v>
      </c>
      <c r="B4480" s="1" t="s">
        <v>3660</v>
      </c>
      <c r="C4480" s="1" t="str">
        <f ca="1">IFERROR(__xludf.DUMMYFUNCTION("GOOGLETRANSLATE(B4524,""en"",""ja"")"),"この結果")</f>
        <v>この結果</v>
      </c>
    </row>
    <row r="4481" spans="1:3" ht="18" customHeight="1" x14ac:dyDescent="0.3">
      <c r="A4481" s="1">
        <v>6</v>
      </c>
      <c r="B4481" s="1" t="s">
        <v>1990</v>
      </c>
      <c r="C4481" s="1" t="str">
        <f ca="1">IFERROR(__xludf.DUMMYFUNCTION("GOOGLETRANSLATE(B4525,""en"",""ja"")"),"結果")</f>
        <v>結果</v>
      </c>
    </row>
    <row r="4482" spans="1:3" ht="18" customHeight="1" x14ac:dyDescent="0.3">
      <c r="A4482" s="1">
        <v>6</v>
      </c>
      <c r="B4482" s="1" t="s">
        <v>3661</v>
      </c>
      <c r="C4482" s="1" t="str">
        <f ca="1">IFERROR(__xludf.DUMMYFUNCTION("GOOGLETRANSLATE(B4526,""en"",""ja"")"),"意識して")</f>
        <v>意識して</v>
      </c>
    </row>
    <row r="4483" spans="1:3" ht="18" customHeight="1" x14ac:dyDescent="0.3">
      <c r="A4483" s="1">
        <v>6</v>
      </c>
      <c r="B4483" s="1" t="s">
        <v>3662</v>
      </c>
      <c r="C4483" s="1" t="str">
        <f ca="1">IFERROR(__xludf.DUMMYFUNCTION("GOOGLETRANSLATE(B4527,""en"",""ja"")"),"競合")</f>
        <v>競合</v>
      </c>
    </row>
    <row r="4484" spans="1:3" ht="18" customHeight="1" x14ac:dyDescent="0.3">
      <c r="A4484" s="1">
        <v>6</v>
      </c>
      <c r="B4484" s="1" t="s">
        <v>3663</v>
      </c>
      <c r="C4484" s="1" t="str">
        <f ca="1">IFERROR(__xludf.DUMMYFUNCTION("GOOGLETRANSLATE(B4528,""en"",""ja"")"),"取り上げます")</f>
        <v>取り上げます</v>
      </c>
    </row>
    <row r="4485" spans="1:3" ht="18" customHeight="1" x14ac:dyDescent="0.3">
      <c r="A4485" s="1">
        <v>6</v>
      </c>
      <c r="B4485" s="1" t="s">
        <v>3664</v>
      </c>
      <c r="C4485" s="1" t="str">
        <f ca="1">IFERROR(__xludf.DUMMYFUNCTION("GOOGLETRANSLATE(B4529,""en"",""ja"")"),"与える")</f>
        <v>与える</v>
      </c>
    </row>
    <row r="4486" spans="1:3" ht="18" customHeight="1" x14ac:dyDescent="0.3">
      <c r="A4486" s="1">
        <v>6</v>
      </c>
      <c r="B4486" s="1" t="s">
        <v>3665</v>
      </c>
      <c r="C4486" s="1" t="str">
        <f ca="1">IFERROR(__xludf.DUMMYFUNCTION("GOOGLETRANSLATE(B4530,""en"",""ja"")"),"同時に")</f>
        <v>同時に</v>
      </c>
    </row>
    <row r="4487" spans="1:3" ht="18" customHeight="1" x14ac:dyDescent="0.3">
      <c r="A4487" s="1">
        <v>6</v>
      </c>
      <c r="B4487" s="1" t="s">
        <v>3666</v>
      </c>
      <c r="C4487" s="1" t="str">
        <f ca="1">IFERROR(__xludf.DUMMYFUNCTION("GOOGLETRANSLATE(B4531,""en"",""ja"")"),"結論")</f>
        <v>結論</v>
      </c>
    </row>
    <row r="4488" spans="1:3" ht="18" customHeight="1" x14ac:dyDescent="0.3">
      <c r="A4488" s="1">
        <v>6</v>
      </c>
      <c r="B4488" s="1" t="s">
        <v>3667</v>
      </c>
      <c r="C4488" s="1" t="str">
        <f ca="1">IFERROR(__xludf.DUMMYFUNCTION("GOOGLETRANSLATE(B4532,""en"",""ja"")"),"隠蔽")</f>
        <v>隠蔽</v>
      </c>
    </row>
    <row r="4489" spans="1:3" ht="18" customHeight="1" x14ac:dyDescent="0.3">
      <c r="A4489" s="1">
        <v>6</v>
      </c>
      <c r="B4489" s="1" t="s">
        <v>3668</v>
      </c>
      <c r="C4489" s="1" t="str">
        <f ca="1">IFERROR(__xludf.DUMMYFUNCTION("GOOGLETRANSLATE(B4533,""en"",""ja"")"),"コンピューティング")</f>
        <v>コンピューティング</v>
      </c>
    </row>
    <row r="4490" spans="1:3" ht="18" customHeight="1" x14ac:dyDescent="0.3">
      <c r="A4490" s="1">
        <v>6</v>
      </c>
      <c r="B4490" s="1" t="s">
        <v>3669</v>
      </c>
      <c r="C4490" s="1" t="str">
        <f ca="1">IFERROR(__xludf.DUMMYFUNCTION("GOOGLETRANSLATE(B4534,""en"",""ja"")"),"強制")</f>
        <v>強制</v>
      </c>
    </row>
    <row r="4491" spans="1:3" ht="18" customHeight="1" x14ac:dyDescent="0.3">
      <c r="A4491" s="1">
        <v>6</v>
      </c>
      <c r="B4491" s="1" t="s">
        <v>3670</v>
      </c>
      <c r="C4491" s="1" t="str">
        <f ca="1">IFERROR(__xludf.DUMMYFUNCTION("GOOGLETRANSLATE(B4535,""en"",""ja"")"),"合併症")</f>
        <v>合併症</v>
      </c>
    </row>
    <row r="4492" spans="1:3" ht="18" customHeight="1" x14ac:dyDescent="0.3">
      <c r="A4492" s="1">
        <v>6</v>
      </c>
      <c r="B4492" s="1" t="s">
        <v>3671</v>
      </c>
      <c r="C4492" s="1" t="str">
        <f ca="1">IFERROR(__xludf.DUMMYFUNCTION("GOOGLETRANSLATE(B4536,""en"",""ja"")"),"コンピテンシー")</f>
        <v>コンピテンシー</v>
      </c>
    </row>
    <row r="4493" spans="1:3" ht="18" customHeight="1" x14ac:dyDescent="0.3">
      <c r="A4493" s="1">
        <v>6</v>
      </c>
      <c r="B4493" s="1" t="s">
        <v>3672</v>
      </c>
      <c r="C4493" s="1" t="str">
        <f ca="1">IFERROR(__xludf.DUMMYFUNCTION("GOOGLETRANSLATE(B4537,""en"",""ja"")"),"コンピテンシー")</f>
        <v>コンピテンシー</v>
      </c>
    </row>
    <row r="4494" spans="1:3" ht="18" customHeight="1" x14ac:dyDescent="0.3">
      <c r="A4494" s="1">
        <v>6</v>
      </c>
      <c r="B4494" s="1" t="s">
        <v>3673</v>
      </c>
      <c r="C4494" s="1" t="str">
        <f ca="1">IFERROR(__xludf.DUMMYFUNCTION("GOOGLETRANSLATE(B4538,""en"",""ja"")"),"補います")</f>
        <v>補います</v>
      </c>
    </row>
    <row r="4495" spans="1:3" ht="18" customHeight="1" x14ac:dyDescent="0.3">
      <c r="A4495" s="1">
        <v>6</v>
      </c>
      <c r="B4495" s="1" t="s">
        <v>3674</v>
      </c>
      <c r="C4495" s="1" t="str">
        <f ca="1">IFERROR(__xludf.DUMMYFUNCTION("GOOGLETRANSLATE(B4539,""en"",""ja"")"),"共産主義者")</f>
        <v>共産主義者</v>
      </c>
    </row>
    <row r="4496" spans="1:3" ht="18" customHeight="1" x14ac:dyDescent="0.3">
      <c r="A4496" s="1">
        <v>6</v>
      </c>
      <c r="B4496" s="1" t="s">
        <v>3675</v>
      </c>
      <c r="C4496" s="1" t="str">
        <f ca="1">IFERROR(__xludf.DUMMYFUNCTION("GOOGLETRANSLATE(B4540,""en"",""ja"")"),"ふさわしいです")</f>
        <v>ふさわしいです</v>
      </c>
    </row>
    <row r="4497" spans="1:3" ht="18" customHeight="1" x14ac:dyDescent="0.3">
      <c r="A4497" s="1">
        <v>6</v>
      </c>
      <c r="B4497" s="1" t="s">
        <v>185</v>
      </c>
      <c r="C4497" s="1" t="str">
        <f ca="1">IFERROR(__xludf.DUMMYFUNCTION("GOOGLETRANSLATE(B4541,""en"",""ja"")"),"来ます")</f>
        <v>来ます</v>
      </c>
    </row>
    <row r="4498" spans="1:3" ht="18" customHeight="1" x14ac:dyDescent="0.3">
      <c r="A4498" s="1">
        <v>6</v>
      </c>
      <c r="B4498" s="1" t="s">
        <v>1386</v>
      </c>
      <c r="C4498" s="1" t="str">
        <f ca="1">IFERROR(__xludf.DUMMYFUNCTION("GOOGLETRANSLATE(B4542,""en"",""ja"")"),"色")</f>
        <v>色</v>
      </c>
    </row>
    <row r="4499" spans="1:3" ht="18" customHeight="1" x14ac:dyDescent="0.3">
      <c r="A4499" s="1">
        <v>6</v>
      </c>
      <c r="B4499" s="1" t="s">
        <v>3676</v>
      </c>
      <c r="C4499" s="1" t="str">
        <f ca="1">IFERROR(__xludf.DUMMYFUNCTION("GOOGLETRANSLATE(B4543,""en"",""ja"")"),"集産")</f>
        <v>集産</v>
      </c>
    </row>
    <row r="4500" spans="1:3" ht="18" customHeight="1" x14ac:dyDescent="0.3">
      <c r="A4500" s="1">
        <v>6</v>
      </c>
      <c r="B4500" s="1" t="s">
        <v>3677</v>
      </c>
      <c r="C4500" s="1" t="str">
        <f ca="1">IFERROR(__xludf.DUMMYFUNCTION("GOOGLETRANSLATE(B4544,""en"",""ja"")"),"副次的に")</f>
        <v>副次的に</v>
      </c>
    </row>
    <row r="4501" spans="1:3" ht="18" customHeight="1" x14ac:dyDescent="0.3">
      <c r="A4501" s="1">
        <v>6</v>
      </c>
      <c r="B4501" s="1" t="s">
        <v>3678</v>
      </c>
      <c r="C4501" s="1" t="str">
        <f ca="1">IFERROR(__xludf.DUMMYFUNCTION("GOOGLETRANSLATE(B4545,""en"",""ja"")"),"襟")</f>
        <v>襟</v>
      </c>
    </row>
    <row r="4502" spans="1:3" ht="18" customHeight="1" x14ac:dyDescent="0.3">
      <c r="A4502" s="1">
        <v>6</v>
      </c>
      <c r="B4502" s="1" t="s">
        <v>3679</v>
      </c>
      <c r="C4502" s="1" t="str">
        <f ca="1">IFERROR(__xludf.DUMMYFUNCTION("GOOGLETRANSLATE(B4546,""en"",""ja"")"),"認識")</f>
        <v>認識</v>
      </c>
    </row>
    <row r="4503" spans="1:3" ht="18" customHeight="1" x14ac:dyDescent="0.3">
      <c r="A4503" s="1">
        <v>6</v>
      </c>
      <c r="B4503" s="1" t="s">
        <v>3680</v>
      </c>
      <c r="C4503" s="1" t="str">
        <f ca="1">IFERROR(__xludf.DUMMYFUNCTION("GOOGLETRANSLATE(B4547,""en"",""ja"")"),"雲")</f>
        <v>雲</v>
      </c>
    </row>
    <row r="4504" spans="1:3" ht="18" customHeight="1" x14ac:dyDescent="0.3">
      <c r="A4504" s="1">
        <v>6</v>
      </c>
      <c r="B4504" s="1" t="s">
        <v>783</v>
      </c>
      <c r="C4504" s="1" t="str">
        <f ca="1">IFERROR(__xludf.DUMMYFUNCTION("GOOGLETRANSLATE(B4548,""en"",""ja"")"),"気候")</f>
        <v>気候</v>
      </c>
    </row>
    <row r="4505" spans="1:3" ht="18" customHeight="1" x14ac:dyDescent="0.3">
      <c r="A4505" s="1">
        <v>6</v>
      </c>
      <c r="B4505" s="1" t="s">
        <v>3681</v>
      </c>
      <c r="C4505" s="1" t="str">
        <f ca="1">IFERROR(__xludf.DUMMYFUNCTION("GOOGLETRANSLATE(B4549,""en"",""ja"")"),"クリア")</f>
        <v>クリア</v>
      </c>
    </row>
    <row r="4506" spans="1:3" ht="18" customHeight="1" x14ac:dyDescent="0.3">
      <c r="A4506" s="1">
        <v>6</v>
      </c>
      <c r="B4506" s="1" t="s">
        <v>2455</v>
      </c>
      <c r="C4506" s="1" t="str">
        <f ca="1">IFERROR(__xludf.DUMMYFUNCTION("GOOGLETRANSLATE(B4550,""en"",""ja"")"),"教室")</f>
        <v>教室</v>
      </c>
    </row>
    <row r="4507" spans="1:3" ht="18" customHeight="1" x14ac:dyDescent="0.3">
      <c r="A4507" s="1">
        <v>6</v>
      </c>
      <c r="B4507" s="1" t="s">
        <v>3682</v>
      </c>
      <c r="C4507" s="1" t="str">
        <f ca="1">IFERROR(__xludf.DUMMYFUNCTION("GOOGLETRANSLATE(B4551,""en"",""ja"")"),"分類")</f>
        <v>分類</v>
      </c>
    </row>
    <row r="4508" spans="1:3" ht="18" customHeight="1" x14ac:dyDescent="0.3">
      <c r="A4508" s="1">
        <v>6</v>
      </c>
      <c r="B4508" s="1" t="s">
        <v>3683</v>
      </c>
      <c r="C4508" s="1" t="str">
        <f ca="1">IFERROR(__xludf.DUMMYFUNCTION("GOOGLETRANSLATE(B4552,""en"",""ja"")"),"主張")</f>
        <v>主張</v>
      </c>
    </row>
    <row r="4509" spans="1:3" ht="18" customHeight="1" x14ac:dyDescent="0.3">
      <c r="A4509" s="1">
        <v>6</v>
      </c>
      <c r="B4509" s="1" t="s">
        <v>2219</v>
      </c>
      <c r="C4509" s="1" t="str">
        <f ca="1">IFERROR(__xludf.DUMMYFUNCTION("GOOGLETRANSLATE(B4553,""en"",""ja"")"),"チャーチル")</f>
        <v>チャーチル</v>
      </c>
    </row>
    <row r="4510" spans="1:3" ht="18" customHeight="1" x14ac:dyDescent="0.3">
      <c r="A4510" s="1">
        <v>6</v>
      </c>
      <c r="B4510" s="1" t="s">
        <v>3684</v>
      </c>
      <c r="C4510" s="1" t="str">
        <f ca="1">IFERROR(__xludf.DUMMYFUNCTION("GOOGLETRANSLATE(B4554,""en"",""ja"")"),"chiefdoms")</f>
        <v>chiefdoms</v>
      </c>
    </row>
    <row r="4511" spans="1:3" ht="18" customHeight="1" x14ac:dyDescent="0.3">
      <c r="A4511" s="1">
        <v>6</v>
      </c>
      <c r="B4511" s="1" t="s">
        <v>3685</v>
      </c>
      <c r="C4511" s="1" t="str">
        <f ca="1">IFERROR(__xludf.DUMMYFUNCTION("GOOGLETRANSLATE(B4555,""en"",""ja"")"),"チェック")</f>
        <v>チェック</v>
      </c>
    </row>
    <row r="4512" spans="1:3" ht="18" customHeight="1" x14ac:dyDescent="0.3">
      <c r="A4512" s="1">
        <v>6</v>
      </c>
      <c r="B4512" s="1" t="s">
        <v>2460</v>
      </c>
      <c r="C4512" s="1" t="str">
        <f ca="1">IFERROR(__xludf.DUMMYFUNCTION("GOOGLETRANSLATE(B4556,""en"",""ja"")"),"機会")</f>
        <v>機会</v>
      </c>
    </row>
    <row r="4513" spans="1:3" ht="18" customHeight="1" x14ac:dyDescent="0.3">
      <c r="A4513" s="1">
        <v>6</v>
      </c>
      <c r="B4513" s="1" t="s">
        <v>3686</v>
      </c>
      <c r="C4513" s="1" t="str">
        <f ca="1">IFERROR(__xludf.DUMMYFUNCTION("GOOGLETRANSLATE(B4557,""en"",""ja"")"),"挑戦")</f>
        <v>挑戦</v>
      </c>
    </row>
    <row r="4514" spans="1:3" ht="18" customHeight="1" x14ac:dyDescent="0.3">
      <c r="A4514" s="1">
        <v>6</v>
      </c>
      <c r="B4514" s="1" t="s">
        <v>1998</v>
      </c>
      <c r="C4514" s="1" t="str">
        <f ca="1">IFERROR(__xludf.DUMMYFUNCTION("GOOGLETRANSLATE(B4558,""en"",""ja"")"),"鎖")</f>
        <v>鎖</v>
      </c>
    </row>
    <row r="4515" spans="1:3" ht="18" customHeight="1" x14ac:dyDescent="0.3">
      <c r="A4515" s="1">
        <v>6</v>
      </c>
      <c r="B4515" s="1" t="s">
        <v>3687</v>
      </c>
      <c r="C4515" s="1" t="str">
        <f ca="1">IFERROR(__xludf.DUMMYFUNCTION("GOOGLETRANSLATE(B4559,""en"",""ja"")"),"一元化")</f>
        <v>一元化</v>
      </c>
    </row>
    <row r="4516" spans="1:3" ht="18" customHeight="1" x14ac:dyDescent="0.3">
      <c r="A4516" s="1">
        <v>6</v>
      </c>
      <c r="B4516" s="1" t="s">
        <v>3688</v>
      </c>
      <c r="C4516" s="1" t="str">
        <f ca="1">IFERROR(__xludf.DUMMYFUNCTION("GOOGLETRANSLATE(B4560,""en"",""ja"")"),"センサス")</f>
        <v>センサス</v>
      </c>
    </row>
    <row r="4517" spans="1:3" ht="18" customHeight="1" x14ac:dyDescent="0.3">
      <c r="A4517" s="1">
        <v>6</v>
      </c>
      <c r="B4517" s="1" t="s">
        <v>3689</v>
      </c>
      <c r="C4517" s="1" t="str">
        <f ca="1">IFERROR(__xludf.DUMMYFUNCTION("GOOGLETRANSLATE(B4561,""en"",""ja"")"),"慎重に")</f>
        <v>慎重に</v>
      </c>
    </row>
    <row r="4518" spans="1:3" ht="18" customHeight="1" x14ac:dyDescent="0.3">
      <c r="A4518" s="1">
        <v>6</v>
      </c>
      <c r="B4518" s="1" t="s">
        <v>3690</v>
      </c>
      <c r="C4518" s="1" t="str">
        <f ca="1">IFERROR(__xludf.DUMMYFUNCTION("GOOGLETRANSLATE(B4562,""en"",""ja"")"),"カソリック")</f>
        <v>カソリック</v>
      </c>
    </row>
    <row r="4519" spans="1:3" ht="18" customHeight="1" x14ac:dyDescent="0.3">
      <c r="A4519" s="1">
        <v>6</v>
      </c>
      <c r="B4519" s="1" t="s">
        <v>3691</v>
      </c>
      <c r="C4519" s="1" t="str">
        <f ca="1">IFERROR(__xludf.DUMMYFUNCTION("GOOGLETRANSLATE(B4563,""en"",""ja"")"),"キャサリン")</f>
        <v>キャサリン</v>
      </c>
    </row>
    <row r="4520" spans="1:3" ht="18" customHeight="1" x14ac:dyDescent="0.3">
      <c r="A4520" s="1">
        <v>6</v>
      </c>
      <c r="B4520" s="1" t="s">
        <v>3692</v>
      </c>
      <c r="C4520" s="1" t="str">
        <f ca="1">IFERROR(__xludf.DUMMYFUNCTION("GOOGLETRANSLATE(B4564,""en"",""ja"")"),"降伏")</f>
        <v>降伏</v>
      </c>
    </row>
    <row r="4521" spans="1:3" ht="18" customHeight="1" x14ac:dyDescent="0.3">
      <c r="A4521" s="1">
        <v>6</v>
      </c>
      <c r="B4521" s="1" t="s">
        <v>3693</v>
      </c>
      <c r="C4521" s="1" t="str">
        <f ca="1">IFERROR(__xludf.DUMMYFUNCTION("GOOGLETRANSLATE(B4565,""en"",""ja"")"),"資本家")</f>
        <v>資本家</v>
      </c>
    </row>
    <row r="4522" spans="1:3" ht="18" customHeight="1" x14ac:dyDescent="0.3">
      <c r="A4522" s="1">
        <v>6</v>
      </c>
      <c r="B4522" s="1" t="s">
        <v>3694</v>
      </c>
      <c r="C4522" s="1" t="str">
        <f ca="1">IFERROR(__xludf.DUMMYFUNCTION("GOOGLETRANSLATE(B4566,""en"",""ja"")"),"資本主義")</f>
        <v>資本主義</v>
      </c>
    </row>
    <row r="4523" spans="1:3" ht="18" customHeight="1" x14ac:dyDescent="0.3">
      <c r="A4523" s="1">
        <v>6</v>
      </c>
      <c r="B4523" s="1" t="s">
        <v>3695</v>
      </c>
      <c r="C4523" s="1" t="str">
        <f ca="1">IFERROR(__xludf.DUMMYFUNCTION("GOOGLETRANSLATE(B4567,""en"",""ja"")"),"できます")</f>
        <v>できます</v>
      </c>
    </row>
    <row r="4524" spans="1:3" ht="18" customHeight="1" x14ac:dyDescent="0.3">
      <c r="A4524" s="1">
        <v>6</v>
      </c>
      <c r="B4524" s="1" t="s">
        <v>3696</v>
      </c>
      <c r="C4524" s="1" t="str">
        <f ca="1">IFERROR(__xludf.DUMMYFUNCTION("GOOGLETRANSLATE(B4568,""en"",""ja"")"),"能力")</f>
        <v>能力</v>
      </c>
    </row>
    <row r="4525" spans="1:3" ht="18" customHeight="1" x14ac:dyDescent="0.3">
      <c r="A4525" s="1">
        <v>6</v>
      </c>
      <c r="B4525" s="1" t="s">
        <v>3697</v>
      </c>
      <c r="C4525" s="1" t="str">
        <f ca="1">IFERROR(__xludf.DUMMYFUNCTION("GOOGLETRANSLATE(B4569,""en"",""ja"")"),"カロリー")</f>
        <v>カロリー</v>
      </c>
    </row>
    <row r="4526" spans="1:3" ht="18" customHeight="1" x14ac:dyDescent="0.3">
      <c r="A4526" s="1">
        <v>6</v>
      </c>
      <c r="B4526" s="1" t="s">
        <v>3698</v>
      </c>
      <c r="C4526" s="1" t="str">
        <f ca="1">IFERROR(__xludf.DUMMYFUNCTION("GOOGLETRANSLATE(B4570,""en"",""ja"")"),"シーザー")</f>
        <v>シーザー</v>
      </c>
    </row>
    <row r="4527" spans="1:3" ht="18" customHeight="1" x14ac:dyDescent="0.3">
      <c r="A4527" s="1">
        <v>6</v>
      </c>
      <c r="B4527" s="1" t="s">
        <v>3699</v>
      </c>
      <c r="C4527" s="1" t="str">
        <f ca="1">IFERROR(__xludf.DUMMYFUNCTION("GOOGLETRANSLATE(B4571,""en"",""ja"")"),"C02")</f>
        <v>C02</v>
      </c>
    </row>
    <row r="4528" spans="1:3" ht="18" customHeight="1" x14ac:dyDescent="0.3">
      <c r="A4528" s="1">
        <v>6</v>
      </c>
      <c r="B4528" s="1" t="s">
        <v>3700</v>
      </c>
      <c r="C4528" s="1" t="str">
        <f ca="1">IFERROR(__xludf.DUMMYFUNCTION("GOOGLETRANSLATE(B4572,""en"",""ja"")"),"官僚")</f>
        <v>官僚</v>
      </c>
    </row>
    <row r="4529" spans="1:3" ht="18" customHeight="1" x14ac:dyDescent="0.3">
      <c r="A4529" s="1">
        <v>6</v>
      </c>
      <c r="B4529" s="1" t="s">
        <v>2805</v>
      </c>
      <c r="C4529" s="1" t="str">
        <f ca="1">IFERROR(__xludf.DUMMYFUNCTION("GOOGLETRANSLATE(B4573,""en"",""ja"")"),"バグ")</f>
        <v>バグ</v>
      </c>
    </row>
    <row r="4530" spans="1:3" ht="18" customHeight="1" x14ac:dyDescent="0.3">
      <c r="A4530" s="1">
        <v>6</v>
      </c>
      <c r="B4530" s="1" t="s">
        <v>3701</v>
      </c>
      <c r="C4530" s="1" t="str">
        <f ca="1">IFERROR(__xludf.DUMMYFUNCTION("GOOGLETRANSLATE(B4574,""en"",""ja"")"),"明るい")</f>
        <v>明るい</v>
      </c>
    </row>
    <row r="4531" spans="1:3" ht="18" customHeight="1" x14ac:dyDescent="0.3">
      <c r="A4531" s="1">
        <v>6</v>
      </c>
      <c r="B4531" s="1" t="s">
        <v>3702</v>
      </c>
      <c r="C4531" s="1" t="str">
        <f ca="1">IFERROR(__xludf.DUMMYFUNCTION("GOOGLETRANSLATE(B4575,""en"",""ja"")"),"ブリーフ")</f>
        <v>ブリーフ</v>
      </c>
    </row>
    <row r="4532" spans="1:3" ht="18" customHeight="1" x14ac:dyDescent="0.3">
      <c r="A4532" s="1">
        <v>6</v>
      </c>
      <c r="B4532" s="1" t="s">
        <v>3703</v>
      </c>
      <c r="C4532" s="1" t="str">
        <f ca="1">IFERROR(__xludf.DUMMYFUNCTION("GOOGLETRANSLATE(B4576,""en"",""ja"")"),"乳")</f>
        <v>乳</v>
      </c>
    </row>
    <row r="4533" spans="1:3" ht="18" customHeight="1" x14ac:dyDescent="0.3">
      <c r="A4533" s="1">
        <v>6</v>
      </c>
      <c r="B4533" s="1" t="s">
        <v>3704</v>
      </c>
      <c r="C4533" s="1" t="str">
        <f ca="1">IFERROR(__xludf.DUMMYFUNCTION("GOOGLETRANSLATE(B4577,""en"",""ja"")"),"バーボン")</f>
        <v>バーボン</v>
      </c>
    </row>
    <row r="4534" spans="1:3" ht="18" customHeight="1" x14ac:dyDescent="0.3">
      <c r="A4534" s="1">
        <v>6</v>
      </c>
      <c r="B4534" s="1" t="s">
        <v>3705</v>
      </c>
      <c r="C4534" s="1" t="str">
        <f ca="1">IFERROR(__xludf.DUMMYFUNCTION("GOOGLETRANSLATE(B4578,""en"",""ja"")"),"退屈させる")</f>
        <v>退屈させる</v>
      </c>
    </row>
    <row r="4535" spans="1:3" ht="18" customHeight="1" x14ac:dyDescent="0.3">
      <c r="A4535" s="1">
        <v>6</v>
      </c>
      <c r="B4535" s="1" t="s">
        <v>3706</v>
      </c>
      <c r="C4535" s="1" t="str">
        <f ca="1">IFERROR(__xludf.DUMMYFUNCTION("GOOGLETRANSLATE(B4579,""en"",""ja"")"),"遺体")</f>
        <v>遺体</v>
      </c>
    </row>
    <row r="4536" spans="1:3" ht="18" customHeight="1" x14ac:dyDescent="0.3">
      <c r="A4536" s="1">
        <v>6</v>
      </c>
      <c r="B4536" s="1" t="s">
        <v>3707</v>
      </c>
      <c r="C4536" s="1" t="str">
        <f ca="1">IFERROR(__xludf.DUMMYFUNCTION("GOOGLETRANSLATE(B4580,""en"",""ja"")"),"青")</f>
        <v>青</v>
      </c>
    </row>
    <row r="4537" spans="1:3" ht="18" customHeight="1" x14ac:dyDescent="0.3">
      <c r="A4537" s="1">
        <v>6</v>
      </c>
      <c r="B4537" s="1" t="s">
        <v>3708</v>
      </c>
      <c r="C4537" s="1" t="str">
        <f ca="1">IFERROR(__xludf.DUMMYFUNCTION("GOOGLETRANSLATE(B4581,""en"",""ja"")"),"祝福")</f>
        <v>祝福</v>
      </c>
    </row>
    <row r="4538" spans="1:3" ht="18" customHeight="1" x14ac:dyDescent="0.3">
      <c r="A4538" s="1">
        <v>6</v>
      </c>
      <c r="B4538" s="1" t="s">
        <v>3709</v>
      </c>
      <c r="C4538" s="1" t="str">
        <f ca="1">IFERROR(__xludf.DUMMYFUNCTION("GOOGLETRANSLATE(B4582,""en"",""ja"")"),"ビット")</f>
        <v>ビット</v>
      </c>
    </row>
    <row r="4539" spans="1:3" ht="18" customHeight="1" x14ac:dyDescent="0.3">
      <c r="A4539" s="1">
        <v>6</v>
      </c>
      <c r="B4539" s="1" t="s">
        <v>3710</v>
      </c>
      <c r="C4539" s="1" t="str">
        <f ca="1">IFERROR(__xludf.DUMMYFUNCTION("GOOGLETRANSLATE(B4583,""en"",""ja"")"),"小鳥のさえずり")</f>
        <v>小鳥のさえずり</v>
      </c>
    </row>
    <row r="4540" spans="1:3" ht="18" customHeight="1" x14ac:dyDescent="0.3">
      <c r="A4540" s="1">
        <v>6</v>
      </c>
      <c r="B4540" s="1" t="s">
        <v>3711</v>
      </c>
      <c r="C4540" s="1" t="str">
        <f ca="1">IFERROR(__xludf.DUMMYFUNCTION("GOOGLETRANSLATE(B4584,""en"",""ja"")"),"生物学")</f>
        <v>生物学</v>
      </c>
    </row>
    <row r="4541" spans="1:3" ht="18" customHeight="1" x14ac:dyDescent="0.3">
      <c r="A4541" s="1">
        <v>6</v>
      </c>
      <c r="B4541" s="1" t="s">
        <v>3712</v>
      </c>
      <c r="C4541" s="1" t="str">
        <f ca="1">IFERROR(__xludf.DUMMYFUNCTION("GOOGLETRANSLATE(B4585,""en"",""ja"")"),"生物学者")</f>
        <v>生物学者</v>
      </c>
    </row>
    <row r="4542" spans="1:3" ht="18" customHeight="1" x14ac:dyDescent="0.3">
      <c r="A4542" s="1">
        <v>6</v>
      </c>
      <c r="B4542" s="1" t="s">
        <v>3713</v>
      </c>
      <c r="C4542" s="1" t="str">
        <f ca="1">IFERROR(__xludf.DUMMYFUNCTION("GOOGLETRANSLATE(B4586,""en"",""ja"")"),"ビーバー")</f>
        <v>ビーバー</v>
      </c>
    </row>
    <row r="4543" spans="1:3" ht="18" customHeight="1" x14ac:dyDescent="0.3">
      <c r="A4543" s="1">
        <v>6</v>
      </c>
      <c r="B4543" s="1" t="s">
        <v>3714</v>
      </c>
      <c r="C4543" s="1" t="str">
        <f ca="1">IFERROR(__xludf.DUMMYFUNCTION("GOOGLETRANSLATE(B4587,""en"",""ja"")"),"横")</f>
        <v>横</v>
      </c>
    </row>
    <row r="4544" spans="1:3" ht="18" customHeight="1" x14ac:dyDescent="0.3">
      <c r="A4544" s="1">
        <v>6</v>
      </c>
      <c r="B4544" s="1" t="s">
        <v>3715</v>
      </c>
      <c r="C4544" s="1" t="str">
        <f ca="1">IFERROR(__xludf.DUMMYFUNCTION("GOOGLETRANSLATE(B4588,""en"",""ja"")"),"ベンジャミン")</f>
        <v>ベンジャミン</v>
      </c>
    </row>
    <row r="4545" spans="1:3" ht="18" customHeight="1" x14ac:dyDescent="0.3">
      <c r="A4545" s="1">
        <v>6</v>
      </c>
      <c r="B4545" s="1" t="s">
        <v>3716</v>
      </c>
      <c r="C4545" s="1" t="str">
        <f ca="1">IFERROR(__xludf.DUMMYFUNCTION("GOOGLETRANSLATE(B4589,""en"",""ja"")"),"下に")</f>
        <v>下に</v>
      </c>
    </row>
    <row r="4546" spans="1:3" ht="18" customHeight="1" x14ac:dyDescent="0.3">
      <c r="A4546" s="1">
        <v>6</v>
      </c>
      <c r="B4546" s="1" t="s">
        <v>2813</v>
      </c>
      <c r="C4546" s="1" t="str">
        <f ca="1">IFERROR(__xludf.DUMMYFUNCTION("GOOGLETRANSLATE(B4590,""en"",""ja"")"),"属する")</f>
        <v>属する</v>
      </c>
    </row>
    <row r="4547" spans="1:3" ht="18" customHeight="1" x14ac:dyDescent="0.3">
      <c r="A4547" s="1">
        <v>6</v>
      </c>
      <c r="B4547" s="1" t="s">
        <v>3717</v>
      </c>
      <c r="C4547" s="1" t="str">
        <f ca="1">IFERROR(__xludf.DUMMYFUNCTION("GOOGLETRANSLATE(B4591,""en"",""ja"")"),"始まり")</f>
        <v>始まり</v>
      </c>
    </row>
    <row r="4548" spans="1:3" ht="18" customHeight="1" x14ac:dyDescent="0.3">
      <c r="A4548" s="1">
        <v>6</v>
      </c>
      <c r="B4548" s="1" t="s">
        <v>3718</v>
      </c>
      <c r="C4548" s="1" t="str">
        <f ca="1">IFERROR(__xludf.DUMMYFUNCTION("GOOGLETRANSLATE(B4592,""en"",""ja"")"),"綺麗な")</f>
        <v>綺麗な</v>
      </c>
    </row>
    <row r="4549" spans="1:3" ht="18" customHeight="1" x14ac:dyDescent="0.3">
      <c r="A4549" s="1">
        <v>6</v>
      </c>
      <c r="B4549" s="1" t="s">
        <v>3719</v>
      </c>
      <c r="C4549" s="1" t="str">
        <f ca="1">IFERROR(__xludf.DUMMYFUNCTION("GOOGLETRANSLATE(B4593,""en"",""ja"")"),"くま")</f>
        <v>くま</v>
      </c>
    </row>
    <row r="4550" spans="1:3" ht="18" customHeight="1" x14ac:dyDescent="0.3">
      <c r="A4550" s="1">
        <v>6</v>
      </c>
      <c r="B4550" s="1" t="s">
        <v>3720</v>
      </c>
      <c r="C4550" s="1" t="str">
        <f ca="1">IFERROR(__xludf.DUMMYFUNCTION("GOOGLETRANSLATE(B4594,""en"",""ja"")"),"かろうじて")</f>
        <v>かろうじて</v>
      </c>
    </row>
    <row r="4551" spans="1:3" ht="18" customHeight="1" x14ac:dyDescent="0.3">
      <c r="A4551" s="1">
        <v>6</v>
      </c>
      <c r="B4551" s="1" t="s">
        <v>3721</v>
      </c>
      <c r="C4551" s="1" t="str">
        <f ca="1">IFERROR(__xludf.DUMMYFUNCTION("GOOGLETRANSLATE(B4595,""en"",""ja"")"),"バンク")</f>
        <v>バンク</v>
      </c>
    </row>
    <row r="4552" spans="1:3" ht="18" customHeight="1" x14ac:dyDescent="0.3">
      <c r="A4552" s="1">
        <v>6</v>
      </c>
      <c r="B4552" s="1" t="s">
        <v>3722</v>
      </c>
      <c r="C4552" s="1" t="str">
        <f ca="1">IFERROR(__xludf.DUMMYFUNCTION("GOOGLETRANSLATE(B4596,""en"",""ja"")"),"バングラデシュ")</f>
        <v>バングラデシュ</v>
      </c>
    </row>
    <row r="4553" spans="1:3" ht="18" customHeight="1" x14ac:dyDescent="0.3">
      <c r="A4553" s="1">
        <v>6</v>
      </c>
      <c r="B4553" s="1" t="s">
        <v>3723</v>
      </c>
      <c r="C4553" s="1" t="str">
        <f ca="1">IFERROR(__xludf.DUMMYFUNCTION("GOOGLETRANSLATE(B4597,""en"",""ja"")"),"バンド")</f>
        <v>バンド</v>
      </c>
    </row>
    <row r="4554" spans="1:3" ht="18" customHeight="1" x14ac:dyDescent="0.3">
      <c r="A4554" s="1">
        <v>6</v>
      </c>
      <c r="B4554" s="1" t="s">
        <v>2227</v>
      </c>
      <c r="C4554" s="1" t="str">
        <f ca="1">IFERROR(__xludf.DUMMYFUNCTION("GOOGLETRANSLATE(B4598,""en"",""ja"")"),"残高")</f>
        <v>残高</v>
      </c>
    </row>
    <row r="4555" spans="1:3" ht="18" customHeight="1" x14ac:dyDescent="0.3">
      <c r="A4555" s="1">
        <v>6</v>
      </c>
      <c r="B4555" s="1" t="s">
        <v>975</v>
      </c>
      <c r="C4555" s="1" t="str">
        <f ca="1">IFERROR(__xludf.DUMMYFUNCTION("GOOGLETRANSLATE(B4599,""en"",""ja"")"),"悪い")</f>
        <v>悪い</v>
      </c>
    </row>
    <row r="4556" spans="1:3" ht="18" customHeight="1" x14ac:dyDescent="0.3">
      <c r="A4556" s="1">
        <v>6</v>
      </c>
      <c r="B4556" s="1" t="s">
        <v>2470</v>
      </c>
      <c r="C4556" s="1" t="str">
        <f ca="1">IFERROR(__xludf.DUMMYFUNCTION("GOOGLETRANSLATE(B4600,""en"",""ja"")"),"バックグラウンド")</f>
        <v>バックグラウンド</v>
      </c>
    </row>
    <row r="4557" spans="1:3" ht="18" customHeight="1" x14ac:dyDescent="0.3">
      <c r="A4557" s="1">
        <v>6</v>
      </c>
      <c r="B4557" s="1" t="s">
        <v>3724</v>
      </c>
      <c r="C4557" s="1" t="str">
        <f ca="1">IFERROR(__xludf.DUMMYFUNCTION("GOOGLETRANSLATE(B4601,""en"",""ja"")"),"軸索")</f>
        <v>軸索</v>
      </c>
    </row>
    <row r="4558" spans="1:3" ht="18" customHeight="1" x14ac:dyDescent="0.3">
      <c r="A4558" s="1">
        <v>6</v>
      </c>
      <c r="B4558" s="1" t="s">
        <v>3725</v>
      </c>
      <c r="C4558" s="1" t="str">
        <f ca="1">IFERROR(__xludf.DUMMYFUNCTION("GOOGLETRANSLATE(B4602,""en"",""ja"")"),"受賞")</f>
        <v>受賞</v>
      </c>
    </row>
    <row r="4559" spans="1:3" ht="18" customHeight="1" x14ac:dyDescent="0.3">
      <c r="A4559" s="1">
        <v>6</v>
      </c>
      <c r="B4559" s="1" t="s">
        <v>3726</v>
      </c>
      <c r="C4559" s="1" t="str">
        <f ca="1">IFERROR(__xludf.DUMMYFUNCTION("GOOGLETRANSLATE(B4603,""en"",""ja"")"),"覚醒")</f>
        <v>覚醒</v>
      </c>
    </row>
    <row r="4560" spans="1:3" ht="18" customHeight="1" x14ac:dyDescent="0.3">
      <c r="A4560" s="1">
        <v>6</v>
      </c>
      <c r="B4560" s="1" t="s">
        <v>637</v>
      </c>
      <c r="C4560" s="1" t="str">
        <f ca="1">IFERROR(__xludf.DUMMYFUNCTION("GOOGLETRANSLATE(B4604,""en"",""ja"")"),"避ける")</f>
        <v>避ける</v>
      </c>
    </row>
    <row r="4561" spans="1:3" ht="18" customHeight="1" x14ac:dyDescent="0.3">
      <c r="A4561" s="1">
        <v>6</v>
      </c>
      <c r="B4561" s="1" t="s">
        <v>3727</v>
      </c>
      <c r="C4561" s="1" t="str">
        <f ca="1">IFERROR(__xludf.DUMMYFUNCTION("GOOGLETRANSLATE(B4605,""en"",""ja"")"),"アベニュー")</f>
        <v>アベニュー</v>
      </c>
    </row>
    <row r="4562" spans="1:3" ht="18" customHeight="1" x14ac:dyDescent="0.3">
      <c r="A4562" s="1">
        <v>6</v>
      </c>
      <c r="B4562" s="1" t="s">
        <v>786</v>
      </c>
      <c r="C4562" s="1" t="str">
        <f ca="1">IFERROR(__xludf.DUMMYFUNCTION("GOOGLETRANSLATE(B4606,""en"",""ja"")"),"利用できます")</f>
        <v>利用できます</v>
      </c>
    </row>
    <row r="4563" spans="1:3" ht="18" customHeight="1" x14ac:dyDescent="0.3">
      <c r="A4563" s="1">
        <v>6</v>
      </c>
      <c r="B4563" s="1" t="s">
        <v>3728</v>
      </c>
      <c r="C4563" s="1" t="str">
        <f ca="1">IFERROR(__xludf.DUMMYFUNCTION("GOOGLETRANSLATE(B4607,""en"",""ja"")"),"可用性")</f>
        <v>可用性</v>
      </c>
    </row>
    <row r="4564" spans="1:3" ht="18" customHeight="1" x14ac:dyDescent="0.3">
      <c r="A4564" s="1">
        <v>6</v>
      </c>
      <c r="B4564" s="1" t="s">
        <v>3729</v>
      </c>
      <c r="C4564" s="1" t="str">
        <f ca="1">IFERROR(__xludf.DUMMYFUNCTION("GOOGLETRANSLATE(B4608,""en"",""ja"")"),"自動車")</f>
        <v>自動車</v>
      </c>
    </row>
    <row r="4565" spans="1:3" ht="18" customHeight="1" x14ac:dyDescent="0.3">
      <c r="A4565" s="1">
        <v>6</v>
      </c>
      <c r="B4565" s="1" t="s">
        <v>3730</v>
      </c>
      <c r="C4565" s="1" t="str">
        <f ca="1">IFERROR(__xludf.DUMMYFUNCTION("GOOGLETRANSLATE(B4609,""en"",""ja"")"),"自動的に")</f>
        <v>自動的に</v>
      </c>
    </row>
    <row r="4566" spans="1:3" ht="18" customHeight="1" x14ac:dyDescent="0.3">
      <c r="A4566" s="1">
        <v>6</v>
      </c>
      <c r="B4566" s="1" t="s">
        <v>3731</v>
      </c>
      <c r="C4566" s="1" t="str">
        <f ca="1">IFERROR(__xludf.DUMMYFUNCTION("GOOGLETRANSLATE(B4610,""en"",""ja"")"),"オースティン")</f>
        <v>オースティン</v>
      </c>
    </row>
    <row r="4567" spans="1:3" ht="18" customHeight="1" x14ac:dyDescent="0.3">
      <c r="A4567" s="1">
        <v>6</v>
      </c>
      <c r="B4567" s="1" t="s">
        <v>3732</v>
      </c>
      <c r="C4567" s="1" t="str">
        <f ca="1">IFERROR(__xludf.DUMMYFUNCTION("GOOGLETRANSLATE(B4611,""en"",""ja"")"),"属性")</f>
        <v>属性</v>
      </c>
    </row>
    <row r="4568" spans="1:3" ht="18" customHeight="1" x14ac:dyDescent="0.3">
      <c r="A4568" s="1">
        <v>6</v>
      </c>
      <c r="B4568" s="1" t="s">
        <v>2471</v>
      </c>
      <c r="C4568" s="1" t="str">
        <f ca="1">IFERROR(__xludf.DUMMYFUNCTION("GOOGLETRANSLATE(B4612,""en"",""ja"")"),"属性")</f>
        <v>属性</v>
      </c>
    </row>
    <row r="4569" spans="1:3" ht="18" customHeight="1" x14ac:dyDescent="0.3">
      <c r="A4569" s="1">
        <v>6</v>
      </c>
      <c r="B4569" s="1" t="s">
        <v>3733</v>
      </c>
      <c r="C4569" s="1" t="str">
        <f ca="1">IFERROR(__xludf.DUMMYFUNCTION("GOOGLETRANSLATE(B4613,""en"",""ja"")"),"出席した")</f>
        <v>出席した</v>
      </c>
    </row>
    <row r="4570" spans="1:3" ht="18" customHeight="1" x14ac:dyDescent="0.3">
      <c r="A4570" s="1">
        <v>6</v>
      </c>
      <c r="B4570" s="1" t="s">
        <v>537</v>
      </c>
      <c r="C4570" s="1" t="str">
        <f ca="1">IFERROR(__xludf.DUMMYFUNCTION("GOOGLETRANSLATE(B4614,""en"",""ja"")"),"試み")</f>
        <v>試み</v>
      </c>
    </row>
    <row r="4571" spans="1:3" ht="18" customHeight="1" x14ac:dyDescent="0.3">
      <c r="A4571" s="1">
        <v>6</v>
      </c>
      <c r="B4571" s="1" t="s">
        <v>3734</v>
      </c>
      <c r="C4571" s="1" t="str">
        <f ca="1">IFERROR(__xludf.DUMMYFUNCTION("GOOGLETRANSLATE(B4615,""en"",""ja"")"),"保証")</f>
        <v>保証</v>
      </c>
    </row>
    <row r="4572" spans="1:3" ht="18" customHeight="1" x14ac:dyDescent="0.3">
      <c r="A4572" s="1">
        <v>6</v>
      </c>
      <c r="B4572" s="1" t="s">
        <v>923</v>
      </c>
      <c r="C4572" s="1" t="str">
        <f ca="1">IFERROR(__xludf.DUMMYFUNCTION("GOOGLETRANSLATE(B4616,""en"",""ja"")"),"頼みます")</f>
        <v>頼みます</v>
      </c>
    </row>
    <row r="4573" spans="1:3" ht="18" customHeight="1" x14ac:dyDescent="0.3">
      <c r="A4573" s="1">
        <v>6</v>
      </c>
      <c r="B4573" s="1" t="s">
        <v>1715</v>
      </c>
      <c r="C4573" s="1" t="str">
        <f ca="1">IFERROR(__xludf.DUMMYFUNCTION("GOOGLETRANSLATE(B4617,""en"",""ja"")"),"アジア")</f>
        <v>アジア</v>
      </c>
    </row>
    <row r="4574" spans="1:3" ht="18" customHeight="1" x14ac:dyDescent="0.3">
      <c r="A4574" s="1">
        <v>6</v>
      </c>
      <c r="B4574" s="1" t="s">
        <v>3735</v>
      </c>
      <c r="C4574" s="1" t="str">
        <f ca="1">IFERROR(__xludf.DUMMYFUNCTION("GOOGLETRANSLATE(B4618,""en"",""ja"")"),"分節")</f>
        <v>分節</v>
      </c>
    </row>
    <row r="4575" spans="1:3" ht="18" customHeight="1" x14ac:dyDescent="0.3">
      <c r="A4575" s="1">
        <v>6</v>
      </c>
      <c r="B4575" s="1" t="s">
        <v>3736</v>
      </c>
      <c r="C4575" s="1" t="str">
        <f ca="1">IFERROR(__xludf.DUMMYFUNCTION("GOOGLETRANSLATE(B4619,""en"",""ja"")"),"段取り")</f>
        <v>段取り</v>
      </c>
    </row>
    <row r="4576" spans="1:3" ht="18" customHeight="1" x14ac:dyDescent="0.3">
      <c r="A4576" s="1">
        <v>6</v>
      </c>
      <c r="B4576" s="1" t="s">
        <v>3737</v>
      </c>
      <c r="C4576" s="1" t="str">
        <f ca="1">IFERROR(__xludf.DUMMYFUNCTION("GOOGLETRANSLATE(B4620,""en"",""ja"")"),"貴族の")</f>
        <v>貴族の</v>
      </c>
    </row>
    <row r="4577" spans="1:3" ht="18" customHeight="1" x14ac:dyDescent="0.3">
      <c r="A4577" s="1">
        <v>6</v>
      </c>
      <c r="B4577" s="1" t="s">
        <v>2008</v>
      </c>
      <c r="C4577" s="1" t="str">
        <f ca="1">IFERROR(__xludf.DUMMYFUNCTION("GOOGLETRANSLATE(B4621,""en"",""ja"")"),"生じます")</f>
        <v>生じます</v>
      </c>
    </row>
    <row r="4578" spans="1:3" ht="18" customHeight="1" x14ac:dyDescent="0.3">
      <c r="A4578" s="1">
        <v>6</v>
      </c>
      <c r="B4578" s="1" t="s">
        <v>3738</v>
      </c>
      <c r="C4578" s="1" t="str">
        <f ca="1">IFERROR(__xludf.DUMMYFUNCTION("GOOGLETRANSLATE(B4622,""en"",""ja"")"),"アルゼンチン")</f>
        <v>アルゼンチン</v>
      </c>
    </row>
    <row r="4579" spans="1:3" ht="18" customHeight="1" x14ac:dyDescent="0.3">
      <c r="A4579" s="1">
        <v>6</v>
      </c>
      <c r="B4579" s="1" t="s">
        <v>3739</v>
      </c>
      <c r="C4579" s="1" t="str">
        <f ca="1">IFERROR(__xludf.DUMMYFUNCTION("GOOGLETRANSLATE(B4623,""en"",""ja"")"),"アーク")</f>
        <v>アーク</v>
      </c>
    </row>
    <row r="4580" spans="1:3" ht="18" customHeight="1" x14ac:dyDescent="0.3">
      <c r="A4580" s="1">
        <v>6</v>
      </c>
      <c r="B4580" s="1" t="s">
        <v>3740</v>
      </c>
      <c r="C4580" s="1" t="str">
        <f ca="1">IFERROR(__xludf.DUMMYFUNCTION("GOOGLETRANSLATE(B4624,""en"",""ja"")"),"帯水層")</f>
        <v>帯水層</v>
      </c>
    </row>
    <row r="4581" spans="1:3" ht="18" customHeight="1" x14ac:dyDescent="0.3">
      <c r="A4581" s="1">
        <v>6</v>
      </c>
      <c r="B4581" s="1" t="s">
        <v>3741</v>
      </c>
      <c r="C4581" s="1" t="str">
        <f ca="1">IFERROR(__xludf.DUMMYFUNCTION("GOOGLETRANSLATE(B4625,""en"",""ja"")"),"約")</f>
        <v>約</v>
      </c>
    </row>
    <row r="4582" spans="1:3" ht="18" customHeight="1" x14ac:dyDescent="0.3">
      <c r="A4582" s="1">
        <v>6</v>
      </c>
      <c r="B4582" s="1" t="s">
        <v>3742</v>
      </c>
      <c r="C4582" s="1" t="str">
        <f ca="1">IFERROR(__xludf.DUMMYFUNCTION("GOOGLETRANSLATE(B4626,""en"",""ja"")"),"認めます")</f>
        <v>認めます</v>
      </c>
    </row>
    <row r="4583" spans="1:3" ht="18" customHeight="1" x14ac:dyDescent="0.3">
      <c r="A4583" s="1">
        <v>6</v>
      </c>
      <c r="B4583" s="1" t="s">
        <v>3743</v>
      </c>
      <c r="C4583" s="1" t="str">
        <f ca="1">IFERROR(__xludf.DUMMYFUNCTION("GOOGLETRANSLATE(B4627,""en"",""ja"")"),"充当")</f>
        <v>充当</v>
      </c>
    </row>
    <row r="4584" spans="1:3" ht="18" customHeight="1" x14ac:dyDescent="0.3">
      <c r="A4584" s="1">
        <v>6</v>
      </c>
      <c r="B4584" s="1" t="s">
        <v>3744</v>
      </c>
      <c r="C4584" s="1" t="str">
        <f ca="1">IFERROR(__xludf.DUMMYFUNCTION("GOOGLETRANSLATE(B4628,""en"",""ja"")"),"充当")</f>
        <v>充当</v>
      </c>
    </row>
    <row r="4585" spans="1:3" ht="18" customHeight="1" x14ac:dyDescent="0.3">
      <c r="A4585" s="1">
        <v>6</v>
      </c>
      <c r="B4585" s="1" t="s">
        <v>3745</v>
      </c>
      <c r="C4585" s="1" t="str">
        <f ca="1">IFERROR(__xludf.DUMMYFUNCTION("GOOGLETRANSLATE(B4629,""en"",""ja"")"),"適用されました")</f>
        <v>適用されました</v>
      </c>
    </row>
    <row r="4586" spans="1:3" ht="18" customHeight="1" x14ac:dyDescent="0.3">
      <c r="A4586" s="1">
        <v>6</v>
      </c>
      <c r="B4586" s="1" t="s">
        <v>3746</v>
      </c>
      <c r="C4586" s="1" t="str">
        <f ca="1">IFERROR(__xludf.DUMMYFUNCTION("GOOGLETRANSLATE(B4630,""en"",""ja"")"),"アプリケーション")</f>
        <v>アプリケーション</v>
      </c>
    </row>
    <row r="4587" spans="1:3" ht="18" customHeight="1" x14ac:dyDescent="0.3">
      <c r="A4587" s="1">
        <v>6</v>
      </c>
      <c r="B4587" s="1" t="s">
        <v>3747</v>
      </c>
      <c r="C4587" s="1" t="str">
        <f ca="1">IFERROR(__xludf.DUMMYFUNCTION("GOOGLETRANSLATE(B4631,""en"",""ja"")"),"なだめる")</f>
        <v>なだめる</v>
      </c>
    </row>
    <row r="4588" spans="1:3" ht="18" customHeight="1" x14ac:dyDescent="0.3">
      <c r="A4588" s="1">
        <v>6</v>
      </c>
      <c r="B4588" s="1" t="s">
        <v>1607</v>
      </c>
      <c r="C4588" s="1" t="str">
        <f ca="1">IFERROR(__xludf.DUMMYFUNCTION("GOOGLETRANSLATE(B4632,""en"",""ja"")"),"猿")</f>
        <v>猿</v>
      </c>
    </row>
    <row r="4589" spans="1:3" ht="18" customHeight="1" x14ac:dyDescent="0.3">
      <c r="A4589" s="1">
        <v>6</v>
      </c>
      <c r="B4589" s="1" t="s">
        <v>745</v>
      </c>
      <c r="C4589" s="1" t="str">
        <f ca="1">IFERROR(__xludf.DUMMYFUNCTION("GOOGLETRANSLATE(B4633,""en"",""ja"")"),"何でも")</f>
        <v>何でも</v>
      </c>
    </row>
    <row r="4590" spans="1:3" ht="18" customHeight="1" x14ac:dyDescent="0.3">
      <c r="A4590" s="1">
        <v>6</v>
      </c>
      <c r="B4590" s="1" t="s">
        <v>3748</v>
      </c>
      <c r="C4590" s="1" t="str">
        <f ca="1">IFERROR(__xludf.DUMMYFUNCTION("GOOGLETRANSLATE(B4634,""en"",""ja"")"),"誰でも")</f>
        <v>誰でも</v>
      </c>
    </row>
    <row r="4591" spans="1:3" ht="18" customHeight="1" x14ac:dyDescent="0.3">
      <c r="A4591" s="1">
        <v>6</v>
      </c>
      <c r="B4591" s="1" t="s">
        <v>3749</v>
      </c>
      <c r="C4591" s="1" t="str">
        <f ca="1">IFERROR(__xludf.DUMMYFUNCTION("GOOGLETRANSLATE(B4635,""en"",""ja"")"),"不安")</f>
        <v>不安</v>
      </c>
    </row>
    <row r="4592" spans="1:3" ht="18" customHeight="1" x14ac:dyDescent="0.3">
      <c r="A4592" s="1">
        <v>6</v>
      </c>
      <c r="B4592" s="1" t="s">
        <v>2822</v>
      </c>
      <c r="C4592" s="1" t="str">
        <f ca="1">IFERROR(__xludf.DUMMYFUNCTION("GOOGLETRANSLATE(B4636,""en"",""ja"")"),"人間中心主義")</f>
        <v>人間中心主義</v>
      </c>
    </row>
    <row r="4593" spans="1:3" ht="18" customHeight="1" x14ac:dyDescent="0.3">
      <c r="A4593" s="1">
        <v>6</v>
      </c>
      <c r="B4593" s="1" t="s">
        <v>3750</v>
      </c>
      <c r="C4593" s="1" t="str">
        <f ca="1">IFERROR(__xludf.DUMMYFUNCTION("GOOGLETRANSLATE(B4637,""en"",""ja"")"),"怒り")</f>
        <v>怒り</v>
      </c>
    </row>
    <row r="4594" spans="1:3" ht="18" customHeight="1" x14ac:dyDescent="0.3">
      <c r="A4594" s="1">
        <v>6</v>
      </c>
      <c r="B4594" s="1" t="s">
        <v>3751</v>
      </c>
      <c r="C4594" s="1" t="str">
        <f ca="1">IFERROR(__xludf.DUMMYFUNCTION("GOOGLETRANSLATE(B4638,""en"",""ja"")"),"アンデス")</f>
        <v>アンデス</v>
      </c>
    </row>
    <row r="4595" spans="1:3" ht="18" customHeight="1" x14ac:dyDescent="0.3">
      <c r="A4595" s="1">
        <v>6</v>
      </c>
      <c r="B4595" s="1" t="s">
        <v>3752</v>
      </c>
      <c r="C4595" s="1" t="str">
        <f ca="1">IFERROR(__xludf.DUMMYFUNCTION("GOOGLETRANSLATE(B4639,""en"",""ja"")"),"アンビバレント")</f>
        <v>アンビバレント</v>
      </c>
    </row>
    <row r="4596" spans="1:3" ht="18" customHeight="1" x14ac:dyDescent="0.3">
      <c r="A4596" s="1">
        <v>6</v>
      </c>
      <c r="B4596" s="1" t="s">
        <v>3753</v>
      </c>
      <c r="C4596" s="1" t="str">
        <f ca="1">IFERROR(__xludf.DUMMYFUNCTION("GOOGLETRANSLATE(B4640,""en"",""ja"")"),"野心")</f>
        <v>野心</v>
      </c>
    </row>
    <row r="4597" spans="1:3" ht="18" customHeight="1" x14ac:dyDescent="0.3">
      <c r="A4597" s="1">
        <v>6</v>
      </c>
      <c r="B4597" s="1" t="s">
        <v>3754</v>
      </c>
      <c r="C4597" s="1" t="str">
        <f ca="1">IFERROR(__xludf.DUMMYFUNCTION("GOOGLETRANSLATE(B4641,""en"",""ja"")"),"変更")</f>
        <v>変更</v>
      </c>
    </row>
    <row r="4598" spans="1:3" ht="18" customHeight="1" x14ac:dyDescent="0.3">
      <c r="A4598" s="1">
        <v>6</v>
      </c>
      <c r="B4598" s="1" t="s">
        <v>3146</v>
      </c>
      <c r="C4598" s="1" t="str">
        <f ca="1">IFERROR(__xludf.DUMMYFUNCTION("GOOGLETRANSLATE(B4642,""en"",""ja"")"),"ALTER")</f>
        <v>ALTER</v>
      </c>
    </row>
    <row r="4599" spans="1:3" ht="18" customHeight="1" x14ac:dyDescent="0.3">
      <c r="A4599" s="1">
        <v>6</v>
      </c>
      <c r="B4599" s="1" t="s">
        <v>3755</v>
      </c>
      <c r="C4599" s="1" t="str">
        <f ca="1">IFERROR(__xludf.DUMMYFUNCTION("GOOGLETRANSLATE(B4643,""en"",""ja"")"),"可能")</f>
        <v>可能</v>
      </c>
    </row>
    <row r="4600" spans="1:3" ht="18" customHeight="1" x14ac:dyDescent="0.3">
      <c r="A4600" s="1">
        <v>6</v>
      </c>
      <c r="B4600" s="1" t="s">
        <v>3756</v>
      </c>
      <c r="C4600" s="1" t="str">
        <f ca="1">IFERROR(__xludf.DUMMYFUNCTION("GOOGLETRANSLATE(B4644,""en"",""ja"")"),"同盟しました")</f>
        <v>同盟しました</v>
      </c>
    </row>
    <row r="4601" spans="1:3" ht="18" customHeight="1" x14ac:dyDescent="0.3">
      <c r="A4601" s="1">
        <v>6</v>
      </c>
      <c r="B4601" s="1" t="s">
        <v>3757</v>
      </c>
      <c r="C4601" s="1" t="str">
        <f ca="1">IFERROR(__xludf.DUMMYFUNCTION("GOOGLETRANSLATE(B4645,""en"",""ja"")"),"アレクサンダー")</f>
        <v>アレクサンダー</v>
      </c>
    </row>
    <row r="4602" spans="1:3" ht="18" customHeight="1" x14ac:dyDescent="0.3">
      <c r="A4602" s="1">
        <v>6</v>
      </c>
      <c r="B4602" s="1" t="s">
        <v>3758</v>
      </c>
      <c r="C4602" s="1" t="str">
        <f ca="1">IFERROR(__xludf.DUMMYFUNCTION("GOOGLETRANSLATE(B4646,""en"",""ja"")"),"AIDS")</f>
        <v>AIDS</v>
      </c>
    </row>
    <row r="4603" spans="1:3" ht="18" customHeight="1" x14ac:dyDescent="0.3">
      <c r="A4603" s="1">
        <v>6</v>
      </c>
      <c r="B4603" s="1" t="s">
        <v>3759</v>
      </c>
      <c r="C4603" s="1" t="str">
        <f ca="1">IFERROR(__xludf.DUMMYFUNCTION("GOOGLETRANSLATE(B4647,""en"",""ja"")"),"侵略")</f>
        <v>侵略</v>
      </c>
    </row>
    <row r="4604" spans="1:3" ht="18" customHeight="1" x14ac:dyDescent="0.3">
      <c r="A4604" s="1">
        <v>6</v>
      </c>
      <c r="B4604" s="1" t="s">
        <v>2011</v>
      </c>
      <c r="C4604" s="1" t="str">
        <f ca="1">IFERROR(__xludf.DUMMYFUNCTION("GOOGLETRANSLATE(B4648,""en"",""ja"")"),"豊かな")</f>
        <v>豊かな</v>
      </c>
    </row>
    <row r="4605" spans="1:3" ht="18" customHeight="1" x14ac:dyDescent="0.3">
      <c r="A4605" s="1">
        <v>6</v>
      </c>
      <c r="B4605" s="1" t="s">
        <v>3760</v>
      </c>
      <c r="C4605" s="1" t="str">
        <f ca="1">IFERROR(__xludf.DUMMYFUNCTION("GOOGLETRANSLATE(B4649,""en"",""ja"")"),"影響を受けます")</f>
        <v>影響を受けます</v>
      </c>
    </row>
    <row r="4606" spans="1:3" ht="18" customHeight="1" x14ac:dyDescent="0.3">
      <c r="A4606" s="1">
        <v>6</v>
      </c>
      <c r="B4606" s="1" t="s">
        <v>3761</v>
      </c>
      <c r="C4606" s="1" t="str">
        <f ca="1">IFERROR(__xludf.DUMMYFUNCTION("GOOGLETRANSLATE(B4650,""en"",""ja"")"),"賞賛")</f>
        <v>賞賛</v>
      </c>
    </row>
    <row r="4607" spans="1:3" ht="18" customHeight="1" x14ac:dyDescent="0.3">
      <c r="A4607" s="1">
        <v>6</v>
      </c>
      <c r="B4607" s="1" t="s">
        <v>3762</v>
      </c>
      <c r="C4607" s="1" t="str">
        <f ca="1">IFERROR(__xludf.DUMMYFUNCTION("GOOGLETRANSLATE(B4651,""en"",""ja"")"),"さらに")</f>
        <v>さらに</v>
      </c>
    </row>
    <row r="4608" spans="1:3" ht="18" customHeight="1" x14ac:dyDescent="0.3">
      <c r="A4608" s="1">
        <v>6</v>
      </c>
      <c r="B4608" s="1" t="s">
        <v>3763</v>
      </c>
      <c r="C4608" s="1" t="str">
        <f ca="1">IFERROR(__xludf.DUMMYFUNCTION("GOOGLETRANSLATE(B4652,""en"",""ja"")"),"取得")</f>
        <v>取得</v>
      </c>
    </row>
    <row r="4609" spans="1:3" ht="18" customHeight="1" x14ac:dyDescent="0.3">
      <c r="A4609" s="1">
        <v>6</v>
      </c>
      <c r="B4609" s="1" t="s">
        <v>3764</v>
      </c>
      <c r="C4609" s="1" t="str">
        <f ca="1">IFERROR(__xludf.DUMMYFUNCTION("GOOGLETRANSLATE(B4653,""en"",""ja"")"),"成果")</f>
        <v>成果</v>
      </c>
    </row>
    <row r="4610" spans="1:3" ht="18" customHeight="1" x14ac:dyDescent="0.3">
      <c r="A4610" s="1">
        <v>6</v>
      </c>
      <c r="B4610" s="1" t="s">
        <v>3151</v>
      </c>
      <c r="C4610" s="1" t="str">
        <f ca="1">IFERROR(__xludf.DUMMYFUNCTION("GOOGLETRANSLATE(B4654,""en"",""ja"")"),"累積")</f>
        <v>累積</v>
      </c>
    </row>
    <row r="4611" spans="1:3" ht="18" customHeight="1" x14ac:dyDescent="0.3">
      <c r="A4611" s="1">
        <v>6</v>
      </c>
      <c r="B4611" s="1" t="s">
        <v>3765</v>
      </c>
      <c r="C4611" s="1" t="str">
        <f ca="1">IFERROR(__xludf.DUMMYFUNCTION("GOOGLETRANSLATE(B4655,""en"",""ja"")"),"許容")</f>
        <v>許容</v>
      </c>
    </row>
    <row r="4612" spans="1:3" ht="18" customHeight="1" x14ac:dyDescent="0.3">
      <c r="A4612" s="1">
        <v>6</v>
      </c>
      <c r="B4612" s="1" t="s">
        <v>2833</v>
      </c>
      <c r="C4612" s="1" t="str">
        <f ca="1">IFERROR(__xludf.DUMMYFUNCTION("GOOGLETRANSLATE(B4656,""en"",""ja"")"),"早めます")</f>
        <v>早めます</v>
      </c>
    </row>
    <row r="4613" spans="1:3" ht="18" customHeight="1" x14ac:dyDescent="0.3">
      <c r="A4613" s="1">
        <v>6</v>
      </c>
      <c r="B4613" s="1" t="s">
        <v>3766</v>
      </c>
      <c r="C4613" s="1" t="str">
        <f ca="1">IFERROR(__xludf.DUMMYFUNCTION("GOOGLETRANSLATE(B4657,""en"",""ja"")"),"不合理")</f>
        <v>不合理</v>
      </c>
    </row>
    <row r="4614" spans="1:3" ht="18" customHeight="1" x14ac:dyDescent="0.3">
      <c r="A4614" s="1">
        <v>6</v>
      </c>
      <c r="B4614" s="1" t="s">
        <v>3767</v>
      </c>
      <c r="C4614" s="1" t="str">
        <f ca="1">IFERROR(__xludf.DUMMYFUNCTION("GOOGLETRANSLATE(B4658,""en"",""ja"")"),"概要")</f>
        <v>概要</v>
      </c>
    </row>
    <row r="4615" spans="1:3" ht="18" customHeight="1" x14ac:dyDescent="0.3">
      <c r="A4615" s="1">
        <v>6</v>
      </c>
      <c r="B4615" s="1" t="s">
        <v>3768</v>
      </c>
      <c r="C4615" s="1" t="str">
        <f ca="1">IFERROR(__xludf.DUMMYFUNCTION("GOOGLETRANSLATE(B4660,""en"",""ja"")"),"吸収")</f>
        <v>吸収</v>
      </c>
    </row>
    <row r="4616" spans="1:3" ht="18" customHeight="1" x14ac:dyDescent="0.3">
      <c r="A4616" s="1">
        <v>6</v>
      </c>
      <c r="B4616" s="1" t="s">
        <v>747</v>
      </c>
      <c r="C4616" s="1" t="str">
        <f ca="1">IFERROR(__xludf.DUMMYFUNCTION("GOOGLETRANSLATE(B4661,""en"",""ja"")"),"絶対の")</f>
        <v>絶対の</v>
      </c>
    </row>
    <row r="4617" spans="1:3" ht="18" customHeight="1" x14ac:dyDescent="0.3">
      <c r="A4617" s="1">
        <v>6</v>
      </c>
      <c r="B4617" s="1" t="s">
        <v>3769</v>
      </c>
      <c r="C4617" s="1" t="str">
        <f ca="1">IFERROR(__xludf.DUMMYFUNCTION("GOOGLETRANSLATE(B4662,""en"",""ja"")"),"棄却")</f>
        <v>棄却</v>
      </c>
    </row>
    <row r="4618" spans="1:3" ht="18" customHeight="1" x14ac:dyDescent="0.3">
      <c r="A4618" s="1">
        <v>5</v>
      </c>
      <c r="B4618" s="1" t="s">
        <v>3770</v>
      </c>
      <c r="C4618" s="1" t="str">
        <f ca="1">IFERROR(__xludf.DUMMYFUNCTION("GOOGLETRANSLATE(B4663,""en"",""ja"")"),"ジップ")</f>
        <v>ジップ</v>
      </c>
    </row>
    <row r="4619" spans="1:3" ht="18" customHeight="1" x14ac:dyDescent="0.3">
      <c r="A4619" s="1">
        <v>5</v>
      </c>
      <c r="B4619" s="1" t="s">
        <v>3771</v>
      </c>
      <c r="C4619" s="1" t="str">
        <f ca="1">IFERROR(__xludf.DUMMYFUNCTION("GOOGLETRANSLATE(B4664,""en"",""ja"")"),"ヨーク")</f>
        <v>ヨーク</v>
      </c>
    </row>
    <row r="4620" spans="1:3" ht="18" customHeight="1" x14ac:dyDescent="0.3">
      <c r="A4620" s="1">
        <v>5</v>
      </c>
      <c r="B4620" s="1" t="s">
        <v>3772</v>
      </c>
      <c r="C4620" s="1" t="str">
        <f ca="1">IFERROR(__xludf.DUMMYFUNCTION("GOOGLETRANSLATE(B4665,""en"",""ja"")"),"書きました")</f>
        <v>書きました</v>
      </c>
    </row>
    <row r="4621" spans="1:3" ht="18" customHeight="1" x14ac:dyDescent="0.3">
      <c r="A4621" s="1">
        <v>5</v>
      </c>
      <c r="B4621" s="1" t="s">
        <v>3773</v>
      </c>
      <c r="C4621" s="1" t="str">
        <f ca="1">IFERROR(__xludf.DUMMYFUNCTION("GOOGLETRANSLATE(B4666,""en"",""ja"")"),"書かれました")</f>
        <v>書かれました</v>
      </c>
    </row>
    <row r="4622" spans="1:3" ht="18" customHeight="1" x14ac:dyDescent="0.3">
      <c r="A4622" s="1">
        <v>5</v>
      </c>
      <c r="B4622" s="1" t="s">
        <v>55</v>
      </c>
      <c r="C4622" s="1" t="str">
        <f ca="1">IFERROR(__xludf.DUMMYFUNCTION("GOOGLETRANSLATE(B4667,""en"",""ja"")"),"でしょう")</f>
        <v>でしょう</v>
      </c>
    </row>
    <row r="4623" spans="1:3" ht="18" customHeight="1" x14ac:dyDescent="0.3">
      <c r="A4623" s="1">
        <v>5</v>
      </c>
      <c r="B4623" s="1" t="s">
        <v>1231</v>
      </c>
      <c r="C4623" s="1" t="str">
        <f ca="1">IFERROR(__xludf.DUMMYFUNCTION("GOOGLETRANSLATE(B4668,""en"",""ja"")"),"価値")</f>
        <v>価値</v>
      </c>
    </row>
    <row r="4624" spans="1:3" ht="18" customHeight="1" x14ac:dyDescent="0.3">
      <c r="A4624" s="1">
        <v>5</v>
      </c>
      <c r="B4624" s="1" t="s">
        <v>3774</v>
      </c>
      <c r="C4624" s="1" t="str">
        <f ca="1">IFERROR(__xludf.DUMMYFUNCTION("GOOGLETRANSLATE(B4669,""en"",""ja"")"),"最悪")</f>
        <v>最悪</v>
      </c>
    </row>
    <row r="4625" spans="1:3" ht="18" customHeight="1" x14ac:dyDescent="0.3">
      <c r="A4625" s="1">
        <v>5</v>
      </c>
      <c r="B4625" s="1" t="s">
        <v>3775</v>
      </c>
      <c r="C4625" s="1" t="str">
        <f ca="1">IFERROR(__xludf.DUMMYFUNCTION("GOOGLETRANSLATE(B4670,""en"",""ja"")"),"心配")</f>
        <v>心配</v>
      </c>
    </row>
    <row r="4626" spans="1:3" ht="18" customHeight="1" x14ac:dyDescent="0.3">
      <c r="A4626" s="1">
        <v>5</v>
      </c>
      <c r="B4626" s="1" t="s">
        <v>3776</v>
      </c>
      <c r="C4626" s="1" t="str">
        <f ca="1">IFERROR(__xludf.DUMMYFUNCTION("GOOGLETRANSLATE(B4671,""en"",""ja"")"),"職場")</f>
        <v>職場</v>
      </c>
    </row>
    <row r="4627" spans="1:3" ht="18" customHeight="1" x14ac:dyDescent="0.3">
      <c r="A4627" s="1">
        <v>5</v>
      </c>
      <c r="B4627" s="1" t="s">
        <v>3777</v>
      </c>
      <c r="C4627" s="1" t="str">
        <f ca="1">IFERROR(__xludf.DUMMYFUNCTION("GOOGLETRANSLATE(B4672,""en"",""ja"")"),"労働者")</f>
        <v>労働者</v>
      </c>
    </row>
    <row r="4628" spans="1:3" ht="18" customHeight="1" x14ac:dyDescent="0.3">
      <c r="A4628" s="1">
        <v>5</v>
      </c>
      <c r="B4628" s="1" t="s">
        <v>3778</v>
      </c>
      <c r="C4628" s="1" t="str">
        <f ca="1">IFERROR(__xludf.DUMMYFUNCTION("GOOGLETRANSLATE(B4673,""en"",""ja"")"),"白い")</f>
        <v>白い</v>
      </c>
    </row>
    <row r="4629" spans="1:3" ht="18" customHeight="1" x14ac:dyDescent="0.3">
      <c r="A4629" s="1">
        <v>5</v>
      </c>
      <c r="B4629" s="1" t="s">
        <v>3779</v>
      </c>
      <c r="C4629" s="1" t="str">
        <f ca="1">IFERROR(__xludf.DUMMYFUNCTION("GOOGLETRANSLATE(B4674,""en"",""ja"")"),"ようこそ")</f>
        <v>ようこそ</v>
      </c>
    </row>
    <row r="4630" spans="1:3" ht="18" customHeight="1" x14ac:dyDescent="0.3">
      <c r="A4630" s="1">
        <v>5</v>
      </c>
      <c r="B4630" s="1" t="s">
        <v>3780</v>
      </c>
      <c r="C4630" s="1" t="str">
        <f ca="1">IFERROR(__xludf.DUMMYFUNCTION("GOOGLETRANSLATE(B4675,""en"",""ja"")"),"週間")</f>
        <v>週間</v>
      </c>
    </row>
    <row r="4631" spans="1:3" ht="18" customHeight="1" x14ac:dyDescent="0.3">
      <c r="A4631" s="1">
        <v>5</v>
      </c>
      <c r="B4631" s="1" t="s">
        <v>2256</v>
      </c>
      <c r="C4631" s="1" t="str">
        <f ca="1">IFERROR(__xludf.DUMMYFUNCTION("GOOGLETRANSLATE(B4676,""en"",""ja"")"),"週間")</f>
        <v>週間</v>
      </c>
    </row>
    <row r="4632" spans="1:3" ht="18" customHeight="1" x14ac:dyDescent="0.3">
      <c r="A4632" s="1">
        <v>5</v>
      </c>
      <c r="B4632" s="1" t="s">
        <v>1159</v>
      </c>
      <c r="C4632" s="1" t="str">
        <f ca="1">IFERROR(__xludf.DUMMYFUNCTION("GOOGLETRANSLATE(B4677,""en"",""ja"")"),"波")</f>
        <v>波</v>
      </c>
    </row>
    <row r="4633" spans="1:3" ht="18" customHeight="1" x14ac:dyDescent="0.3">
      <c r="A4633" s="1">
        <v>5</v>
      </c>
      <c r="B4633" s="1" t="s">
        <v>3781</v>
      </c>
      <c r="C4633" s="1" t="str">
        <f ca="1">IFERROR(__xludf.DUMMYFUNCTION("GOOGLETRANSLATE(B4678,""en"",""ja"")"),"見て")</f>
        <v>見て</v>
      </c>
    </row>
    <row r="4634" spans="1:3" ht="18" customHeight="1" x14ac:dyDescent="0.3">
      <c r="A4634" s="1">
        <v>5</v>
      </c>
      <c r="B4634" s="1" t="s">
        <v>3782</v>
      </c>
      <c r="C4634" s="1" t="str">
        <f ca="1">IFERROR(__xludf.DUMMYFUNCTION("GOOGLETRANSLATE(B4679,""en"",""ja"")"),"勝利")</f>
        <v>勝利</v>
      </c>
    </row>
    <row r="4635" spans="1:3" ht="18" customHeight="1" x14ac:dyDescent="0.3">
      <c r="A4635" s="1">
        <v>5</v>
      </c>
      <c r="B4635" s="1" t="s">
        <v>3783</v>
      </c>
      <c r="C4635" s="1" t="str">
        <f ca="1">IFERROR(__xludf.DUMMYFUNCTION("GOOGLETRANSLATE(B4680,""en"",""ja"")"),"活気")</f>
        <v>活気</v>
      </c>
    </row>
    <row r="4636" spans="1:3" ht="18" customHeight="1" x14ac:dyDescent="0.3">
      <c r="A4636" s="1">
        <v>5</v>
      </c>
      <c r="B4636" s="1" t="s">
        <v>3784</v>
      </c>
      <c r="C4636" s="1" t="str">
        <f ca="1">IFERROR(__xludf.DUMMYFUNCTION("GOOGLETRANSLATE(B4681,""en"",""ja"")"),"ベテラン")</f>
        <v>ベテラン</v>
      </c>
    </row>
    <row r="4637" spans="1:3" ht="18" customHeight="1" x14ac:dyDescent="0.3">
      <c r="A4637" s="1">
        <v>5</v>
      </c>
      <c r="B4637" s="1" t="s">
        <v>3785</v>
      </c>
      <c r="C4637" s="1" t="str">
        <f ca="1">IFERROR(__xludf.DUMMYFUNCTION("GOOGLETRANSLATE(B4682,""en"",""ja"")"),"冒険")</f>
        <v>冒険</v>
      </c>
    </row>
    <row r="4638" spans="1:3" ht="18" customHeight="1" x14ac:dyDescent="0.3">
      <c r="A4638" s="1">
        <v>5</v>
      </c>
      <c r="B4638" s="1" t="s">
        <v>523</v>
      </c>
      <c r="C4638" s="1" t="str">
        <f ca="1">IFERROR(__xludf.DUMMYFUNCTION("GOOGLETRANSLATE(B4683,""en"",""ja"")"),"諸")</f>
        <v>諸</v>
      </c>
    </row>
    <row r="4639" spans="1:3" ht="18" customHeight="1" x14ac:dyDescent="0.3">
      <c r="A4639" s="1">
        <v>5</v>
      </c>
      <c r="B4639" s="1" t="s">
        <v>3786</v>
      </c>
      <c r="C4639" s="1" t="str">
        <f ca="1">IFERROR(__xludf.DUMMYFUNCTION("GOOGLETRANSLATE(B4684,""en"",""ja"")"),"バンクーバー")</f>
        <v>バンクーバー</v>
      </c>
    </row>
    <row r="4640" spans="1:3" ht="18" customHeight="1" x14ac:dyDescent="0.3">
      <c r="A4640" s="1">
        <v>5</v>
      </c>
      <c r="B4640" s="1" t="s">
        <v>3787</v>
      </c>
      <c r="C4640" s="1" t="str">
        <f ca="1">IFERROR(__xludf.DUMMYFUNCTION("GOOGLETRANSLATE(B4685,""en"",""ja"")"),"大切")</f>
        <v>大切</v>
      </c>
    </row>
    <row r="4641" spans="1:3" ht="18" customHeight="1" x14ac:dyDescent="0.3">
      <c r="A4641" s="1">
        <v>5</v>
      </c>
      <c r="B4641" s="1" t="s">
        <v>3788</v>
      </c>
      <c r="C4641" s="1" t="str">
        <f ca="1">IFERROR(__xludf.DUMMYFUNCTION("GOOGLETRANSLATE(B4686,""en"",""ja"")"),"しぶしぶ")</f>
        <v>しぶしぶ</v>
      </c>
    </row>
    <row r="4642" spans="1:3" ht="18" customHeight="1" x14ac:dyDescent="0.3">
      <c r="A4642" s="1">
        <v>5</v>
      </c>
      <c r="B4642" s="1" t="s">
        <v>3789</v>
      </c>
      <c r="C4642" s="1" t="str">
        <f ca="1">IFERROR(__xludf.DUMMYFUNCTION("GOOGLETRANSLATE(B4687,""en"",""ja"")"),"珍しいです")</f>
        <v>珍しいです</v>
      </c>
    </row>
    <row r="4643" spans="1:3" ht="18" customHeight="1" x14ac:dyDescent="0.3">
      <c r="A4643" s="1">
        <v>5</v>
      </c>
      <c r="B4643" s="1" t="s">
        <v>3790</v>
      </c>
      <c r="C4643" s="1" t="str">
        <f ca="1">IFERROR(__xludf.DUMMYFUNCTION("GOOGLETRANSLATE(B4688,""en"",""ja"")"),"単位")</f>
        <v>単位</v>
      </c>
    </row>
    <row r="4644" spans="1:3" ht="18" customHeight="1" x14ac:dyDescent="0.3">
      <c r="A4644" s="1">
        <v>5</v>
      </c>
      <c r="B4644" s="1" t="s">
        <v>3791</v>
      </c>
      <c r="C4644" s="1" t="str">
        <f ca="1">IFERROR(__xludf.DUMMYFUNCTION("GOOGLETRANSLATE(B4689,""en"",""ja"")"),"undreamed")</f>
        <v>undreamed</v>
      </c>
    </row>
    <row r="4645" spans="1:3" ht="18" customHeight="1" x14ac:dyDescent="0.3">
      <c r="A4645" s="1">
        <v>5</v>
      </c>
      <c r="B4645" s="1" t="s">
        <v>3792</v>
      </c>
      <c r="C4645" s="1" t="str">
        <f ca="1">IFERROR(__xludf.DUMMYFUNCTION("GOOGLETRANSLATE(B4690,""en"",""ja"")"),"きっと")</f>
        <v>きっと</v>
      </c>
    </row>
    <row r="4646" spans="1:3" ht="18" customHeight="1" x14ac:dyDescent="0.3">
      <c r="A4646" s="1">
        <v>5</v>
      </c>
      <c r="B4646" s="1" t="s">
        <v>3793</v>
      </c>
      <c r="C4646" s="1" t="str">
        <f ca="1">IFERROR(__xludf.DUMMYFUNCTION("GOOGLETRANSLATE(B4691,""en"",""ja"")"),"理解しやすいです")</f>
        <v>理解しやすいです</v>
      </c>
    </row>
    <row r="4647" spans="1:3" ht="18" customHeight="1" x14ac:dyDescent="0.3">
      <c r="A4647" s="1">
        <v>5</v>
      </c>
      <c r="B4647" s="1" t="s">
        <v>3794</v>
      </c>
      <c r="C4647" s="1" t="str">
        <f ca="1">IFERROR(__xludf.DUMMYFUNCTION("GOOGLETRANSLATE(B4692,""en"",""ja"")"),"弱体化")</f>
        <v>弱体化</v>
      </c>
    </row>
    <row r="4648" spans="1:3" ht="18" customHeight="1" x14ac:dyDescent="0.3">
      <c r="A4648" s="1">
        <v>5</v>
      </c>
      <c r="B4648" s="1" t="s">
        <v>3795</v>
      </c>
      <c r="C4648" s="1" t="str">
        <f ca="1">IFERROR(__xludf.DUMMYFUNCTION("GOOGLETRANSLATE(B4693,""en"",""ja"")"),"地下")</f>
        <v>地下</v>
      </c>
    </row>
    <row r="4649" spans="1:3" ht="18" customHeight="1" x14ac:dyDescent="0.3">
      <c r="A4649" s="1">
        <v>5</v>
      </c>
      <c r="B4649" s="1" t="s">
        <v>1502</v>
      </c>
      <c r="C4649" s="1" t="str">
        <f ca="1">IFERROR(__xludf.DUMMYFUNCTION("GOOGLETRANSLATE(B4694,""en"",""ja"")"),"経験します")</f>
        <v>経験します</v>
      </c>
    </row>
    <row r="4650" spans="1:3" ht="18" customHeight="1" x14ac:dyDescent="0.3">
      <c r="A4650" s="1">
        <v>5</v>
      </c>
      <c r="B4650" s="1" t="s">
        <v>3796</v>
      </c>
      <c r="C4650" s="1" t="str">
        <f ca="1">IFERROR(__xludf.DUMMYFUNCTION("GOOGLETRANSLATE(B4695,""en"",""ja"")"),"過小評価")</f>
        <v>過小評価</v>
      </c>
    </row>
    <row r="4651" spans="1:3" ht="18" customHeight="1" x14ac:dyDescent="0.3">
      <c r="A4651" s="1">
        <v>5</v>
      </c>
      <c r="B4651" s="1" t="s">
        <v>3797</v>
      </c>
      <c r="C4651" s="1" t="str">
        <f ca="1">IFERROR(__xludf.DUMMYFUNCTION("GOOGLETRANSLATE(B4696,""en"",""ja"")"),"制御されていません")</f>
        <v>制御されていません</v>
      </c>
    </row>
    <row r="4652" spans="1:3" ht="18" customHeight="1" x14ac:dyDescent="0.3">
      <c r="A4652" s="1">
        <v>5</v>
      </c>
      <c r="B4652" s="1" t="s">
        <v>3798</v>
      </c>
      <c r="C4652" s="1" t="str">
        <f ca="1">IFERROR(__xludf.DUMMYFUNCTION("GOOGLETRANSLATE(B4697,""en"",""ja"")"),"無意識")</f>
        <v>無意識</v>
      </c>
    </row>
    <row r="4653" spans="1:3" ht="18" customHeight="1" x14ac:dyDescent="0.3">
      <c r="A4653" s="1">
        <v>5</v>
      </c>
      <c r="B4653" s="1" t="s">
        <v>3799</v>
      </c>
      <c r="C4653" s="1" t="str">
        <f ca="1">IFERROR(__xludf.DUMMYFUNCTION("GOOGLETRANSLATE(B4698,""en"",""ja"")"),"不変")</f>
        <v>不変</v>
      </c>
    </row>
    <row r="4654" spans="1:3" ht="18" customHeight="1" x14ac:dyDescent="0.3">
      <c r="A4654" s="1">
        <v>5</v>
      </c>
      <c r="B4654" s="1" t="s">
        <v>3800</v>
      </c>
      <c r="C4654" s="1" t="str">
        <f ca="1">IFERROR(__xludf.DUMMYFUNCTION("GOOGLETRANSLATE(B4699,""en"",""ja"")"),"国連")</f>
        <v>国連</v>
      </c>
    </row>
    <row r="4655" spans="1:3" ht="18" customHeight="1" x14ac:dyDescent="0.3">
      <c r="A4655" s="1">
        <v>5</v>
      </c>
      <c r="B4655" s="1" t="s">
        <v>3801</v>
      </c>
      <c r="C4655" s="1" t="str">
        <f ca="1">IFERROR(__xludf.DUMMYFUNCTION("GOOGLETRANSLATE(B4700,""en"",""ja"")"),"遍在します")</f>
        <v>遍在します</v>
      </c>
    </row>
    <row r="4656" spans="1:3" ht="18" customHeight="1" x14ac:dyDescent="0.3">
      <c r="A4656" s="1">
        <v>5</v>
      </c>
      <c r="B4656" s="1" t="s">
        <v>3802</v>
      </c>
      <c r="C4656" s="1" t="str">
        <f ca="1">IFERROR(__xludf.DUMMYFUNCTION("GOOGLETRANSLATE(B4701,""en"",""ja"")"),"ぴくぴく動きます")</f>
        <v>ぴくぴく動きます</v>
      </c>
    </row>
    <row r="4657" spans="1:3" ht="18" customHeight="1" x14ac:dyDescent="0.3">
      <c r="A4657" s="1">
        <v>5</v>
      </c>
      <c r="B4657" s="1" t="s">
        <v>3185</v>
      </c>
      <c r="C4657" s="1" t="str">
        <f ca="1">IFERROR(__xludf.DUMMYFUNCTION("GOOGLETRANSLATE(B4702,""en"",""ja"")"),"曲")</f>
        <v>曲</v>
      </c>
    </row>
    <row r="4658" spans="1:3" ht="18" customHeight="1" x14ac:dyDescent="0.3">
      <c r="A4658" s="1">
        <v>5</v>
      </c>
      <c r="B4658" s="1" t="s">
        <v>3803</v>
      </c>
      <c r="C4658" s="1" t="str">
        <f ca="1">IFERROR(__xludf.DUMMYFUNCTION("GOOGLETRANSLATE(B4703,""en"",""ja"")"),"津波")</f>
        <v>津波</v>
      </c>
    </row>
    <row r="4659" spans="1:3" ht="18" customHeight="1" x14ac:dyDescent="0.3">
      <c r="A4659" s="1">
        <v>5</v>
      </c>
      <c r="B4659" s="1" t="s">
        <v>2853</v>
      </c>
      <c r="C4659" s="1" t="str">
        <f ca="1">IFERROR(__xludf.DUMMYFUNCTION("GOOGLETRANSLATE(B4704,""en"",""ja"")"),"トラブル")</f>
        <v>トラブル</v>
      </c>
    </row>
    <row r="4660" spans="1:3" ht="18" customHeight="1" x14ac:dyDescent="0.3">
      <c r="A4660" s="1">
        <v>5</v>
      </c>
      <c r="B4660" s="1" t="s">
        <v>3804</v>
      </c>
      <c r="C4660" s="1" t="str">
        <f ca="1">IFERROR(__xludf.DUMMYFUNCTION("GOOGLETRANSLATE(B4705,""en"",""ja"")"),"傾向")</f>
        <v>傾向</v>
      </c>
    </row>
    <row r="4661" spans="1:3" ht="18" customHeight="1" x14ac:dyDescent="0.3">
      <c r="A4661" s="1">
        <v>5</v>
      </c>
      <c r="B4661" s="1" t="s">
        <v>3805</v>
      </c>
      <c r="C4661" s="1" t="str">
        <f ca="1">IFERROR(__xludf.DUMMYFUNCTION("GOOGLETRANSLATE(B4706,""en"",""ja"")"),"治療")</f>
        <v>治療</v>
      </c>
    </row>
    <row r="4662" spans="1:3" ht="18" customHeight="1" x14ac:dyDescent="0.3">
      <c r="A4662" s="1">
        <v>5</v>
      </c>
      <c r="B4662" s="1" t="s">
        <v>3806</v>
      </c>
      <c r="C4662" s="1" t="str">
        <f ca="1">IFERROR(__xludf.DUMMYFUNCTION("GOOGLETRANSLATE(B4707,""en"",""ja"")"),"旅行")</f>
        <v>旅行</v>
      </c>
    </row>
    <row r="4663" spans="1:3" ht="18" customHeight="1" x14ac:dyDescent="0.3">
      <c r="A4663" s="1">
        <v>5</v>
      </c>
      <c r="B4663" s="1" t="s">
        <v>3807</v>
      </c>
      <c r="C4663" s="1" t="str">
        <f ca="1">IFERROR(__xludf.DUMMYFUNCTION("GOOGLETRANSLATE(B4708,""en"",""ja"")"),"旅行者")</f>
        <v>旅行者</v>
      </c>
    </row>
    <row r="4664" spans="1:3" ht="18" customHeight="1" x14ac:dyDescent="0.3">
      <c r="A4664" s="1">
        <v>5</v>
      </c>
      <c r="B4664" s="1" t="s">
        <v>3808</v>
      </c>
      <c r="C4664" s="1" t="str">
        <f ca="1">IFERROR(__xludf.DUMMYFUNCTION("GOOGLETRANSLATE(B4709,""en"",""ja"")"),"送信")</f>
        <v>送信</v>
      </c>
    </row>
    <row r="4665" spans="1:3" ht="18" customHeight="1" x14ac:dyDescent="0.3">
      <c r="A4665" s="1">
        <v>5</v>
      </c>
      <c r="B4665" s="1" t="s">
        <v>1736</v>
      </c>
      <c r="C4665" s="1" t="str">
        <f ca="1">IFERROR(__xludf.DUMMYFUNCTION("GOOGLETRANSLATE(B4710,""en"",""ja"")"),"変換")</f>
        <v>変換</v>
      </c>
    </row>
    <row r="4666" spans="1:3" ht="18" customHeight="1" x14ac:dyDescent="0.3">
      <c r="A4666" s="1">
        <v>5</v>
      </c>
      <c r="B4666" s="1" t="s">
        <v>3809</v>
      </c>
      <c r="C4666" s="1" t="str">
        <f ca="1">IFERROR(__xludf.DUMMYFUNCTION("GOOGLETRANSLATE(B4711,""en"",""ja"")"),"列車")</f>
        <v>列車</v>
      </c>
    </row>
    <row r="4667" spans="1:3" ht="18" customHeight="1" x14ac:dyDescent="0.3">
      <c r="A4667" s="1">
        <v>5</v>
      </c>
      <c r="B4667" s="1" t="s">
        <v>1235</v>
      </c>
      <c r="C4667" s="1" t="str">
        <f ca="1">IFERROR(__xludf.DUMMYFUNCTION("GOOGLETRANSLATE(B4712,""en"",""ja"")"),"トレード")</f>
        <v>トレード</v>
      </c>
    </row>
    <row r="4668" spans="1:3" ht="18" customHeight="1" x14ac:dyDescent="0.3">
      <c r="A4668" s="1">
        <v>5</v>
      </c>
      <c r="B4668" s="1" t="s">
        <v>3810</v>
      </c>
      <c r="C4668" s="1" t="str">
        <f ca="1">IFERROR(__xludf.DUMMYFUNCTION("GOOGLETRANSLATE(B4713,""en"",""ja"")"),"形跡")</f>
        <v>形跡</v>
      </c>
    </row>
    <row r="4669" spans="1:3" ht="18" customHeight="1" x14ac:dyDescent="0.3">
      <c r="A4669" s="1">
        <v>5</v>
      </c>
      <c r="B4669" s="1" t="s">
        <v>3811</v>
      </c>
      <c r="C4669" s="1" t="str">
        <f ca="1">IFERROR(__xludf.DUMMYFUNCTION("GOOGLETRANSLATE(B4714,""en"",""ja"")"),"毒性")</f>
        <v>毒性</v>
      </c>
    </row>
    <row r="4670" spans="1:3" ht="18" customHeight="1" x14ac:dyDescent="0.3">
      <c r="A4670" s="1">
        <v>5</v>
      </c>
      <c r="B4670" s="1" t="s">
        <v>3812</v>
      </c>
      <c r="C4670" s="1" t="str">
        <f ca="1">IFERROR(__xludf.DUMMYFUNCTION("GOOGLETRANSLATE(B4715,""en"",""ja"")"),"今日の")</f>
        <v>今日の</v>
      </c>
    </row>
    <row r="4671" spans="1:3" ht="18" customHeight="1" x14ac:dyDescent="0.3">
      <c r="A4671" s="1">
        <v>5</v>
      </c>
      <c r="B4671" s="1" t="s">
        <v>3813</v>
      </c>
      <c r="C4671" s="1" t="str">
        <f ca="1">IFERROR(__xludf.DUMMYFUNCTION("GOOGLETRANSLATE(B4716,""en"",""ja"")"),"タイトル")</f>
        <v>タイトル</v>
      </c>
    </row>
    <row r="4672" spans="1:3" ht="18" customHeight="1" x14ac:dyDescent="0.3">
      <c r="A4672" s="1">
        <v>5</v>
      </c>
      <c r="B4672" s="1" t="s">
        <v>3814</v>
      </c>
      <c r="C4672" s="1" t="str">
        <f ca="1">IFERROR(__xludf.DUMMYFUNCTION("GOOGLETRANSLATE(B4717,""en"",""ja"")"),"小さな")</f>
        <v>小さな</v>
      </c>
    </row>
    <row r="4673" spans="1:3" ht="18" customHeight="1" x14ac:dyDescent="0.3">
      <c r="A4673" s="1">
        <v>5</v>
      </c>
      <c r="B4673" s="1" t="s">
        <v>3815</v>
      </c>
      <c r="C4673" s="1" t="str">
        <f ca="1">IFERROR(__xludf.DUMMYFUNCTION("GOOGLETRANSLATE(B4718,""en"",""ja"")"),"整頓")</f>
        <v>整頓</v>
      </c>
    </row>
    <row r="4674" spans="1:3" ht="18" customHeight="1" x14ac:dyDescent="0.3">
      <c r="A4674" s="1">
        <v>5</v>
      </c>
      <c r="B4674" s="1" t="s">
        <v>3816</v>
      </c>
      <c r="C4674" s="1" t="str">
        <f ca="1">IFERROR(__xludf.DUMMYFUNCTION("GOOGLETRANSLATE(B4719,""en"",""ja"")"),"トーマス")</f>
        <v>トーマス</v>
      </c>
    </row>
    <row r="4675" spans="1:3" ht="18" customHeight="1" x14ac:dyDescent="0.3">
      <c r="A4675" s="1">
        <v>5</v>
      </c>
      <c r="B4675" s="1" t="s">
        <v>3817</v>
      </c>
      <c r="C4675" s="1" t="str">
        <f ca="1">IFERROR(__xludf.DUMMYFUNCTION("GOOGLETRANSLATE(B4720,""en"",""ja"")"),"テーマ")</f>
        <v>テーマ</v>
      </c>
    </row>
    <row r="4676" spans="1:3" ht="18" customHeight="1" x14ac:dyDescent="0.3">
      <c r="A4676" s="1">
        <v>5</v>
      </c>
      <c r="B4676" s="1" t="s">
        <v>3818</v>
      </c>
      <c r="C4676" s="1" t="str">
        <f ca="1">IFERROR(__xludf.DUMMYFUNCTION("GOOGLETRANSLATE(B4721,""en"",""ja"")"),"繊維")</f>
        <v>繊維</v>
      </c>
    </row>
    <row r="4677" spans="1:3" ht="18" customHeight="1" x14ac:dyDescent="0.3">
      <c r="A4677" s="1">
        <v>5</v>
      </c>
      <c r="B4677" s="1" t="s">
        <v>3819</v>
      </c>
      <c r="C4677" s="1" t="str">
        <f ca="1">IFERROR(__xludf.DUMMYFUNCTION("GOOGLETRANSLATE(B4722,""en"",""ja"")"),"ティーンエイジャー")</f>
        <v>ティーンエイジャー</v>
      </c>
    </row>
    <row r="4678" spans="1:3" ht="18" customHeight="1" x14ac:dyDescent="0.3">
      <c r="A4678" s="1">
        <v>5</v>
      </c>
      <c r="B4678" s="1" t="s">
        <v>2867</v>
      </c>
      <c r="C4678" s="1" t="str">
        <f ca="1">IFERROR(__xludf.DUMMYFUNCTION("GOOGLETRANSLATE(B4723,""en"",""ja"")"),"技術")</f>
        <v>技術</v>
      </c>
    </row>
    <row r="4679" spans="1:3" ht="18" customHeight="1" x14ac:dyDescent="0.3">
      <c r="A4679" s="1">
        <v>5</v>
      </c>
      <c r="B4679" s="1" t="s">
        <v>836</v>
      </c>
      <c r="C4679" s="1" t="str">
        <f ca="1">IFERROR(__xludf.DUMMYFUNCTION("GOOGLETRANSLATE(B4724,""en"",""ja"")"),"教える")</f>
        <v>教える</v>
      </c>
    </row>
    <row r="4680" spans="1:3" ht="18" customHeight="1" x14ac:dyDescent="0.3">
      <c r="A4680" s="1">
        <v>5</v>
      </c>
      <c r="B4680" s="1" t="s">
        <v>3820</v>
      </c>
      <c r="C4680" s="1" t="str">
        <f ca="1">IFERROR(__xludf.DUMMYFUNCTION("GOOGLETRANSLATE(B4725,""en"",""ja"")"),"調教")</f>
        <v>調教</v>
      </c>
    </row>
    <row r="4681" spans="1:3" ht="18" customHeight="1" x14ac:dyDescent="0.3">
      <c r="A4681" s="1">
        <v>5</v>
      </c>
      <c r="B4681" s="1" t="s">
        <v>3821</v>
      </c>
      <c r="C4681" s="1" t="str">
        <f ca="1">IFERROR(__xludf.DUMMYFUNCTION("GOOGLETRANSLATE(B4726,""en"",""ja"")"),"症候群")</f>
        <v>症候群</v>
      </c>
    </row>
    <row r="4682" spans="1:3" ht="18" customHeight="1" x14ac:dyDescent="0.3">
      <c r="A4682" s="1">
        <v>5</v>
      </c>
      <c r="B4682" s="1" t="s">
        <v>3822</v>
      </c>
      <c r="C4682" s="1" t="str">
        <f ca="1">IFERROR(__xludf.DUMMYFUNCTION("GOOGLETRANSLATE(B4727,""en"",""ja"")"),"スイッチ")</f>
        <v>スイッチ</v>
      </c>
    </row>
    <row r="4683" spans="1:3" ht="18" customHeight="1" x14ac:dyDescent="0.3">
      <c r="A4683" s="1">
        <v>5</v>
      </c>
      <c r="B4683" s="1" t="s">
        <v>2524</v>
      </c>
      <c r="C4683" s="1" t="str">
        <f ca="1">IFERROR(__xludf.DUMMYFUNCTION("GOOGLETRANSLATE(B4728,""en"",""ja"")"),"サスティーン")</f>
        <v>サスティーン</v>
      </c>
    </row>
    <row r="4684" spans="1:3" ht="18" customHeight="1" x14ac:dyDescent="0.3">
      <c r="A4684" s="1">
        <v>5</v>
      </c>
      <c r="B4684" s="1" t="s">
        <v>3823</v>
      </c>
      <c r="C4684" s="1" t="str">
        <f ca="1">IFERROR(__xludf.DUMMYFUNCTION("GOOGLETRANSLATE(B4729,""en"",""ja"")"),"囲繞")</f>
        <v>囲繞</v>
      </c>
    </row>
    <row r="4685" spans="1:3" ht="18" customHeight="1" x14ac:dyDescent="0.3">
      <c r="A4685" s="1">
        <v>5</v>
      </c>
      <c r="B4685" s="1" t="s">
        <v>3824</v>
      </c>
      <c r="C4685" s="1" t="str">
        <f ca="1">IFERROR(__xludf.DUMMYFUNCTION("GOOGLETRANSLATE(B4730,""en"",""ja"")"),"外科")</f>
        <v>外科</v>
      </c>
    </row>
    <row r="4686" spans="1:3" ht="18" customHeight="1" x14ac:dyDescent="0.3">
      <c r="A4686" s="1">
        <v>5</v>
      </c>
      <c r="B4686" s="1" t="s">
        <v>3825</v>
      </c>
      <c r="C4686" s="1" t="str">
        <f ca="1">IFERROR(__xludf.DUMMYFUNCTION("GOOGLETRANSLATE(B4731,""en"",""ja"")"),"サポート")</f>
        <v>サポート</v>
      </c>
    </row>
    <row r="4687" spans="1:3" ht="18" customHeight="1" x14ac:dyDescent="0.3">
      <c r="A4687" s="1">
        <v>5</v>
      </c>
      <c r="B4687" s="1" t="s">
        <v>3826</v>
      </c>
      <c r="C4687" s="1" t="str">
        <f ca="1">IFERROR(__xludf.DUMMYFUNCTION("GOOGLETRANSLATE(B4732,""en"",""ja"")"),"要約")</f>
        <v>要約</v>
      </c>
    </row>
    <row r="4688" spans="1:3" ht="18" customHeight="1" x14ac:dyDescent="0.3">
      <c r="A4688" s="1">
        <v>5</v>
      </c>
      <c r="B4688" s="1" t="s">
        <v>2042</v>
      </c>
      <c r="C4688" s="1" t="str">
        <f ca="1">IFERROR(__xludf.DUMMYFUNCTION("GOOGLETRANSLATE(B4733,""en"",""ja"")"),"微妙")</f>
        <v>微妙</v>
      </c>
    </row>
    <row r="4689" spans="1:3" ht="18" customHeight="1" x14ac:dyDescent="0.3">
      <c r="A4689" s="1">
        <v>5</v>
      </c>
      <c r="B4689" s="1" t="s">
        <v>3222</v>
      </c>
      <c r="C4689" s="1" t="str">
        <f ca="1">IFERROR(__xludf.DUMMYFUNCTION("GOOGLETRANSLATE(B4734,""en"",""ja"")"),"補助金")</f>
        <v>補助金</v>
      </c>
    </row>
    <row r="4690" spans="1:3" ht="18" customHeight="1" x14ac:dyDescent="0.3">
      <c r="A4690" s="1">
        <v>5</v>
      </c>
      <c r="B4690" s="1" t="s">
        <v>3827</v>
      </c>
      <c r="C4690" s="1" t="str">
        <f ca="1">IFERROR(__xludf.DUMMYFUNCTION("GOOGLETRANSLATE(B4735,""en"",""ja"")"),"攻撃")</f>
        <v>攻撃</v>
      </c>
    </row>
    <row r="4691" spans="1:3" ht="18" customHeight="1" x14ac:dyDescent="0.3">
      <c r="A4691" s="1">
        <v>5</v>
      </c>
      <c r="B4691" s="1" t="s">
        <v>2285</v>
      </c>
      <c r="C4691" s="1" t="str">
        <f ca="1">IFERROR(__xludf.DUMMYFUNCTION("GOOGLETRANSLATE(B4736,""en"",""ja"")"),"ストレス")</f>
        <v>ストレス</v>
      </c>
    </row>
    <row r="4692" spans="1:3" ht="18" customHeight="1" x14ac:dyDescent="0.3">
      <c r="A4692" s="1">
        <v>5</v>
      </c>
      <c r="B4692" s="1" t="s">
        <v>3828</v>
      </c>
      <c r="C4692" s="1" t="str">
        <f ca="1">IFERROR(__xludf.DUMMYFUNCTION("GOOGLETRANSLATE(B4737,""en"",""ja"")"),"強化する")</f>
        <v>強化する</v>
      </c>
    </row>
    <row r="4693" spans="1:3" ht="18" customHeight="1" x14ac:dyDescent="0.3">
      <c r="A4693" s="1">
        <v>5</v>
      </c>
      <c r="B4693" s="1" t="s">
        <v>3829</v>
      </c>
      <c r="C4693" s="1" t="str">
        <f ca="1">IFERROR(__xludf.DUMMYFUNCTION("GOOGLETRANSLATE(B4738,""en"",""ja"")"),"ストリーム")</f>
        <v>ストリーム</v>
      </c>
    </row>
    <row r="4694" spans="1:3" ht="18" customHeight="1" x14ac:dyDescent="0.3">
      <c r="A4694" s="1">
        <v>5</v>
      </c>
      <c r="B4694" s="1" t="s">
        <v>3830</v>
      </c>
      <c r="C4694" s="1" t="str">
        <f ca="1">IFERROR(__xludf.DUMMYFUNCTION("GOOGLETRANSLATE(B4739,""en"",""ja"")"),"直截")</f>
        <v>直截</v>
      </c>
    </row>
    <row r="4695" spans="1:3" ht="18" customHeight="1" x14ac:dyDescent="0.3">
      <c r="A4695" s="1">
        <v>5</v>
      </c>
      <c r="B4695" s="1" t="s">
        <v>3831</v>
      </c>
      <c r="C4695" s="1" t="str">
        <f ca="1">IFERROR(__xludf.DUMMYFUNCTION("GOOGLETRANSLATE(B4740,""en"",""ja"")"),"膝")</f>
        <v>膝</v>
      </c>
    </row>
    <row r="4696" spans="1:3" ht="18" customHeight="1" x14ac:dyDescent="0.3">
      <c r="A4696" s="1">
        <v>5</v>
      </c>
      <c r="B4696" s="1" t="s">
        <v>3832</v>
      </c>
      <c r="C4696" s="1" t="str">
        <f ca="1">IFERROR(__xludf.DUMMYFUNCTION("GOOGLETRANSLATE(B4741,""en"",""ja"")"),"スティーブン")</f>
        <v>スティーブン</v>
      </c>
    </row>
    <row r="4697" spans="1:3" ht="18" customHeight="1" x14ac:dyDescent="0.3">
      <c r="A4697" s="1">
        <v>5</v>
      </c>
      <c r="B4697" s="1" t="s">
        <v>3833</v>
      </c>
      <c r="C4697" s="1" t="str">
        <f ca="1">IFERROR(__xludf.DUMMYFUNCTION("GOOGLETRANSLATE(B4742,""en"",""ja"")"),"ステレオタイプ")</f>
        <v>ステレオタイプ</v>
      </c>
    </row>
    <row r="4698" spans="1:3" ht="18" customHeight="1" x14ac:dyDescent="0.3">
      <c r="A4698" s="1">
        <v>5</v>
      </c>
      <c r="B4698" s="1" t="s">
        <v>3834</v>
      </c>
      <c r="C4698" s="1" t="str">
        <f ca="1">IFERROR(__xludf.DUMMYFUNCTION("GOOGLETRANSLATE(B4743,""en"",""ja"")"),"蒸気")</f>
        <v>蒸気</v>
      </c>
    </row>
    <row r="4699" spans="1:3" ht="18" customHeight="1" x14ac:dyDescent="0.3">
      <c r="A4699" s="1">
        <v>5</v>
      </c>
      <c r="B4699" s="1" t="s">
        <v>3835</v>
      </c>
      <c r="C4699" s="1" t="str">
        <f ca="1">IFERROR(__xludf.DUMMYFUNCTION("GOOGLETRANSLATE(B4744,""en"",""ja"")"),"スターク")</f>
        <v>スターク</v>
      </c>
    </row>
    <row r="4700" spans="1:3" ht="18" customHeight="1" x14ac:dyDescent="0.3">
      <c r="A4700" s="1">
        <v>5</v>
      </c>
      <c r="B4700" s="1" t="s">
        <v>3236</v>
      </c>
      <c r="C4700" s="1" t="str">
        <f ca="1">IFERROR(__xludf.DUMMYFUNCTION("GOOGLETRANSLATE(B4745,""en"",""ja"")"),"春")</f>
        <v>春</v>
      </c>
    </row>
    <row r="4701" spans="1:3" ht="18" customHeight="1" x14ac:dyDescent="0.3">
      <c r="A4701" s="1">
        <v>5</v>
      </c>
      <c r="B4701" s="1" t="s">
        <v>3836</v>
      </c>
      <c r="C4701" s="1" t="str">
        <f ca="1">IFERROR(__xludf.DUMMYFUNCTION("GOOGLETRANSLATE(B4746,""en"",""ja"")"),"過ごし")</f>
        <v>過ごし</v>
      </c>
    </row>
    <row r="4702" spans="1:3" ht="18" customHeight="1" x14ac:dyDescent="0.3">
      <c r="A4702" s="1">
        <v>5</v>
      </c>
      <c r="B4702" s="1" t="s">
        <v>3837</v>
      </c>
      <c r="C4702" s="1" t="str">
        <f ca="1">IFERROR(__xludf.DUMMYFUNCTION("GOOGLETRANSLATE(B4747,""en"",""ja"")"),"推測")</f>
        <v>推測</v>
      </c>
    </row>
    <row r="4703" spans="1:3" ht="18" customHeight="1" x14ac:dyDescent="0.3">
      <c r="A4703" s="1">
        <v>5</v>
      </c>
      <c r="B4703" s="1" t="s">
        <v>3838</v>
      </c>
      <c r="C4703" s="1" t="str">
        <f ca="1">IFERROR(__xludf.DUMMYFUNCTION("GOOGLETRANSLATE(B4748,""en"",""ja"")"),"専門にします")</f>
        <v>専門にします</v>
      </c>
    </row>
    <row r="4704" spans="1:3" ht="18" customHeight="1" x14ac:dyDescent="0.3">
      <c r="A4704" s="1">
        <v>5</v>
      </c>
      <c r="B4704" s="1" t="s">
        <v>3839</v>
      </c>
      <c r="C4704" s="1" t="str">
        <f ca="1">IFERROR(__xludf.DUMMYFUNCTION("GOOGLETRANSLATE(B4749,""en"",""ja"")"),"槍")</f>
        <v>槍</v>
      </c>
    </row>
    <row r="4705" spans="1:3" ht="18" customHeight="1" x14ac:dyDescent="0.3">
      <c r="A4705" s="1">
        <v>5</v>
      </c>
      <c r="B4705" s="1" t="s">
        <v>3840</v>
      </c>
      <c r="C4705" s="1" t="str">
        <f ca="1">IFERROR(__xludf.DUMMYFUNCTION("GOOGLETRANSLATE(B4750,""en"",""ja"")"),"音")</f>
        <v>音</v>
      </c>
    </row>
    <row r="4706" spans="1:3" ht="18" customHeight="1" x14ac:dyDescent="0.3">
      <c r="A4706" s="1">
        <v>5</v>
      </c>
      <c r="B4706" s="1" t="s">
        <v>3841</v>
      </c>
      <c r="C4706" s="1" t="str">
        <f ca="1">IFERROR(__xludf.DUMMYFUNCTION("GOOGLETRANSLATE(B4751,""en"",""ja"")"),"洗練されました")</f>
        <v>洗練されました</v>
      </c>
    </row>
    <row r="4707" spans="1:3" ht="18" customHeight="1" x14ac:dyDescent="0.3">
      <c r="A4707" s="1">
        <v>5</v>
      </c>
      <c r="B4707" s="1" t="s">
        <v>1417</v>
      </c>
      <c r="C4707" s="1" t="str">
        <f ca="1">IFERROR(__xludf.DUMMYFUNCTION("GOOGLETRANSLATE(B4752,""en"",""ja"")"),"何とかして")</f>
        <v>何とかして</v>
      </c>
    </row>
    <row r="4708" spans="1:3" ht="18" customHeight="1" x14ac:dyDescent="0.3">
      <c r="A4708" s="1">
        <v>5</v>
      </c>
      <c r="B4708" s="1" t="s">
        <v>3842</v>
      </c>
      <c r="C4708" s="1" t="str">
        <f ca="1">IFERROR(__xludf.DUMMYFUNCTION("GOOGLETRANSLATE(B4753,""en"",""ja"")"),"滑らか")</f>
        <v>滑らか</v>
      </c>
    </row>
    <row r="4709" spans="1:3" ht="18" customHeight="1" x14ac:dyDescent="0.3">
      <c r="A4709" s="1">
        <v>5</v>
      </c>
      <c r="B4709" s="1" t="s">
        <v>3843</v>
      </c>
      <c r="C4709" s="1" t="str">
        <f ca="1">IFERROR(__xludf.DUMMYFUNCTION("GOOGLETRANSLATE(B4754,""en"",""ja"")"),"賢く")</f>
        <v>賢く</v>
      </c>
    </row>
    <row r="4710" spans="1:3" ht="18" customHeight="1" x14ac:dyDescent="0.3">
      <c r="A4710" s="1">
        <v>5</v>
      </c>
      <c r="B4710" s="1" t="s">
        <v>3844</v>
      </c>
      <c r="C4710" s="1" t="str">
        <f ca="1">IFERROR(__xludf.DUMMYFUNCTION("GOOGLETRANSLATE(B4755,""en"",""ja"")"),"スライディング")</f>
        <v>スライディング</v>
      </c>
    </row>
    <row r="4711" spans="1:3" ht="18" customHeight="1" x14ac:dyDescent="0.3">
      <c r="A4711" s="1">
        <v>5</v>
      </c>
      <c r="B4711" s="1" t="s">
        <v>3845</v>
      </c>
      <c r="C4711" s="1" t="str">
        <f ca="1">IFERROR(__xludf.DUMMYFUNCTION("GOOGLETRANSLATE(B4756,""en"",""ja"")"),"スライス")</f>
        <v>スライス</v>
      </c>
    </row>
    <row r="4712" spans="1:3" ht="18" customHeight="1" x14ac:dyDescent="0.3">
      <c r="A4712" s="1">
        <v>5</v>
      </c>
      <c r="B4712" s="1" t="s">
        <v>3846</v>
      </c>
      <c r="C4712" s="1" t="str">
        <f ca="1">IFERROR(__xludf.DUMMYFUNCTION("GOOGLETRANSLATE(B4757,""en"",""ja"")"),"沈没")</f>
        <v>沈没</v>
      </c>
    </row>
    <row r="4713" spans="1:3" ht="18" customHeight="1" x14ac:dyDescent="0.3">
      <c r="A4713" s="1">
        <v>5</v>
      </c>
      <c r="B4713" s="1" t="s">
        <v>3847</v>
      </c>
      <c r="C4713" s="1" t="str">
        <f ca="1">IFERROR(__xludf.DUMMYFUNCTION("GOOGLETRANSLATE(B4758,""en"",""ja"")"),"歌手")</f>
        <v>歌手</v>
      </c>
    </row>
    <row r="4714" spans="1:3" ht="18" customHeight="1" x14ac:dyDescent="0.3">
      <c r="A4714" s="1">
        <v>5</v>
      </c>
      <c r="B4714" s="1" t="s">
        <v>3848</v>
      </c>
      <c r="C4714" s="1" t="str">
        <f ca="1">IFERROR(__xludf.DUMMYFUNCTION("GOOGLETRANSLATE(B4759,""en"",""ja"")"),"シンクレア")</f>
        <v>シンクレア</v>
      </c>
    </row>
    <row r="4715" spans="1:3" ht="18" customHeight="1" x14ac:dyDescent="0.3">
      <c r="A4715" s="1">
        <v>5</v>
      </c>
      <c r="B4715" s="1" t="s">
        <v>3849</v>
      </c>
      <c r="C4715" s="1" t="str">
        <f ca="1">IFERROR(__xludf.DUMMYFUNCTION("GOOGLETRANSLATE(B4760,""en"",""ja"")"),"大幅に")</f>
        <v>大幅に</v>
      </c>
    </row>
    <row r="4716" spans="1:3" ht="18" customHeight="1" x14ac:dyDescent="0.3">
      <c r="A4716" s="1">
        <v>5</v>
      </c>
      <c r="B4716" s="1" t="s">
        <v>3850</v>
      </c>
      <c r="C4716" s="1" t="str">
        <f ca="1">IFERROR(__xludf.DUMMYFUNCTION("GOOGLETRANSLATE(B4761,""en"",""ja"")"),"シフト")</f>
        <v>シフト</v>
      </c>
    </row>
    <row r="4717" spans="1:3" ht="18" customHeight="1" x14ac:dyDescent="0.3">
      <c r="A4717" s="1">
        <v>5</v>
      </c>
      <c r="B4717" s="1" t="s">
        <v>3256</v>
      </c>
      <c r="C4717" s="1" t="str">
        <f ca="1">IFERROR(__xludf.DUMMYFUNCTION("GOOGLETRANSLATE(B4762,""en"",""ja"")"),"シャープ")</f>
        <v>シャープ</v>
      </c>
    </row>
    <row r="4718" spans="1:3" ht="18" customHeight="1" x14ac:dyDescent="0.3">
      <c r="A4718" s="1">
        <v>5</v>
      </c>
      <c r="B4718" s="1" t="s">
        <v>3851</v>
      </c>
      <c r="C4718" s="1" t="str">
        <f ca="1">IFERROR(__xludf.DUMMYFUNCTION("GOOGLETRANSLATE(B4763,""en"",""ja"")"),"形")</f>
        <v>形</v>
      </c>
    </row>
    <row r="4719" spans="1:3" ht="18" customHeight="1" x14ac:dyDescent="0.3">
      <c r="A4719" s="1">
        <v>5</v>
      </c>
      <c r="B4719" s="1" t="s">
        <v>2293</v>
      </c>
      <c r="C4719" s="1" t="str">
        <f ca="1">IFERROR(__xludf.DUMMYFUNCTION("GOOGLETRANSLATE(B4764,""en"",""ja"")"),"形状")</f>
        <v>形状</v>
      </c>
    </row>
    <row r="4720" spans="1:3" ht="18" customHeight="1" x14ac:dyDescent="0.3">
      <c r="A4720" s="1">
        <v>5</v>
      </c>
      <c r="B4720" s="1" t="s">
        <v>3852</v>
      </c>
      <c r="C4720" s="1" t="str">
        <f ca="1">IFERROR(__xludf.DUMMYFUNCTION("GOOGLETRANSLATE(B4765,""en"",""ja"")"),"セブン")</f>
        <v>セブン</v>
      </c>
    </row>
    <row r="4721" spans="1:3" ht="18" customHeight="1" x14ac:dyDescent="0.3">
      <c r="A4721" s="1">
        <v>5</v>
      </c>
      <c r="B4721" s="1" t="s">
        <v>3853</v>
      </c>
      <c r="C4721" s="1" t="str">
        <f ca="1">IFERROR(__xludf.DUMMYFUNCTION("GOOGLETRANSLATE(B4766,""en"",""ja"")"),"セパレート")</f>
        <v>セパレート</v>
      </c>
    </row>
    <row r="4722" spans="1:3" ht="18" customHeight="1" x14ac:dyDescent="0.3">
      <c r="A4722" s="1">
        <v>5</v>
      </c>
      <c r="B4722" s="1" t="s">
        <v>1523</v>
      </c>
      <c r="C4722" s="1" t="str">
        <f ca="1">IFERROR(__xludf.DUMMYFUNCTION("GOOGLETRANSLATE(B4767,""en"",""ja"")"),"敏感")</f>
        <v>敏感</v>
      </c>
    </row>
    <row r="4723" spans="1:3" ht="18" customHeight="1" x14ac:dyDescent="0.3">
      <c r="A4723" s="1">
        <v>5</v>
      </c>
      <c r="B4723" s="1" t="s">
        <v>3854</v>
      </c>
      <c r="C4723" s="1" t="str">
        <f ca="1">IFERROR(__xludf.DUMMYFUNCTION("GOOGLETRANSLATE(B4768,""en"",""ja"")"),"上級")</f>
        <v>上級</v>
      </c>
    </row>
    <row r="4724" spans="1:3" ht="18" customHeight="1" x14ac:dyDescent="0.3">
      <c r="A4724" s="1">
        <v>5</v>
      </c>
      <c r="B4724" s="1" t="s">
        <v>3855</v>
      </c>
      <c r="C4724" s="1" t="str">
        <f ca="1">IFERROR(__xludf.DUMMYFUNCTION("GOOGLETRANSLATE(B4769,""en"",""ja"")"),"送信")</f>
        <v>送信</v>
      </c>
    </row>
    <row r="4725" spans="1:3" ht="18" customHeight="1" x14ac:dyDescent="0.3">
      <c r="A4725" s="1">
        <v>5</v>
      </c>
      <c r="B4725" s="1" t="s">
        <v>1421</v>
      </c>
      <c r="C4725" s="1" t="str">
        <f ca="1">IFERROR(__xludf.DUMMYFUNCTION("GOOGLETRANSLATE(B4770,""en"",""ja"")"),"売る")</f>
        <v>売る</v>
      </c>
    </row>
    <row r="4726" spans="1:3" ht="18" customHeight="1" x14ac:dyDescent="0.3">
      <c r="A4726" s="1">
        <v>5</v>
      </c>
      <c r="B4726" s="1" t="s">
        <v>1422</v>
      </c>
      <c r="C4726" s="1" t="str">
        <f ca="1">IFERROR(__xludf.DUMMYFUNCTION("GOOGLETRANSLATE(B4771,""en"",""ja"")"),"世俗的な")</f>
        <v>世俗的な</v>
      </c>
    </row>
    <row r="4727" spans="1:3" ht="18" customHeight="1" x14ac:dyDescent="0.3">
      <c r="A4727" s="1">
        <v>5</v>
      </c>
      <c r="B4727" s="1" t="s">
        <v>3856</v>
      </c>
      <c r="C4727" s="1" t="str">
        <f ca="1">IFERROR(__xludf.DUMMYFUNCTION("GOOGLETRANSLATE(B4772,""en"",""ja"")"),"季節")</f>
        <v>季節</v>
      </c>
    </row>
    <row r="4728" spans="1:3" ht="18" customHeight="1" x14ac:dyDescent="0.3">
      <c r="A4728" s="1">
        <v>5</v>
      </c>
      <c r="B4728" s="1" t="s">
        <v>3857</v>
      </c>
      <c r="C4728" s="1" t="str">
        <f ca="1">IFERROR(__xludf.DUMMYFUNCTION("GOOGLETRANSLATE(B4773,""en"",""ja"")"),"奨学金")</f>
        <v>奨学金</v>
      </c>
    </row>
    <row r="4729" spans="1:3" ht="18" customHeight="1" x14ac:dyDescent="0.3">
      <c r="A4729" s="1">
        <v>5</v>
      </c>
      <c r="B4729" s="1" t="s">
        <v>3858</v>
      </c>
      <c r="C4729" s="1" t="str">
        <f ca="1">IFERROR(__xludf.DUMMYFUNCTION("GOOGLETRANSLATE(B4774,""en"",""ja"")"),"スキャナ")</f>
        <v>スキャナ</v>
      </c>
    </row>
    <row r="4730" spans="1:3" ht="18" customHeight="1" x14ac:dyDescent="0.3">
      <c r="A4730" s="1">
        <v>5</v>
      </c>
      <c r="B4730" s="1" t="s">
        <v>3859</v>
      </c>
      <c r="C4730" s="1" t="str">
        <f ca="1">IFERROR(__xludf.DUMMYFUNCTION("GOOGLETRANSLATE(B4775,""en"",""ja"")"),"秤")</f>
        <v>秤</v>
      </c>
    </row>
    <row r="4731" spans="1:3" ht="18" customHeight="1" x14ac:dyDescent="0.3">
      <c r="A4731" s="1">
        <v>5</v>
      </c>
      <c r="B4731" s="1" t="s">
        <v>3860</v>
      </c>
      <c r="C4731" s="1" t="str">
        <f ca="1">IFERROR(__xludf.DUMMYFUNCTION("GOOGLETRANSLATE(B4776,""en"",""ja"")"),"満足のいきます")</f>
        <v>満足のいきます</v>
      </c>
    </row>
    <row r="4732" spans="1:3" ht="18" customHeight="1" x14ac:dyDescent="0.3">
      <c r="A4732" s="1">
        <v>5</v>
      </c>
      <c r="B4732" s="1" t="s">
        <v>2555</v>
      </c>
      <c r="C4732" s="1" t="str">
        <f ca="1">IFERROR(__xludf.DUMMYFUNCTION("GOOGLETRANSLATE(B4777,""en"",""ja"")"),"サンデル")</f>
        <v>サンデル</v>
      </c>
    </row>
    <row r="4733" spans="1:3" ht="18" customHeight="1" x14ac:dyDescent="0.3">
      <c r="A4733" s="1">
        <v>5</v>
      </c>
      <c r="B4733" s="1" t="s">
        <v>3861</v>
      </c>
      <c r="C4733" s="1" t="str">
        <f ca="1">IFERROR(__xludf.DUMMYFUNCTION("GOOGLETRANSLATE(B4778,""en"",""ja"")"),"酒")</f>
        <v>酒</v>
      </c>
    </row>
    <row r="4734" spans="1:3" ht="18" customHeight="1" x14ac:dyDescent="0.3">
      <c r="A4734" s="1">
        <v>5</v>
      </c>
      <c r="B4734" s="1" t="s">
        <v>1754</v>
      </c>
      <c r="C4734" s="1" t="str">
        <f ca="1">IFERROR(__xludf.DUMMYFUNCTION("GOOGLETRANSLATE(B4779,""en"",""ja"")"),"安全性")</f>
        <v>安全性</v>
      </c>
    </row>
    <row r="4735" spans="1:3" ht="18" customHeight="1" x14ac:dyDescent="0.3">
      <c r="A4735" s="1">
        <v>5</v>
      </c>
      <c r="B4735" s="1" t="s">
        <v>2558</v>
      </c>
      <c r="C4735" s="1" t="str">
        <f ca="1">IFERROR(__xludf.DUMMYFUNCTION("GOOGLETRANSLATE(B4780,""en"",""ja"")"),"ルール")</f>
        <v>ルール</v>
      </c>
    </row>
    <row r="4736" spans="1:3" ht="18" customHeight="1" x14ac:dyDescent="0.3">
      <c r="A4736" s="1">
        <v>5</v>
      </c>
      <c r="B4736" s="1" t="s">
        <v>3862</v>
      </c>
      <c r="C4736" s="1" t="str">
        <f ca="1">IFERROR(__xludf.DUMMYFUNCTION("GOOGLETRANSLATE(B4781,""en"",""ja"")"),"ルーチン")</f>
        <v>ルーチン</v>
      </c>
    </row>
    <row r="4737" spans="1:3" ht="18" customHeight="1" x14ac:dyDescent="0.3">
      <c r="A4737" s="1">
        <v>5</v>
      </c>
      <c r="B4737" s="1" t="s">
        <v>754</v>
      </c>
      <c r="C4737" s="1" t="str">
        <f ca="1">IFERROR(__xludf.DUMMYFUNCTION("GOOGLETRANSLATE(B4782,""en"",""ja"")"),"ルート")</f>
        <v>ルート</v>
      </c>
    </row>
    <row r="4738" spans="1:3" ht="18" customHeight="1" x14ac:dyDescent="0.3">
      <c r="A4738" s="1">
        <v>5</v>
      </c>
      <c r="B4738" s="1" t="s">
        <v>3863</v>
      </c>
      <c r="C4738" s="1" t="str">
        <f ca="1">IFERROR(__xludf.DUMMYFUNCTION("GOOGLETRANSLATE(B4783,""en"",""ja"")"),"ロバート")</f>
        <v>ロバート</v>
      </c>
    </row>
    <row r="4739" spans="1:3" ht="18" customHeight="1" x14ac:dyDescent="0.3">
      <c r="A4739" s="1">
        <v>5</v>
      </c>
      <c r="B4739" s="1" t="s">
        <v>3864</v>
      </c>
      <c r="C4739" s="1" t="str">
        <f ca="1">IFERROR(__xludf.DUMMYFUNCTION("GOOGLETRANSLATE(B4784,""en"",""ja"")"),"厳しい")</f>
        <v>厳しい</v>
      </c>
    </row>
    <row r="4740" spans="1:3" ht="18" customHeight="1" x14ac:dyDescent="0.3">
      <c r="A4740" s="1">
        <v>5</v>
      </c>
      <c r="B4740" s="1" t="s">
        <v>3865</v>
      </c>
      <c r="C4740" s="1" t="str">
        <f ca="1">IFERROR(__xludf.DUMMYFUNCTION("GOOGLETRANSLATE(B4785,""en"",""ja"")"),"ご飯")</f>
        <v>ご飯</v>
      </c>
    </row>
    <row r="4741" spans="1:3" ht="18" customHeight="1" x14ac:dyDescent="0.3">
      <c r="A4741" s="1">
        <v>5</v>
      </c>
      <c r="B4741" s="1" t="s">
        <v>3280</v>
      </c>
      <c r="C4741" s="1" t="str">
        <f ca="1">IFERROR(__xludf.DUMMYFUNCTION("GOOGLETRANSLATE(B4786,""en"",""ja"")"),"レトリック")</f>
        <v>レトリック</v>
      </c>
    </row>
    <row r="4742" spans="1:3" ht="18" customHeight="1" x14ac:dyDescent="0.3">
      <c r="A4742" s="1">
        <v>5</v>
      </c>
      <c r="B4742" s="1" t="s">
        <v>3866</v>
      </c>
      <c r="C4742" s="1" t="str">
        <f ca="1">IFERROR(__xludf.DUMMYFUNCTION("GOOGLETRANSLATE(B4787,""en"",""ja"")"),"明らかに")</f>
        <v>明らかに</v>
      </c>
    </row>
    <row r="4743" spans="1:3" ht="18" customHeight="1" x14ac:dyDescent="0.3">
      <c r="A4743" s="1">
        <v>5</v>
      </c>
      <c r="B4743" s="1" t="s">
        <v>3867</v>
      </c>
      <c r="C4743" s="1" t="str">
        <f ca="1">IFERROR(__xludf.DUMMYFUNCTION("GOOGLETRANSLATE(B4788,""en"",""ja"")"),"再構築")</f>
        <v>再構築</v>
      </c>
    </row>
    <row r="4744" spans="1:3" ht="18" customHeight="1" x14ac:dyDescent="0.3">
      <c r="A4744" s="1">
        <v>5</v>
      </c>
      <c r="B4744" s="1" t="s">
        <v>3868</v>
      </c>
      <c r="C4744" s="1" t="str">
        <f ca="1">IFERROR(__xludf.DUMMYFUNCTION("GOOGLETRANSLATE(B4789,""en"",""ja"")"),"応答")</f>
        <v>応答</v>
      </c>
    </row>
    <row r="4745" spans="1:3" ht="18" customHeight="1" x14ac:dyDescent="0.3">
      <c r="A4745" s="1">
        <v>5</v>
      </c>
      <c r="B4745" s="1" t="s">
        <v>3869</v>
      </c>
      <c r="C4745" s="1" t="str">
        <f ca="1">IFERROR(__xludf.DUMMYFUNCTION("GOOGLETRANSLATE(B4790,""en"",""ja"")"),"点")</f>
        <v>点</v>
      </c>
    </row>
    <row r="4746" spans="1:3" ht="18" customHeight="1" x14ac:dyDescent="0.3">
      <c r="A4746" s="1">
        <v>5</v>
      </c>
      <c r="B4746" s="1" t="s">
        <v>3870</v>
      </c>
      <c r="C4746" s="1" t="str">
        <f ca="1">IFERROR(__xludf.DUMMYFUNCTION("GOOGLETRANSLATE(B4791,""en"",""ja"")"),"決意")</f>
        <v>決意</v>
      </c>
    </row>
    <row r="4747" spans="1:3" ht="18" customHeight="1" x14ac:dyDescent="0.3">
      <c r="A4747" s="1">
        <v>5</v>
      </c>
      <c r="B4747" s="1" t="s">
        <v>3871</v>
      </c>
      <c r="C4747" s="1" t="str">
        <f ca="1">IFERROR(__xludf.DUMMYFUNCTION("GOOGLETRANSLATE(B4792,""en"",""ja"")"),"評判")</f>
        <v>評判</v>
      </c>
    </row>
    <row r="4748" spans="1:3" ht="18" customHeight="1" x14ac:dyDescent="0.3">
      <c r="A4748" s="1">
        <v>5</v>
      </c>
      <c r="B4748" s="1" t="s">
        <v>1639</v>
      </c>
      <c r="C4748" s="1" t="str">
        <f ca="1">IFERROR(__xludf.DUMMYFUNCTION("GOOGLETRANSLATE(B4793,""en"",""ja"")"),"再生")</f>
        <v>再生</v>
      </c>
    </row>
    <row r="4749" spans="1:3" ht="18" customHeight="1" x14ac:dyDescent="0.3">
      <c r="A4749" s="1">
        <v>5</v>
      </c>
      <c r="B4749" s="1" t="s">
        <v>3872</v>
      </c>
      <c r="C4749" s="1" t="str">
        <f ca="1">IFERROR(__xludf.DUMMYFUNCTION("GOOGLETRANSLATE(B4794,""en"",""ja"")"),"反響")</f>
        <v>反響</v>
      </c>
    </row>
    <row r="4750" spans="1:3" ht="18" customHeight="1" x14ac:dyDescent="0.3">
      <c r="A4750" s="1">
        <v>5</v>
      </c>
      <c r="B4750" s="1" t="s">
        <v>3873</v>
      </c>
      <c r="C4750" s="1" t="str">
        <f ca="1">IFERROR(__xludf.DUMMYFUNCTION("GOOGLETRANSLATE(B4795,""en"",""ja"")"),"ルネサンス")</f>
        <v>ルネサンス</v>
      </c>
    </row>
    <row r="4751" spans="1:3" ht="18" customHeight="1" x14ac:dyDescent="0.3">
      <c r="A4751" s="1">
        <v>5</v>
      </c>
      <c r="B4751" s="1" t="s">
        <v>3874</v>
      </c>
      <c r="C4751" s="1" t="str">
        <f ca="1">IFERROR(__xludf.DUMMYFUNCTION("GOOGLETRANSLATE(B4796,""en"",""ja"")"),"関連")</f>
        <v>関連</v>
      </c>
    </row>
    <row r="4752" spans="1:3" ht="18" customHeight="1" x14ac:dyDescent="0.3">
      <c r="A4752" s="1">
        <v>5</v>
      </c>
      <c r="B4752" s="1" t="s">
        <v>3875</v>
      </c>
      <c r="C4752" s="1" t="str">
        <f ca="1">IFERROR(__xludf.DUMMYFUNCTION("GOOGLETRANSLATE(B4797,""en"",""ja"")"),"改革")</f>
        <v>改革</v>
      </c>
    </row>
    <row r="4753" spans="1:3" ht="18" customHeight="1" x14ac:dyDescent="0.3">
      <c r="A4753" s="1">
        <v>5</v>
      </c>
      <c r="B4753" s="1" t="s">
        <v>3876</v>
      </c>
      <c r="C4753" s="1" t="str">
        <f ca="1">IFERROR(__xludf.DUMMYFUNCTION("GOOGLETRANSLATE(B4798,""en"",""ja"")"),"依頼")</f>
        <v>依頼</v>
      </c>
    </row>
    <row r="4754" spans="1:3" ht="18" customHeight="1" x14ac:dyDescent="0.3">
      <c r="A4754" s="1">
        <v>5</v>
      </c>
      <c r="B4754" s="1" t="s">
        <v>3877</v>
      </c>
      <c r="C4754" s="1" t="str">
        <f ca="1">IFERROR(__xludf.DUMMYFUNCTION("GOOGLETRANSLATE(B4799,""en"",""ja"")"),"再構成")</f>
        <v>再構成</v>
      </c>
    </row>
    <row r="4755" spans="1:3" ht="18" customHeight="1" x14ac:dyDescent="0.3">
      <c r="A4755" s="1">
        <v>5</v>
      </c>
      <c r="B4755" s="1" t="s">
        <v>3878</v>
      </c>
      <c r="C4755" s="1" t="str">
        <f ca="1">IFERROR(__xludf.DUMMYFUNCTION("GOOGLETRANSLATE(B4800,""en"",""ja"")"),"和解")</f>
        <v>和解</v>
      </c>
    </row>
    <row r="4756" spans="1:3" ht="18" customHeight="1" x14ac:dyDescent="0.3">
      <c r="A4756" s="1">
        <v>5</v>
      </c>
      <c r="B4756" s="1" t="s">
        <v>3879</v>
      </c>
      <c r="C4756" s="1" t="str">
        <f ca="1">IFERROR(__xludf.DUMMYFUNCTION("GOOGLETRANSLATE(B4801,""en"",""ja"")"),"無謀")</f>
        <v>無謀</v>
      </c>
    </row>
    <row r="4757" spans="1:3" ht="18" customHeight="1" x14ac:dyDescent="0.3">
      <c r="A4757" s="1">
        <v>5</v>
      </c>
      <c r="B4757" s="1" t="s">
        <v>3880</v>
      </c>
      <c r="C4757" s="1" t="str">
        <f ca="1">IFERROR(__xludf.DUMMYFUNCTION("GOOGLETRANSLATE(B4802,""en"",""ja"")"),"後退")</f>
        <v>後退</v>
      </c>
    </row>
    <row r="4758" spans="1:3" ht="18" customHeight="1" x14ac:dyDescent="0.3">
      <c r="A4758" s="1">
        <v>5</v>
      </c>
      <c r="B4758" s="1" t="s">
        <v>3881</v>
      </c>
      <c r="C4758" s="1" t="str">
        <f ca="1">IFERROR(__xludf.DUMMYFUNCTION("GOOGLETRANSLATE(B4803,""en"",""ja"")"),"実現")</f>
        <v>実現</v>
      </c>
    </row>
    <row r="4759" spans="1:3" ht="18" customHeight="1" x14ac:dyDescent="0.3">
      <c r="A4759" s="1">
        <v>5</v>
      </c>
      <c r="B4759" s="1" t="s">
        <v>3882</v>
      </c>
      <c r="C4759" s="1" t="str">
        <f ca="1">IFERROR(__xludf.DUMMYFUNCTION("GOOGLETRANSLATE(B4804,""en"",""ja"")"),"実現")</f>
        <v>実現</v>
      </c>
    </row>
    <row r="4760" spans="1:3" ht="18" customHeight="1" x14ac:dyDescent="0.3">
      <c r="A4760" s="1">
        <v>5</v>
      </c>
      <c r="B4760" s="1" t="s">
        <v>757</v>
      </c>
      <c r="C4760" s="1" t="str">
        <f ca="1">IFERROR(__xludf.DUMMYFUNCTION("GOOGLETRANSLATE(B4805,""en"",""ja"")"),"読んだ")</f>
        <v>読んだ</v>
      </c>
    </row>
    <row r="4761" spans="1:3" ht="18" customHeight="1" x14ac:dyDescent="0.3">
      <c r="A4761" s="1">
        <v>5</v>
      </c>
      <c r="B4761" s="1" t="s">
        <v>3883</v>
      </c>
      <c r="C4761" s="1" t="str">
        <f ca="1">IFERROR(__xludf.DUMMYFUNCTION("GOOGLETRANSLATE(B4806,""en"",""ja"")"),"反応")</f>
        <v>反応</v>
      </c>
    </row>
    <row r="4762" spans="1:3" ht="18" customHeight="1" x14ac:dyDescent="0.3">
      <c r="A4762" s="1">
        <v>5</v>
      </c>
      <c r="B4762" s="1" t="s">
        <v>1252</v>
      </c>
      <c r="C4762" s="1" t="str">
        <f ca="1">IFERROR(__xludf.DUMMYFUNCTION("GOOGLETRANSLATE(B4807,""en"",""ja"")"),"合理的な")</f>
        <v>合理的な</v>
      </c>
    </row>
    <row r="4763" spans="1:3" ht="18" customHeight="1" x14ac:dyDescent="0.3">
      <c r="A4763" s="1">
        <v>5</v>
      </c>
      <c r="B4763" s="1" t="s">
        <v>940</v>
      </c>
      <c r="C4763" s="1" t="str">
        <f ca="1">IFERROR(__xludf.DUMMYFUNCTION("GOOGLETRANSLATE(B4808,""en"",""ja"")"),"範囲")</f>
        <v>範囲</v>
      </c>
    </row>
    <row r="4764" spans="1:3" ht="18" customHeight="1" x14ac:dyDescent="0.3">
      <c r="A4764" s="1">
        <v>5</v>
      </c>
      <c r="B4764" s="1" t="s">
        <v>2075</v>
      </c>
      <c r="C4764" s="1" t="str">
        <f ca="1">IFERROR(__xludf.DUMMYFUNCTION("GOOGLETRANSLATE(B4809,""en"",""ja"")"),"レイズ")</f>
        <v>レイズ</v>
      </c>
    </row>
    <row r="4765" spans="1:3" ht="18" customHeight="1" x14ac:dyDescent="0.3">
      <c r="A4765" s="1">
        <v>5</v>
      </c>
      <c r="B4765" s="1" t="s">
        <v>3884</v>
      </c>
      <c r="C4765" s="1" t="str">
        <f ca="1">IFERROR(__xludf.DUMMYFUNCTION("GOOGLETRANSLATE(B4810,""en"",""ja"")"),"放射線治療")</f>
        <v>放射線治療</v>
      </c>
    </row>
    <row r="4766" spans="1:3" ht="18" customHeight="1" x14ac:dyDescent="0.3">
      <c r="A4766" s="1">
        <v>5</v>
      </c>
      <c r="B4766" s="1" t="s">
        <v>3885</v>
      </c>
      <c r="C4766" s="1" t="str">
        <f ca="1">IFERROR(__xludf.DUMMYFUNCTION("GOOGLETRANSLATE(B4811,""en"",""ja"")"),"ラジカル")</f>
        <v>ラジカル</v>
      </c>
    </row>
    <row r="4767" spans="1:3" ht="18" customHeight="1" x14ac:dyDescent="0.3">
      <c r="A4767" s="1">
        <v>5</v>
      </c>
      <c r="B4767" s="1" t="s">
        <v>3886</v>
      </c>
      <c r="C4767" s="1" t="str">
        <f ca="1">IFERROR(__xludf.DUMMYFUNCTION("GOOGLETRANSLATE(B4812,""en"",""ja"")"),"レイチェル")</f>
        <v>レイチェル</v>
      </c>
    </row>
    <row r="4768" spans="1:3" ht="18" customHeight="1" x14ac:dyDescent="0.3">
      <c r="A4768" s="1">
        <v>5</v>
      </c>
      <c r="B4768" s="1" t="s">
        <v>3887</v>
      </c>
      <c r="C4768" s="1" t="str">
        <f ca="1">IFERROR(__xludf.DUMMYFUNCTION("GOOGLETRANSLATE(B4813,""en"",""ja"")"),"癖")</f>
        <v>癖</v>
      </c>
    </row>
    <row r="4769" spans="1:3" ht="18" customHeight="1" x14ac:dyDescent="0.3">
      <c r="A4769" s="1">
        <v>5</v>
      </c>
      <c r="B4769" s="1" t="s">
        <v>3888</v>
      </c>
      <c r="C4769" s="1" t="str">
        <f ca="1">IFERROR(__xludf.DUMMYFUNCTION("GOOGLETRANSLATE(B4814,""en"",""ja"")"),"出版します")</f>
        <v>出版します</v>
      </c>
    </row>
    <row r="4770" spans="1:3" ht="18" customHeight="1" x14ac:dyDescent="0.3">
      <c r="A4770" s="1">
        <v>5</v>
      </c>
      <c r="B4770" s="1" t="s">
        <v>3889</v>
      </c>
      <c r="C4770" s="1" t="str">
        <f ca="1">IFERROR(__xludf.DUMMYFUNCTION("GOOGLETRANSLATE(B4815,""en"",""ja"")"),"詩篇")</f>
        <v>詩篇</v>
      </c>
    </row>
    <row r="4771" spans="1:3" ht="18" customHeight="1" x14ac:dyDescent="0.3">
      <c r="A4771" s="1">
        <v>5</v>
      </c>
      <c r="B4771" s="1" t="s">
        <v>234</v>
      </c>
      <c r="C4771" s="1" t="str">
        <f ca="1">IFERROR(__xludf.DUMMYFUNCTION("GOOGLETRANSLATE(B4816,""en"",""ja"")"),"供給する")</f>
        <v>供給する</v>
      </c>
    </row>
    <row r="4772" spans="1:3" ht="18" customHeight="1" x14ac:dyDescent="0.3">
      <c r="A4772" s="1">
        <v>5</v>
      </c>
      <c r="B4772" s="1" t="s">
        <v>3890</v>
      </c>
      <c r="C4772" s="1" t="str">
        <f ca="1">IFERROR(__xludf.DUMMYFUNCTION("GOOGLETRANSLATE(B4817,""en"",""ja"")"),"証明")</f>
        <v>証明</v>
      </c>
    </row>
    <row r="4773" spans="1:3" ht="18" customHeight="1" x14ac:dyDescent="0.3">
      <c r="A4773" s="1">
        <v>5</v>
      </c>
      <c r="B4773" s="1" t="s">
        <v>3315</v>
      </c>
      <c r="C4773" s="1" t="str">
        <f ca="1">IFERROR(__xludf.DUMMYFUNCTION("GOOGLETRANSLATE(B4818,""en"",""ja"")"),"プロトタイプ")</f>
        <v>プロトタイプ</v>
      </c>
    </row>
    <row r="4774" spans="1:3" ht="18" customHeight="1" x14ac:dyDescent="0.3">
      <c r="A4774" s="1">
        <v>5</v>
      </c>
      <c r="B4774" s="1" t="s">
        <v>2080</v>
      </c>
      <c r="C4774" s="1" t="str">
        <f ca="1">IFERROR(__xludf.DUMMYFUNCTION("GOOGLETRANSLATE(B4819,""en"",""ja"")"),"繁栄")</f>
        <v>繁栄</v>
      </c>
    </row>
    <row r="4775" spans="1:3" ht="18" customHeight="1" x14ac:dyDescent="0.3">
      <c r="A4775" s="1">
        <v>5</v>
      </c>
      <c r="B4775" s="1" t="s">
        <v>3891</v>
      </c>
      <c r="C4775" s="1" t="str">
        <f ca="1">IFERROR(__xludf.DUMMYFUNCTION("GOOGLETRANSLATE(B4820,""en"",""ja"")"),"約束")</f>
        <v>約束</v>
      </c>
    </row>
    <row r="4776" spans="1:3" ht="18" customHeight="1" x14ac:dyDescent="0.3">
      <c r="A4776" s="1">
        <v>5</v>
      </c>
      <c r="B4776" s="1" t="s">
        <v>3892</v>
      </c>
      <c r="C4776" s="1" t="str">
        <f ca="1">IFERROR(__xludf.DUMMYFUNCTION("GOOGLETRANSLATE(B4821,""en"",""ja"")"),"約束する")</f>
        <v>約束する</v>
      </c>
    </row>
    <row r="4777" spans="1:3" ht="18" customHeight="1" x14ac:dyDescent="0.3">
      <c r="A4777" s="1">
        <v>5</v>
      </c>
      <c r="B4777" s="1" t="s">
        <v>3893</v>
      </c>
      <c r="C4777" s="1" t="str">
        <f ca="1">IFERROR(__xludf.DUMMYFUNCTION("GOOGLETRANSLATE(B4822,""en"",""ja"")"),"予測")</f>
        <v>予測</v>
      </c>
    </row>
    <row r="4778" spans="1:3" ht="18" customHeight="1" x14ac:dyDescent="0.3">
      <c r="A4778" s="1">
        <v>5</v>
      </c>
      <c r="B4778" s="1" t="s">
        <v>3894</v>
      </c>
      <c r="C4778" s="1" t="str">
        <f ca="1">IFERROR(__xludf.DUMMYFUNCTION("GOOGLETRANSLATE(B4823,""en"",""ja"")"),"プログラム")</f>
        <v>プログラム</v>
      </c>
    </row>
    <row r="4779" spans="1:3" ht="18" customHeight="1" x14ac:dyDescent="0.3">
      <c r="A4779" s="1">
        <v>5</v>
      </c>
      <c r="B4779" s="1" t="s">
        <v>3895</v>
      </c>
      <c r="C4779" s="1" t="str">
        <f ca="1">IFERROR(__xludf.DUMMYFUNCTION("GOOGLETRANSLATE(B4824,""en"",""ja"")"),"深遠")</f>
        <v>深遠</v>
      </c>
    </row>
    <row r="4780" spans="1:3" ht="18" customHeight="1" x14ac:dyDescent="0.3">
      <c r="A4780" s="1">
        <v>5</v>
      </c>
      <c r="B4780" s="1" t="s">
        <v>3896</v>
      </c>
      <c r="C4780" s="1" t="str">
        <f ca="1">IFERROR(__xludf.DUMMYFUNCTION("GOOGLETRANSLATE(B4825,""en"",""ja"")"),"プロフィール")</f>
        <v>プロフィール</v>
      </c>
    </row>
    <row r="4781" spans="1:3" ht="18" customHeight="1" x14ac:dyDescent="0.3">
      <c r="A4781" s="1">
        <v>5</v>
      </c>
      <c r="B4781" s="1" t="s">
        <v>3897</v>
      </c>
      <c r="C4781" s="1" t="str">
        <f ca="1">IFERROR(__xludf.DUMMYFUNCTION("GOOGLETRANSLATE(B4826,""en"",""ja"")"),"おそらく")</f>
        <v>おそらく</v>
      </c>
    </row>
    <row r="4782" spans="1:3" ht="18" customHeight="1" x14ac:dyDescent="0.3">
      <c r="A4782" s="1">
        <v>5</v>
      </c>
      <c r="B4782" s="1" t="s">
        <v>3898</v>
      </c>
      <c r="C4782" s="1" t="str">
        <f ca="1">IFERROR(__xludf.DUMMYFUNCTION("GOOGLETRANSLATE(B4827,""en"",""ja"")"),"保存")</f>
        <v>保存</v>
      </c>
    </row>
    <row r="4783" spans="1:3" ht="18" customHeight="1" x14ac:dyDescent="0.3">
      <c r="A4783" s="1">
        <v>5</v>
      </c>
      <c r="B4783" s="1" t="s">
        <v>3899</v>
      </c>
      <c r="C4783" s="1" t="str">
        <f ca="1">IFERROR(__xludf.DUMMYFUNCTION("GOOGLETRANSLATE(B4828,""en"",""ja"")"),"提示")</f>
        <v>提示</v>
      </c>
    </row>
    <row r="4784" spans="1:3" ht="18" customHeight="1" x14ac:dyDescent="0.3">
      <c r="A4784" s="1">
        <v>5</v>
      </c>
      <c r="B4784" s="1" t="s">
        <v>1535</v>
      </c>
      <c r="C4784" s="1" t="str">
        <f ca="1">IFERROR(__xludf.DUMMYFUNCTION("GOOGLETRANSLATE(B4829,""en"",""ja"")"),"プレゼンス")</f>
        <v>プレゼンス</v>
      </c>
    </row>
    <row r="4785" spans="1:3" ht="18" customHeight="1" x14ac:dyDescent="0.3">
      <c r="A4785" s="1">
        <v>5</v>
      </c>
      <c r="B4785" s="1" t="s">
        <v>3900</v>
      </c>
      <c r="C4785" s="1" t="str">
        <f ca="1">IFERROR(__xludf.DUMMYFUNCTION("GOOGLETRANSLATE(B4830,""en"",""ja"")"),"素因")</f>
        <v>素因</v>
      </c>
    </row>
    <row r="4786" spans="1:3" ht="18" customHeight="1" x14ac:dyDescent="0.3">
      <c r="A4786" s="1">
        <v>5</v>
      </c>
      <c r="B4786" s="1" t="s">
        <v>2330</v>
      </c>
      <c r="C4786" s="1" t="str">
        <f ca="1">IFERROR(__xludf.DUMMYFUNCTION("GOOGLETRANSLATE(B4831,""en"",""ja"")"),"予測します")</f>
        <v>予測します</v>
      </c>
    </row>
    <row r="4787" spans="1:3" ht="18" customHeight="1" x14ac:dyDescent="0.3">
      <c r="A4787" s="1">
        <v>5</v>
      </c>
      <c r="B4787" s="1" t="s">
        <v>2589</v>
      </c>
      <c r="C4787" s="1" t="str">
        <f ca="1">IFERROR(__xludf.DUMMYFUNCTION("GOOGLETRANSLATE(B4832,""en"",""ja"")"),"精度")</f>
        <v>精度</v>
      </c>
    </row>
    <row r="4788" spans="1:3" ht="18" customHeight="1" x14ac:dyDescent="0.3">
      <c r="A4788" s="1">
        <v>5</v>
      </c>
      <c r="B4788" s="1" t="s">
        <v>3901</v>
      </c>
      <c r="C4788" s="1" t="str">
        <f ca="1">IFERROR(__xludf.DUMMYFUNCTION("GOOGLETRANSLATE(B4833,""en"",""ja"")"),"紛争後")</f>
        <v>紛争後</v>
      </c>
    </row>
    <row r="4789" spans="1:3" ht="18" customHeight="1" x14ac:dyDescent="0.3">
      <c r="A4789" s="1">
        <v>5</v>
      </c>
      <c r="B4789" s="1" t="s">
        <v>3902</v>
      </c>
      <c r="C4789" s="1" t="str">
        <f ca="1">IFERROR(__xludf.DUMMYFUNCTION("GOOGLETRANSLATE(B4834,""en"",""ja"")"),"POSSE")</f>
        <v>POSSE</v>
      </c>
    </row>
    <row r="4790" spans="1:3" ht="18" customHeight="1" x14ac:dyDescent="0.3">
      <c r="A4790" s="1">
        <v>5</v>
      </c>
      <c r="B4790" s="1" t="s">
        <v>3903</v>
      </c>
      <c r="C4790" s="1" t="str">
        <f ca="1">IFERROR(__xludf.DUMMYFUNCTION("GOOGLETRANSLATE(B4835,""en"",""ja"")"),"ポーズ")</f>
        <v>ポーズ</v>
      </c>
    </row>
    <row r="4791" spans="1:3" ht="18" customHeight="1" x14ac:dyDescent="0.3">
      <c r="A4791" s="1">
        <v>5</v>
      </c>
      <c r="B4791" s="1" t="s">
        <v>3904</v>
      </c>
      <c r="C4791" s="1" t="str">
        <f ca="1">IFERROR(__xludf.DUMMYFUNCTION("GOOGLETRANSLATE(B4836,""en"",""ja"")"),"ポップ")</f>
        <v>ポップ</v>
      </c>
    </row>
    <row r="4792" spans="1:3" ht="18" customHeight="1" x14ac:dyDescent="0.3">
      <c r="A4792" s="1">
        <v>5</v>
      </c>
      <c r="B4792" s="1" t="s">
        <v>3905</v>
      </c>
      <c r="C4792" s="1" t="str">
        <f ca="1">IFERROR(__xludf.DUMMYFUNCTION("GOOGLETRANSLATE(B4837,""en"",""ja"")"),"警察")</f>
        <v>警察</v>
      </c>
    </row>
    <row r="4793" spans="1:3" ht="18" customHeight="1" x14ac:dyDescent="0.3">
      <c r="A4793" s="1">
        <v>5</v>
      </c>
      <c r="B4793" s="1" t="s">
        <v>3906</v>
      </c>
      <c r="C4793" s="1" t="str">
        <f ca="1">IFERROR(__xludf.DUMMYFUNCTION("GOOGLETRANSLATE(B4838,""en"",""ja"")"),"毒")</f>
        <v>毒</v>
      </c>
    </row>
    <row r="4794" spans="1:3" ht="18" customHeight="1" x14ac:dyDescent="0.3">
      <c r="A4794" s="1">
        <v>5</v>
      </c>
      <c r="B4794" s="1" t="s">
        <v>3907</v>
      </c>
      <c r="C4794" s="1" t="str">
        <f ca="1">IFERROR(__xludf.DUMMYFUNCTION("GOOGLETRANSLATE(B4839,""en"",""ja"")"),"プロット")</f>
        <v>プロット</v>
      </c>
    </row>
    <row r="4795" spans="1:3" ht="18" customHeight="1" x14ac:dyDescent="0.3">
      <c r="A4795" s="1">
        <v>5</v>
      </c>
      <c r="B4795" s="1" t="s">
        <v>3908</v>
      </c>
      <c r="C4795" s="1" t="str">
        <f ca="1">IFERROR(__xludf.DUMMYFUNCTION("GOOGLETRANSLATE(B4840,""en"",""ja"")"),"遊び場")</f>
        <v>遊び場</v>
      </c>
    </row>
    <row r="4796" spans="1:3" ht="18" customHeight="1" x14ac:dyDescent="0.3">
      <c r="A4796" s="1">
        <v>5</v>
      </c>
      <c r="B4796" s="1" t="s">
        <v>2598</v>
      </c>
      <c r="C4796" s="1" t="str">
        <f ca="1">IFERROR(__xludf.DUMMYFUNCTION("GOOGLETRANSLATE(B4841,""en"",""ja"")"),"ピアジェ")</f>
        <v>ピアジェ</v>
      </c>
    </row>
    <row r="4797" spans="1:3" ht="18" customHeight="1" x14ac:dyDescent="0.3">
      <c r="A4797" s="1">
        <v>5</v>
      </c>
      <c r="B4797" s="1" t="s">
        <v>3909</v>
      </c>
      <c r="C4797" s="1" t="str">
        <f ca="1">IFERROR(__xludf.DUMMYFUNCTION("GOOGLETRANSLATE(B4842,""en"",""ja"")"),"写真")</f>
        <v>写真</v>
      </c>
    </row>
    <row r="4798" spans="1:3" ht="18" customHeight="1" x14ac:dyDescent="0.3">
      <c r="A4798" s="1">
        <v>5</v>
      </c>
      <c r="B4798" s="1" t="s">
        <v>2333</v>
      </c>
      <c r="C4798" s="1" t="str">
        <f ca="1">IFERROR(__xludf.DUMMYFUNCTION("GOOGLETRANSLATE(B4843,""en"",""ja"")"),"写真")</f>
        <v>写真</v>
      </c>
    </row>
    <row r="4799" spans="1:3" ht="18" customHeight="1" x14ac:dyDescent="0.3">
      <c r="A4799" s="1">
        <v>5</v>
      </c>
      <c r="B4799" s="1" t="s">
        <v>3910</v>
      </c>
      <c r="C4799" s="1" t="str">
        <f ca="1">IFERROR(__xludf.DUMMYFUNCTION("GOOGLETRANSLATE(B4844,""en"",""ja"")"),"哲学者")</f>
        <v>哲学者</v>
      </c>
    </row>
    <row r="4800" spans="1:3" ht="18" customHeight="1" x14ac:dyDescent="0.3">
      <c r="A4800" s="1">
        <v>5</v>
      </c>
      <c r="B4800" s="1" t="s">
        <v>3911</v>
      </c>
      <c r="C4800" s="1" t="str">
        <f ca="1">IFERROR(__xludf.DUMMYFUNCTION("GOOGLETRANSLATE(B4845,""en"",""ja"")"),"ペルー")</f>
        <v>ペルー</v>
      </c>
    </row>
    <row r="4801" spans="1:3" ht="18" customHeight="1" x14ac:dyDescent="0.3">
      <c r="A4801" s="1">
        <v>5</v>
      </c>
      <c r="B4801" s="1" t="s">
        <v>3912</v>
      </c>
      <c r="C4801" s="1" t="str">
        <f ca="1">IFERROR(__xludf.DUMMYFUNCTION("GOOGLETRANSLATE(B4846,""en"",""ja"")"),"熟読")</f>
        <v>熟読</v>
      </c>
    </row>
    <row r="4802" spans="1:3" ht="18" customHeight="1" x14ac:dyDescent="0.3">
      <c r="A4802" s="1">
        <v>5</v>
      </c>
      <c r="B4802" s="1" t="s">
        <v>3913</v>
      </c>
      <c r="C4802" s="1" t="str">
        <f ca="1">IFERROR(__xludf.DUMMYFUNCTION("GOOGLETRANSLATE(B4847,""en"",""ja"")"),"パーソナライズ")</f>
        <v>パーソナライズ</v>
      </c>
    </row>
    <row r="4803" spans="1:3" ht="18" customHeight="1" x14ac:dyDescent="0.3">
      <c r="A4803" s="1">
        <v>5</v>
      </c>
      <c r="B4803" s="1" t="s">
        <v>3914</v>
      </c>
      <c r="C4803" s="1" t="str">
        <f ca="1">IFERROR(__xludf.DUMMYFUNCTION("GOOGLETRANSLATE(B4848,""en"",""ja"")"),"永久的な")</f>
        <v>永久的な</v>
      </c>
    </row>
    <row r="4804" spans="1:3" ht="18" customHeight="1" x14ac:dyDescent="0.3">
      <c r="A4804" s="1">
        <v>5</v>
      </c>
      <c r="B4804" s="1" t="s">
        <v>2337</v>
      </c>
      <c r="C4804" s="1" t="str">
        <f ca="1">IFERROR(__xludf.DUMMYFUNCTION("GOOGLETRANSLATE(B4849,""en"",""ja"")"),"気付きます")</f>
        <v>気付きます</v>
      </c>
    </row>
    <row r="4805" spans="1:3" ht="18" customHeight="1" x14ac:dyDescent="0.3">
      <c r="A4805" s="1">
        <v>5</v>
      </c>
      <c r="B4805" s="1" t="s">
        <v>3915</v>
      </c>
      <c r="C4805" s="1" t="str">
        <f ca="1">IFERROR(__xludf.DUMMYFUNCTION("GOOGLETRANSLATE(B4850,""en"",""ja"")"),"人が住ん")</f>
        <v>人が住ん</v>
      </c>
    </row>
    <row r="4806" spans="1:3" ht="18" customHeight="1" x14ac:dyDescent="0.3">
      <c r="A4806" s="1">
        <v>5</v>
      </c>
      <c r="B4806" s="1" t="s">
        <v>3916</v>
      </c>
      <c r="C4806" s="1" t="str">
        <f ca="1">IFERROR(__xludf.DUMMYFUNCTION("GOOGLETRANSLATE(B4851,""en"",""ja"")"),"仲間")</f>
        <v>仲間</v>
      </c>
    </row>
    <row r="4807" spans="1:3" ht="18" customHeight="1" x14ac:dyDescent="0.3">
      <c r="A4807" s="1">
        <v>5</v>
      </c>
      <c r="B4807" s="1" t="s">
        <v>1349</v>
      </c>
      <c r="C4807" s="1" t="str">
        <f ca="1">IFERROR(__xludf.DUMMYFUNCTION("GOOGLETRANSLATE(B4852,""en"",""ja"")"),"パール")</f>
        <v>パール</v>
      </c>
    </row>
    <row r="4808" spans="1:3" ht="18" customHeight="1" x14ac:dyDescent="0.3">
      <c r="A4808" s="1">
        <v>5</v>
      </c>
      <c r="B4808" s="1" t="s">
        <v>3917</v>
      </c>
      <c r="C4808" s="1" t="str">
        <f ca="1">IFERROR(__xludf.DUMMYFUNCTION("GOOGLETRANSLATE(B4853,""en"",""ja"")"),"通路")</f>
        <v>通路</v>
      </c>
    </row>
    <row r="4809" spans="1:3" ht="18" customHeight="1" x14ac:dyDescent="0.3">
      <c r="A4809" s="1">
        <v>5</v>
      </c>
      <c r="B4809" s="1" t="s">
        <v>3918</v>
      </c>
      <c r="C4809" s="1" t="str">
        <f ca="1">IFERROR(__xludf.DUMMYFUNCTION("GOOGLETRANSLATE(B4854,""en"",""ja"")"),"パピルス")</f>
        <v>パピルス</v>
      </c>
    </row>
    <row r="4810" spans="1:3" ht="18" customHeight="1" x14ac:dyDescent="0.3">
      <c r="A4810" s="1">
        <v>5</v>
      </c>
      <c r="B4810" s="1" t="s">
        <v>3919</v>
      </c>
      <c r="C4810" s="1" t="str">
        <f ca="1">IFERROR(__xludf.DUMMYFUNCTION("GOOGLETRANSLATE(B4855,""en"",""ja"")"),"ペーパーバック")</f>
        <v>ペーパーバック</v>
      </c>
    </row>
    <row r="4811" spans="1:3" ht="18" customHeight="1" x14ac:dyDescent="0.3">
      <c r="A4811" s="1">
        <v>5</v>
      </c>
      <c r="B4811" s="1" t="s">
        <v>3920</v>
      </c>
      <c r="C4811" s="1" t="str">
        <f ca="1">IFERROR(__xludf.DUMMYFUNCTION("GOOGLETRANSLATE(B4856,""en"",""ja"")"),"時間とともに")</f>
        <v>時間とともに</v>
      </c>
    </row>
    <row r="4812" spans="1:3" ht="18" customHeight="1" x14ac:dyDescent="0.3">
      <c r="A4812" s="1">
        <v>5</v>
      </c>
      <c r="B4812" s="1" t="s">
        <v>3921</v>
      </c>
      <c r="C4812" s="1" t="str">
        <f ca="1">IFERROR(__xludf.DUMMYFUNCTION("GOOGLETRANSLATE(B4857,""en"",""ja"")"),"過度")</f>
        <v>過度</v>
      </c>
    </row>
    <row r="4813" spans="1:3" ht="18" customHeight="1" x14ac:dyDescent="0.3">
      <c r="A4813" s="1">
        <v>5</v>
      </c>
      <c r="B4813" s="1" t="s">
        <v>3922</v>
      </c>
      <c r="C4813" s="1" t="str">
        <f ca="1">IFERROR(__xludf.DUMMYFUNCTION("GOOGLETRANSLATE(B4858,""en"",""ja"")"),"出て行きます")</f>
        <v>出て行きます</v>
      </c>
    </row>
    <row r="4814" spans="1:3" ht="18" customHeight="1" x14ac:dyDescent="0.3">
      <c r="A4814" s="1">
        <v>5</v>
      </c>
      <c r="B4814" s="1" t="s">
        <v>3923</v>
      </c>
      <c r="C4814" s="1" t="str">
        <f ca="1">IFERROR(__xludf.DUMMYFUNCTION("GOOGLETRANSLATE(B4859,""en"",""ja"")"),"べき")</f>
        <v>べき</v>
      </c>
    </row>
    <row r="4815" spans="1:3" ht="18" customHeight="1" x14ac:dyDescent="0.3">
      <c r="A4815" s="1">
        <v>5</v>
      </c>
      <c r="B4815" s="1" t="s">
        <v>3924</v>
      </c>
      <c r="C4815" s="1" t="str">
        <f ca="1">IFERROR(__xludf.DUMMYFUNCTION("GOOGLETRANSLATE(B4860,""en"",""ja"")"),"正教")</f>
        <v>正教</v>
      </c>
    </row>
    <row r="4816" spans="1:3" ht="18" customHeight="1" x14ac:dyDescent="0.3">
      <c r="A4816" s="1">
        <v>5</v>
      </c>
      <c r="B4816" s="1" t="s">
        <v>3925</v>
      </c>
      <c r="C4816" s="1" t="str">
        <f ca="1">IFERROR(__xludf.DUMMYFUNCTION("GOOGLETRANSLATE(B4861,""en"",""ja"")"),"抑圧")</f>
        <v>抑圧</v>
      </c>
    </row>
    <row r="4817" spans="1:3" ht="18" customHeight="1" x14ac:dyDescent="0.3">
      <c r="A4817" s="1">
        <v>5</v>
      </c>
      <c r="B4817" s="1" t="s">
        <v>418</v>
      </c>
      <c r="C4817" s="1" t="str">
        <f ca="1">IFERROR(__xludf.DUMMYFUNCTION("GOOGLETRANSLATE(B4862,""en"",""ja"")"),"オンライン")</f>
        <v>オンライン</v>
      </c>
    </row>
    <row r="4818" spans="1:3" ht="18" customHeight="1" x14ac:dyDescent="0.3">
      <c r="A4818" s="1">
        <v>5</v>
      </c>
      <c r="B4818" s="1" t="s">
        <v>3926</v>
      </c>
      <c r="C4818" s="1" t="str">
        <f ca="1">IFERROR(__xludf.DUMMYFUNCTION("GOOGLETRANSLATE(B4863,""en"",""ja"")"),"提供")</f>
        <v>提供</v>
      </c>
    </row>
    <row r="4819" spans="1:3" ht="18" customHeight="1" x14ac:dyDescent="0.3">
      <c r="A4819" s="1">
        <v>5</v>
      </c>
      <c r="B4819" s="1" t="s">
        <v>2948</v>
      </c>
      <c r="C4819" s="1" t="str">
        <f ca="1">IFERROR(__xludf.DUMMYFUNCTION("GOOGLETRANSLATE(B4864,""en"",""ja"")"),"明らか")</f>
        <v>明らか</v>
      </c>
    </row>
    <row r="4820" spans="1:3" ht="18" customHeight="1" x14ac:dyDescent="0.3">
      <c r="A4820" s="1">
        <v>5</v>
      </c>
      <c r="B4820" s="1" t="s">
        <v>2949</v>
      </c>
      <c r="C4820" s="1" t="str">
        <f ca="1">IFERROR(__xludf.DUMMYFUNCTION("GOOGLETRANSLATE(B4865,""en"",""ja"")"),"入手します")</f>
        <v>入手します</v>
      </c>
    </row>
    <row r="4821" spans="1:3" ht="18" customHeight="1" x14ac:dyDescent="0.3">
      <c r="A4821" s="1">
        <v>5</v>
      </c>
      <c r="B4821" s="1" t="s">
        <v>3927</v>
      </c>
      <c r="C4821" s="1" t="str">
        <f ca="1">IFERROR(__xludf.DUMMYFUNCTION("GOOGLETRANSLATE(B4866,""en"",""ja"")"),"障害")</f>
        <v>障害</v>
      </c>
    </row>
    <row r="4822" spans="1:3" ht="18" customHeight="1" x14ac:dyDescent="0.3">
      <c r="A4822" s="1">
        <v>5</v>
      </c>
      <c r="B4822" s="1" t="s">
        <v>3928</v>
      </c>
      <c r="C4822" s="1" t="str">
        <f ca="1">IFERROR(__xludf.DUMMYFUNCTION("GOOGLETRANSLATE(B4868,""en"",""ja"")"),"義務")</f>
        <v>義務</v>
      </c>
    </row>
    <row r="4823" spans="1:3" ht="18" customHeight="1" x14ac:dyDescent="0.3">
      <c r="A4823" s="1">
        <v>5</v>
      </c>
      <c r="B4823" s="1" t="s">
        <v>3929</v>
      </c>
      <c r="C4823" s="1" t="str">
        <f ca="1">IFERROR(__xludf.DUMMYFUNCTION("GOOGLETRANSLATE(B4869,""en"",""ja"")"),"オブジェクト")</f>
        <v>オブジェクト</v>
      </c>
    </row>
    <row r="4824" spans="1:3" ht="18" customHeight="1" x14ac:dyDescent="0.3">
      <c r="A4824" s="1">
        <v>5</v>
      </c>
      <c r="B4824" s="1" t="s">
        <v>3930</v>
      </c>
      <c r="C4824" s="1" t="str">
        <f ca="1">IFERROR(__xludf.DUMMYFUNCTION("GOOGLETRANSLATE(B4870,""en"",""ja"")"),"ノート")</f>
        <v>ノート</v>
      </c>
    </row>
    <row r="4825" spans="1:3" ht="18" customHeight="1" x14ac:dyDescent="0.3">
      <c r="A4825" s="1">
        <v>5</v>
      </c>
      <c r="B4825" s="1" t="s">
        <v>3931</v>
      </c>
      <c r="C4825" s="1" t="str">
        <f ca="1">IFERROR(__xludf.DUMMYFUNCTION("GOOGLETRANSLATE(B4871,""en"",""ja"")"),"うなずき")</f>
        <v>うなずき</v>
      </c>
    </row>
    <row r="4826" spans="1:3" ht="18" customHeight="1" x14ac:dyDescent="0.3">
      <c r="A4826" s="1">
        <v>5</v>
      </c>
      <c r="B4826" s="1" t="s">
        <v>62</v>
      </c>
      <c r="C4826" s="1" t="str">
        <f ca="1">IFERROR(__xludf.DUMMYFUNCTION("GOOGLETRANSLATE(B4873,""en"",""ja"")"),"番号")</f>
        <v>番号</v>
      </c>
    </row>
    <row r="4827" spans="1:3" ht="18" customHeight="1" x14ac:dyDescent="0.3">
      <c r="A4827" s="1">
        <v>5</v>
      </c>
      <c r="B4827" s="1" t="s">
        <v>3932</v>
      </c>
      <c r="C4827" s="1" t="str">
        <f ca="1">IFERROR(__xludf.DUMMYFUNCTION("GOOGLETRANSLATE(B4874,""en"",""ja"")"),"ニノ")</f>
        <v>ニノ</v>
      </c>
    </row>
    <row r="4828" spans="1:3" ht="18" customHeight="1" x14ac:dyDescent="0.3">
      <c r="A4828" s="1">
        <v>5</v>
      </c>
      <c r="B4828" s="1" t="s">
        <v>3933</v>
      </c>
      <c r="C4828" s="1" t="str">
        <f ca="1">IFERROR(__xludf.DUMMYFUNCTION("GOOGLETRANSLATE(B4875,""en"",""ja"")"),"ニューラル")</f>
        <v>ニューラル</v>
      </c>
    </row>
    <row r="4829" spans="1:3" ht="18" customHeight="1" x14ac:dyDescent="0.3">
      <c r="A4829" s="1">
        <v>5</v>
      </c>
      <c r="B4829" s="1" t="s">
        <v>3934</v>
      </c>
      <c r="C4829" s="1" t="str">
        <f ca="1">IFERROR(__xludf.DUMMYFUNCTION("GOOGLETRANSLATE(B4876,""en"",""ja"")"),"隣人")</f>
        <v>隣人</v>
      </c>
    </row>
    <row r="4830" spans="1:3" ht="18" customHeight="1" x14ac:dyDescent="0.3">
      <c r="A4830" s="1">
        <v>5</v>
      </c>
      <c r="B4830" s="1" t="s">
        <v>2623</v>
      </c>
      <c r="C4830" s="1" t="str">
        <f ca="1">IFERROR(__xludf.DUMMYFUNCTION("GOOGLETRANSLATE(B4877,""en"",""ja"")"),"ご近所")</f>
        <v>ご近所</v>
      </c>
    </row>
    <row r="4831" spans="1:3" ht="18" customHeight="1" x14ac:dyDescent="0.3">
      <c r="A4831" s="1">
        <v>5</v>
      </c>
      <c r="B4831" s="1" t="s">
        <v>3935</v>
      </c>
      <c r="C4831" s="1" t="str">
        <f ca="1">IFERROR(__xludf.DUMMYFUNCTION("GOOGLETRANSLATE(B4878,""en"",""ja"")"),"マイナス")</f>
        <v>マイナス</v>
      </c>
    </row>
    <row r="4832" spans="1:3" ht="18" customHeight="1" x14ac:dyDescent="0.3">
      <c r="A4832" s="1">
        <v>5</v>
      </c>
      <c r="B4832" s="1" t="s">
        <v>3936</v>
      </c>
      <c r="C4832" s="1" t="str">
        <f ca="1">IFERROR(__xludf.DUMMYFUNCTION("GOOGLETRANSLATE(B4879,""en"",""ja"")"),"naturalizes")</f>
        <v>naturalizes</v>
      </c>
    </row>
    <row r="4833" spans="1:3" ht="18" customHeight="1" x14ac:dyDescent="0.3">
      <c r="A4833" s="1">
        <v>5</v>
      </c>
      <c r="B4833" s="1" t="s">
        <v>3937</v>
      </c>
      <c r="C4833" s="1" t="str">
        <f ca="1">IFERROR(__xludf.DUMMYFUNCTION("GOOGLETRANSLATE(B4880,""en"",""ja"")"),"口")</f>
        <v>口</v>
      </c>
    </row>
    <row r="4834" spans="1:3" ht="18" customHeight="1" x14ac:dyDescent="0.3">
      <c r="A4834" s="1">
        <v>5</v>
      </c>
      <c r="B4834" s="1" t="s">
        <v>3938</v>
      </c>
      <c r="C4834" s="1" t="str">
        <f ca="1">IFERROR(__xludf.DUMMYFUNCTION("GOOGLETRANSLATE(B4881,""en"",""ja"")"),"動かす")</f>
        <v>動かす</v>
      </c>
    </row>
    <row r="4835" spans="1:3" ht="18" customHeight="1" x14ac:dyDescent="0.3">
      <c r="A4835" s="1">
        <v>5</v>
      </c>
      <c r="B4835" s="1" t="s">
        <v>3939</v>
      </c>
      <c r="C4835" s="1" t="str">
        <f ca="1">IFERROR(__xludf.DUMMYFUNCTION("GOOGLETRANSLATE(B4882,""en"",""ja"")"),"道徳的に")</f>
        <v>道徳的に</v>
      </c>
    </row>
    <row r="4836" spans="1:3" ht="18" customHeight="1" x14ac:dyDescent="0.3">
      <c r="A4836" s="1">
        <v>5</v>
      </c>
      <c r="B4836" s="1" t="s">
        <v>2967</v>
      </c>
      <c r="C4836" s="1" t="str">
        <f ca="1">IFERROR(__xludf.DUMMYFUNCTION("GOOGLETRANSLATE(B4883,""en"",""ja"")"),"モニター")</f>
        <v>モニター</v>
      </c>
    </row>
    <row r="4837" spans="1:3" ht="18" customHeight="1" x14ac:dyDescent="0.3">
      <c r="A4837" s="1">
        <v>5</v>
      </c>
      <c r="B4837" s="1" t="s">
        <v>3940</v>
      </c>
      <c r="C4837" s="1" t="str">
        <f ca="1">IFERROR(__xludf.DUMMYFUNCTION("GOOGLETRANSLATE(B4884,""en"",""ja"")"),"ほどよく")</f>
        <v>ほどよく</v>
      </c>
    </row>
    <row r="4838" spans="1:3" ht="18" customHeight="1" x14ac:dyDescent="0.3">
      <c r="A4838" s="1">
        <v>5</v>
      </c>
      <c r="B4838" s="1" t="s">
        <v>3941</v>
      </c>
      <c r="C4838" s="1" t="str">
        <f ca="1">IFERROR(__xludf.DUMMYFUNCTION("GOOGLETRANSLATE(B4885,""en"",""ja"")"),"混合")</f>
        <v>混合</v>
      </c>
    </row>
    <row r="4839" spans="1:3" ht="18" customHeight="1" x14ac:dyDescent="0.3">
      <c r="A4839" s="1">
        <v>5</v>
      </c>
      <c r="B4839" s="1" t="s">
        <v>3942</v>
      </c>
      <c r="C4839" s="1" t="str">
        <f ca="1">IFERROR(__xludf.DUMMYFUNCTION("GOOGLETRANSLATE(B4886,""en"",""ja"")"),"mischel")</f>
        <v>mischel</v>
      </c>
    </row>
    <row r="4840" spans="1:3" ht="18" customHeight="1" x14ac:dyDescent="0.3">
      <c r="A4840" s="1">
        <v>5</v>
      </c>
      <c r="B4840" s="1" t="s">
        <v>3943</v>
      </c>
      <c r="C4840" s="1" t="str">
        <f ca="1">IFERROR(__xludf.DUMMYFUNCTION("GOOGLETRANSLATE(B4887,""en"",""ja"")"),"鏡")</f>
        <v>鏡</v>
      </c>
    </row>
    <row r="4841" spans="1:3" ht="18" customHeight="1" x14ac:dyDescent="0.3">
      <c r="A4841" s="1">
        <v>5</v>
      </c>
      <c r="B4841" s="1" t="s">
        <v>3944</v>
      </c>
      <c r="C4841" s="1" t="str">
        <f ca="1">IFERROR(__xludf.DUMMYFUNCTION("GOOGLETRANSLATE(B4889,""en"",""ja"")"),"分")</f>
        <v>分</v>
      </c>
    </row>
    <row r="4842" spans="1:3" ht="18" customHeight="1" x14ac:dyDescent="0.3">
      <c r="A4842" s="1">
        <v>5</v>
      </c>
      <c r="B4842" s="1" t="s">
        <v>3945</v>
      </c>
      <c r="C4842" s="1" t="str">
        <f ca="1">IFERROR(__xludf.DUMMYFUNCTION("GOOGLETRANSLATE(B4890,""en"",""ja"")"),"最小にします")</f>
        <v>最小にします</v>
      </c>
    </row>
    <row r="4843" spans="1:3" ht="18" customHeight="1" x14ac:dyDescent="0.3">
      <c r="A4843" s="1">
        <v>5</v>
      </c>
      <c r="B4843" s="1" t="s">
        <v>3946</v>
      </c>
      <c r="C4843" s="1" t="str">
        <f ca="1">IFERROR(__xludf.DUMMYFUNCTION("GOOGLETRANSLATE(B4891,""en"",""ja"")"),"強いです")</f>
        <v>強いです</v>
      </c>
    </row>
    <row r="4844" spans="1:3" ht="18" customHeight="1" x14ac:dyDescent="0.3">
      <c r="A4844" s="1">
        <v>5</v>
      </c>
      <c r="B4844" s="1" t="s">
        <v>847</v>
      </c>
      <c r="C4844" s="1" t="str">
        <f ca="1">IFERROR(__xludf.DUMMYFUNCTION("GOOGLETRANSLATE(B4892,""en"",""ja"")"),"中間")</f>
        <v>中間</v>
      </c>
    </row>
    <row r="4845" spans="1:3" ht="18" customHeight="1" x14ac:dyDescent="0.3">
      <c r="A4845" s="1">
        <v>5</v>
      </c>
      <c r="B4845" s="1" t="s">
        <v>3947</v>
      </c>
      <c r="C4845" s="1" t="str">
        <f ca="1">IFERROR(__xludf.DUMMYFUNCTION("GOOGLETRANSLATE(B4893,""en"",""ja"")"),"隠喩的な")</f>
        <v>隠喩的な</v>
      </c>
    </row>
    <row r="4846" spans="1:3" ht="18" customHeight="1" x14ac:dyDescent="0.3">
      <c r="A4846" s="1">
        <v>5</v>
      </c>
      <c r="B4846" s="1" t="s">
        <v>3948</v>
      </c>
      <c r="C4846" s="1" t="str">
        <f ca="1">IFERROR(__xludf.DUMMYFUNCTION("GOOGLETRANSLATE(B4894,""en"",""ja"")"),"金属")</f>
        <v>金属</v>
      </c>
    </row>
    <row r="4847" spans="1:3" ht="18" customHeight="1" x14ac:dyDescent="0.3">
      <c r="A4847" s="1">
        <v>5</v>
      </c>
      <c r="B4847" s="1" t="s">
        <v>3949</v>
      </c>
      <c r="C4847" s="1" t="str">
        <f ca="1">IFERROR(__xludf.DUMMYFUNCTION("GOOGLETRANSLATE(B4895,""en"",""ja"")"),"優劣")</f>
        <v>優劣</v>
      </c>
    </row>
    <row r="4848" spans="1:3" ht="18" customHeight="1" x14ac:dyDescent="0.3">
      <c r="A4848" s="1">
        <v>5</v>
      </c>
      <c r="B4848" s="1" t="s">
        <v>3950</v>
      </c>
      <c r="C4848" s="1" t="str">
        <f ca="1">IFERROR(__xludf.DUMMYFUNCTION("GOOGLETRANSLATE(B4896,""en"",""ja"")"),"言及")</f>
        <v>言及</v>
      </c>
    </row>
    <row r="4849" spans="1:3" ht="18" customHeight="1" x14ac:dyDescent="0.3">
      <c r="A4849" s="1">
        <v>5</v>
      </c>
      <c r="B4849" s="1" t="s">
        <v>404</v>
      </c>
      <c r="C4849" s="1" t="str">
        <f ca="1">IFERROR(__xludf.DUMMYFUNCTION("GOOGLETRANSLATE(B4897,""en"",""ja"")"),"男性")</f>
        <v>男性</v>
      </c>
    </row>
    <row r="4850" spans="1:3" ht="18" customHeight="1" x14ac:dyDescent="0.3">
      <c r="A4850" s="1">
        <v>5</v>
      </c>
      <c r="B4850" s="1" t="s">
        <v>3951</v>
      </c>
      <c r="C4850" s="1" t="str">
        <f ca="1">IFERROR(__xludf.DUMMYFUNCTION("GOOGLETRANSLATE(B4898,""en"",""ja"")"),"記憶")</f>
        <v>記憶</v>
      </c>
    </row>
    <row r="4851" spans="1:3" ht="18" customHeight="1" x14ac:dyDescent="0.3">
      <c r="A4851" s="1">
        <v>5</v>
      </c>
      <c r="B4851" s="1" t="s">
        <v>3952</v>
      </c>
      <c r="C4851" s="1" t="str">
        <f ca="1">IFERROR(__xludf.DUMMYFUNCTION("GOOGLETRANSLATE(B4899,""en"",""ja"")"),"メガシティ")</f>
        <v>メガシティ</v>
      </c>
    </row>
    <row r="4852" spans="1:3" ht="18" customHeight="1" x14ac:dyDescent="0.3">
      <c r="A4852" s="1">
        <v>5</v>
      </c>
      <c r="B4852" s="1" t="s">
        <v>1933</v>
      </c>
      <c r="C4852" s="1" t="str">
        <f ca="1">IFERROR(__xludf.DUMMYFUNCTION("GOOGLETRANSLATE(B4900,""en"",""ja"")"),"会います")</f>
        <v>会います</v>
      </c>
    </row>
    <row r="4853" spans="1:3" ht="18" customHeight="1" x14ac:dyDescent="0.3">
      <c r="A4853" s="1">
        <v>5</v>
      </c>
      <c r="B4853" s="1" t="s">
        <v>3953</v>
      </c>
      <c r="C4853" s="1" t="str">
        <f ca="1">IFERROR(__xludf.DUMMYFUNCTION("GOOGLETRANSLATE(B4901,""en"",""ja"")"),"その間に")</f>
        <v>その間に</v>
      </c>
    </row>
    <row r="4854" spans="1:3" ht="18" customHeight="1" x14ac:dyDescent="0.3">
      <c r="A4854" s="1">
        <v>5</v>
      </c>
      <c r="B4854" s="1" t="s">
        <v>3954</v>
      </c>
      <c r="C4854" s="1" t="str">
        <f ca="1">IFERROR(__xludf.DUMMYFUNCTION("GOOGLETRANSLATE(B4902,""en"",""ja"")"),"マクファーランド")</f>
        <v>マクファーランド</v>
      </c>
    </row>
    <row r="4855" spans="1:3" ht="18" customHeight="1" x14ac:dyDescent="0.3">
      <c r="A4855" s="1">
        <v>5</v>
      </c>
      <c r="B4855" s="1" t="s">
        <v>3955</v>
      </c>
      <c r="C4855" s="1" t="str">
        <f ca="1">IFERROR(__xludf.DUMMYFUNCTION("GOOGLETRANSLATE(B4903,""en"",""ja"")"),"事項")</f>
        <v>事項</v>
      </c>
    </row>
    <row r="4856" spans="1:3" ht="18" customHeight="1" x14ac:dyDescent="0.3">
      <c r="A4856" s="1">
        <v>5</v>
      </c>
      <c r="B4856" s="1" t="s">
        <v>3427</v>
      </c>
      <c r="C4856" s="1" t="str">
        <f ca="1">IFERROR(__xludf.DUMMYFUNCTION("GOOGLETRANSLATE(B4904,""en"",""ja"")"),"マテリアライズ")</f>
        <v>マテリアライズ</v>
      </c>
    </row>
    <row r="4857" spans="1:3" ht="18" customHeight="1" x14ac:dyDescent="0.3">
      <c r="A4857" s="1">
        <v>5</v>
      </c>
      <c r="B4857" s="1" t="s">
        <v>3956</v>
      </c>
      <c r="C4857" s="1" t="str">
        <f ca="1">IFERROR(__xludf.DUMMYFUNCTION("GOOGLETRANSLATE(B4905,""en"",""ja"")"),"メイト")</f>
        <v>メイト</v>
      </c>
    </row>
    <row r="4858" spans="1:3" ht="18" customHeight="1" x14ac:dyDescent="0.3">
      <c r="A4858" s="1">
        <v>5</v>
      </c>
      <c r="B4858" s="1" t="s">
        <v>3957</v>
      </c>
      <c r="C4858" s="1" t="str">
        <f ca="1">IFERROR(__xludf.DUMMYFUNCTION("GOOGLETRANSLATE(B4906,""en"",""ja"")"),"傑作")</f>
        <v>傑作</v>
      </c>
    </row>
    <row r="4859" spans="1:3" ht="18" customHeight="1" x14ac:dyDescent="0.3">
      <c r="A4859" s="1">
        <v>5</v>
      </c>
      <c r="B4859" s="1" t="s">
        <v>3958</v>
      </c>
      <c r="C4859" s="1" t="str">
        <f ca="1">IFERROR(__xludf.DUMMYFUNCTION("GOOGLETRANSLATE(B4907,""en"",""ja"")"),"大規模な")</f>
        <v>大規模な</v>
      </c>
    </row>
    <row r="4860" spans="1:3" ht="18" customHeight="1" x14ac:dyDescent="0.3">
      <c r="A4860" s="1">
        <v>5</v>
      </c>
      <c r="B4860" s="1" t="s">
        <v>3959</v>
      </c>
      <c r="C4860" s="1" t="str">
        <f ca="1">IFERROR(__xludf.DUMMYFUNCTION("GOOGLETRANSLATE(B4908,""en"",""ja"")"),"結婚します")</f>
        <v>結婚します</v>
      </c>
    </row>
    <row r="4861" spans="1:3" ht="18" customHeight="1" x14ac:dyDescent="0.3">
      <c r="A4861" s="1">
        <v>5</v>
      </c>
      <c r="B4861" s="1" t="s">
        <v>3960</v>
      </c>
      <c r="C4861" s="1" t="str">
        <f ca="1">IFERROR(__xludf.DUMMYFUNCTION("GOOGLETRANSLATE(B4909,""en"",""ja"")"),"マリン")</f>
        <v>マリン</v>
      </c>
    </row>
    <row r="4862" spans="1:3" ht="18" customHeight="1" x14ac:dyDescent="0.3">
      <c r="A4862" s="1">
        <v>5</v>
      </c>
      <c r="B4862" s="1" t="s">
        <v>3961</v>
      </c>
      <c r="C4862" s="1" t="str">
        <f ca="1">IFERROR(__xludf.DUMMYFUNCTION("GOOGLETRANSLATE(B4910,""en"",""ja"")"),"加工")</f>
        <v>加工</v>
      </c>
    </row>
    <row r="4863" spans="1:3" ht="18" customHeight="1" x14ac:dyDescent="0.3">
      <c r="A4863" s="1">
        <v>5</v>
      </c>
      <c r="B4863" s="1" t="s">
        <v>1272</v>
      </c>
      <c r="C4863" s="1" t="str">
        <f ca="1">IFERROR(__xludf.DUMMYFUNCTION("GOOGLETRANSLATE(B4911,""en"",""ja"")"),"マニピュレーション")</f>
        <v>マニピュレーション</v>
      </c>
    </row>
    <row r="4864" spans="1:3" ht="18" customHeight="1" x14ac:dyDescent="0.3">
      <c r="A4864" s="1">
        <v>5</v>
      </c>
      <c r="B4864" s="1" t="s">
        <v>3962</v>
      </c>
      <c r="C4864" s="1" t="str">
        <f ca="1">IFERROR(__xludf.DUMMYFUNCTION("GOOGLETRANSLATE(B4912,""en"",""ja"")"),"マンハッタン")</f>
        <v>マンハッタン</v>
      </c>
    </row>
    <row r="4865" spans="1:3" ht="18" customHeight="1" x14ac:dyDescent="0.3">
      <c r="A4865" s="1">
        <v>5</v>
      </c>
      <c r="B4865" s="1" t="s">
        <v>3963</v>
      </c>
      <c r="C4865" s="1" t="str">
        <f ca="1">IFERROR(__xludf.DUMMYFUNCTION("GOOGLETRANSLATE(B4913,""en"",""ja"")"),"哺乳類")</f>
        <v>哺乳類</v>
      </c>
    </row>
    <row r="4866" spans="1:3" ht="18" customHeight="1" x14ac:dyDescent="0.3">
      <c r="A4866" s="1">
        <v>5</v>
      </c>
      <c r="B4866" s="1" t="s">
        <v>1002</v>
      </c>
      <c r="C4866" s="1" t="str">
        <f ca="1">IFERROR(__xludf.DUMMYFUNCTION("GOOGLETRANSLATE(B4914,""en"",""ja"")"),"マガジン")</f>
        <v>マガジン</v>
      </c>
    </row>
    <row r="4867" spans="1:3" ht="18" customHeight="1" x14ac:dyDescent="0.3">
      <c r="A4867" s="1">
        <v>5</v>
      </c>
      <c r="B4867" s="1" t="s">
        <v>3964</v>
      </c>
      <c r="C4867" s="1" t="str">
        <f ca="1">IFERROR(__xludf.DUMMYFUNCTION("GOOGLETRANSLATE(B4915,""en"",""ja"")"),"月面")</f>
        <v>月面</v>
      </c>
    </row>
    <row r="4868" spans="1:3" ht="18" customHeight="1" x14ac:dyDescent="0.3">
      <c r="A4868" s="1">
        <v>5</v>
      </c>
      <c r="B4868" s="1" t="s">
        <v>3965</v>
      </c>
      <c r="C4868" s="1" t="str">
        <f ca="1">IFERROR(__xludf.DUMMYFUNCTION("GOOGLETRANSLATE(B4916,""en"",""ja"")"),"幸運")</f>
        <v>幸運</v>
      </c>
    </row>
    <row r="4869" spans="1:3" ht="18" customHeight="1" x14ac:dyDescent="0.3">
      <c r="A4869" s="1">
        <v>5</v>
      </c>
      <c r="B4869" s="1" t="s">
        <v>312</v>
      </c>
      <c r="C4869" s="1" t="str">
        <f ca="1">IFERROR(__xludf.DUMMYFUNCTION("GOOGLETRANSLATE(B4917,""en"",""ja"")"),"ラブロック")</f>
        <v>ラブロック</v>
      </c>
    </row>
    <row r="4870" spans="1:3" ht="18" customHeight="1" x14ac:dyDescent="0.3">
      <c r="A4870" s="1">
        <v>5</v>
      </c>
      <c r="B4870" s="1" t="s">
        <v>421</v>
      </c>
      <c r="C4870" s="1" t="str">
        <f ca="1">IFERROR(__xludf.DUMMYFUNCTION("GOOGLETRANSLATE(B4918,""en"",""ja"")"),"たくさん")</f>
        <v>たくさん</v>
      </c>
    </row>
    <row r="4871" spans="1:3" ht="18" customHeight="1" x14ac:dyDescent="0.3">
      <c r="A4871" s="1">
        <v>5</v>
      </c>
      <c r="B4871" s="1" t="s">
        <v>1937</v>
      </c>
      <c r="C4871" s="1" t="str">
        <f ca="1">IFERROR(__xludf.DUMMYFUNCTION("GOOGLETRANSLATE(B4919,""en"",""ja"")"),"損失")</f>
        <v>損失</v>
      </c>
    </row>
    <row r="4872" spans="1:3" ht="18" customHeight="1" x14ac:dyDescent="0.3">
      <c r="A4872" s="1">
        <v>5</v>
      </c>
      <c r="B4872" s="1" t="s">
        <v>3441</v>
      </c>
      <c r="C4872" s="1" t="str">
        <f ca="1">IFERROR(__xludf.DUMMYFUNCTION("GOOGLETRANSLATE(B4920,""en"",""ja"")"),"リテラシー")</f>
        <v>リテラシー</v>
      </c>
    </row>
    <row r="4873" spans="1:3" ht="18" customHeight="1" x14ac:dyDescent="0.3">
      <c r="A4873" s="1">
        <v>5</v>
      </c>
      <c r="B4873" s="1" t="s">
        <v>3966</v>
      </c>
      <c r="C4873" s="1" t="str">
        <f ca="1">IFERROR(__xludf.DUMMYFUNCTION("GOOGLETRANSLATE(B4921,""en"",""ja"")"),"系統")</f>
        <v>系統</v>
      </c>
    </row>
    <row r="4874" spans="1:3" ht="18" customHeight="1" x14ac:dyDescent="0.3">
      <c r="A4874" s="1">
        <v>5</v>
      </c>
      <c r="B4874" s="1" t="s">
        <v>3967</v>
      </c>
      <c r="C4874" s="1" t="str">
        <f ca="1">IFERROR(__xludf.DUMMYFUNCTION("GOOGLETRANSLATE(B4922,""en"",""ja"")"),"限界")</f>
        <v>限界</v>
      </c>
    </row>
    <row r="4875" spans="1:3" ht="18" customHeight="1" x14ac:dyDescent="0.3">
      <c r="A4875" s="1">
        <v>5</v>
      </c>
      <c r="B4875" s="1" t="s">
        <v>3968</v>
      </c>
      <c r="C4875" s="1" t="str">
        <f ca="1">IFERROR(__xludf.DUMMYFUNCTION("GOOGLETRANSLATE(B4923,""en"",""ja"")"),"制限")</f>
        <v>制限</v>
      </c>
    </row>
    <row r="4876" spans="1:3" ht="18" customHeight="1" x14ac:dyDescent="0.3">
      <c r="A4876" s="1">
        <v>5</v>
      </c>
      <c r="B4876" s="1" t="s">
        <v>3969</v>
      </c>
      <c r="C4876" s="1" t="str">
        <f ca="1">IFERROR(__xludf.DUMMYFUNCTION("GOOGLETRANSLATE(B4924,""en"",""ja"")"),"同様に")</f>
        <v>同様に</v>
      </c>
    </row>
    <row r="4877" spans="1:3" ht="18" customHeight="1" x14ac:dyDescent="0.3">
      <c r="A4877" s="1">
        <v>5</v>
      </c>
      <c r="B4877" s="1" t="s">
        <v>3970</v>
      </c>
      <c r="C4877" s="1" t="str">
        <f ca="1">IFERROR(__xludf.DUMMYFUNCTION("GOOGLETRANSLATE(B4925,""en"",""ja"")"),"ライト")</f>
        <v>ライト</v>
      </c>
    </row>
    <row r="4878" spans="1:3" ht="18" customHeight="1" x14ac:dyDescent="0.3">
      <c r="A4878" s="1">
        <v>5</v>
      </c>
      <c r="B4878" s="1" t="s">
        <v>3971</v>
      </c>
      <c r="C4878" s="1" t="str">
        <f ca="1">IFERROR(__xludf.DUMMYFUNCTION("GOOGLETRANSLATE(B4926,""en"",""ja"")"),"軽く")</f>
        <v>軽く</v>
      </c>
    </row>
    <row r="4879" spans="1:3" ht="18" customHeight="1" x14ac:dyDescent="0.3">
      <c r="A4879" s="1">
        <v>5</v>
      </c>
      <c r="B4879" s="1" t="s">
        <v>3972</v>
      </c>
      <c r="C4879" s="1" t="str">
        <f ca="1">IFERROR(__xludf.DUMMYFUNCTION("GOOGLETRANSLATE(B4927,""en"",""ja"")"),"文字")</f>
        <v>文字</v>
      </c>
    </row>
    <row r="4880" spans="1:3" ht="18" customHeight="1" x14ac:dyDescent="0.3">
      <c r="A4880" s="1">
        <v>5</v>
      </c>
      <c r="B4880" s="1" t="s">
        <v>3973</v>
      </c>
      <c r="C4880" s="1" t="str">
        <f ca="1">IFERROR(__xludf.DUMMYFUNCTION("GOOGLETRANSLATE(B4928,""en"",""ja"")"),"てみましょう")</f>
        <v>てみましょう</v>
      </c>
    </row>
    <row r="4881" spans="1:3" ht="18" customHeight="1" x14ac:dyDescent="0.3">
      <c r="A4881" s="1">
        <v>5</v>
      </c>
      <c r="B4881" s="1" t="s">
        <v>3974</v>
      </c>
      <c r="C4881" s="1" t="str">
        <f ca="1">IFERROR(__xludf.DUMMYFUNCTION("GOOGLETRANSLATE(B4929,""en"",""ja"")"),"病変")</f>
        <v>病変</v>
      </c>
    </row>
    <row r="4882" spans="1:3" ht="18" customHeight="1" x14ac:dyDescent="0.3">
      <c r="A4882" s="1">
        <v>5</v>
      </c>
      <c r="B4882" s="1" t="s">
        <v>3975</v>
      </c>
      <c r="C4882" s="1" t="str">
        <f ca="1">IFERROR(__xludf.DUMMYFUNCTION("GOOGLETRANSLATE(B4930,""en"",""ja"")"),"正当")</f>
        <v>正当</v>
      </c>
    </row>
    <row r="4883" spans="1:3" ht="18" customHeight="1" x14ac:dyDescent="0.3">
      <c r="A4883" s="1">
        <v>5</v>
      </c>
      <c r="B4883" s="1" t="s">
        <v>3976</v>
      </c>
      <c r="C4883" s="1" t="str">
        <f ca="1">IFERROR(__xludf.DUMMYFUNCTION("GOOGLETRANSLATE(B4931,""en"",""ja"")"),"講義")</f>
        <v>講義</v>
      </c>
    </row>
    <row r="4884" spans="1:3" ht="18" customHeight="1" x14ac:dyDescent="0.3">
      <c r="A4884" s="1">
        <v>5</v>
      </c>
      <c r="B4884" s="1" t="s">
        <v>1359</v>
      </c>
      <c r="C4884" s="1" t="str">
        <f ca="1">IFERROR(__xludf.DUMMYFUNCTION("GOOGLETRANSLATE(B4932,""en"",""ja"")"),"休暇")</f>
        <v>休暇</v>
      </c>
    </row>
    <row r="4885" spans="1:3" ht="18" customHeight="1" x14ac:dyDescent="0.3">
      <c r="A4885" s="1">
        <v>5</v>
      </c>
      <c r="B4885" s="1" t="s">
        <v>3977</v>
      </c>
      <c r="C4885" s="1" t="str">
        <f ca="1">IFERROR(__xludf.DUMMYFUNCTION("GOOGLETRANSLATE(B4933,""en"",""ja"")"),"素人")</f>
        <v>素人</v>
      </c>
    </row>
    <row r="4886" spans="1:3" ht="18" customHeight="1" x14ac:dyDescent="0.3">
      <c r="A4886" s="1">
        <v>5</v>
      </c>
      <c r="B4886" s="1" t="s">
        <v>3978</v>
      </c>
      <c r="C4886" s="1" t="str">
        <f ca="1">IFERROR(__xludf.DUMMYFUNCTION("GOOGLETRANSLATE(B4934,""en"",""ja"")"),"嘆く")</f>
        <v>嘆く</v>
      </c>
    </row>
    <row r="4887" spans="1:3" ht="18" customHeight="1" x14ac:dyDescent="0.3">
      <c r="A4887" s="1">
        <v>5</v>
      </c>
      <c r="B4887" s="1" t="s">
        <v>3979</v>
      </c>
      <c r="C4887" s="1" t="str">
        <f ca="1">IFERROR(__xludf.DUMMYFUNCTION("GOOGLETRANSLATE(B4935,""en"",""ja"")"),"湖")</f>
        <v>湖</v>
      </c>
    </row>
    <row r="4888" spans="1:3" ht="18" customHeight="1" x14ac:dyDescent="0.3">
      <c r="A4888" s="1">
        <v>5</v>
      </c>
      <c r="B4888" s="1" t="s">
        <v>3980</v>
      </c>
      <c r="C4888" s="1" t="str">
        <f ca="1">IFERROR(__xludf.DUMMYFUNCTION("GOOGLETRANSLATE(B4936,""en"",""ja"")"),"欠けています")</f>
        <v>欠けています</v>
      </c>
    </row>
    <row r="4889" spans="1:3" ht="18" customHeight="1" x14ac:dyDescent="0.3">
      <c r="A4889" s="1">
        <v>5</v>
      </c>
      <c r="B4889" s="1" t="s">
        <v>3981</v>
      </c>
      <c r="C4889" s="1" t="str">
        <f ca="1">IFERROR(__xludf.DUMMYFUNCTION("GOOGLETRANSLATE(B4937,""en"",""ja"")"),"ラボ")</f>
        <v>ラボ</v>
      </c>
    </row>
    <row r="4890" spans="1:3" ht="18" customHeight="1" x14ac:dyDescent="0.3">
      <c r="A4890" s="1">
        <v>5</v>
      </c>
      <c r="B4890" s="1" t="s">
        <v>3982</v>
      </c>
      <c r="C4890" s="1" t="str">
        <f ca="1">IFERROR(__xludf.DUMMYFUNCTION("GOOGLETRANSLATE(B4938,""en"",""ja"")"),"公案")</f>
        <v>公案</v>
      </c>
    </row>
    <row r="4891" spans="1:3" ht="18" customHeight="1" x14ac:dyDescent="0.3">
      <c r="A4891" s="1">
        <v>5</v>
      </c>
      <c r="B4891" s="1" t="s">
        <v>671</v>
      </c>
      <c r="C4891" s="1" t="str">
        <f ca="1">IFERROR(__xludf.DUMMYFUNCTION("GOOGLETRANSLATE(B4939,""en"",""ja"")"),"キング")</f>
        <v>キング</v>
      </c>
    </row>
    <row r="4892" spans="1:3" ht="18" customHeight="1" x14ac:dyDescent="0.3">
      <c r="A4892" s="1">
        <v>5</v>
      </c>
      <c r="B4892" s="1" t="s">
        <v>3983</v>
      </c>
      <c r="C4892" s="1" t="str">
        <f ca="1">IFERROR(__xludf.DUMMYFUNCTION("GOOGLETRANSLATE(B4940,""en"",""ja"")"),"殺されました")</f>
        <v>殺されました</v>
      </c>
    </row>
    <row r="4893" spans="1:3" ht="18" customHeight="1" x14ac:dyDescent="0.3">
      <c r="A4893" s="1">
        <v>5</v>
      </c>
      <c r="B4893" s="1" t="s">
        <v>3984</v>
      </c>
      <c r="C4893" s="1" t="str">
        <f ca="1">IFERROR(__xludf.DUMMYFUNCTION("GOOGLETRANSLATE(B4941,""en"",""ja"")"),"続けます")</f>
        <v>続けます</v>
      </c>
    </row>
    <row r="4894" spans="1:3" ht="18" customHeight="1" x14ac:dyDescent="0.3">
      <c r="A4894" s="1">
        <v>5</v>
      </c>
      <c r="B4894" s="1" t="s">
        <v>3985</v>
      </c>
      <c r="C4894" s="1" t="str">
        <f ca="1">IFERROR(__xludf.DUMMYFUNCTION("GOOGLETRANSLATE(B4942,""en"",""ja"")"),"kalliney")</f>
        <v>kalliney</v>
      </c>
    </row>
    <row r="4895" spans="1:3" ht="18" customHeight="1" x14ac:dyDescent="0.3">
      <c r="A4895" s="1">
        <v>5</v>
      </c>
      <c r="B4895" s="1" t="s">
        <v>3986</v>
      </c>
      <c r="C4895" s="1" t="str">
        <f ca="1">IFERROR(__xludf.DUMMYFUNCTION("GOOGLETRANSLATE(B4943,""en"",""ja"")"),"判定")</f>
        <v>判定</v>
      </c>
    </row>
    <row r="4896" spans="1:3" ht="18" customHeight="1" x14ac:dyDescent="0.3">
      <c r="A4896" s="1">
        <v>5</v>
      </c>
      <c r="B4896" s="1" t="s">
        <v>3987</v>
      </c>
      <c r="C4896" s="1" t="str">
        <f ca="1">IFERROR(__xludf.DUMMYFUNCTION("GOOGLETRANSLATE(B4944,""en"",""ja"")"),"旅")</f>
        <v>旅</v>
      </c>
    </row>
    <row r="4897" spans="1:3" ht="18" customHeight="1" x14ac:dyDescent="0.3">
      <c r="A4897" s="1">
        <v>5</v>
      </c>
      <c r="B4897" s="1" t="s">
        <v>3988</v>
      </c>
      <c r="C4897" s="1" t="str">
        <f ca="1">IFERROR(__xludf.DUMMYFUNCTION("GOOGLETRANSLATE(B4945,""en"",""ja"")"),"参加しました")</f>
        <v>参加しました</v>
      </c>
    </row>
    <row r="4898" spans="1:3" ht="18" customHeight="1" x14ac:dyDescent="0.3">
      <c r="A4898" s="1">
        <v>5</v>
      </c>
      <c r="B4898" s="1" t="s">
        <v>3989</v>
      </c>
      <c r="C4898" s="1" t="str">
        <f ca="1">IFERROR(__xludf.DUMMYFUNCTION("GOOGLETRANSLATE(B4946,""en"",""ja"")"),"ジェヴォンズ")</f>
        <v>ジェヴォンズ</v>
      </c>
    </row>
    <row r="4899" spans="1:3" ht="18" customHeight="1" x14ac:dyDescent="0.3">
      <c r="A4899" s="1">
        <v>5</v>
      </c>
      <c r="B4899" s="1" t="s">
        <v>3990</v>
      </c>
      <c r="C4899" s="1" t="str">
        <f ca="1">IFERROR(__xludf.DUMMYFUNCTION("GOOGLETRANSLATE(B4947,""en"",""ja"")"),"ivolunteers")</f>
        <v>ivolunteers</v>
      </c>
    </row>
    <row r="4900" spans="1:3" ht="18" customHeight="1" x14ac:dyDescent="0.3">
      <c r="A4900" s="1">
        <v>5</v>
      </c>
      <c r="B4900" s="1" t="s">
        <v>3991</v>
      </c>
      <c r="C4900" s="1" t="str">
        <f ca="1">IFERROR(__xludf.DUMMYFUNCTION("GOOGLETRANSLATE(B4948,""en"",""ja"")"),"ITIS")</f>
        <v>ITIS</v>
      </c>
    </row>
    <row r="4901" spans="1:3" ht="18" customHeight="1" x14ac:dyDescent="0.3">
      <c r="A4901" s="1">
        <v>5</v>
      </c>
      <c r="B4901" s="1" t="s">
        <v>3992</v>
      </c>
      <c r="C4901" s="1" t="str">
        <f ca="1">IFERROR(__xludf.DUMMYFUNCTION("GOOGLETRANSLATE(B4949,""en"",""ja"")"),"無関係")</f>
        <v>無関係</v>
      </c>
    </row>
    <row r="4902" spans="1:3" ht="18" customHeight="1" x14ac:dyDescent="0.3">
      <c r="A4902" s="1">
        <v>5</v>
      </c>
      <c r="B4902" s="1" t="s">
        <v>3993</v>
      </c>
      <c r="C4902" s="1" t="str">
        <f ca="1">IFERROR(__xludf.DUMMYFUNCTION("GOOGLETRANSLATE(B4950,""en"",""ja"")"),"皮肉に")</f>
        <v>皮肉に</v>
      </c>
    </row>
    <row r="4903" spans="1:3" ht="18" customHeight="1" x14ac:dyDescent="0.3">
      <c r="A4903" s="1">
        <v>5</v>
      </c>
      <c r="B4903" s="1" t="s">
        <v>3994</v>
      </c>
      <c r="C4903" s="1" t="str">
        <f ca="1">IFERROR(__xludf.DUMMYFUNCTION("GOOGLETRANSLATE(B4951,""en"",""ja"")"),"必ず")</f>
        <v>必ず</v>
      </c>
    </row>
    <row r="4904" spans="1:3" ht="18" customHeight="1" x14ac:dyDescent="0.3">
      <c r="A4904" s="1">
        <v>5</v>
      </c>
      <c r="B4904" s="1" t="s">
        <v>3995</v>
      </c>
      <c r="C4904" s="1" t="str">
        <f ca="1">IFERROR(__xludf.DUMMYFUNCTION("GOOGLETRANSLATE(B4952,""en"",""ja"")"),"根暗")</f>
        <v>根暗</v>
      </c>
    </row>
    <row r="4905" spans="1:3" ht="18" customHeight="1" x14ac:dyDescent="0.3">
      <c r="A4905" s="1">
        <v>5</v>
      </c>
      <c r="B4905" s="1" t="s">
        <v>3996</v>
      </c>
      <c r="C4905" s="1" t="str">
        <f ca="1">IFERROR(__xludf.DUMMYFUNCTION("GOOGLETRANSLATE(B4953,""en"",""ja"")"),"内観")</f>
        <v>内観</v>
      </c>
    </row>
    <row r="4906" spans="1:3" ht="18" customHeight="1" x14ac:dyDescent="0.3">
      <c r="A4906" s="1">
        <v>5</v>
      </c>
      <c r="B4906" s="1" t="s">
        <v>3997</v>
      </c>
      <c r="C4906" s="1" t="str">
        <f ca="1">IFERROR(__xludf.DUMMYFUNCTION("GOOGLETRANSLATE(B4954,""en"",""ja"")"),"内在的")</f>
        <v>内在的</v>
      </c>
    </row>
    <row r="4907" spans="1:3" ht="18" customHeight="1" x14ac:dyDescent="0.3">
      <c r="A4907" s="1">
        <v>5</v>
      </c>
      <c r="B4907" s="1" t="s">
        <v>59</v>
      </c>
      <c r="C4907" s="1" t="str">
        <f ca="1">IFERROR(__xludf.DUMMYFUNCTION("GOOGLETRANSLATE(B4955,""en"",""ja"")"),"に")</f>
        <v>に</v>
      </c>
    </row>
    <row r="4908" spans="1:3" ht="18" customHeight="1" x14ac:dyDescent="0.3">
      <c r="A4908" s="1">
        <v>5</v>
      </c>
      <c r="B4908" s="1" t="s">
        <v>3998</v>
      </c>
      <c r="C4908" s="1" t="str">
        <f ca="1">IFERROR(__xludf.DUMMYFUNCTION("GOOGLETRANSLATE(B4956,""en"",""ja"")"),"親密")</f>
        <v>親密</v>
      </c>
    </row>
    <row r="4909" spans="1:3" ht="18" customHeight="1" x14ac:dyDescent="0.3">
      <c r="A4909" s="1">
        <v>5</v>
      </c>
      <c r="B4909" s="1" t="s">
        <v>1277</v>
      </c>
      <c r="C4909" s="1" t="str">
        <f ca="1">IFERROR(__xludf.DUMMYFUNCTION("GOOGLETRANSLATE(B4957,""en"",""ja"")"),"解釈")</f>
        <v>解釈</v>
      </c>
    </row>
    <row r="4910" spans="1:3" ht="18" customHeight="1" x14ac:dyDescent="0.3">
      <c r="A4910" s="1">
        <v>5</v>
      </c>
      <c r="B4910" s="1" t="s">
        <v>3999</v>
      </c>
      <c r="C4910" s="1" t="str">
        <f ca="1">IFERROR(__xludf.DUMMYFUNCTION("GOOGLETRANSLATE(B4958,""en"",""ja"")"),"インターコネクト")</f>
        <v>インターコネクト</v>
      </c>
    </row>
    <row r="4911" spans="1:3" ht="18" customHeight="1" x14ac:dyDescent="0.3">
      <c r="A4911" s="1">
        <v>5</v>
      </c>
      <c r="B4911" s="1" t="s">
        <v>4000</v>
      </c>
      <c r="C4911" s="1" t="str">
        <f ca="1">IFERROR(__xludf.DUMMYFUNCTION("GOOGLETRANSLATE(B4959,""en"",""ja"")"),"インタラクティビティ")</f>
        <v>インタラクティビティ</v>
      </c>
    </row>
    <row r="4912" spans="1:3" ht="18" customHeight="1" x14ac:dyDescent="0.3">
      <c r="A4912" s="1">
        <v>5</v>
      </c>
      <c r="B4912" s="1" t="s">
        <v>1194</v>
      </c>
      <c r="C4912" s="1" t="str">
        <f ca="1">IFERROR(__xludf.DUMMYFUNCTION("GOOGLETRANSLATE(B4960,""en"",""ja"")"),"強化")</f>
        <v>強化</v>
      </c>
    </row>
    <row r="4913" spans="1:3" ht="18" customHeight="1" x14ac:dyDescent="0.3">
      <c r="A4913" s="1">
        <v>5</v>
      </c>
      <c r="B4913" s="1" t="s">
        <v>4001</v>
      </c>
      <c r="C4913" s="1" t="str">
        <f ca="1">IFERROR(__xludf.DUMMYFUNCTION("GOOGLETRANSLATE(B4961,""en"",""ja"")"),"統合")</f>
        <v>統合</v>
      </c>
    </row>
    <row r="4914" spans="1:3" ht="18" customHeight="1" x14ac:dyDescent="0.3">
      <c r="A4914" s="1">
        <v>5</v>
      </c>
      <c r="B4914" s="1" t="s">
        <v>4002</v>
      </c>
      <c r="C4914" s="1" t="str">
        <f ca="1">IFERROR(__xludf.DUMMYFUNCTION("GOOGLETRANSLATE(B4962,""en"",""ja"")"),"説明書")</f>
        <v>説明書</v>
      </c>
    </row>
    <row r="4915" spans="1:3" ht="18" customHeight="1" x14ac:dyDescent="0.3">
      <c r="A4915" s="1">
        <v>5</v>
      </c>
      <c r="B4915" s="1" t="s">
        <v>4003</v>
      </c>
      <c r="C4915" s="1" t="str">
        <f ca="1">IFERROR(__xludf.DUMMYFUNCTION("GOOGLETRANSLATE(B4963,""en"",""ja"")"),"命令")</f>
        <v>命令</v>
      </c>
    </row>
    <row r="4916" spans="1:3" ht="18" customHeight="1" x14ac:dyDescent="0.3">
      <c r="A4916" s="1">
        <v>5</v>
      </c>
      <c r="B4916" s="1" t="s">
        <v>4004</v>
      </c>
      <c r="C4916" s="1" t="str">
        <f ca="1">IFERROR(__xludf.DUMMYFUNCTION("GOOGLETRANSLATE(B4964,""en"",""ja"")"),"植え付けます")</f>
        <v>植え付けます</v>
      </c>
    </row>
    <row r="4917" spans="1:3" ht="18" customHeight="1" x14ac:dyDescent="0.3">
      <c r="A4917" s="1">
        <v>5</v>
      </c>
      <c r="B4917" s="1" t="s">
        <v>4005</v>
      </c>
      <c r="C4917" s="1" t="str">
        <f ca="1">IFERROR(__xludf.DUMMYFUNCTION("GOOGLETRANSLATE(B4965,""en"",""ja"")"),"インストール")</f>
        <v>インストール</v>
      </c>
    </row>
    <row r="4918" spans="1:3" ht="18" customHeight="1" x14ac:dyDescent="0.3">
      <c r="A4918" s="1">
        <v>5</v>
      </c>
      <c r="B4918" s="1" t="s">
        <v>4006</v>
      </c>
      <c r="C4918" s="1" t="str">
        <f ca="1">IFERROR(__xludf.DUMMYFUNCTION("GOOGLETRANSLATE(B4966,""en"",""ja"")"),"推論")</f>
        <v>推論</v>
      </c>
    </row>
    <row r="4919" spans="1:3" ht="18" customHeight="1" x14ac:dyDescent="0.3">
      <c r="A4919" s="1">
        <v>5</v>
      </c>
      <c r="B4919" s="1" t="s">
        <v>4007</v>
      </c>
      <c r="C4919" s="1" t="str">
        <f ca="1">IFERROR(__xludf.DUMMYFUNCTION("GOOGLETRANSLATE(B4967,""en"",""ja"")"),"教え込ま")</f>
        <v>教え込ま</v>
      </c>
    </row>
    <row r="4920" spans="1:3" ht="18" customHeight="1" x14ac:dyDescent="0.3">
      <c r="A4920" s="1">
        <v>5</v>
      </c>
      <c r="B4920" s="1" t="s">
        <v>4008</v>
      </c>
      <c r="C4920" s="1" t="str">
        <f ca="1">IFERROR(__xludf.DUMMYFUNCTION("GOOGLETRANSLATE(B4968,""en"",""ja"")"),"間接の")</f>
        <v>間接の</v>
      </c>
    </row>
    <row r="4921" spans="1:3" ht="18" customHeight="1" x14ac:dyDescent="0.3">
      <c r="A4921" s="1">
        <v>5</v>
      </c>
      <c r="B4921" s="1" t="s">
        <v>4009</v>
      </c>
      <c r="C4921" s="1" t="str">
        <f ca="1">IFERROR(__xludf.DUMMYFUNCTION("GOOGLETRANSLATE(B4969,""en"",""ja"")"),"指標")</f>
        <v>指標</v>
      </c>
    </row>
    <row r="4922" spans="1:3" ht="18" customHeight="1" x14ac:dyDescent="0.3">
      <c r="A4922" s="1">
        <v>5</v>
      </c>
      <c r="B4922" s="1" t="s">
        <v>851</v>
      </c>
      <c r="C4922" s="1" t="str">
        <f ca="1">IFERROR(__xludf.DUMMYFUNCTION("GOOGLETRANSLATE(B4970,""en"",""ja"")"),"示す")</f>
        <v>示す</v>
      </c>
    </row>
    <row r="4923" spans="1:3" ht="18" customHeight="1" x14ac:dyDescent="0.3">
      <c r="A4923" s="1">
        <v>5</v>
      </c>
      <c r="B4923" s="1" t="s">
        <v>4010</v>
      </c>
      <c r="C4923" s="1" t="str">
        <f ca="1">IFERROR(__xludf.DUMMYFUNCTION("GOOGLETRANSLATE(B4971,""en"",""ja"")"),"増分")</f>
        <v>増分</v>
      </c>
    </row>
    <row r="4924" spans="1:3" ht="18" customHeight="1" x14ac:dyDescent="0.3">
      <c r="A4924" s="1">
        <v>5</v>
      </c>
      <c r="B4924" s="1" t="s">
        <v>4011</v>
      </c>
      <c r="C4924" s="1" t="str">
        <f ca="1">IFERROR(__xludf.DUMMYFUNCTION("GOOGLETRANSLATE(B4972,""en"",""ja"")"),"組み込まれて")</f>
        <v>組み込まれて</v>
      </c>
    </row>
    <row r="4925" spans="1:3" ht="18" customHeight="1" x14ac:dyDescent="0.3">
      <c r="A4925" s="1">
        <v>5</v>
      </c>
      <c r="B4925" s="1" t="s">
        <v>3007</v>
      </c>
      <c r="C4925" s="1" t="str">
        <f ca="1">IFERROR(__xludf.DUMMYFUNCTION("GOOGLETRANSLATE(B4973,""en"",""ja"")"),"非互換")</f>
        <v>非互換</v>
      </c>
    </row>
    <row r="4926" spans="1:3" ht="18" customHeight="1" x14ac:dyDescent="0.3">
      <c r="A4926" s="1">
        <v>5</v>
      </c>
      <c r="B4926" s="1" t="s">
        <v>4012</v>
      </c>
      <c r="C4926" s="1" t="str">
        <f ca="1">IFERROR(__xludf.DUMMYFUNCTION("GOOGLETRANSLATE(B4974,""en"",""ja"")"),"偶発")</f>
        <v>偶発</v>
      </c>
    </row>
    <row r="4927" spans="1:3" ht="18" customHeight="1" x14ac:dyDescent="0.3">
      <c r="A4927" s="1">
        <v>5</v>
      </c>
      <c r="B4927" s="1" t="s">
        <v>4013</v>
      </c>
      <c r="C4927" s="1" t="str">
        <f ca="1">IFERROR(__xludf.DUMMYFUNCTION("GOOGLETRANSLATE(B4975,""en"",""ja"")"),"できません")</f>
        <v>できません</v>
      </c>
    </row>
    <row r="4928" spans="1:3" ht="18" customHeight="1" x14ac:dyDescent="0.3">
      <c r="A4928" s="1">
        <v>5</v>
      </c>
      <c r="B4928" s="1" t="s">
        <v>4014</v>
      </c>
      <c r="C4928" s="1" t="str">
        <f ca="1">IFERROR(__xludf.DUMMYFUNCTION("GOOGLETRANSLATE(B4976,""en"",""ja"")"),"衝動")</f>
        <v>衝動</v>
      </c>
    </row>
    <row r="4929" spans="1:3" ht="18" customHeight="1" x14ac:dyDescent="0.3">
      <c r="A4929" s="1">
        <v>5</v>
      </c>
      <c r="B4929" s="1" t="s">
        <v>4015</v>
      </c>
      <c r="C4929" s="1" t="str">
        <f ca="1">IFERROR(__xludf.DUMMYFUNCTION("GOOGLETRANSLATE(B4977,""en"",""ja"")"),"暗黙")</f>
        <v>暗黙</v>
      </c>
    </row>
    <row r="4930" spans="1:3" ht="18" customHeight="1" x14ac:dyDescent="0.3">
      <c r="A4930" s="1">
        <v>5</v>
      </c>
      <c r="B4930" s="1" t="s">
        <v>4016</v>
      </c>
      <c r="C4930" s="1" t="str">
        <f ca="1">IFERROR(__xludf.DUMMYFUNCTION("GOOGLETRANSLATE(B4978,""en"",""ja"")"),"植え込み型")</f>
        <v>植え込み型</v>
      </c>
    </row>
    <row r="4931" spans="1:3" ht="18" customHeight="1" x14ac:dyDescent="0.3">
      <c r="A4931" s="1">
        <v>5</v>
      </c>
      <c r="B4931" s="1" t="s">
        <v>4017</v>
      </c>
      <c r="C4931" s="1" t="str">
        <f ca="1">IFERROR(__xludf.DUMMYFUNCTION("GOOGLETRANSLATE(B4979,""en"",""ja"")"),"インペリアル")</f>
        <v>インペリアル</v>
      </c>
    </row>
    <row r="4932" spans="1:3" ht="18" customHeight="1" x14ac:dyDescent="0.3">
      <c r="A4932" s="1">
        <v>5</v>
      </c>
      <c r="B4932" s="1" t="s">
        <v>852</v>
      </c>
      <c r="C4932" s="1" t="str">
        <f ca="1">IFERROR(__xludf.DUMMYFUNCTION("GOOGLETRANSLATE(B4980,""en"",""ja"")"),"影響")</f>
        <v>影響</v>
      </c>
    </row>
    <row r="4933" spans="1:3" ht="18" customHeight="1" x14ac:dyDescent="0.3">
      <c r="A4933" s="1">
        <v>5</v>
      </c>
      <c r="B4933" s="1" t="s">
        <v>4018</v>
      </c>
      <c r="C4933" s="1" t="str">
        <f ca="1">IFERROR(__xludf.DUMMYFUNCTION("GOOGLETRANSLATE(B4981,""en"",""ja"")"),"模倣者")</f>
        <v>模倣者</v>
      </c>
    </row>
    <row r="4934" spans="1:3" ht="18" customHeight="1" x14ac:dyDescent="0.3">
      <c r="A4934" s="1">
        <v>5</v>
      </c>
      <c r="B4934" s="1" t="s">
        <v>4019</v>
      </c>
      <c r="C4934" s="1" t="str">
        <f ca="1">IFERROR(__xludf.DUMMYFUNCTION("GOOGLETRANSLATE(B4982,""en"",""ja"")"),"想像力")</f>
        <v>想像力</v>
      </c>
    </row>
    <row r="4935" spans="1:3" ht="18" customHeight="1" x14ac:dyDescent="0.3">
      <c r="A4935" s="1">
        <v>5</v>
      </c>
      <c r="B4935" s="1" t="s">
        <v>4020</v>
      </c>
      <c r="C4935" s="1" t="str">
        <f ca="1">IFERROR(__xludf.DUMMYFUNCTION("GOOGLETRANSLATE(B4983,""en"",""ja"")"),"アイデンティティ")</f>
        <v>アイデンティティ</v>
      </c>
    </row>
    <row r="4936" spans="1:3" ht="18" customHeight="1" x14ac:dyDescent="0.3">
      <c r="A4936" s="1">
        <v>5</v>
      </c>
      <c r="B4936" s="1" t="s">
        <v>4021</v>
      </c>
      <c r="C4936" s="1" t="str">
        <f ca="1">IFERROR(__xludf.DUMMYFUNCTION("GOOGLETRANSLATE(B4984,""en"",""ja"")"),"識別")</f>
        <v>識別</v>
      </c>
    </row>
    <row r="4937" spans="1:3" ht="18" customHeight="1" x14ac:dyDescent="0.3">
      <c r="A4937" s="1">
        <v>5</v>
      </c>
      <c r="B4937" s="1" t="s">
        <v>4022</v>
      </c>
      <c r="C4937" s="1" t="str">
        <f ca="1">IFERROR(__xludf.DUMMYFUNCTION("GOOGLETRANSLATE(B4985,""en"",""ja"")"),"毎時")</f>
        <v>毎時</v>
      </c>
    </row>
    <row r="4938" spans="1:3" ht="18" customHeight="1" x14ac:dyDescent="0.3">
      <c r="A4938" s="1">
        <v>5</v>
      </c>
      <c r="B4938" s="1" t="s">
        <v>4023</v>
      </c>
      <c r="C4938" s="1" t="str">
        <f ca="1">IFERROR(__xludf.DUMMYFUNCTION("GOOGLETRANSLATE(B4986,""en"",""ja"")"),"馬")</f>
        <v>馬</v>
      </c>
    </row>
    <row r="4939" spans="1:3" ht="18" customHeight="1" x14ac:dyDescent="0.3">
      <c r="A4939" s="1">
        <v>5</v>
      </c>
      <c r="B4939" s="1" t="s">
        <v>4024</v>
      </c>
      <c r="C4939" s="1" t="str">
        <f ca="1">IFERROR(__xludf.DUMMYFUNCTION("GOOGLETRANSLATE(B4987,""en"",""ja"")"),"ホノルル")</f>
        <v>ホノルル</v>
      </c>
    </row>
    <row r="4940" spans="1:3" ht="18" customHeight="1" x14ac:dyDescent="0.3">
      <c r="A4940" s="1">
        <v>5</v>
      </c>
      <c r="B4940" s="1" t="s">
        <v>4025</v>
      </c>
      <c r="C4940" s="1" t="str">
        <f ca="1">IFERROR(__xludf.DUMMYFUNCTION("GOOGLETRANSLATE(B4988,""en"",""ja"")"),"正直")</f>
        <v>正直</v>
      </c>
    </row>
    <row r="4941" spans="1:3" ht="18" customHeight="1" x14ac:dyDescent="0.3">
      <c r="A4941" s="1">
        <v>5</v>
      </c>
      <c r="B4941" s="1" t="s">
        <v>4026</v>
      </c>
      <c r="C4941" s="1" t="str">
        <f ca="1">IFERROR(__xludf.DUMMYFUNCTION("GOOGLETRANSLATE(B4989,""en"",""ja"")"),"正直な")</f>
        <v>正直な</v>
      </c>
    </row>
    <row r="4942" spans="1:3" ht="18" customHeight="1" x14ac:dyDescent="0.3">
      <c r="A4942" s="1">
        <v>5</v>
      </c>
      <c r="B4942" s="1" t="s">
        <v>577</v>
      </c>
      <c r="C4942" s="1" t="str">
        <f ca="1">IFERROR(__xludf.DUMMYFUNCTION("GOOGLETRANSLATE(B4990,""en"",""ja"")"),"ホールド")</f>
        <v>ホールド</v>
      </c>
    </row>
    <row r="4943" spans="1:3" ht="18" customHeight="1" x14ac:dyDescent="0.3">
      <c r="A4943" s="1">
        <v>5</v>
      </c>
      <c r="B4943" s="1" t="s">
        <v>4027</v>
      </c>
      <c r="C4943" s="1" t="str">
        <f ca="1">IFERROR(__xludf.DUMMYFUNCTION("GOOGLETRANSLATE(B4991,""en"",""ja"")"),"歴史的")</f>
        <v>歴史的</v>
      </c>
    </row>
    <row r="4944" spans="1:3" ht="18" customHeight="1" x14ac:dyDescent="0.3">
      <c r="A4944" s="1">
        <v>5</v>
      </c>
      <c r="B4944" s="1" t="s">
        <v>225</v>
      </c>
      <c r="C4944" s="1" t="str">
        <f ca="1">IFERROR(__xludf.DUMMYFUNCTION("GOOGLETRANSLATE(B4992,""en"",""ja"")"),"彼を")</f>
        <v>彼を</v>
      </c>
    </row>
    <row r="4945" spans="1:3" ht="18" customHeight="1" x14ac:dyDescent="0.3">
      <c r="A4945" s="1">
        <v>5</v>
      </c>
      <c r="B4945" s="1" t="s">
        <v>651</v>
      </c>
      <c r="C4945" s="1" t="str">
        <f ca="1">IFERROR(__xludf.DUMMYFUNCTION("GOOGLETRANSLATE(B4993,""en"",""ja"")"),"熱")</f>
        <v>熱</v>
      </c>
    </row>
    <row r="4946" spans="1:3" ht="18" customHeight="1" x14ac:dyDescent="0.3">
      <c r="A4946" s="1">
        <v>5</v>
      </c>
      <c r="B4946" s="1" t="s">
        <v>4028</v>
      </c>
      <c r="C4946" s="1" t="str">
        <f ca="1">IFERROR(__xludf.DUMMYFUNCTION("GOOGLETRANSLATE(B4994,""en"",""ja"")"),"ハードカバー")</f>
        <v>ハードカバー</v>
      </c>
    </row>
    <row r="4947" spans="1:3" ht="18" customHeight="1" x14ac:dyDescent="0.3">
      <c r="A4947" s="1">
        <v>5</v>
      </c>
      <c r="B4947" s="1" t="s">
        <v>4029</v>
      </c>
      <c r="C4947" s="1" t="str">
        <f ca="1">IFERROR(__xludf.DUMMYFUNCTION("GOOGLETRANSLATE(B4995,""en"",""ja"")"),"生息地")</f>
        <v>生息地</v>
      </c>
    </row>
    <row r="4948" spans="1:3" ht="18" customHeight="1" x14ac:dyDescent="0.3">
      <c r="A4948" s="1">
        <v>5</v>
      </c>
      <c r="B4948" s="1" t="s">
        <v>4030</v>
      </c>
      <c r="C4948" s="1" t="str">
        <f ca="1">IFERROR(__xludf.DUMMYFUNCTION("GOOGLETRANSLATE(B4996,""en"",""ja"")"),"保証")</f>
        <v>保証</v>
      </c>
    </row>
    <row r="4949" spans="1:3" ht="18" customHeight="1" x14ac:dyDescent="0.3">
      <c r="A4949" s="1">
        <v>5</v>
      </c>
      <c r="B4949" s="1" t="s">
        <v>4031</v>
      </c>
      <c r="C4949" s="1" t="str">
        <f ca="1">IFERROR(__xludf.DUMMYFUNCTION("GOOGLETRANSLATE(B4997,""en"",""ja"")"),"模索")</f>
        <v>模索</v>
      </c>
    </row>
    <row r="4950" spans="1:3" ht="18" customHeight="1" x14ac:dyDescent="0.3">
      <c r="A4950" s="1">
        <v>5</v>
      </c>
      <c r="B4950" s="1" t="s">
        <v>4032</v>
      </c>
      <c r="C4950" s="1" t="str">
        <f ca="1">IFERROR(__xludf.DUMMYFUNCTION("GOOGLETRANSLATE(B4998,""en"",""ja"")"),"度胸")</f>
        <v>度胸</v>
      </c>
    </row>
    <row r="4951" spans="1:3" ht="18" customHeight="1" x14ac:dyDescent="0.3">
      <c r="A4951" s="1">
        <v>5</v>
      </c>
      <c r="B4951" s="1" t="s">
        <v>4033</v>
      </c>
      <c r="C4951" s="1" t="str">
        <f ca="1">IFERROR(__xludf.DUMMYFUNCTION("GOOGLETRANSLATE(B4999,""en"",""ja"")"),"墓")</f>
        <v>墓</v>
      </c>
    </row>
    <row r="4952" spans="1:3" ht="18" customHeight="1" x14ac:dyDescent="0.3">
      <c r="A4952" s="1">
        <v>5</v>
      </c>
      <c r="B4952" s="1" t="s">
        <v>4034</v>
      </c>
      <c r="C4952" s="1" t="str">
        <f ca="1">IFERROR(__xludf.DUMMYFUNCTION("GOOGLETRANSLATE(B5000,""en"",""ja"")"),"格闘")</f>
        <v>格闘</v>
      </c>
    </row>
    <row r="4953" spans="1:3" ht="18" customHeight="1" x14ac:dyDescent="0.3">
      <c r="A4953" s="1">
        <v>5</v>
      </c>
      <c r="B4953" s="1" t="s">
        <v>4035</v>
      </c>
      <c r="C4953" s="1" t="str">
        <f ca="1">IFERROR(__xludf.DUMMYFUNCTION("GOOGLETRANSLATE(B5001,""en"",""ja"")"),"善")</f>
        <v>善</v>
      </c>
    </row>
    <row r="4954" spans="1:3" ht="18" customHeight="1" x14ac:dyDescent="0.3">
      <c r="A4954" s="1">
        <v>5</v>
      </c>
      <c r="B4954" s="1" t="s">
        <v>4036</v>
      </c>
      <c r="C4954" s="1" t="str">
        <f ca="1">IFERROR(__xludf.DUMMYFUNCTION("GOOGLETRANSLATE(B5002,""en"",""ja"")"),"グローブ")</f>
        <v>グローブ</v>
      </c>
    </row>
    <row r="4955" spans="1:3" ht="18" customHeight="1" x14ac:dyDescent="0.3">
      <c r="A4955" s="1">
        <v>5</v>
      </c>
      <c r="B4955" s="1" t="s">
        <v>4037</v>
      </c>
      <c r="C4955" s="1" t="str">
        <f ca="1">IFERROR(__xludf.DUMMYFUNCTION("GOOGLETRANSLATE(B5003,""en"",""ja"")"),"グローバリズム")</f>
        <v>グローバリズム</v>
      </c>
    </row>
    <row r="4956" spans="1:3" ht="18" customHeight="1" x14ac:dyDescent="0.3">
      <c r="A4956" s="1">
        <v>5</v>
      </c>
      <c r="B4956" s="1" t="s">
        <v>4038</v>
      </c>
      <c r="C4956" s="1" t="str">
        <f ca="1">IFERROR(__xludf.DUMMYFUNCTION("GOOGLETRANSLATE(B5004,""en"",""ja"")"),"色域")</f>
        <v>色域</v>
      </c>
    </row>
    <row r="4957" spans="1:3" ht="18" customHeight="1" x14ac:dyDescent="0.3">
      <c r="A4957" s="1">
        <v>5</v>
      </c>
      <c r="B4957" s="1" t="s">
        <v>4039</v>
      </c>
      <c r="C4957" s="1" t="str">
        <f ca="1">IFERROR(__xludf.DUMMYFUNCTION("GOOGLETRANSLATE(B5005,""en"",""ja"")"),"利益")</f>
        <v>利益</v>
      </c>
    </row>
    <row r="4958" spans="1:3" ht="18" customHeight="1" x14ac:dyDescent="0.3">
      <c r="A4958" s="1">
        <v>5</v>
      </c>
      <c r="B4958" s="1" t="s">
        <v>1563</v>
      </c>
      <c r="C4958" s="1" t="str">
        <f ca="1">IFERROR(__xludf.DUMMYFUNCTION("GOOGLETRANSLATE(B5006,""en"",""ja"")"),"ガイア")</f>
        <v>ガイア</v>
      </c>
    </row>
    <row r="4959" spans="1:3" ht="18" customHeight="1" x14ac:dyDescent="0.3">
      <c r="A4959" s="1">
        <v>5</v>
      </c>
      <c r="B4959" s="1" t="s">
        <v>4040</v>
      </c>
      <c r="C4959" s="1" t="str">
        <f ca="1">IFERROR(__xludf.DUMMYFUNCTION("GOOGLETRANSLATE(B5007,""en"",""ja"")"),"真菌")</f>
        <v>真菌</v>
      </c>
    </row>
    <row r="4960" spans="1:3" ht="18" customHeight="1" x14ac:dyDescent="0.3">
      <c r="A4960" s="1">
        <v>5</v>
      </c>
      <c r="B4960" s="1" t="s">
        <v>4041</v>
      </c>
      <c r="C4960" s="1" t="str">
        <f ca="1">IFERROR(__xludf.DUMMYFUNCTION("GOOGLETRANSLATE(B5008,""en"",""ja"")"),"周波数")</f>
        <v>周波数</v>
      </c>
    </row>
    <row r="4961" spans="1:3" ht="18" customHeight="1" x14ac:dyDescent="0.3">
      <c r="A4961" s="1">
        <v>5</v>
      </c>
      <c r="B4961" s="1" t="s">
        <v>903</v>
      </c>
      <c r="C4961" s="1" t="str">
        <f ca="1">IFERROR(__xludf.DUMMYFUNCTION("GOOGLETRANSLATE(B5009,""en"",""ja"")"),"フレーム")</f>
        <v>フレーム</v>
      </c>
    </row>
    <row r="4962" spans="1:3" ht="18" customHeight="1" x14ac:dyDescent="0.3">
      <c r="A4962" s="1">
        <v>5</v>
      </c>
      <c r="B4962" s="1" t="s">
        <v>4042</v>
      </c>
      <c r="C4962" s="1" t="str">
        <f ca="1">IFERROR(__xludf.DUMMYFUNCTION("GOOGLETRANSLATE(B5010,""en"",""ja"")"),"形成")</f>
        <v>形成</v>
      </c>
    </row>
    <row r="4963" spans="1:3" ht="18" customHeight="1" x14ac:dyDescent="0.3">
      <c r="A4963" s="1">
        <v>5</v>
      </c>
      <c r="B4963" s="1" t="s">
        <v>4043</v>
      </c>
      <c r="C4963" s="1" t="str">
        <f ca="1">IFERROR(__xludf.DUMMYFUNCTION("GOOGLETRANSLATE(B5011,""en"",""ja"")"),"形成")</f>
        <v>形成</v>
      </c>
    </row>
    <row r="4964" spans="1:3" ht="18" customHeight="1" x14ac:dyDescent="0.3">
      <c r="A4964" s="1">
        <v>5</v>
      </c>
      <c r="B4964" s="1" t="s">
        <v>4044</v>
      </c>
      <c r="C4964" s="1" t="str">
        <f ca="1">IFERROR(__xludf.DUMMYFUNCTION("GOOGLETRANSLATE(B5012,""en"",""ja"")"),"予見")</f>
        <v>予見</v>
      </c>
    </row>
    <row r="4965" spans="1:3" ht="18" customHeight="1" x14ac:dyDescent="0.3">
      <c r="A4965" s="1">
        <v>5</v>
      </c>
      <c r="B4965" s="1" t="s">
        <v>4045</v>
      </c>
      <c r="C4965" s="1" t="str">
        <f ca="1">IFERROR(__xludf.DUMMYFUNCTION("GOOGLETRANSLATE(B5013,""en"",""ja"")"),"フォロワー")</f>
        <v>フォロワー</v>
      </c>
    </row>
    <row r="4966" spans="1:3" ht="18" customHeight="1" x14ac:dyDescent="0.3">
      <c r="A4966" s="1">
        <v>5</v>
      </c>
      <c r="B4966" s="1" t="s">
        <v>3033</v>
      </c>
      <c r="C4966" s="1" t="str">
        <f ca="1">IFERROR(__xludf.DUMMYFUNCTION("GOOGLETRANSLATE(B5014,""en"",""ja"")"),"群れ")</f>
        <v>群れ</v>
      </c>
    </row>
    <row r="4967" spans="1:3" ht="18" customHeight="1" x14ac:dyDescent="0.3">
      <c r="A4967" s="1">
        <v>5</v>
      </c>
      <c r="B4967" s="1" t="s">
        <v>4046</v>
      </c>
      <c r="C4967" s="1" t="str">
        <f ca="1">IFERROR(__xludf.DUMMYFUNCTION("GOOGLETRANSLATE(B5015,""en"",""ja"")"),"フリップ")</f>
        <v>フリップ</v>
      </c>
    </row>
    <row r="4968" spans="1:3" ht="18" customHeight="1" x14ac:dyDescent="0.3">
      <c r="A4968" s="1">
        <v>5</v>
      </c>
      <c r="B4968" s="1" t="s">
        <v>4047</v>
      </c>
      <c r="C4968" s="1" t="str">
        <f ca="1">IFERROR(__xludf.DUMMYFUNCTION("GOOGLETRANSLATE(B5016,""en"",""ja"")"),"修正")</f>
        <v>修正</v>
      </c>
    </row>
    <row r="4969" spans="1:3" ht="18" customHeight="1" x14ac:dyDescent="0.3">
      <c r="A4969" s="1">
        <v>5</v>
      </c>
      <c r="B4969" s="1" t="s">
        <v>1286</v>
      </c>
      <c r="C4969" s="1" t="str">
        <f ca="1">IFERROR(__xludf.DUMMYFUNCTION("GOOGLETRANSLATE(B5017,""en"",""ja"")"),"五")</f>
        <v>五</v>
      </c>
    </row>
    <row r="4970" spans="1:3" ht="18" customHeight="1" x14ac:dyDescent="0.3">
      <c r="A4970" s="1">
        <v>5</v>
      </c>
      <c r="B4970" s="1" t="s">
        <v>4048</v>
      </c>
      <c r="C4970" s="1" t="str">
        <f ca="1">IFERROR(__xludf.DUMMYFUNCTION("GOOGLETRANSLATE(B5018,""en"",""ja"")"),"firsters")</f>
        <v>firsters</v>
      </c>
    </row>
    <row r="4971" spans="1:3" ht="18" customHeight="1" x14ac:dyDescent="0.3">
      <c r="A4971" s="1">
        <v>5</v>
      </c>
      <c r="B4971" s="1" t="s">
        <v>4049</v>
      </c>
      <c r="C4971" s="1" t="str">
        <f ca="1">IFERROR(__xludf.DUMMYFUNCTION("GOOGLETRANSLATE(B5019,""en"",""ja"")"),"指")</f>
        <v>指</v>
      </c>
    </row>
    <row r="4972" spans="1:3" ht="18" customHeight="1" x14ac:dyDescent="0.3">
      <c r="A4972" s="1">
        <v>5</v>
      </c>
      <c r="B4972" s="1" t="s">
        <v>4050</v>
      </c>
      <c r="C4972" s="1" t="str">
        <f ca="1">IFERROR(__xludf.DUMMYFUNCTION("GOOGLETRANSLATE(B5020,""en"",""ja"")"),"ファイナンス")</f>
        <v>ファイナンス</v>
      </c>
    </row>
    <row r="4973" spans="1:3" ht="18" customHeight="1" x14ac:dyDescent="0.3">
      <c r="A4973" s="1">
        <v>5</v>
      </c>
      <c r="B4973" s="1" t="s">
        <v>4051</v>
      </c>
      <c r="C4973" s="1" t="str">
        <f ca="1">IFERROR(__xludf.DUMMYFUNCTION("GOOGLETRANSLATE(B5021,""en"",""ja"")"),"提出")</f>
        <v>提出</v>
      </c>
    </row>
    <row r="4974" spans="1:3" ht="18" customHeight="1" x14ac:dyDescent="0.3">
      <c r="A4974" s="1">
        <v>5</v>
      </c>
      <c r="B4974" s="1" t="s">
        <v>4052</v>
      </c>
      <c r="C4974" s="1" t="str">
        <f ca="1">IFERROR(__xludf.DUMMYFUNCTION("GOOGLETRANSLATE(B5022,""en"",""ja"")"),"考え出します")</f>
        <v>考え出します</v>
      </c>
    </row>
    <row r="4975" spans="1:3" ht="18" customHeight="1" x14ac:dyDescent="0.3">
      <c r="A4975" s="1">
        <v>5</v>
      </c>
      <c r="B4975" s="1" t="s">
        <v>4053</v>
      </c>
      <c r="C4975" s="1" t="str">
        <f ca="1">IFERROR(__xludf.DUMMYFUNCTION("GOOGLETRANSLATE(B5023,""en"",""ja"")"),"フォイエルバッハ")</f>
        <v>フォイエルバッハ</v>
      </c>
    </row>
    <row r="4976" spans="1:3" ht="18" customHeight="1" x14ac:dyDescent="0.3">
      <c r="A4976" s="1">
        <v>5</v>
      </c>
      <c r="B4976" s="1" t="s">
        <v>2715</v>
      </c>
      <c r="C4976" s="1" t="str">
        <f ca="1">IFERROR(__xludf.DUMMYFUNCTION("GOOGLETRANSLATE(B5025,""en"",""ja"")"),"ファーム")</f>
        <v>ファーム</v>
      </c>
    </row>
    <row r="4977" spans="1:3" ht="18" customHeight="1" x14ac:dyDescent="0.3">
      <c r="A4977" s="1">
        <v>5</v>
      </c>
      <c r="B4977" s="1" t="s">
        <v>4054</v>
      </c>
      <c r="C4977" s="1" t="str">
        <f ca="1">IFERROR(__xludf.DUMMYFUNCTION("GOOGLETRANSLATE(B5026,""en"",""ja"")"),"並外れ")</f>
        <v>並外れ</v>
      </c>
    </row>
    <row r="4978" spans="1:3" ht="18" customHeight="1" x14ac:dyDescent="0.3">
      <c r="A4978" s="1">
        <v>5</v>
      </c>
      <c r="B4978" s="1" t="s">
        <v>4055</v>
      </c>
      <c r="C4978" s="1" t="str">
        <f ca="1">IFERROR(__xludf.DUMMYFUNCTION("GOOGLETRANSLATE(B5027,""en"",""ja"")"),"延ばします")</f>
        <v>延ばします</v>
      </c>
    </row>
    <row r="4979" spans="1:3" ht="18" customHeight="1" x14ac:dyDescent="0.3">
      <c r="A4979" s="1">
        <v>5</v>
      </c>
      <c r="B4979" s="1" t="s">
        <v>4056</v>
      </c>
      <c r="C4979" s="1" t="str">
        <f ca="1">IFERROR(__xludf.DUMMYFUNCTION("GOOGLETRANSLATE(B5028,""en"",""ja"")"),"表現")</f>
        <v>表現</v>
      </c>
    </row>
    <row r="4980" spans="1:3" ht="18" customHeight="1" x14ac:dyDescent="0.3">
      <c r="A4980" s="1">
        <v>5</v>
      </c>
      <c r="B4980" s="1" t="s">
        <v>4057</v>
      </c>
      <c r="C4980" s="1" t="str">
        <f ca="1">IFERROR(__xludf.DUMMYFUNCTION("GOOGLETRANSLATE(B5029,""en"",""ja"")"),"表現")</f>
        <v>表現</v>
      </c>
    </row>
    <row r="4981" spans="1:3" ht="18" customHeight="1" x14ac:dyDescent="0.3">
      <c r="A4981" s="1">
        <v>5</v>
      </c>
      <c r="B4981" s="1" t="s">
        <v>2170</v>
      </c>
      <c r="C4981" s="1" t="str">
        <f ca="1">IFERROR(__xludf.DUMMYFUNCTION("GOOGLETRANSLATE(B5030,""en"",""ja"")"),"探検")</f>
        <v>探検</v>
      </c>
    </row>
    <row r="4982" spans="1:3" ht="18" customHeight="1" x14ac:dyDescent="0.3">
      <c r="A4982" s="1">
        <v>5</v>
      </c>
      <c r="B4982" s="1" t="s">
        <v>4058</v>
      </c>
      <c r="C4982" s="1" t="str">
        <f ca="1">IFERROR(__xludf.DUMMYFUNCTION("GOOGLETRANSLATE(B5031,""en"",""ja"")"),"熟練")</f>
        <v>熟練</v>
      </c>
    </row>
    <row r="4983" spans="1:3" ht="18" customHeight="1" x14ac:dyDescent="0.3">
      <c r="A4983" s="1">
        <v>5</v>
      </c>
      <c r="B4983" s="1" t="s">
        <v>4059</v>
      </c>
      <c r="C4983" s="1" t="str">
        <f ca="1">IFERROR(__xludf.DUMMYFUNCTION("GOOGLETRANSLATE(B5032,""en"",""ja"")"),"期待")</f>
        <v>期待</v>
      </c>
    </row>
    <row r="4984" spans="1:3" ht="18" customHeight="1" x14ac:dyDescent="0.3">
      <c r="A4984" s="1">
        <v>5</v>
      </c>
      <c r="B4984" s="1" t="s">
        <v>4060</v>
      </c>
      <c r="C4984" s="1" t="str">
        <f ca="1">IFERROR(__xludf.DUMMYFUNCTION("GOOGLETRANSLATE(B5033,""en"",""ja"")"),"エグゼクティブ")</f>
        <v>エグゼクティブ</v>
      </c>
    </row>
    <row r="4985" spans="1:3" ht="18" customHeight="1" x14ac:dyDescent="0.3">
      <c r="A4985" s="1">
        <v>5</v>
      </c>
      <c r="B4985" s="1" t="s">
        <v>4061</v>
      </c>
      <c r="C4985" s="1" t="str">
        <f ca="1">IFERROR(__xludf.DUMMYFUNCTION("GOOGLETRANSLATE(B5035,""en"",""ja"")"),"実行")</f>
        <v>実行</v>
      </c>
    </row>
    <row r="4986" spans="1:3" ht="18" customHeight="1" x14ac:dyDescent="0.3">
      <c r="A4986" s="1">
        <v>5</v>
      </c>
      <c r="B4986" s="1" t="s">
        <v>4062</v>
      </c>
      <c r="C4986" s="1" t="str">
        <f ca="1">IFERROR(__xludf.DUMMYFUNCTION("GOOGLETRANSLATE(B5036,""en"",""ja"")"),"秀でます")</f>
        <v>秀でます</v>
      </c>
    </row>
    <row r="4987" spans="1:3" ht="18" customHeight="1" x14ac:dyDescent="0.3">
      <c r="A4987" s="1">
        <v>5</v>
      </c>
      <c r="B4987" s="1" t="s">
        <v>4063</v>
      </c>
      <c r="C4987" s="1" t="str">
        <f ca="1">IFERROR(__xludf.DUMMYFUNCTION("GOOGLETRANSLATE(B5038,""en"",""ja"")"),"想起")</f>
        <v>想起</v>
      </c>
    </row>
    <row r="4988" spans="1:3" ht="18" customHeight="1" x14ac:dyDescent="0.3">
      <c r="A4988" s="1">
        <v>5</v>
      </c>
      <c r="B4988" s="1" t="s">
        <v>3571</v>
      </c>
      <c r="C4988" s="1" t="str">
        <f ca="1">IFERROR(__xludf.DUMMYFUNCTION("GOOGLETRANSLATE(B5039,""en"",""ja"")"),"どこにでも")</f>
        <v>どこにでも</v>
      </c>
    </row>
    <row r="4989" spans="1:3" ht="18" customHeight="1" x14ac:dyDescent="0.3">
      <c r="A4989" s="1">
        <v>5</v>
      </c>
      <c r="B4989" s="1" t="s">
        <v>1473</v>
      </c>
      <c r="C4989" s="1" t="str">
        <f ca="1">IFERROR(__xludf.DUMMYFUNCTION("GOOGLETRANSLATE(B5040,""en"",""ja"")"),"全員")</f>
        <v>全員</v>
      </c>
    </row>
    <row r="4990" spans="1:3" ht="18" customHeight="1" x14ac:dyDescent="0.3">
      <c r="A4990" s="1">
        <v>5</v>
      </c>
      <c r="B4990" s="1" t="s">
        <v>4064</v>
      </c>
      <c r="C4990" s="1" t="str">
        <f ca="1">IFERROR(__xludf.DUMMYFUNCTION("GOOGLETRANSLATE(B5041,""en"",""ja"")"),"ethologist")</f>
        <v>ethologist</v>
      </c>
    </row>
    <row r="4991" spans="1:3" ht="18" customHeight="1" x14ac:dyDescent="0.3">
      <c r="A4991" s="1">
        <v>5</v>
      </c>
      <c r="B4991" s="1" t="s">
        <v>4065</v>
      </c>
      <c r="C4991" s="1" t="str">
        <f ca="1">IFERROR(__xludf.DUMMYFUNCTION("GOOGLETRANSLATE(B5042,""en"",""ja"")"),"時代")</f>
        <v>時代</v>
      </c>
    </row>
    <row r="4992" spans="1:3" ht="18" customHeight="1" x14ac:dyDescent="0.3">
      <c r="A4992" s="1">
        <v>5</v>
      </c>
      <c r="B4992" s="1" t="s">
        <v>2731</v>
      </c>
      <c r="C4992" s="1" t="str">
        <f ca="1">IFERROR(__xludf.DUMMYFUNCTION("GOOGLETRANSLATE(B5043,""en"",""ja"")"),"装置")</f>
        <v>装置</v>
      </c>
    </row>
    <row r="4993" spans="1:3" ht="18" customHeight="1" x14ac:dyDescent="0.3">
      <c r="A4993" s="1">
        <v>5</v>
      </c>
      <c r="B4993" s="1" t="s">
        <v>4066</v>
      </c>
      <c r="C4993" s="1" t="str">
        <f ca="1">IFERROR(__xludf.DUMMYFUNCTION("GOOGLETRANSLATE(B5044,""en"",""ja"")"),"方程式")</f>
        <v>方程式</v>
      </c>
    </row>
    <row r="4994" spans="1:3" ht="18" customHeight="1" x14ac:dyDescent="0.3">
      <c r="A4994" s="1">
        <v>5</v>
      </c>
      <c r="B4994" s="1" t="s">
        <v>4067</v>
      </c>
      <c r="C4994" s="1" t="str">
        <f ca="1">IFERROR(__xludf.DUMMYFUNCTION("GOOGLETRANSLATE(B5045,""en"",""ja"")"),"エントロピ")</f>
        <v>エントロピ</v>
      </c>
    </row>
    <row r="4995" spans="1:3" ht="18" customHeight="1" x14ac:dyDescent="0.3">
      <c r="A4995" s="1">
        <v>5</v>
      </c>
      <c r="B4995" s="1" t="s">
        <v>4068</v>
      </c>
      <c r="C4995" s="1" t="str">
        <f ca="1">IFERROR(__xludf.DUMMYFUNCTION("GOOGLETRANSLATE(B5046,""en"",""ja"")"),"エンリッチ")</f>
        <v>エンリッチ</v>
      </c>
    </row>
    <row r="4996" spans="1:3" ht="18" customHeight="1" x14ac:dyDescent="0.3">
      <c r="A4996" s="1">
        <v>5</v>
      </c>
      <c r="B4996" s="1" t="s">
        <v>4069</v>
      </c>
      <c r="C4996" s="1" t="str">
        <f ca="1">IFERROR(__xludf.DUMMYFUNCTION("GOOGLETRANSLATE(B5047,""en"",""ja"")"),"強化")</f>
        <v>強化</v>
      </c>
    </row>
    <row r="4997" spans="1:3" ht="18" customHeight="1" x14ac:dyDescent="0.3">
      <c r="A4997" s="1">
        <v>5</v>
      </c>
      <c r="B4997" s="1" t="s">
        <v>1692</v>
      </c>
      <c r="C4997" s="1" t="str">
        <f ca="1">IFERROR(__xludf.DUMMYFUNCTION("GOOGLETRANSLATE(B5048,""en"",""ja"")"),"英語")</f>
        <v>英語</v>
      </c>
    </row>
    <row r="4998" spans="1:3" ht="18" customHeight="1" x14ac:dyDescent="0.3">
      <c r="A4998" s="1">
        <v>5</v>
      </c>
      <c r="B4998" s="1" t="s">
        <v>4070</v>
      </c>
      <c r="C4998" s="1" t="str">
        <f ca="1">IFERROR(__xludf.DUMMYFUNCTION("GOOGLETRANSLATE(B5049,""en"",""ja"")"),"イングランド")</f>
        <v>イングランド</v>
      </c>
    </row>
    <row r="4999" spans="1:3" ht="18" customHeight="1" x14ac:dyDescent="0.3">
      <c r="A4999" s="1">
        <v>5</v>
      </c>
      <c r="B4999" s="1" t="s">
        <v>4071</v>
      </c>
      <c r="C4999" s="1" t="str">
        <f ca="1">IFERROR(__xludf.DUMMYFUNCTION("GOOGLETRANSLATE(B5050,""en"",""ja"")"),"エンジニア")</f>
        <v>エンジニア</v>
      </c>
    </row>
    <row r="5000" spans="1:3" ht="18" customHeight="1" x14ac:dyDescent="0.3">
      <c r="A5000" s="1">
        <v>5</v>
      </c>
      <c r="B5000" s="1" t="s">
        <v>4072</v>
      </c>
      <c r="C5000" s="1" t="str">
        <f ca="1">IFERROR(__xludf.DUMMYFUNCTION("GOOGLETRANSLATE(B5051,""en"",""ja"")"),"奨励")</f>
        <v>奨励</v>
      </c>
    </row>
    <row r="5001" spans="1:3" ht="18" customHeight="1" x14ac:dyDescent="0.3">
      <c r="A5001" s="1">
        <v>5</v>
      </c>
      <c r="B5001" s="1" t="s">
        <v>4073</v>
      </c>
      <c r="C5001" s="1" t="str">
        <f ca="1">IFERROR(__xludf.DUMMYFUNCTION("GOOGLETRANSLATE(B5052,""en"",""ja"")"),"帝国")</f>
        <v>帝国</v>
      </c>
    </row>
    <row r="5002" spans="1:3" ht="18" customHeight="1" x14ac:dyDescent="0.3">
      <c r="A5002" s="1">
        <v>5</v>
      </c>
      <c r="B5002" s="1" t="s">
        <v>4074</v>
      </c>
      <c r="C5002" s="1" t="str">
        <f ca="1">IFERROR(__xludf.DUMMYFUNCTION("GOOGLETRANSLATE(B5053,""en"",""ja"")"),"具体")</f>
        <v>具体</v>
      </c>
    </row>
    <row r="5003" spans="1:3" ht="18" customHeight="1" x14ac:dyDescent="0.3">
      <c r="A5003" s="1">
        <v>5</v>
      </c>
      <c r="B5003" s="1" t="s">
        <v>4075</v>
      </c>
      <c r="C5003" s="1" t="str">
        <f ca="1">IFERROR(__xludf.DUMMYFUNCTION("GOOGLETRANSLATE(B5054,""en"",""ja"")"),"困らせます")</f>
        <v>困らせます</v>
      </c>
    </row>
    <row r="5004" spans="1:3" ht="18" customHeight="1" x14ac:dyDescent="0.3">
      <c r="A5004" s="1">
        <v>5</v>
      </c>
      <c r="B5004" s="1" t="s">
        <v>4076</v>
      </c>
      <c r="C5004" s="1" t="str">
        <f ca="1">IFERROR(__xludf.DUMMYFUNCTION("GOOGLETRANSLATE(B5055,""en"",""ja"")"),"神出鬼没の")</f>
        <v>神出鬼没の</v>
      </c>
    </row>
    <row r="5005" spans="1:3" ht="18" customHeight="1" x14ac:dyDescent="0.3">
      <c r="A5005" s="1">
        <v>5</v>
      </c>
      <c r="B5005" s="1" t="s">
        <v>4077</v>
      </c>
      <c r="C5005" s="1" t="str">
        <f ca="1">IFERROR(__xludf.DUMMYFUNCTION("GOOGLETRANSLATE(B5056,""en"",""ja"")"),"アインシュタイン")</f>
        <v>アインシュタイン</v>
      </c>
    </row>
    <row r="5006" spans="1:3" ht="18" customHeight="1" x14ac:dyDescent="0.3">
      <c r="A5006" s="1">
        <v>5</v>
      </c>
      <c r="B5006" s="1" t="s">
        <v>4078</v>
      </c>
      <c r="C5006" s="1" t="str">
        <f ca="1">IFERROR(__xludf.DUMMYFUNCTION("GOOGLETRANSLATE(B5057,""en"",""ja"")"),"効果的")</f>
        <v>効果的</v>
      </c>
    </row>
    <row r="5007" spans="1:3" ht="18" customHeight="1" x14ac:dyDescent="0.3">
      <c r="A5007" s="1">
        <v>5</v>
      </c>
      <c r="B5007" s="1" t="s">
        <v>909</v>
      </c>
      <c r="C5007" s="1" t="str">
        <f ca="1">IFERROR(__xludf.DUMMYFUNCTION("GOOGLETRANSLATE(B5058,""en"",""ja"")"),"効果的な")</f>
        <v>効果的な</v>
      </c>
    </row>
    <row r="5008" spans="1:3" ht="18" customHeight="1" x14ac:dyDescent="0.3">
      <c r="A5008" s="1">
        <v>5</v>
      </c>
      <c r="B5008" s="1" t="s">
        <v>4079</v>
      </c>
      <c r="C5008" s="1" t="str">
        <f ca="1">IFERROR(__xludf.DUMMYFUNCTION("GOOGLETRANSLATE(B5059,""en"",""ja"")"),"編集します")</f>
        <v>編集します</v>
      </c>
    </row>
    <row r="5009" spans="1:3" ht="18" customHeight="1" x14ac:dyDescent="0.3">
      <c r="A5009" s="1">
        <v>5</v>
      </c>
      <c r="B5009" s="1" t="s">
        <v>2424</v>
      </c>
      <c r="C5009" s="1" t="str">
        <f ca="1">IFERROR(__xludf.DUMMYFUNCTION("GOOGLETRANSLATE(B5061,""en"",""ja"")"),"縁")</f>
        <v>縁</v>
      </c>
    </row>
    <row r="5010" spans="1:3" ht="18" customHeight="1" x14ac:dyDescent="0.3">
      <c r="A5010" s="1">
        <v>5</v>
      </c>
      <c r="B5010" s="1" t="s">
        <v>4080</v>
      </c>
      <c r="C5010" s="1" t="str">
        <f ca="1">IFERROR(__xludf.DUMMYFUNCTION("GOOGLETRANSLATE(B5062,""en"",""ja"")"),"エコロジー")</f>
        <v>エコロジー</v>
      </c>
    </row>
    <row r="5011" spans="1:3" ht="18" customHeight="1" x14ac:dyDescent="0.3">
      <c r="A5011" s="1">
        <v>5</v>
      </c>
      <c r="B5011" s="1" t="s">
        <v>4081</v>
      </c>
      <c r="C5011" s="1" t="str">
        <f ca="1">IFERROR(__xludf.DUMMYFUNCTION("GOOGLETRANSLATE(B5063,""en"",""ja"")"),"食べる")</f>
        <v>食べる</v>
      </c>
    </row>
    <row r="5012" spans="1:3" ht="18" customHeight="1" x14ac:dyDescent="0.3">
      <c r="A5012" s="1">
        <v>5</v>
      </c>
      <c r="B5012" s="1" t="s">
        <v>4082</v>
      </c>
      <c r="C5012" s="1" t="str">
        <f ca="1">IFERROR(__xludf.DUMMYFUNCTION("GOOGLETRANSLATE(B5064,""en"",""ja"")"),"稼いでいます")</f>
        <v>稼いでいます</v>
      </c>
    </row>
    <row r="5013" spans="1:3" ht="18" customHeight="1" x14ac:dyDescent="0.3">
      <c r="A5013" s="1">
        <v>5</v>
      </c>
      <c r="B5013" s="1" t="s">
        <v>4083</v>
      </c>
      <c r="C5013" s="1" t="str">
        <f ca="1">IFERROR(__xludf.DUMMYFUNCTION("GOOGLETRANSLATE(B5065,""en"",""ja"")"),"獲得しました")</f>
        <v>獲得しました</v>
      </c>
    </row>
    <row r="5014" spans="1:3" ht="18" customHeight="1" x14ac:dyDescent="0.3">
      <c r="A5014" s="1">
        <v>5</v>
      </c>
      <c r="B5014" s="1" t="s">
        <v>4084</v>
      </c>
      <c r="C5014" s="1" t="str">
        <f ca="1">IFERROR(__xludf.DUMMYFUNCTION("GOOGLETRANSLATE(B5066,""en"",""ja"")"),"早いです")</f>
        <v>早いです</v>
      </c>
    </row>
    <row r="5015" spans="1:3" ht="18" customHeight="1" x14ac:dyDescent="0.3">
      <c r="A5015" s="1">
        <v>5</v>
      </c>
      <c r="B5015" s="1" t="s">
        <v>4085</v>
      </c>
      <c r="C5015" s="1" t="str">
        <f ca="1">IFERROR(__xludf.DUMMYFUNCTION("GOOGLETRANSLATE(B5067,""en"",""ja"")"),"ドロップ")</f>
        <v>ドロップ</v>
      </c>
    </row>
    <row r="5016" spans="1:3" ht="18" customHeight="1" x14ac:dyDescent="0.3">
      <c r="A5016" s="1">
        <v>5</v>
      </c>
      <c r="B5016" s="1" t="s">
        <v>4086</v>
      </c>
      <c r="C5016" s="1" t="str">
        <f ca="1">IFERROR(__xludf.DUMMYFUNCTION("GOOGLETRANSLATE(B5068,""en"",""ja"")"),"図面")</f>
        <v>図面</v>
      </c>
    </row>
    <row r="5017" spans="1:3" ht="18" customHeight="1" x14ac:dyDescent="0.3">
      <c r="A5017" s="1">
        <v>5</v>
      </c>
      <c r="B5017" s="1" t="s">
        <v>4087</v>
      </c>
      <c r="C5017" s="1" t="str">
        <f ca="1">IFERROR(__xludf.DUMMYFUNCTION("GOOGLETRANSLATE(B5069,""en"",""ja"")"),"欠点")</f>
        <v>欠点</v>
      </c>
    </row>
    <row r="5018" spans="1:3" ht="18" customHeight="1" x14ac:dyDescent="0.3">
      <c r="A5018" s="1">
        <v>5</v>
      </c>
      <c r="B5018" s="1" t="s">
        <v>4088</v>
      </c>
      <c r="C5018" s="1" t="str">
        <f ca="1">IFERROR(__xludf.DUMMYFUNCTION("GOOGLETRANSLATE(B5070,""en"",""ja"")"),"ドナー")</f>
        <v>ドナー</v>
      </c>
    </row>
    <row r="5019" spans="1:3" ht="18" customHeight="1" x14ac:dyDescent="0.3">
      <c r="A5019" s="1">
        <v>5</v>
      </c>
      <c r="B5019" s="1" t="s">
        <v>4089</v>
      </c>
      <c r="C5019" s="1" t="str">
        <f ca="1">IFERROR(__xludf.DUMMYFUNCTION("GOOGLETRANSLATE(B5071,""en"",""ja"")"),"文書化")</f>
        <v>文書化</v>
      </c>
    </row>
    <row r="5020" spans="1:3" ht="18" customHeight="1" x14ac:dyDescent="0.3">
      <c r="A5020" s="1">
        <v>5</v>
      </c>
      <c r="B5020" s="1" t="s">
        <v>4090</v>
      </c>
      <c r="C5020" s="1" t="str">
        <f ca="1">IFERROR(__xludf.DUMMYFUNCTION("GOOGLETRANSLATE(B5072,""en"",""ja"")"),"分")</f>
        <v>分</v>
      </c>
    </row>
    <row r="5021" spans="1:3" ht="18" customHeight="1" x14ac:dyDescent="0.3">
      <c r="A5021" s="1">
        <v>5</v>
      </c>
      <c r="B5021" s="1" t="s">
        <v>4091</v>
      </c>
      <c r="C5021" s="1" t="str">
        <f ca="1">IFERROR(__xludf.DUMMYFUNCTION("GOOGLETRANSLATE(B5073,""en"",""ja"")"),"不信")</f>
        <v>不信</v>
      </c>
    </row>
    <row r="5022" spans="1:3" ht="18" customHeight="1" x14ac:dyDescent="0.3">
      <c r="A5022" s="1">
        <v>5</v>
      </c>
      <c r="B5022" s="1" t="s">
        <v>2192</v>
      </c>
      <c r="C5022" s="1" t="str">
        <f ca="1">IFERROR(__xludf.DUMMYFUNCTION("GOOGLETRANSLATE(B5074,""en"",""ja"")"),"分布")</f>
        <v>分布</v>
      </c>
    </row>
    <row r="5023" spans="1:3" ht="18" customHeight="1" x14ac:dyDescent="0.3">
      <c r="A5023" s="1">
        <v>5</v>
      </c>
      <c r="B5023" s="1" t="s">
        <v>4092</v>
      </c>
      <c r="C5023" s="1" t="str">
        <f ca="1">IFERROR(__xludf.DUMMYFUNCTION("GOOGLETRANSLATE(B5075,""en"",""ja"")"),"dispositional")</f>
        <v>dispositional</v>
      </c>
    </row>
    <row r="5024" spans="1:3" ht="18" customHeight="1" x14ac:dyDescent="0.3">
      <c r="A5024" s="1">
        <v>5</v>
      </c>
      <c r="B5024" s="1" t="s">
        <v>4093</v>
      </c>
      <c r="C5024" s="1" t="str">
        <f ca="1">IFERROR(__xludf.DUMMYFUNCTION("GOOGLETRANSLATE(B5076,""en"",""ja"")"),"不服従")</f>
        <v>不服従</v>
      </c>
    </row>
    <row r="5025" spans="1:3" ht="18" customHeight="1" x14ac:dyDescent="0.3">
      <c r="A5025" s="1">
        <v>5</v>
      </c>
      <c r="B5025" s="1" t="s">
        <v>4094</v>
      </c>
      <c r="C5025" s="1" t="str">
        <f ca="1">IFERROR(__xludf.DUMMYFUNCTION("GOOGLETRANSLATE(B5077,""en"",""ja"")"),"嫌い")</f>
        <v>嫌い</v>
      </c>
    </row>
    <row r="5026" spans="1:3" ht="18" customHeight="1" x14ac:dyDescent="0.3">
      <c r="A5026" s="1">
        <v>5</v>
      </c>
      <c r="B5026" s="1" t="s">
        <v>4095</v>
      </c>
      <c r="C5026" s="1" t="str">
        <f ca="1">IFERROR(__xludf.DUMMYFUNCTION("GOOGLETRANSLATE(B5078,""en"",""ja"")"),"発見")</f>
        <v>発見</v>
      </c>
    </row>
    <row r="5027" spans="1:3" ht="18" customHeight="1" x14ac:dyDescent="0.3">
      <c r="A5027" s="1">
        <v>5</v>
      </c>
      <c r="B5027" s="1" t="s">
        <v>4096</v>
      </c>
      <c r="C5027" s="1" t="str">
        <f ca="1">IFERROR(__xludf.DUMMYFUNCTION("GOOGLETRANSLATE(B5079,""en"",""ja"")"),"発見")</f>
        <v>発見</v>
      </c>
    </row>
    <row r="5028" spans="1:3" ht="18" customHeight="1" x14ac:dyDescent="0.3">
      <c r="A5028" s="1">
        <v>5</v>
      </c>
      <c r="B5028" s="1" t="s">
        <v>2193</v>
      </c>
      <c r="C5028" s="1" t="str">
        <f ca="1">IFERROR(__xludf.DUMMYFUNCTION("GOOGLETRANSLATE(B5080,""en"",""ja"")"),"発見する")</f>
        <v>発見する</v>
      </c>
    </row>
    <row r="5029" spans="1:3" ht="18" customHeight="1" x14ac:dyDescent="0.3">
      <c r="A5029" s="1">
        <v>5</v>
      </c>
      <c r="B5029" s="1" t="s">
        <v>4097</v>
      </c>
      <c r="C5029" s="1" t="str">
        <f ca="1">IFERROR(__xludf.DUMMYFUNCTION("GOOGLETRANSLATE(B5081,""en"",""ja"")"),"懲戒")</f>
        <v>懲戒</v>
      </c>
    </row>
    <row r="5030" spans="1:3" ht="18" customHeight="1" x14ac:dyDescent="0.3">
      <c r="A5030" s="1">
        <v>5</v>
      </c>
      <c r="B5030" s="1" t="s">
        <v>4098</v>
      </c>
      <c r="C5030" s="1" t="str">
        <f ca="1">IFERROR(__xludf.DUMMYFUNCTION("GOOGLETRANSLATE(B5082,""en"",""ja"")"),"不利益")</f>
        <v>不利益</v>
      </c>
    </row>
    <row r="5031" spans="1:3" ht="18" customHeight="1" x14ac:dyDescent="0.3">
      <c r="A5031" s="1">
        <v>5</v>
      </c>
      <c r="B5031" s="1" t="s">
        <v>4099</v>
      </c>
      <c r="C5031" s="1" t="str">
        <f ca="1">IFERROR(__xludf.DUMMYFUNCTION("GOOGLETRANSLATE(B5083,""en"",""ja"")"),"DIS")</f>
        <v>DIS</v>
      </c>
    </row>
    <row r="5032" spans="1:3" ht="18" customHeight="1" x14ac:dyDescent="0.3">
      <c r="A5032" s="1">
        <v>5</v>
      </c>
      <c r="B5032" s="1" t="s">
        <v>4100</v>
      </c>
      <c r="C5032" s="1" t="str">
        <f ca="1">IFERROR(__xludf.DUMMYFUNCTION("GOOGLETRANSLATE(B5084,""en"",""ja"")"),"外交的")</f>
        <v>外交的</v>
      </c>
    </row>
    <row r="5033" spans="1:3" ht="18" customHeight="1" x14ac:dyDescent="0.3">
      <c r="A5033" s="1">
        <v>5</v>
      </c>
      <c r="B5033" s="1" t="s">
        <v>4101</v>
      </c>
      <c r="C5033" s="1" t="str">
        <f ca="1">IFERROR(__xludf.DUMMYFUNCTION("GOOGLETRANSLATE(B5085,""en"",""ja"")"),"減少")</f>
        <v>減少</v>
      </c>
    </row>
    <row r="5034" spans="1:3" ht="18" customHeight="1" x14ac:dyDescent="0.3">
      <c r="A5034" s="1">
        <v>5</v>
      </c>
      <c r="B5034" s="1" t="s">
        <v>4102</v>
      </c>
      <c r="C5034" s="1" t="str">
        <f ca="1">IFERROR(__xludf.DUMMYFUNCTION("GOOGLETRANSLATE(B5086,""en"",""ja"")"),"デジタル")</f>
        <v>デジタル</v>
      </c>
    </row>
    <row r="5035" spans="1:3" ht="18" customHeight="1" x14ac:dyDescent="0.3">
      <c r="A5035" s="1">
        <v>5</v>
      </c>
      <c r="B5035" s="1" t="s">
        <v>4103</v>
      </c>
      <c r="C5035" s="1" t="str">
        <f ca="1">IFERROR(__xludf.DUMMYFUNCTION("GOOGLETRANSLATE(B5087,""en"",""ja"")"),"独裁")</f>
        <v>独裁</v>
      </c>
    </row>
    <row r="5036" spans="1:3" ht="18" customHeight="1" x14ac:dyDescent="0.3">
      <c r="A5036" s="1">
        <v>5</v>
      </c>
      <c r="B5036" s="1" t="s">
        <v>4104</v>
      </c>
      <c r="C5036" s="1" t="str">
        <f ca="1">IFERROR(__xludf.DUMMYFUNCTION("GOOGLETRANSLATE(B5088,""en"",""ja"")"),"口述")</f>
        <v>口述</v>
      </c>
    </row>
    <row r="5037" spans="1:3" ht="18" customHeight="1" x14ac:dyDescent="0.3">
      <c r="A5037" s="1">
        <v>5</v>
      </c>
      <c r="B5037" s="1" t="s">
        <v>4105</v>
      </c>
      <c r="C5037" s="1" t="str">
        <f ca="1">IFERROR(__xludf.DUMMYFUNCTION("GOOGLETRANSLATE(B5089,""en"",""ja"")"),"献身的な")</f>
        <v>献身的な</v>
      </c>
    </row>
    <row r="5038" spans="1:3" ht="18" customHeight="1" x14ac:dyDescent="0.3">
      <c r="A5038" s="1">
        <v>5</v>
      </c>
      <c r="B5038" s="1" t="s">
        <v>2196</v>
      </c>
      <c r="C5038" s="1" t="str">
        <f ca="1">IFERROR(__xludf.DUMMYFUNCTION("GOOGLETRANSLATE(B5090,""en"",""ja"")"),"定めます")</f>
        <v>定めます</v>
      </c>
    </row>
    <row r="5039" spans="1:3" ht="18" customHeight="1" x14ac:dyDescent="0.3">
      <c r="A5039" s="1">
        <v>5</v>
      </c>
      <c r="B5039" s="1" t="s">
        <v>4106</v>
      </c>
      <c r="C5039" s="1" t="str">
        <f ca="1">IFERROR(__xludf.DUMMYFUNCTION("GOOGLETRANSLATE(B5091,""en"",""ja"")"),"検出されました")</f>
        <v>検出されました</v>
      </c>
    </row>
    <row r="5040" spans="1:3" ht="18" customHeight="1" x14ac:dyDescent="0.3">
      <c r="A5040" s="1">
        <v>5</v>
      </c>
      <c r="B5040" s="1" t="s">
        <v>2197</v>
      </c>
      <c r="C5040" s="1" t="str">
        <f ca="1">IFERROR(__xludf.DUMMYFUNCTION("GOOGLETRANSLATE(B5092,""en"",""ja"")"),"検出")</f>
        <v>検出</v>
      </c>
    </row>
    <row r="5041" spans="1:3" ht="18" customHeight="1" x14ac:dyDescent="0.3">
      <c r="A5041" s="1">
        <v>5</v>
      </c>
      <c r="B5041" s="1" t="s">
        <v>4107</v>
      </c>
      <c r="C5041" s="1" t="str">
        <f ca="1">IFERROR(__xludf.DUMMYFUNCTION("GOOGLETRANSLATE(B5093,""en"",""ja"")"),"詳細")</f>
        <v>詳細</v>
      </c>
    </row>
    <row r="5042" spans="1:3" ht="18" customHeight="1" x14ac:dyDescent="0.3">
      <c r="A5042" s="1">
        <v>5</v>
      </c>
      <c r="B5042" s="1" t="s">
        <v>595</v>
      </c>
      <c r="C5042" s="1" t="str">
        <f ca="1">IFERROR(__xludf.DUMMYFUNCTION("GOOGLETRANSLATE(B5094,""en"",""ja"")"),"にもかかわらず")</f>
        <v>にもかかわらず</v>
      </c>
    </row>
    <row r="5043" spans="1:3" ht="18" customHeight="1" x14ac:dyDescent="0.3">
      <c r="A5043" s="1">
        <v>5</v>
      </c>
      <c r="B5043" s="1" t="s">
        <v>4108</v>
      </c>
      <c r="C5043" s="1" t="str">
        <f ca="1">IFERROR(__xludf.DUMMYFUNCTION("GOOGLETRANSLATE(B5095,""en"",""ja"")"),"絶望")</f>
        <v>絶望</v>
      </c>
    </row>
    <row r="5044" spans="1:3" ht="18" customHeight="1" x14ac:dyDescent="0.3">
      <c r="A5044" s="1">
        <v>5</v>
      </c>
      <c r="B5044" s="1" t="s">
        <v>4109</v>
      </c>
      <c r="C5044" s="1" t="str">
        <f ca="1">IFERROR(__xludf.DUMMYFUNCTION("GOOGLETRANSLATE(B5096,""en"",""ja"")"),"机")</f>
        <v>机</v>
      </c>
    </row>
    <row r="5045" spans="1:3" ht="18" customHeight="1" x14ac:dyDescent="0.3">
      <c r="A5045" s="1">
        <v>5</v>
      </c>
      <c r="B5045" s="1" t="s">
        <v>2756</v>
      </c>
      <c r="C5045" s="1" t="str">
        <f ca="1">IFERROR(__xludf.DUMMYFUNCTION("GOOGLETRANSLATE(B5097,""en"",""ja"")"),"説明")</f>
        <v>説明</v>
      </c>
    </row>
    <row r="5046" spans="1:3" ht="18" customHeight="1" x14ac:dyDescent="0.3">
      <c r="A5046" s="1">
        <v>5</v>
      </c>
      <c r="B5046" s="1" t="s">
        <v>4110</v>
      </c>
      <c r="C5046" s="1" t="str">
        <f ca="1">IFERROR(__xludf.DUMMYFUNCTION("GOOGLETRANSLATE(B5098,""en"",""ja"")"),"記述")</f>
        <v>記述</v>
      </c>
    </row>
    <row r="5047" spans="1:3" ht="18" customHeight="1" x14ac:dyDescent="0.3">
      <c r="A5047" s="1">
        <v>5</v>
      </c>
      <c r="B5047" s="1" t="s">
        <v>4111</v>
      </c>
      <c r="C5047" s="1" t="str">
        <f ca="1">IFERROR(__xludf.DUMMYFUNCTION("GOOGLETRANSLATE(B5099,""en"",""ja"")"),"深さ")</f>
        <v>深さ</v>
      </c>
    </row>
    <row r="5048" spans="1:3" ht="18" customHeight="1" x14ac:dyDescent="0.3">
      <c r="A5048" s="1">
        <v>5</v>
      </c>
      <c r="B5048" s="1" t="s">
        <v>4112</v>
      </c>
      <c r="C5048" s="1" t="str">
        <f ca="1">IFERROR(__xludf.DUMMYFUNCTION("GOOGLETRANSLATE(B5100,""en"",""ja"")"),"依存")</f>
        <v>依存</v>
      </c>
    </row>
    <row r="5049" spans="1:3" ht="18" customHeight="1" x14ac:dyDescent="0.3">
      <c r="A5049" s="1">
        <v>5</v>
      </c>
      <c r="B5049" s="1" t="s">
        <v>4113</v>
      </c>
      <c r="C5049" s="1" t="str">
        <f ca="1">IFERROR(__xludf.DUMMYFUNCTION("GOOGLETRANSLATE(B5101,""en"",""ja"")"),"密度")</f>
        <v>密度</v>
      </c>
    </row>
    <row r="5050" spans="1:3" ht="18" customHeight="1" x14ac:dyDescent="0.3">
      <c r="A5050" s="1">
        <v>5</v>
      </c>
      <c r="B5050" s="1" t="s">
        <v>4114</v>
      </c>
      <c r="C5050" s="1" t="str">
        <f ca="1">IFERROR(__xludf.DUMMYFUNCTION("GOOGLETRANSLATE(B5102,""en"",""ja"")"),"demott")</f>
        <v>demott</v>
      </c>
    </row>
    <row r="5051" spans="1:3" ht="18" customHeight="1" x14ac:dyDescent="0.3">
      <c r="A5051" s="1">
        <v>5</v>
      </c>
      <c r="B5051" s="1" t="s">
        <v>4115</v>
      </c>
      <c r="C5051" s="1" t="str">
        <f ca="1">IFERROR(__xludf.DUMMYFUNCTION("GOOGLETRANSLATE(B5103,""en"",""ja"")"),"立証")</f>
        <v>立証</v>
      </c>
    </row>
    <row r="5052" spans="1:3" ht="18" customHeight="1" x14ac:dyDescent="0.3">
      <c r="A5052" s="1">
        <v>5</v>
      </c>
      <c r="B5052" s="1" t="s">
        <v>4116</v>
      </c>
      <c r="C5052" s="1" t="str">
        <f ca="1">IFERROR(__xludf.DUMMYFUNCTION("GOOGLETRANSLATE(B5104,""en"",""ja"")"),"妄想")</f>
        <v>妄想</v>
      </c>
    </row>
    <row r="5053" spans="1:3" ht="18" customHeight="1" x14ac:dyDescent="0.3">
      <c r="A5053" s="1">
        <v>5</v>
      </c>
      <c r="B5053" s="1" t="s">
        <v>4117</v>
      </c>
      <c r="C5053" s="1" t="str">
        <f ca="1">IFERROR(__xludf.DUMMYFUNCTION("GOOGLETRANSLATE(B5105,""en"",""ja"")"),"絶対に")</f>
        <v>絶対に</v>
      </c>
    </row>
    <row r="5054" spans="1:3" ht="18" customHeight="1" x14ac:dyDescent="0.3">
      <c r="A5054" s="1">
        <v>5</v>
      </c>
      <c r="B5054" s="1" t="s">
        <v>4118</v>
      </c>
      <c r="C5054" s="1" t="str">
        <f ca="1">IFERROR(__xludf.DUMMYFUNCTION("GOOGLETRANSLATE(B5106,""en"",""ja"")"),"数十年")</f>
        <v>数十年</v>
      </c>
    </row>
    <row r="5055" spans="1:3" ht="18" customHeight="1" x14ac:dyDescent="0.3">
      <c r="A5055" s="1">
        <v>5</v>
      </c>
      <c r="B5055" s="1" t="s">
        <v>4119</v>
      </c>
      <c r="C5055" s="1" t="str">
        <f ca="1">IFERROR(__xludf.DUMMYFUNCTION("GOOGLETRANSLATE(B5107,""en"",""ja"")"),"デッド")</f>
        <v>デッド</v>
      </c>
    </row>
    <row r="5056" spans="1:3" ht="18" customHeight="1" x14ac:dyDescent="0.3">
      <c r="A5056" s="1">
        <v>5</v>
      </c>
      <c r="B5056" s="1" t="s">
        <v>2436</v>
      </c>
      <c r="C5056" s="1" t="str">
        <f ca="1">IFERROR(__xludf.DUMMYFUNCTION("GOOGLETRANSLATE(B5108,""en"",""ja"")"),"ダビデ")</f>
        <v>ダビデ</v>
      </c>
    </row>
    <row r="5057" spans="1:3" ht="18" customHeight="1" x14ac:dyDescent="0.3">
      <c r="A5057" s="1">
        <v>5</v>
      </c>
      <c r="B5057" s="1" t="s">
        <v>4120</v>
      </c>
      <c r="C5057" s="1" t="str">
        <f ca="1">IFERROR(__xludf.DUMMYFUNCTION("GOOGLETRANSLATE(B5109,""en"",""ja"")"),"日付")</f>
        <v>日付</v>
      </c>
    </row>
    <row r="5058" spans="1:3" ht="18" customHeight="1" x14ac:dyDescent="0.3">
      <c r="A5058" s="1">
        <v>5</v>
      </c>
      <c r="B5058" s="1" t="s">
        <v>4121</v>
      </c>
      <c r="C5058" s="1" t="str">
        <f ca="1">IFERROR(__xludf.DUMMYFUNCTION("GOOGLETRANSLATE(B5110,""en"",""ja"")"),"袖口")</f>
        <v>袖口</v>
      </c>
    </row>
    <row r="5059" spans="1:3" ht="18" customHeight="1" x14ac:dyDescent="0.3">
      <c r="A5059" s="1">
        <v>5</v>
      </c>
      <c r="B5059" s="1" t="s">
        <v>4122</v>
      </c>
      <c r="C5059" s="1" t="str">
        <f ca="1">IFERROR(__xludf.DUMMYFUNCTION("GOOGLETRANSLATE(B5111,""en"",""ja"")"),"収穫")</f>
        <v>収穫</v>
      </c>
    </row>
    <row r="5060" spans="1:3" ht="18" customHeight="1" x14ac:dyDescent="0.3">
      <c r="A5060" s="1">
        <v>5</v>
      </c>
      <c r="B5060" s="1" t="s">
        <v>4123</v>
      </c>
      <c r="C5060" s="1" t="str">
        <f ca="1">IFERROR(__xludf.DUMMYFUNCTION("GOOGLETRANSLATE(B5113,""en"",""ja"")"),"批判します")</f>
        <v>批判します</v>
      </c>
    </row>
    <row r="5061" spans="1:3" ht="18" customHeight="1" x14ac:dyDescent="0.3">
      <c r="A5061" s="1">
        <v>5</v>
      </c>
      <c r="B5061" s="1" t="s">
        <v>4124</v>
      </c>
      <c r="C5061" s="1" t="str">
        <f ca="1">IFERROR(__xludf.DUMMYFUNCTION("GOOGLETRANSLATE(B5114,""en"",""ja"")"),"クラフト")</f>
        <v>クラフト</v>
      </c>
    </row>
    <row r="5062" spans="1:3" ht="18" customHeight="1" x14ac:dyDescent="0.3">
      <c r="A5062" s="1">
        <v>5</v>
      </c>
      <c r="B5062" s="1" t="s">
        <v>4125</v>
      </c>
      <c r="C5062" s="1" t="str">
        <f ca="1">IFERROR(__xludf.DUMMYFUNCTION("GOOGLETRANSLATE(B5115,""en"",""ja"")"),"相関")</f>
        <v>相関</v>
      </c>
    </row>
    <row r="5063" spans="1:3" ht="18" customHeight="1" x14ac:dyDescent="0.3">
      <c r="A5063" s="1">
        <v>5</v>
      </c>
      <c r="B5063" s="1" t="s">
        <v>4126</v>
      </c>
      <c r="C5063" s="1" t="str">
        <f ca="1">IFERROR(__xludf.DUMMYFUNCTION("GOOGLETRANSLATE(B5117,""en"",""ja"")"),"正し")</f>
        <v>正し</v>
      </c>
    </row>
    <row r="5064" spans="1:3" ht="18" customHeight="1" x14ac:dyDescent="0.3">
      <c r="A5064" s="1">
        <v>5</v>
      </c>
      <c r="B5064" s="1" t="s">
        <v>4127</v>
      </c>
      <c r="C5064" s="1" t="str">
        <f ca="1">IFERROR(__xludf.DUMMYFUNCTION("GOOGLETRANSLATE(B5118,""en"",""ja"")"),"コーラル")</f>
        <v>コーラル</v>
      </c>
    </row>
    <row r="5065" spans="1:3" ht="18" customHeight="1" x14ac:dyDescent="0.3">
      <c r="A5065" s="1">
        <v>5</v>
      </c>
      <c r="B5065" s="1" t="s">
        <v>4128</v>
      </c>
      <c r="C5065" s="1" t="str">
        <f ca="1">IFERROR(__xludf.DUMMYFUNCTION("GOOGLETRANSLATE(B5119,""en"",""ja"")"),"連携")</f>
        <v>連携</v>
      </c>
    </row>
    <row r="5066" spans="1:3" ht="18" customHeight="1" x14ac:dyDescent="0.3">
      <c r="A5066" s="1">
        <v>5</v>
      </c>
      <c r="B5066" s="1" t="s">
        <v>4129</v>
      </c>
      <c r="C5066" s="1" t="str">
        <f ca="1">IFERROR(__xludf.DUMMYFUNCTION("GOOGLETRANSLATE(B5120,""en"",""ja"")"),"会話")</f>
        <v>会話</v>
      </c>
    </row>
    <row r="5067" spans="1:3" ht="18" customHeight="1" x14ac:dyDescent="0.3">
      <c r="A5067" s="1">
        <v>5</v>
      </c>
      <c r="B5067" s="1" t="s">
        <v>4130</v>
      </c>
      <c r="C5067" s="1" t="str">
        <f ca="1">IFERROR(__xludf.DUMMYFUNCTION("GOOGLETRANSLATE(B5121,""en"",""ja"")"),"貢献")</f>
        <v>貢献</v>
      </c>
    </row>
    <row r="5068" spans="1:3" ht="18" customHeight="1" x14ac:dyDescent="0.3">
      <c r="A5068" s="1">
        <v>5</v>
      </c>
      <c r="B5068" s="1" t="s">
        <v>4131</v>
      </c>
      <c r="C5068" s="1" t="str">
        <f ca="1">IFERROR(__xludf.DUMMYFUNCTION("GOOGLETRANSLATE(B5122,""en"",""ja"")"),"寄与")</f>
        <v>寄与</v>
      </c>
    </row>
    <row r="5069" spans="1:3" ht="18" customHeight="1" x14ac:dyDescent="0.3">
      <c r="A5069" s="1">
        <v>5</v>
      </c>
      <c r="B5069" s="1" t="s">
        <v>4132</v>
      </c>
      <c r="C5069" s="1" t="str">
        <f ca="1">IFERROR(__xludf.DUMMYFUNCTION("GOOGLETRANSLATE(B5123,""en"",""ja"")"),"矛盾します")</f>
        <v>矛盾します</v>
      </c>
    </row>
    <row r="5070" spans="1:3" ht="18" customHeight="1" x14ac:dyDescent="0.3">
      <c r="A5070" s="1">
        <v>5</v>
      </c>
      <c r="B5070" s="1" t="s">
        <v>4133</v>
      </c>
      <c r="C5070" s="1" t="str">
        <f ca="1">IFERROR(__xludf.DUMMYFUNCTION("GOOGLETRANSLATE(B5124,""en"",""ja"")"),"矛盾")</f>
        <v>矛盾</v>
      </c>
    </row>
    <row r="5071" spans="1:3" ht="18" customHeight="1" x14ac:dyDescent="0.3">
      <c r="A5071" s="1">
        <v>5</v>
      </c>
      <c r="B5071" s="1" t="s">
        <v>4134</v>
      </c>
      <c r="C5071" s="1" t="str">
        <f ca="1">IFERROR(__xludf.DUMMYFUNCTION("GOOGLETRANSLATE(B5125,""en"",""ja"")"),"大陸")</f>
        <v>大陸</v>
      </c>
    </row>
    <row r="5072" spans="1:3" ht="18" customHeight="1" x14ac:dyDescent="0.3">
      <c r="A5072" s="1">
        <v>5</v>
      </c>
      <c r="B5072" s="1" t="s">
        <v>4135</v>
      </c>
      <c r="C5072" s="1" t="str">
        <f ca="1">IFERROR(__xludf.DUMMYFUNCTION("GOOGLETRANSLATE(B5126,""en"",""ja"")"),"含まれています")</f>
        <v>含まれています</v>
      </c>
    </row>
    <row r="5073" spans="1:3" ht="18" customHeight="1" x14ac:dyDescent="0.3">
      <c r="A5073" s="1">
        <v>5</v>
      </c>
      <c r="B5073" s="1" t="s">
        <v>1845</v>
      </c>
      <c r="C5073" s="1" t="str">
        <f ca="1">IFERROR(__xludf.DUMMYFUNCTION("GOOGLETRANSLATE(B5127,""en"",""ja"")"),"連絡先")</f>
        <v>連絡先</v>
      </c>
    </row>
    <row r="5074" spans="1:3" ht="18" customHeight="1" x14ac:dyDescent="0.3">
      <c r="A5074" s="1">
        <v>5</v>
      </c>
      <c r="B5074" s="1" t="s">
        <v>4136</v>
      </c>
      <c r="C5074" s="1" t="str">
        <f ca="1">IFERROR(__xludf.DUMMYFUNCTION("GOOGLETRANSLATE(B5128,""en"",""ja"")"),"コンサルタント")</f>
        <v>コンサルタント</v>
      </c>
    </row>
    <row r="5075" spans="1:3" ht="18" customHeight="1" x14ac:dyDescent="0.3">
      <c r="A5075" s="1">
        <v>5</v>
      </c>
      <c r="B5075" s="1" t="s">
        <v>4137</v>
      </c>
      <c r="C5075" s="1" t="str">
        <f ca="1">IFERROR(__xludf.DUMMYFUNCTION("GOOGLETRANSLATE(B5129,""en"",""ja"")"),"構文")</f>
        <v>構文</v>
      </c>
    </row>
    <row r="5076" spans="1:3" ht="18" customHeight="1" x14ac:dyDescent="0.3">
      <c r="A5076" s="1">
        <v>5</v>
      </c>
      <c r="B5076" s="1" t="s">
        <v>4138</v>
      </c>
      <c r="C5076" s="1" t="str">
        <f ca="1">IFERROR(__xludf.DUMMYFUNCTION("GOOGLETRANSLATE(B5130,""en"",""ja"")"),"目立ちます")</f>
        <v>目立ちます</v>
      </c>
    </row>
    <row r="5077" spans="1:3" ht="18" customHeight="1" x14ac:dyDescent="0.3">
      <c r="A5077" s="1">
        <v>5</v>
      </c>
      <c r="B5077" s="1" t="s">
        <v>4139</v>
      </c>
      <c r="C5077" s="1" t="str">
        <f ca="1">IFERROR(__xludf.DUMMYFUNCTION("GOOGLETRANSLATE(B5131,""en"",""ja"")"),"考えると")</f>
        <v>考えると</v>
      </c>
    </row>
    <row r="5078" spans="1:3" ht="18" customHeight="1" x14ac:dyDescent="0.3">
      <c r="A5078" s="1">
        <v>5</v>
      </c>
      <c r="B5078" s="1" t="s">
        <v>4140</v>
      </c>
      <c r="C5078" s="1" t="str">
        <f ca="1">IFERROR(__xludf.DUMMYFUNCTION("GOOGLETRANSLATE(B5132,""en"",""ja"")"),"かなり")</f>
        <v>かなり</v>
      </c>
    </row>
    <row r="5079" spans="1:3" ht="18" customHeight="1" x14ac:dyDescent="0.3">
      <c r="A5079" s="1">
        <v>5</v>
      </c>
      <c r="B5079" s="1" t="s">
        <v>3660</v>
      </c>
      <c r="C5079" s="1" t="str">
        <f ca="1">IFERROR(__xludf.DUMMYFUNCTION("GOOGLETRANSLATE(B5133,""en"",""ja"")"),"この結果")</f>
        <v>この結果</v>
      </c>
    </row>
    <row r="5080" spans="1:3" ht="18" customHeight="1" x14ac:dyDescent="0.3">
      <c r="A5080" s="1">
        <v>5</v>
      </c>
      <c r="B5080" s="1" t="s">
        <v>4141</v>
      </c>
      <c r="C5080" s="1" t="str">
        <f ca="1">IFERROR(__xludf.DUMMYFUNCTION("GOOGLETRANSLATE(B5134,""en"",""ja"")"),"意識")</f>
        <v>意識</v>
      </c>
    </row>
    <row r="5081" spans="1:3" ht="18" customHeight="1" x14ac:dyDescent="0.3">
      <c r="A5081" s="1">
        <v>5</v>
      </c>
      <c r="B5081" s="1" t="s">
        <v>4142</v>
      </c>
      <c r="C5081" s="1" t="str">
        <f ca="1">IFERROR(__xludf.DUMMYFUNCTION("GOOGLETRANSLATE(B5135,""en"",""ja"")"),"含蓄")</f>
        <v>含蓄</v>
      </c>
    </row>
    <row r="5082" spans="1:3" ht="18" customHeight="1" x14ac:dyDescent="0.3">
      <c r="A5082" s="1">
        <v>5</v>
      </c>
      <c r="B5082" s="1" t="s">
        <v>2784</v>
      </c>
      <c r="C5082" s="1" t="str">
        <f ca="1">IFERROR(__xludf.DUMMYFUNCTION("GOOGLETRANSLATE(B5136,""en"",""ja"")"),"行動")</f>
        <v>行動</v>
      </c>
    </row>
    <row r="5083" spans="1:3" ht="18" customHeight="1" x14ac:dyDescent="0.3">
      <c r="A5083" s="1">
        <v>5</v>
      </c>
      <c r="B5083" s="1" t="s">
        <v>4143</v>
      </c>
      <c r="C5083" s="1" t="str">
        <f ca="1">IFERROR(__xludf.DUMMYFUNCTION("GOOGLETRANSLATE(B5137,""en"",""ja"")"),"コンディショニング")</f>
        <v>コンディショニング</v>
      </c>
    </row>
    <row r="5084" spans="1:3" ht="18" customHeight="1" x14ac:dyDescent="0.3">
      <c r="A5084" s="1">
        <v>5</v>
      </c>
      <c r="B5084" s="1" t="s">
        <v>4144</v>
      </c>
      <c r="C5084" s="1" t="str">
        <f ca="1">IFERROR(__xludf.DUMMYFUNCTION("GOOGLETRANSLATE(B5138,""en"",""ja"")"),"エアコン")</f>
        <v>エアコン</v>
      </c>
    </row>
    <row r="5085" spans="1:3" ht="18" customHeight="1" x14ac:dyDescent="0.3">
      <c r="A5085" s="1">
        <v>5</v>
      </c>
      <c r="B5085" s="1" t="s">
        <v>4145</v>
      </c>
      <c r="C5085" s="1" t="str">
        <f ca="1">IFERROR(__xludf.DUMMYFUNCTION("GOOGLETRANSLATE(B5139,""en"",""ja"")"),"妥協")</f>
        <v>妥協</v>
      </c>
    </row>
    <row r="5086" spans="1:3" ht="18" customHeight="1" x14ac:dyDescent="0.3">
      <c r="A5086" s="1">
        <v>5</v>
      </c>
      <c r="B5086" s="1" t="s">
        <v>1705</v>
      </c>
      <c r="C5086" s="1" t="str">
        <f ca="1">IFERROR(__xludf.DUMMYFUNCTION("GOOGLETRANSLATE(B5140,""en"",""ja"")"),"組成")</f>
        <v>組成</v>
      </c>
    </row>
    <row r="5087" spans="1:3" ht="18" customHeight="1" x14ac:dyDescent="0.3">
      <c r="A5087" s="1">
        <v>5</v>
      </c>
      <c r="B5087" s="1" t="s">
        <v>4146</v>
      </c>
      <c r="C5087" s="1" t="str">
        <f ca="1">IFERROR(__xludf.DUMMYFUNCTION("GOOGLETRANSLATE(B5141,""en"",""ja"")"),"成分")</f>
        <v>成分</v>
      </c>
    </row>
    <row r="5088" spans="1:3" ht="18" customHeight="1" x14ac:dyDescent="0.3">
      <c r="A5088" s="1">
        <v>5</v>
      </c>
      <c r="B5088" s="1" t="s">
        <v>4147</v>
      </c>
      <c r="C5088" s="1" t="str">
        <f ca="1">IFERROR(__xludf.DUMMYFUNCTION("GOOGLETRANSLATE(B5142,""en"",""ja"")"),"完了")</f>
        <v>完了</v>
      </c>
    </row>
    <row r="5089" spans="1:3" ht="18" customHeight="1" x14ac:dyDescent="0.3">
      <c r="A5089" s="1">
        <v>5</v>
      </c>
      <c r="B5089" s="1" t="s">
        <v>4148</v>
      </c>
      <c r="C5089" s="1" t="str">
        <f ca="1">IFERROR(__xludf.DUMMYFUNCTION("GOOGLETRANSLATE(B5143,""en"",""ja"")"),"完了")</f>
        <v>完了</v>
      </c>
    </row>
    <row r="5090" spans="1:3" ht="18" customHeight="1" x14ac:dyDescent="0.3">
      <c r="A5090" s="1">
        <v>5</v>
      </c>
      <c r="B5090" s="1" t="s">
        <v>484</v>
      </c>
      <c r="C5090" s="1" t="str">
        <f ca="1">IFERROR(__xludf.DUMMYFUNCTION("GOOGLETRANSLATE(B5144,""en"",""ja"")"),"競争の")</f>
        <v>競争の</v>
      </c>
    </row>
    <row r="5091" spans="1:3" ht="18" customHeight="1" x14ac:dyDescent="0.3">
      <c r="A5091" s="1">
        <v>5</v>
      </c>
      <c r="B5091" s="1" t="s">
        <v>4149</v>
      </c>
      <c r="C5091" s="1" t="str">
        <f ca="1">IFERROR(__xludf.DUMMYFUNCTION("GOOGLETRANSLATE(B5145,""en"",""ja"")"),"競合")</f>
        <v>競合</v>
      </c>
    </row>
    <row r="5092" spans="1:3" ht="18" customHeight="1" x14ac:dyDescent="0.3">
      <c r="A5092" s="1">
        <v>5</v>
      </c>
      <c r="B5092" s="1" t="s">
        <v>3098</v>
      </c>
      <c r="C5092" s="1" t="str">
        <f ca="1">IFERROR(__xludf.DUMMYFUNCTION("GOOGLETRANSLATE(B5146,""en"",""ja"")"),"コンパチブル")</f>
        <v>コンパチブル</v>
      </c>
    </row>
    <row r="5093" spans="1:3" ht="18" customHeight="1" x14ac:dyDescent="0.3">
      <c r="A5093" s="1">
        <v>5</v>
      </c>
      <c r="B5093" s="1" t="s">
        <v>4150</v>
      </c>
      <c r="C5093" s="1" t="str">
        <f ca="1">IFERROR(__xludf.DUMMYFUNCTION("GOOGLETRANSLATE(B5147,""en"",""ja"")"),"比較します")</f>
        <v>比較します</v>
      </c>
    </row>
    <row r="5094" spans="1:3" ht="18" customHeight="1" x14ac:dyDescent="0.3">
      <c r="A5094" s="1">
        <v>5</v>
      </c>
      <c r="B5094" s="1" t="s">
        <v>185</v>
      </c>
      <c r="C5094" s="1" t="str">
        <f ca="1">IFERROR(__xludf.DUMMYFUNCTION("GOOGLETRANSLATE(B5148,""en"",""ja"")"),"来ます")</f>
        <v>来ます</v>
      </c>
    </row>
    <row r="5095" spans="1:3" ht="18" customHeight="1" x14ac:dyDescent="0.3">
      <c r="A5095" s="1">
        <v>5</v>
      </c>
      <c r="B5095" s="1" t="s">
        <v>4151</v>
      </c>
      <c r="C5095" s="1" t="str">
        <f ca="1">IFERROR(__xludf.DUMMYFUNCTION("GOOGLETRANSLATE(B5149,""en"",""ja"")"),"コロニアル")</f>
        <v>コロニアル</v>
      </c>
    </row>
    <row r="5096" spans="1:3" ht="18" customHeight="1" x14ac:dyDescent="0.3">
      <c r="A5096" s="1">
        <v>5</v>
      </c>
      <c r="B5096" s="1" t="s">
        <v>4152</v>
      </c>
      <c r="C5096" s="1" t="str">
        <f ca="1">IFERROR(__xludf.DUMMYFUNCTION("GOOGLETRANSLATE(B5150,""en"",""ja"")"),"コラボレーション")</f>
        <v>コラボレーション</v>
      </c>
    </row>
    <row r="5097" spans="1:3" ht="18" customHeight="1" x14ac:dyDescent="0.3">
      <c r="A5097" s="1">
        <v>5</v>
      </c>
      <c r="B5097" s="1" t="s">
        <v>2454</v>
      </c>
      <c r="C5097" s="1" t="str">
        <f ca="1">IFERROR(__xludf.DUMMYFUNCTION("GOOGLETRANSLATE(B5151,""en"",""ja"")"),"共存")</f>
        <v>共存</v>
      </c>
    </row>
    <row r="5098" spans="1:3" ht="18" customHeight="1" x14ac:dyDescent="0.3">
      <c r="A5098" s="1">
        <v>5</v>
      </c>
      <c r="B5098" s="1" t="s">
        <v>4153</v>
      </c>
      <c r="C5098" s="1" t="str">
        <f ca="1">IFERROR(__xludf.DUMMYFUNCTION("GOOGLETRANSLATE(B5152,""en"",""ja"")"),"成文化します")</f>
        <v>成文化します</v>
      </c>
    </row>
    <row r="5099" spans="1:3" ht="18" customHeight="1" x14ac:dyDescent="0.3">
      <c r="A5099" s="1">
        <v>5</v>
      </c>
      <c r="B5099" s="1" t="s">
        <v>4154</v>
      </c>
      <c r="C5099" s="1" t="str">
        <f ca="1">IFERROR(__xludf.DUMMYFUNCTION("GOOGLETRANSLATE(B5153,""en"",""ja"")"),"手がかり")</f>
        <v>手がかり</v>
      </c>
    </row>
    <row r="5100" spans="1:3" ht="18" customHeight="1" x14ac:dyDescent="0.3">
      <c r="A5100" s="1">
        <v>5</v>
      </c>
      <c r="B5100" s="1" t="s">
        <v>4155</v>
      </c>
      <c r="C5100" s="1" t="str">
        <f ca="1">IFERROR(__xludf.DUMMYFUNCTION("GOOGLETRANSLATE(B5154,""en"",""ja"")"),"手掛かり")</f>
        <v>手掛かり</v>
      </c>
    </row>
    <row r="5101" spans="1:3" ht="18" customHeight="1" x14ac:dyDescent="0.3">
      <c r="A5101" s="1">
        <v>5</v>
      </c>
      <c r="B5101" s="1" t="s">
        <v>4156</v>
      </c>
      <c r="C5101" s="1" t="str">
        <f ca="1">IFERROR(__xludf.DUMMYFUNCTION("GOOGLETRANSLATE(B5155,""en"",""ja"")"),"分類")</f>
        <v>分類</v>
      </c>
    </row>
    <row r="5102" spans="1:3" ht="18" customHeight="1" x14ac:dyDescent="0.3">
      <c r="A5102" s="1">
        <v>5</v>
      </c>
      <c r="B5102" s="1" t="s">
        <v>918</v>
      </c>
      <c r="C5102" s="1" t="str">
        <f ca="1">IFERROR(__xludf.DUMMYFUNCTION("GOOGLETRANSLATE(B5156,""en"",""ja"")"),"事情")</f>
        <v>事情</v>
      </c>
    </row>
    <row r="5103" spans="1:3" ht="18" customHeight="1" x14ac:dyDescent="0.3">
      <c r="A5103" s="1">
        <v>5</v>
      </c>
      <c r="B5103" s="1" t="s">
        <v>4157</v>
      </c>
      <c r="C5103" s="1" t="str">
        <f ca="1">IFERROR(__xludf.DUMMYFUNCTION("GOOGLETRANSLATE(B5157,""en"",""ja"")"),"外接")</f>
        <v>外接</v>
      </c>
    </row>
    <row r="5104" spans="1:3" ht="18" customHeight="1" x14ac:dyDescent="0.3">
      <c r="A5104" s="1">
        <v>5</v>
      </c>
      <c r="B5104" s="1" t="s">
        <v>4158</v>
      </c>
      <c r="C5104" s="1" t="str">
        <f ca="1">IFERROR(__xludf.DUMMYFUNCTION("GOOGLETRANSLATE(B5158,""en"",""ja"")"),"チョッピング")</f>
        <v>チョッピング</v>
      </c>
    </row>
    <row r="5105" spans="1:3" ht="18" customHeight="1" x14ac:dyDescent="0.3">
      <c r="A5105" s="1">
        <v>5</v>
      </c>
      <c r="B5105" s="1" t="s">
        <v>4159</v>
      </c>
      <c r="C5105" s="1" t="str">
        <f ca="1">IFERROR(__xludf.DUMMYFUNCTION("GOOGLETRANSLATE(B5159,""en"",""ja"")"),"みじん切り")</f>
        <v>みじん切り</v>
      </c>
    </row>
    <row r="5106" spans="1:3" ht="18" customHeight="1" x14ac:dyDescent="0.3">
      <c r="A5106" s="1">
        <v>5</v>
      </c>
      <c r="B5106" s="1" t="s">
        <v>3113</v>
      </c>
      <c r="C5106" s="1" t="str">
        <f ca="1">IFERROR(__xludf.DUMMYFUNCTION("GOOGLETRANSLATE(B5160,""en"",""ja"")"),"中国")</f>
        <v>中国</v>
      </c>
    </row>
    <row r="5107" spans="1:3" ht="18" customHeight="1" x14ac:dyDescent="0.3">
      <c r="A5107" s="1">
        <v>5</v>
      </c>
      <c r="B5107" s="1" t="s">
        <v>4160</v>
      </c>
      <c r="C5107" s="1" t="str">
        <f ca="1">IFERROR(__xludf.DUMMYFUNCTION("GOOGLETRANSLATE(B5161,""en"",""ja"")"),"冷却")</f>
        <v>冷却</v>
      </c>
    </row>
    <row r="5108" spans="1:3" ht="18" customHeight="1" x14ac:dyDescent="0.3">
      <c r="A5108" s="1">
        <v>5</v>
      </c>
      <c r="B5108" s="1" t="s">
        <v>2458</v>
      </c>
      <c r="C5108" s="1" t="str">
        <f ca="1">IFERROR(__xludf.DUMMYFUNCTION("GOOGLETRANSLATE(B5162,""en"",""ja"")"),"特徴づけます")</f>
        <v>特徴づけます</v>
      </c>
    </row>
    <row r="5109" spans="1:3" ht="18" customHeight="1" x14ac:dyDescent="0.3">
      <c r="A5109" s="1">
        <v>5</v>
      </c>
      <c r="B5109" s="1" t="s">
        <v>4161</v>
      </c>
      <c r="C5109" s="1" t="str">
        <f ca="1">IFERROR(__xludf.DUMMYFUNCTION("GOOGLETRANSLATE(B5163,""en"",""ja"")"),"課題")</f>
        <v>課題</v>
      </c>
    </row>
    <row r="5110" spans="1:3" ht="18" customHeight="1" x14ac:dyDescent="0.3">
      <c r="A5110" s="1">
        <v>5</v>
      </c>
      <c r="B5110" s="1" t="s">
        <v>4162</v>
      </c>
      <c r="C5110" s="1" t="str">
        <f ca="1">IFERROR(__xludf.DUMMYFUNCTION("GOOGLETRANSLATE(B5164,""en"",""ja"")"),"単細胞")</f>
        <v>単細胞</v>
      </c>
    </row>
    <row r="5111" spans="1:3" ht="18" customHeight="1" x14ac:dyDescent="0.3">
      <c r="A5111" s="1">
        <v>5</v>
      </c>
      <c r="B5111" s="1" t="s">
        <v>4163</v>
      </c>
      <c r="C5111" s="1" t="str">
        <f ca="1">IFERROR(__xludf.DUMMYFUNCTION("GOOGLETRANSLATE(B5165,""en"",""ja"")"),"天の")</f>
        <v>天の</v>
      </c>
    </row>
    <row r="5112" spans="1:3" ht="18" customHeight="1" x14ac:dyDescent="0.3">
      <c r="A5112" s="1">
        <v>5</v>
      </c>
      <c r="B5112" s="1" t="s">
        <v>654</v>
      </c>
      <c r="C5112" s="1" t="str">
        <f ca="1">IFERROR(__xludf.DUMMYFUNCTION("GOOGLETRANSLATE(B5166,""en"",""ja"")"),"原因")</f>
        <v>原因</v>
      </c>
    </row>
    <row r="5113" spans="1:3" ht="18" customHeight="1" x14ac:dyDescent="0.3">
      <c r="A5113" s="1">
        <v>5</v>
      </c>
      <c r="B5113" s="1" t="s">
        <v>4164</v>
      </c>
      <c r="C5113" s="1" t="str">
        <f ca="1">IFERROR(__xludf.DUMMYFUNCTION("GOOGLETRANSLATE(B5167,""en"",""ja"")"),"カトゥッロ")</f>
        <v>カトゥッロ</v>
      </c>
    </row>
    <row r="5114" spans="1:3" ht="18" customHeight="1" x14ac:dyDescent="0.3">
      <c r="A5114" s="1">
        <v>5</v>
      </c>
      <c r="B5114" s="1" t="s">
        <v>4165</v>
      </c>
      <c r="C5114" s="1" t="str">
        <f ca="1">IFERROR(__xludf.DUMMYFUNCTION("GOOGLETRANSLATE(B5168,""en"",""ja"")"),"ケース")</f>
        <v>ケース</v>
      </c>
    </row>
    <row r="5115" spans="1:3" ht="18" customHeight="1" x14ac:dyDescent="0.3">
      <c r="A5115" s="1">
        <v>5</v>
      </c>
      <c r="B5115" s="1" t="s">
        <v>2463</v>
      </c>
      <c r="C5115" s="1" t="str">
        <f ca="1">IFERROR(__xludf.DUMMYFUNCTION("GOOGLETRANSLATE(B5169,""en"",""ja"")"),"注意深く")</f>
        <v>注意深く</v>
      </c>
    </row>
    <row r="5116" spans="1:3" ht="18" customHeight="1" x14ac:dyDescent="0.3">
      <c r="A5116" s="1">
        <v>5</v>
      </c>
      <c r="B5116" s="1" t="s">
        <v>4166</v>
      </c>
      <c r="C5116" s="1" t="str">
        <f ca="1">IFERROR(__xludf.DUMMYFUNCTION("GOOGLETRANSLATE(B5170,""en"",""ja"")"),"キャンディー")</f>
        <v>キャンディー</v>
      </c>
    </row>
    <row r="5117" spans="1:3" ht="18" customHeight="1" x14ac:dyDescent="0.3">
      <c r="A5117" s="1">
        <v>5</v>
      </c>
      <c r="B5117" s="1" t="s">
        <v>4167</v>
      </c>
      <c r="C5117" s="1" t="str">
        <f ca="1">IFERROR(__xludf.DUMMYFUNCTION("GOOGLETRANSLATE(B5171,""en"",""ja"")"),"癌")</f>
        <v>癌</v>
      </c>
    </row>
    <row r="5118" spans="1:3" ht="18" customHeight="1" x14ac:dyDescent="0.3">
      <c r="A5118" s="1">
        <v>5</v>
      </c>
      <c r="B5118" s="1" t="s">
        <v>4168</v>
      </c>
      <c r="C5118" s="1" t="str">
        <f ca="1">IFERROR(__xludf.DUMMYFUNCTION("GOOGLETRANSLATE(B5172,""en"",""ja"")"),"カレンダー")</f>
        <v>カレンダー</v>
      </c>
    </row>
    <row r="5119" spans="1:3" ht="18" customHeight="1" x14ac:dyDescent="0.3">
      <c r="A5119" s="1">
        <v>5</v>
      </c>
      <c r="B5119" s="1" t="s">
        <v>4169</v>
      </c>
      <c r="C5119" s="1" t="str">
        <f ca="1">IFERROR(__xludf.DUMMYFUNCTION("GOOGLETRANSLATE(B5173,""en"",""ja"")"),"計算")</f>
        <v>計算</v>
      </c>
    </row>
    <row r="5120" spans="1:3" ht="18" customHeight="1" x14ac:dyDescent="0.3">
      <c r="A5120" s="1">
        <v>5</v>
      </c>
      <c r="B5120" s="1" t="s">
        <v>4170</v>
      </c>
      <c r="C5120" s="1" t="str">
        <f ca="1">IFERROR(__xludf.DUMMYFUNCTION("GOOGLETRANSLATE(B5174,""en"",""ja"")"),"計算")</f>
        <v>計算</v>
      </c>
    </row>
    <row r="5121" spans="1:3" ht="18" customHeight="1" x14ac:dyDescent="0.3">
      <c r="A5121" s="1">
        <v>5</v>
      </c>
      <c r="B5121" s="1" t="s">
        <v>4171</v>
      </c>
      <c r="C5121" s="1" t="str">
        <f ca="1">IFERROR(__xludf.DUMMYFUNCTION("GOOGLETRANSLATE(B5175,""en"",""ja"")"),"災害")</f>
        <v>災害</v>
      </c>
    </row>
    <row r="5122" spans="1:3" ht="18" customHeight="1" x14ac:dyDescent="0.3">
      <c r="A5122" s="1">
        <v>5</v>
      </c>
      <c r="B5122" s="1" t="s">
        <v>4172</v>
      </c>
      <c r="C5122" s="1" t="str">
        <f ca="1">IFERROR(__xludf.DUMMYFUNCTION("GOOGLETRANSLATE(B5176,""en"",""ja"")"),"バースト")</f>
        <v>バースト</v>
      </c>
    </row>
    <row r="5123" spans="1:3" ht="18" customHeight="1" x14ac:dyDescent="0.3">
      <c r="A5123" s="1">
        <v>5</v>
      </c>
      <c r="B5123" s="1" t="s">
        <v>4173</v>
      </c>
      <c r="C5123" s="1" t="str">
        <f ca="1">IFERROR(__xludf.DUMMYFUNCTION("GOOGLETRANSLATE(B5177,""en"",""ja"")"),"壊れました")</f>
        <v>壊れました</v>
      </c>
    </row>
    <row r="5124" spans="1:3" ht="18" customHeight="1" x14ac:dyDescent="0.3">
      <c r="A5124" s="1">
        <v>5</v>
      </c>
      <c r="B5124" s="1" t="s">
        <v>4174</v>
      </c>
      <c r="C5124" s="1" t="str">
        <f ca="1">IFERROR(__xludf.DUMMYFUNCTION("GOOGLETRANSLATE(B5178,""en"",""ja"")"),"最も広いです")</f>
        <v>最も広いです</v>
      </c>
    </row>
    <row r="5125" spans="1:3" ht="18" customHeight="1" x14ac:dyDescent="0.3">
      <c r="A5125" s="1">
        <v>5</v>
      </c>
      <c r="B5125" s="1" t="s">
        <v>2004</v>
      </c>
      <c r="C5125" s="1" t="str">
        <f ca="1">IFERROR(__xludf.DUMMYFUNCTION("GOOGLETRANSLATE(B5179,""en"",""ja"")"),"英国")</f>
        <v>英国</v>
      </c>
    </row>
    <row r="5126" spans="1:3" ht="18" customHeight="1" x14ac:dyDescent="0.3">
      <c r="A5126" s="1">
        <v>5</v>
      </c>
      <c r="B5126" s="1" t="s">
        <v>1085</v>
      </c>
      <c r="C5126" s="1" t="str">
        <f ca="1">IFERROR(__xludf.DUMMYFUNCTION("GOOGLETRANSLATE(B5180,""en"",""ja"")"),"ブレーク")</f>
        <v>ブレーク</v>
      </c>
    </row>
    <row r="5127" spans="1:3" ht="18" customHeight="1" x14ac:dyDescent="0.3">
      <c r="A5127" s="1">
        <v>5</v>
      </c>
      <c r="B5127" s="1" t="s">
        <v>4175</v>
      </c>
      <c r="C5127" s="1" t="str">
        <f ca="1">IFERROR(__xludf.DUMMYFUNCTION("GOOGLETRANSLATE(B5181,""en"",""ja"")"),"パン")</f>
        <v>パン</v>
      </c>
    </row>
    <row r="5128" spans="1:3" ht="18" customHeight="1" x14ac:dyDescent="0.3">
      <c r="A5128" s="1">
        <v>5</v>
      </c>
      <c r="B5128" s="1" t="s">
        <v>4176</v>
      </c>
      <c r="C5128" s="1" t="str">
        <f ca="1">IFERROR(__xludf.DUMMYFUNCTION("GOOGLETRANSLATE(B5182,""en"",""ja"")"),"ブランド")</f>
        <v>ブランド</v>
      </c>
    </row>
    <row r="5129" spans="1:3" ht="18" customHeight="1" x14ac:dyDescent="0.3">
      <c r="A5129" s="1">
        <v>5</v>
      </c>
      <c r="B5129" s="1" t="s">
        <v>4177</v>
      </c>
      <c r="C5129" s="1" t="str">
        <f ca="1">IFERROR(__xludf.DUMMYFUNCTION("GOOGLETRANSLATE(B5183,""en"",""ja"")"),"脳幹")</f>
        <v>脳幹</v>
      </c>
    </row>
    <row r="5130" spans="1:3" ht="18" customHeight="1" x14ac:dyDescent="0.3">
      <c r="A5130" s="1">
        <v>5</v>
      </c>
      <c r="B5130" s="1" t="s">
        <v>4178</v>
      </c>
      <c r="C5130" s="1" t="str">
        <f ca="1">IFERROR(__xludf.DUMMYFUNCTION("GOOGLETRANSLATE(B5184,""en"",""ja"")"),"境界")</f>
        <v>境界</v>
      </c>
    </row>
    <row r="5131" spans="1:3" ht="18" customHeight="1" x14ac:dyDescent="0.3">
      <c r="A5131" s="1">
        <v>5</v>
      </c>
      <c r="B5131" s="1" t="s">
        <v>4179</v>
      </c>
      <c r="C5131" s="1" t="str">
        <f ca="1">IFERROR(__xludf.DUMMYFUNCTION("GOOGLETRANSLATE(B5185,""en"",""ja"")"),"ボトム")</f>
        <v>ボトム</v>
      </c>
    </row>
    <row r="5132" spans="1:3" ht="18" customHeight="1" x14ac:dyDescent="0.3">
      <c r="A5132" s="1">
        <v>5</v>
      </c>
      <c r="B5132" s="1" t="s">
        <v>4180</v>
      </c>
      <c r="C5132" s="1" t="str">
        <f ca="1">IFERROR(__xludf.DUMMYFUNCTION("GOOGLETRANSLATE(B5186,""en"",""ja"")"),"煩わします")</f>
        <v>煩わします</v>
      </c>
    </row>
    <row r="5133" spans="1:3" ht="18" customHeight="1" x14ac:dyDescent="0.3">
      <c r="A5133" s="1">
        <v>5</v>
      </c>
      <c r="B5133" s="1" t="s">
        <v>4181</v>
      </c>
      <c r="C5133" s="1" t="str">
        <f ca="1">IFERROR(__xludf.DUMMYFUNCTION("GOOGLETRANSLATE(B5187,""en"",""ja"")"),"ぼやけ")</f>
        <v>ぼやけ</v>
      </c>
    </row>
    <row r="5134" spans="1:3" ht="18" customHeight="1" x14ac:dyDescent="0.3">
      <c r="A5134" s="1">
        <v>5</v>
      </c>
      <c r="B5134" s="1" t="s">
        <v>4182</v>
      </c>
      <c r="C5134" s="1" t="str">
        <f ca="1">IFERROR(__xludf.DUMMYFUNCTION("GOOGLETRANSLATE(B5188,""en"",""ja"")"),"ぼかし")</f>
        <v>ぼかし</v>
      </c>
    </row>
    <row r="5135" spans="1:3" ht="18" customHeight="1" x14ac:dyDescent="0.3">
      <c r="A5135" s="1">
        <v>5</v>
      </c>
      <c r="B5135" s="1" t="s">
        <v>3131</v>
      </c>
      <c r="C5135" s="1" t="str">
        <f ca="1">IFERROR(__xludf.DUMMYFUNCTION("GOOGLETRANSLATE(B5189,""en"",""ja"")"),"失敗")</f>
        <v>失敗</v>
      </c>
    </row>
    <row r="5136" spans="1:3" ht="18" customHeight="1" x14ac:dyDescent="0.3">
      <c r="A5136" s="1">
        <v>5</v>
      </c>
      <c r="B5136" s="1" t="s">
        <v>4183</v>
      </c>
      <c r="C5136" s="1" t="str">
        <f ca="1">IFERROR(__xludf.DUMMYFUNCTION("GOOGLETRANSLATE(B5190,""en"",""ja"")"),"ブラインド")</f>
        <v>ブラインド</v>
      </c>
    </row>
    <row r="5137" spans="1:3" ht="18" customHeight="1" x14ac:dyDescent="0.3">
      <c r="A5137" s="1">
        <v>5</v>
      </c>
      <c r="B5137" s="1" t="s">
        <v>4184</v>
      </c>
      <c r="C5137" s="1" t="str">
        <f ca="1">IFERROR(__xludf.DUMMYFUNCTION("GOOGLETRANSLATE(B5191,""en"",""ja"")"),"祝福")</f>
        <v>祝福</v>
      </c>
    </row>
    <row r="5138" spans="1:3" ht="18" customHeight="1" x14ac:dyDescent="0.3">
      <c r="A5138" s="1">
        <v>5</v>
      </c>
      <c r="B5138" s="1" t="s">
        <v>4185</v>
      </c>
      <c r="C5138" s="1" t="str">
        <f ca="1">IFERROR(__xludf.DUMMYFUNCTION("GOOGLETRANSLATE(B5192,""en"",""ja"")"),"黒")</f>
        <v>黒</v>
      </c>
    </row>
    <row r="5139" spans="1:3" ht="18" customHeight="1" x14ac:dyDescent="0.3">
      <c r="A5139" s="1">
        <v>5</v>
      </c>
      <c r="B5139" s="1" t="s">
        <v>4186</v>
      </c>
      <c r="C5139" s="1" t="str">
        <f ca="1">IFERROR(__xludf.DUMMYFUNCTION("GOOGLETRANSLATE(B5193,""en"",""ja"")"),"練る")</f>
        <v>練る</v>
      </c>
    </row>
    <row r="5140" spans="1:3" ht="18" customHeight="1" x14ac:dyDescent="0.3">
      <c r="A5140" s="1">
        <v>5</v>
      </c>
      <c r="B5140" s="1" t="s">
        <v>64</v>
      </c>
      <c r="C5140" s="1" t="str">
        <f ca="1">IFERROR(__xludf.DUMMYFUNCTION("GOOGLETRANSLATE(B5194,""en"",""ja"")"),"の間に")</f>
        <v>の間に</v>
      </c>
    </row>
    <row r="5141" spans="1:3" ht="18" customHeight="1" x14ac:dyDescent="0.3">
      <c r="A5141" s="1">
        <v>5</v>
      </c>
      <c r="B5141" s="1" t="s">
        <v>4187</v>
      </c>
      <c r="C5141" s="1" t="str">
        <f ca="1">IFERROR(__xludf.DUMMYFUNCTION("GOOGLETRANSLATE(B5195,""en"",""ja"")"),"ベンガル語")</f>
        <v>ベンガル語</v>
      </c>
    </row>
    <row r="5142" spans="1:3" ht="18" customHeight="1" x14ac:dyDescent="0.3">
      <c r="A5142" s="1">
        <v>5</v>
      </c>
      <c r="B5142" s="1" t="s">
        <v>4188</v>
      </c>
      <c r="C5142" s="1" t="str">
        <f ca="1">IFERROR(__xludf.DUMMYFUNCTION("GOOGLETRANSLATE(B5196,""en"",""ja"")"),"有益")</f>
        <v>有益</v>
      </c>
    </row>
    <row r="5143" spans="1:3" ht="18" customHeight="1" x14ac:dyDescent="0.3">
      <c r="A5143" s="1">
        <v>5</v>
      </c>
      <c r="B5143" s="1" t="s">
        <v>4189</v>
      </c>
      <c r="C5143" s="1" t="str">
        <f ca="1">IFERROR(__xludf.DUMMYFUNCTION("GOOGLETRANSLATE(B5197,""en"",""ja"")"),"未満")</f>
        <v>未満</v>
      </c>
    </row>
    <row r="5144" spans="1:3" ht="18" customHeight="1" x14ac:dyDescent="0.3">
      <c r="A5144" s="1">
        <v>5</v>
      </c>
      <c r="B5144" s="1" t="s">
        <v>120</v>
      </c>
      <c r="C5144" s="1" t="str">
        <f ca="1">IFERROR(__xludf.DUMMYFUNCTION("GOOGLETRANSLATE(B5198,""en"",""ja"")"),"なります")</f>
        <v>なります</v>
      </c>
    </row>
    <row r="5145" spans="1:3" ht="18" customHeight="1" x14ac:dyDescent="0.3">
      <c r="A5145" s="1">
        <v>5</v>
      </c>
      <c r="B5145" s="1" t="s">
        <v>4190</v>
      </c>
      <c r="C5145" s="1" t="str">
        <f ca="1">IFERROR(__xludf.DUMMYFUNCTION("GOOGLETRANSLATE(B5199,""en"",""ja"")"),"バスケットボール")</f>
        <v>バスケットボール</v>
      </c>
    </row>
    <row r="5146" spans="1:3" ht="18" customHeight="1" x14ac:dyDescent="0.3">
      <c r="A5146" s="1">
        <v>5</v>
      </c>
      <c r="B5146" s="1" t="s">
        <v>4191</v>
      </c>
      <c r="C5146" s="1" t="str">
        <f ca="1">IFERROR(__xludf.DUMMYFUNCTION("GOOGLETRANSLATE(B5200,""en"",""ja"")"),"バスケット")</f>
        <v>バスケット</v>
      </c>
    </row>
    <row r="5147" spans="1:3" ht="18" customHeight="1" x14ac:dyDescent="0.3">
      <c r="A5147" s="1">
        <v>5</v>
      </c>
      <c r="B5147" s="1" t="s">
        <v>4192</v>
      </c>
      <c r="C5147" s="1" t="str">
        <f ca="1">IFERROR(__xludf.DUMMYFUNCTION("GOOGLETRANSLATE(B5201,""en"",""ja"")"),"基本的に")</f>
        <v>基本的に</v>
      </c>
    </row>
    <row r="5148" spans="1:3" ht="18" customHeight="1" x14ac:dyDescent="0.3">
      <c r="A5148" s="1">
        <v>5</v>
      </c>
      <c r="B5148" s="1" t="s">
        <v>3135</v>
      </c>
      <c r="C5148" s="1" t="str">
        <f ca="1">IFERROR(__xludf.DUMMYFUNCTION("GOOGLETRANSLATE(B5202,""en"",""ja"")"),"ベース")</f>
        <v>ベース</v>
      </c>
    </row>
    <row r="5149" spans="1:3" ht="18" customHeight="1" x14ac:dyDescent="0.3">
      <c r="A5149" s="1">
        <v>5</v>
      </c>
      <c r="B5149" s="1" t="s">
        <v>4193</v>
      </c>
      <c r="C5149" s="1" t="str">
        <f ca="1">IFERROR(__xludf.DUMMYFUNCTION("GOOGLETRANSLATE(B5203,""en"",""ja"")"),"野蛮人")</f>
        <v>野蛮人</v>
      </c>
    </row>
    <row r="5150" spans="1:3" ht="18" customHeight="1" x14ac:dyDescent="0.3">
      <c r="A5150" s="1">
        <v>5</v>
      </c>
      <c r="B5150" s="1" t="s">
        <v>4194</v>
      </c>
      <c r="C5150" s="1" t="str">
        <f ca="1">IFERROR(__xludf.DUMMYFUNCTION("GOOGLETRANSLATE(B5204,""en"",""ja"")"),"細菌")</f>
        <v>細菌</v>
      </c>
    </row>
    <row r="5151" spans="1:3" ht="18" customHeight="1" x14ac:dyDescent="0.3">
      <c r="A5151" s="1">
        <v>5</v>
      </c>
      <c r="B5151" s="1" t="s">
        <v>4195</v>
      </c>
      <c r="C5151" s="1" t="str">
        <f ca="1">IFERROR(__xludf.DUMMYFUNCTION("GOOGLETRANSLATE(B5205,""en"",""ja"")"),"ぎこちありません")</f>
        <v>ぎこちありません</v>
      </c>
    </row>
    <row r="5152" spans="1:3" ht="18" customHeight="1" x14ac:dyDescent="0.3">
      <c r="A5152" s="1">
        <v>5</v>
      </c>
      <c r="B5152" s="1" t="s">
        <v>4196</v>
      </c>
      <c r="C5152" s="1" t="str">
        <f ca="1">IFERROR(__xludf.DUMMYFUNCTION("GOOGLETRANSLATE(B5206,""en"",""ja"")"),"意識")</f>
        <v>意識</v>
      </c>
    </row>
    <row r="5153" spans="1:3" ht="18" customHeight="1" x14ac:dyDescent="0.3">
      <c r="A5153" s="1">
        <v>5</v>
      </c>
      <c r="B5153" s="1" t="s">
        <v>4197</v>
      </c>
      <c r="C5153" s="1" t="str">
        <f ca="1">IFERROR(__xludf.DUMMYFUNCTION("GOOGLETRANSLATE(B5207,""en"",""ja"")"),"オーディオ")</f>
        <v>オーディオ</v>
      </c>
    </row>
    <row r="5154" spans="1:3" ht="18" customHeight="1" x14ac:dyDescent="0.3">
      <c r="A5154" s="1">
        <v>5</v>
      </c>
      <c r="B5154" s="1" t="s">
        <v>1712</v>
      </c>
      <c r="C5154" s="1" t="str">
        <f ca="1">IFERROR(__xludf.DUMMYFUNCTION("GOOGLETRANSLATE(B5208,""en"",""ja"")"),"聴衆")</f>
        <v>聴衆</v>
      </c>
    </row>
    <row r="5155" spans="1:3" ht="18" customHeight="1" x14ac:dyDescent="0.3">
      <c r="A5155" s="1">
        <v>5</v>
      </c>
      <c r="B5155" s="1" t="s">
        <v>4198</v>
      </c>
      <c r="C5155" s="1" t="str">
        <f ca="1">IFERROR(__xludf.DUMMYFUNCTION("GOOGLETRANSLATE(B5209,""en"",""ja"")"),"引き付けます")</f>
        <v>引き付けます</v>
      </c>
    </row>
    <row r="5156" spans="1:3" ht="18" customHeight="1" x14ac:dyDescent="0.3">
      <c r="A5156" s="1">
        <v>5</v>
      </c>
      <c r="B5156" s="1" t="s">
        <v>4199</v>
      </c>
      <c r="C5156" s="1" t="str">
        <f ca="1">IFERROR(__xludf.DUMMYFUNCTION("GOOGLETRANSLATE(B5210,""en"",""ja"")"),"出席")</f>
        <v>出席</v>
      </c>
    </row>
    <row r="5157" spans="1:3" ht="18" customHeight="1" x14ac:dyDescent="0.3">
      <c r="A5157" s="1">
        <v>5</v>
      </c>
      <c r="B5157" s="1" t="s">
        <v>4200</v>
      </c>
      <c r="C5157" s="1" t="str">
        <f ca="1">IFERROR(__xludf.DUMMYFUNCTION("GOOGLETRANSLATE(B5211,""en"",""ja"")"),"前提としてい")</f>
        <v>前提としてい</v>
      </c>
    </row>
    <row r="5158" spans="1:3" ht="18" customHeight="1" x14ac:dyDescent="0.3">
      <c r="A5158" s="1">
        <v>5</v>
      </c>
      <c r="B5158" s="1" t="s">
        <v>4201</v>
      </c>
      <c r="C5158" s="1" t="str">
        <f ca="1">IFERROR(__xludf.DUMMYFUNCTION("GOOGLETRANSLATE(B5212,""en"",""ja"")"),"仲間、同僚")</f>
        <v>仲間、同僚</v>
      </c>
    </row>
    <row r="5159" spans="1:3" ht="18" customHeight="1" x14ac:dyDescent="0.3">
      <c r="A5159" s="1">
        <v>5</v>
      </c>
      <c r="B5159" s="1" t="s">
        <v>1856</v>
      </c>
      <c r="C5159" s="1" t="str">
        <f ca="1">IFERROR(__xludf.DUMMYFUNCTION("GOOGLETRANSLATE(B5213,""en"",""ja"")"),"評価")</f>
        <v>評価</v>
      </c>
    </row>
    <row r="5160" spans="1:3" ht="18" customHeight="1" x14ac:dyDescent="0.3">
      <c r="A5160" s="1">
        <v>5</v>
      </c>
      <c r="B5160" s="1" t="s">
        <v>4202</v>
      </c>
      <c r="C5160" s="1" t="str">
        <f ca="1">IFERROR(__xludf.DUMMYFUNCTION("GOOGLETRANSLATE(B5214,""en"",""ja"")"),"芸術的")</f>
        <v>芸術的</v>
      </c>
    </row>
    <row r="5161" spans="1:3" ht="18" customHeight="1" x14ac:dyDescent="0.3">
      <c r="A5161" s="1">
        <v>5</v>
      </c>
      <c r="B5161" s="1" t="s">
        <v>4203</v>
      </c>
      <c r="C5161" s="1" t="str">
        <f ca="1">IFERROR(__xludf.DUMMYFUNCTION("GOOGLETRANSLATE(B5215,""en"",""ja"")"),"発生します")</f>
        <v>発生します</v>
      </c>
    </row>
    <row r="5162" spans="1:3" ht="18" customHeight="1" x14ac:dyDescent="0.3">
      <c r="A5162" s="1">
        <v>5</v>
      </c>
      <c r="B5162" s="1" t="s">
        <v>1717</v>
      </c>
      <c r="C5162" s="1" t="str">
        <f ca="1">IFERROR(__xludf.DUMMYFUNCTION("GOOGLETRANSLATE(B5216,""en"",""ja"")"),"任意")</f>
        <v>任意</v>
      </c>
    </row>
    <row r="5163" spans="1:3" ht="18" customHeight="1" x14ac:dyDescent="0.3">
      <c r="A5163" s="1">
        <v>5</v>
      </c>
      <c r="B5163" s="1" t="s">
        <v>4204</v>
      </c>
      <c r="C5163" s="1" t="str">
        <f ca="1">IFERROR(__xludf.DUMMYFUNCTION("GOOGLETRANSLATE(B5217,""en"",""ja"")"),"アパート")</f>
        <v>アパート</v>
      </c>
    </row>
    <row r="5164" spans="1:3" ht="18" customHeight="1" x14ac:dyDescent="0.3">
      <c r="A5164" s="1">
        <v>5</v>
      </c>
      <c r="B5164" s="1" t="s">
        <v>4205</v>
      </c>
      <c r="C5164" s="1" t="str">
        <f ca="1">IFERROR(__xludf.DUMMYFUNCTION("GOOGLETRANSLATE(B5218,""en"",""ja"")"),"どこでも")</f>
        <v>どこでも</v>
      </c>
    </row>
    <row r="5165" spans="1:3" ht="18" customHeight="1" x14ac:dyDescent="0.3">
      <c r="A5165" s="1">
        <v>5</v>
      </c>
      <c r="B5165" s="1" t="s">
        <v>4206</v>
      </c>
      <c r="C5165" s="1" t="str">
        <f ca="1">IFERROR(__xludf.DUMMYFUNCTION("GOOGLETRANSLATE(B5219,""en"",""ja"")"),"羚羊")</f>
        <v>羚羊</v>
      </c>
    </row>
    <row r="5166" spans="1:3" ht="18" customHeight="1" x14ac:dyDescent="0.3">
      <c r="A5166" s="1">
        <v>5</v>
      </c>
      <c r="B5166" s="1" t="s">
        <v>4207</v>
      </c>
      <c r="C5166" s="1" t="str">
        <f ca="1">IFERROR(__xludf.DUMMYFUNCTION("GOOGLETRANSLATE(B5220,""en"",""ja"")"),"発表の")</f>
        <v>発表の</v>
      </c>
    </row>
    <row r="5167" spans="1:3" ht="18" customHeight="1" x14ac:dyDescent="0.3">
      <c r="A5167" s="1">
        <v>5</v>
      </c>
      <c r="B5167" s="1" t="s">
        <v>4208</v>
      </c>
      <c r="C5167" s="1" t="str">
        <f ca="1">IFERROR(__xludf.DUMMYFUNCTION("GOOGLETRANSLATE(B5221,""en"",""ja"")"),"系統")</f>
        <v>系統</v>
      </c>
    </row>
    <row r="5168" spans="1:3" ht="18" customHeight="1" x14ac:dyDescent="0.3">
      <c r="A5168" s="1">
        <v>5</v>
      </c>
      <c r="B5168" s="1" t="s">
        <v>4209</v>
      </c>
      <c r="C5168" s="1" t="str">
        <f ca="1">IFERROR(__xludf.DUMMYFUNCTION("GOOGLETRANSLATE(B5222,""en"",""ja"")"),"分析しました")</f>
        <v>分析しました</v>
      </c>
    </row>
    <row r="5169" spans="1:3" ht="18" customHeight="1" x14ac:dyDescent="0.3">
      <c r="A5169" s="1">
        <v>5</v>
      </c>
      <c r="B5169" s="1" t="s">
        <v>4210</v>
      </c>
      <c r="C5169" s="1" t="str">
        <f ca="1">IFERROR(__xludf.DUMMYFUNCTION("GOOGLETRANSLATE(B5223,""en"",""ja"")"),"アマチュア")</f>
        <v>アマチュア</v>
      </c>
    </row>
    <row r="5170" spans="1:3" ht="18" customHeight="1" x14ac:dyDescent="0.3">
      <c r="A5170" s="1">
        <v>5</v>
      </c>
      <c r="B5170" s="1" t="s">
        <v>302</v>
      </c>
      <c r="C5170" s="1" t="str">
        <f ca="1">IFERROR(__xludf.DUMMYFUNCTION("GOOGLETRANSLATE(B5224,""en"",""ja"")"),"既に")</f>
        <v>既に</v>
      </c>
    </row>
    <row r="5171" spans="1:3" ht="18" customHeight="1" x14ac:dyDescent="0.3">
      <c r="A5171" s="1">
        <v>5</v>
      </c>
      <c r="B5171" s="1" t="s">
        <v>4211</v>
      </c>
      <c r="C5171" s="1" t="str">
        <f ca="1">IFERROR(__xludf.DUMMYFUNCTION("GOOGLETRANSLATE(B5225,""en"",""ja"")"),"割り当てる")</f>
        <v>割り当てる</v>
      </c>
    </row>
    <row r="5172" spans="1:3" ht="18" customHeight="1" x14ac:dyDescent="0.3">
      <c r="A5172" s="1">
        <v>5</v>
      </c>
      <c r="B5172" s="1" t="s">
        <v>4212</v>
      </c>
      <c r="C5172" s="1" t="str">
        <f ca="1">IFERROR(__xludf.DUMMYFUNCTION("GOOGLETRANSLATE(B5226,""en"",""ja"")"),"対立")</f>
        <v>対立</v>
      </c>
    </row>
    <row r="5173" spans="1:3" ht="18" customHeight="1" x14ac:dyDescent="0.3">
      <c r="A5173" s="1">
        <v>5</v>
      </c>
      <c r="B5173" s="1" t="s">
        <v>4213</v>
      </c>
      <c r="C5173" s="1" t="str">
        <f ca="1">IFERROR(__xludf.DUMMYFUNCTION("GOOGLETRANSLATE(B5227,""en"",""ja"")"),"エイリアン")</f>
        <v>エイリアン</v>
      </c>
    </row>
    <row r="5174" spans="1:3" ht="18" customHeight="1" x14ac:dyDescent="0.3">
      <c r="A5174" s="1">
        <v>5</v>
      </c>
      <c r="B5174" s="1" t="s">
        <v>4214</v>
      </c>
      <c r="C5174" s="1" t="str">
        <f ca="1">IFERROR(__xludf.DUMMYFUNCTION("GOOGLETRANSLATE(B5228,""en"",""ja"")"),"albrechtslundさん")</f>
        <v>albrechtslundさん</v>
      </c>
    </row>
    <row r="5175" spans="1:3" ht="18" customHeight="1" x14ac:dyDescent="0.3">
      <c r="A5175" s="1">
        <v>5</v>
      </c>
      <c r="B5175" s="1" t="s">
        <v>4215</v>
      </c>
      <c r="C5175" s="1" t="str">
        <f ca="1">IFERROR(__xludf.DUMMYFUNCTION("GOOGLETRANSLATE(B5229,""en"",""ja"")"),"albrechtslund")</f>
        <v>albrechtslund</v>
      </c>
    </row>
    <row r="5176" spans="1:3" ht="18" customHeight="1" x14ac:dyDescent="0.3">
      <c r="A5176" s="1">
        <v>5</v>
      </c>
      <c r="B5176" s="1" t="s">
        <v>4216</v>
      </c>
      <c r="C5176" s="1" t="str">
        <f ca="1">IFERROR(__xludf.DUMMYFUNCTION("GOOGLETRANSLATE(B5231,""en"",""ja"")"),"アルバート")</f>
        <v>アルバート</v>
      </c>
    </row>
    <row r="5177" spans="1:3" ht="18" customHeight="1" x14ac:dyDescent="0.3">
      <c r="A5177" s="1">
        <v>5</v>
      </c>
      <c r="B5177" s="1" t="s">
        <v>4217</v>
      </c>
      <c r="C5177" s="1" t="str">
        <f ca="1">IFERROR(__xludf.DUMMYFUNCTION("GOOGLETRANSLATE(B5232,""en"",""ja"")"),"同意します")</f>
        <v>同意します</v>
      </c>
    </row>
    <row r="5178" spans="1:3" ht="18" customHeight="1" x14ac:dyDescent="0.3">
      <c r="A5178" s="1">
        <v>5</v>
      </c>
      <c r="B5178" s="1" t="s">
        <v>872</v>
      </c>
      <c r="C5178" s="1" t="str">
        <f ca="1">IFERROR(__xludf.DUMMYFUNCTION("GOOGLETRANSLATE(B5233,""en"",""ja"")"),"アグレッシブ")</f>
        <v>アグレッシブ</v>
      </c>
    </row>
    <row r="5179" spans="1:3" ht="18" customHeight="1" x14ac:dyDescent="0.3">
      <c r="A5179" s="1">
        <v>5</v>
      </c>
      <c r="B5179" s="1" t="s">
        <v>4218</v>
      </c>
      <c r="C5179" s="1" t="str">
        <f ca="1">IFERROR(__xludf.DUMMYFUNCTION("GOOGLETRANSLATE(B5234,""en"",""ja"")"),"代理店")</f>
        <v>代理店</v>
      </c>
    </row>
    <row r="5180" spans="1:3" ht="18" customHeight="1" x14ac:dyDescent="0.3">
      <c r="A5180" s="1">
        <v>5</v>
      </c>
      <c r="B5180" s="1" t="s">
        <v>4219</v>
      </c>
      <c r="C5180" s="1" t="str">
        <f ca="1">IFERROR(__xludf.DUMMYFUNCTION("GOOGLETRANSLATE(B5235,""en"",""ja"")"),"老人")</f>
        <v>老人</v>
      </c>
    </row>
    <row r="5181" spans="1:3" ht="18" customHeight="1" x14ac:dyDescent="0.3">
      <c r="A5181" s="1">
        <v>5</v>
      </c>
      <c r="B5181" s="1" t="s">
        <v>4220</v>
      </c>
      <c r="C5181" s="1" t="str">
        <f ca="1">IFERROR(__xludf.DUMMYFUNCTION("GOOGLETRANSLATE(B5236,""en"",""ja"")"),"AFFIRM")</f>
        <v>AFFIRM</v>
      </c>
    </row>
    <row r="5182" spans="1:3" ht="18" customHeight="1" x14ac:dyDescent="0.3">
      <c r="A5182" s="1">
        <v>5</v>
      </c>
      <c r="B5182" s="1" t="s">
        <v>4221</v>
      </c>
      <c r="C5182" s="1" t="str">
        <f ca="1">IFERROR(__xludf.DUMMYFUNCTION("GOOGLETRANSLATE(B5237,""en"",""ja"")"),"提唱する")</f>
        <v>提唱する</v>
      </c>
    </row>
    <row r="5183" spans="1:3" ht="18" customHeight="1" x14ac:dyDescent="0.3">
      <c r="A5183" s="1">
        <v>5</v>
      </c>
      <c r="B5183" s="1" t="s">
        <v>4222</v>
      </c>
      <c r="C5183" s="1" t="str">
        <f ca="1">IFERROR(__xludf.DUMMYFUNCTION("GOOGLETRANSLATE(B5238,""en"",""ja"")"),"広告")</f>
        <v>広告</v>
      </c>
    </row>
    <row r="5184" spans="1:3" ht="18" customHeight="1" x14ac:dyDescent="0.3">
      <c r="A5184" s="1">
        <v>5</v>
      </c>
      <c r="B5184" s="1" t="s">
        <v>4223</v>
      </c>
      <c r="C5184" s="1" t="str">
        <f ca="1">IFERROR(__xludf.DUMMYFUNCTION("GOOGLETRANSLATE(B5239,""en"",""ja"")"),"思春期")</f>
        <v>思春期</v>
      </c>
    </row>
    <row r="5185" spans="1:3" ht="18" customHeight="1" x14ac:dyDescent="0.3">
      <c r="A5185" s="1">
        <v>5</v>
      </c>
      <c r="B5185" s="1" t="s">
        <v>4224</v>
      </c>
      <c r="C5185" s="1" t="str">
        <f ca="1">IFERROR(__xludf.DUMMYFUNCTION("GOOGLETRANSLATE(B5240,""en"",""ja"")"),"十分な")</f>
        <v>十分な</v>
      </c>
    </row>
    <row r="5186" spans="1:3" ht="18" customHeight="1" x14ac:dyDescent="0.3">
      <c r="A5186" s="1">
        <v>5</v>
      </c>
      <c r="B5186" s="1" t="s">
        <v>4225</v>
      </c>
      <c r="C5186" s="1" t="str">
        <f ca="1">IFERROR(__xludf.DUMMYFUNCTION("GOOGLETRANSLATE(B5241,""en"",""ja"")"),"適応")</f>
        <v>適応</v>
      </c>
    </row>
    <row r="5187" spans="1:3" ht="18" customHeight="1" x14ac:dyDescent="0.3">
      <c r="A5187" s="1">
        <v>5</v>
      </c>
      <c r="B5187" s="1" t="s">
        <v>4226</v>
      </c>
      <c r="C5187" s="1" t="str">
        <f ca="1">IFERROR(__xludf.DUMMYFUNCTION("GOOGLETRANSLATE(B5242,""en"",""ja"")"),"俳優")</f>
        <v>俳優</v>
      </c>
    </row>
    <row r="5188" spans="1:3" ht="18" customHeight="1" x14ac:dyDescent="0.3">
      <c r="A5188" s="1">
        <v>5</v>
      </c>
      <c r="B5188" s="1" t="s">
        <v>1721</v>
      </c>
      <c r="C5188" s="1" t="str">
        <f ca="1">IFERROR(__xludf.DUMMYFUNCTION("GOOGLETRANSLATE(B5243,""en"",""ja"")"),"正しく")</f>
        <v>正しく</v>
      </c>
    </row>
    <row r="5189" spans="1:3" ht="18" customHeight="1" x14ac:dyDescent="0.3">
      <c r="A5189" s="1">
        <v>5</v>
      </c>
      <c r="B5189" s="1" t="s">
        <v>4227</v>
      </c>
      <c r="C5189" s="1" t="str">
        <f ca="1">IFERROR(__xludf.DUMMYFUNCTION("GOOGLETRANSLATE(B5244,""en"",""ja"")"),"蓄積されました")</f>
        <v>蓄積されました</v>
      </c>
    </row>
    <row r="5190" spans="1:3" ht="18" customHeight="1" x14ac:dyDescent="0.3">
      <c r="A5190" s="1">
        <v>5</v>
      </c>
      <c r="B5190" s="1" t="s">
        <v>4228</v>
      </c>
      <c r="C5190" s="1" t="str">
        <f ca="1">IFERROR(__xludf.DUMMYFUNCTION("GOOGLETRANSLATE(B5245,""en"",""ja"")"),"誤っ")</f>
        <v>誤っ</v>
      </c>
    </row>
    <row r="5191" spans="1:3" ht="18" customHeight="1" x14ac:dyDescent="0.3">
      <c r="A5191" s="1">
        <v>5</v>
      </c>
      <c r="B5191" s="1" t="s">
        <v>4229</v>
      </c>
      <c r="C5191" s="1" t="str">
        <f ca="1">IFERROR(__xludf.DUMMYFUNCTION("GOOGLETRANSLATE(B5246,""en"",""ja"")"),"不慮")</f>
        <v>不慮</v>
      </c>
    </row>
    <row r="5192" spans="1:3" ht="18" customHeight="1" x14ac:dyDescent="0.3">
      <c r="A5192" s="1">
        <v>5</v>
      </c>
      <c r="B5192" s="1" t="s">
        <v>2018</v>
      </c>
      <c r="C5192" s="1" t="str">
        <f ca="1">IFERROR(__xludf.DUMMYFUNCTION("GOOGLETRANSLATE(B5248,""en"",""ja"")"),"事故")</f>
        <v>事故</v>
      </c>
    </row>
    <row r="5193" spans="1:3" ht="18" customHeight="1" x14ac:dyDescent="0.3">
      <c r="A5193" s="1">
        <v>5</v>
      </c>
      <c r="B5193" s="1" t="s">
        <v>1611</v>
      </c>
      <c r="C5193" s="1" t="str">
        <f ca="1">IFERROR(__xludf.DUMMYFUNCTION("GOOGLETRANSLATE(B5249,""en"",""ja"")"),"アクセス")</f>
        <v>アクセス</v>
      </c>
    </row>
    <row r="5194" spans="1:3" ht="18" customHeight="1" x14ac:dyDescent="0.3">
      <c r="A5194" s="1">
        <v>5</v>
      </c>
      <c r="B5194" s="1" t="s">
        <v>4230</v>
      </c>
      <c r="C5194" s="1" t="str">
        <f ca="1">IFERROR(__xludf.DUMMYFUNCTION("GOOGLETRANSLATE(B5250,""en"",""ja"")"),"アビリティ")</f>
        <v>アビリティ</v>
      </c>
    </row>
    <row r="5195" spans="1:3" ht="18" customHeight="1" x14ac:dyDescent="0.3">
      <c r="A5195" s="1">
        <v>4</v>
      </c>
      <c r="B5195" s="1" t="s">
        <v>4231</v>
      </c>
      <c r="C5195" s="1" t="str">
        <f ca="1">IFERROR(__xludf.DUMMYFUNCTION("GOOGLETRANSLATE(B5251,""en"",""ja"")"),"ゾーン")</f>
        <v>ゾーン</v>
      </c>
    </row>
    <row r="5196" spans="1:3" ht="18" customHeight="1" x14ac:dyDescent="0.3">
      <c r="A5196" s="1">
        <v>4</v>
      </c>
      <c r="B5196" s="1" t="s">
        <v>4232</v>
      </c>
      <c r="C5196" s="1" t="str">
        <f ca="1">IFERROR(__xludf.DUMMYFUNCTION("GOOGLETRANSLATE(B5252,""en"",""ja"")"),"禅")</f>
        <v>禅</v>
      </c>
    </row>
    <row r="5197" spans="1:3" ht="18" customHeight="1" x14ac:dyDescent="0.3">
      <c r="A5197" s="1">
        <v>4</v>
      </c>
      <c r="B5197" s="1" t="s">
        <v>4233</v>
      </c>
      <c r="C5197" s="1" t="str">
        <f ca="1">IFERROR(__xludf.DUMMYFUNCTION("GOOGLETRANSLATE(B5253,""en"",""ja"")"),"叫んで")</f>
        <v>叫んで</v>
      </c>
    </row>
    <row r="5198" spans="1:3" ht="18" customHeight="1" x14ac:dyDescent="0.3">
      <c r="A5198" s="1">
        <v>4</v>
      </c>
      <c r="B5198" s="1" t="s">
        <v>4234</v>
      </c>
      <c r="C5198" s="1" t="str">
        <f ca="1">IFERROR(__xludf.DUMMYFUNCTION("GOOGLETRANSLATE(B5254,""en"",""ja"")"),"yearolds")</f>
        <v>yearolds</v>
      </c>
    </row>
    <row r="5199" spans="1:3" ht="18" customHeight="1" x14ac:dyDescent="0.3">
      <c r="A5199" s="1">
        <v>4</v>
      </c>
      <c r="B5199" s="1" t="s">
        <v>4235</v>
      </c>
      <c r="C5199" s="1" t="str">
        <f ca="1">IFERROR(__xludf.DUMMYFUNCTION("GOOGLETRANSLATE(B5255,""en"",""ja"")"),"歳")</f>
        <v>歳</v>
      </c>
    </row>
    <row r="5200" spans="1:3" ht="18" customHeight="1" x14ac:dyDescent="0.3">
      <c r="A5200" s="1">
        <v>4</v>
      </c>
      <c r="B5200" s="1" t="s">
        <v>4236</v>
      </c>
      <c r="C5200" s="1" t="str">
        <f ca="1">IFERROR(__xludf.DUMMYFUNCTION("GOOGLETRANSLATE(B5256,""en"",""ja"")"),"毎年")</f>
        <v>毎年</v>
      </c>
    </row>
    <row r="5201" spans="1:3" ht="18" customHeight="1" x14ac:dyDescent="0.3">
      <c r="A5201" s="1">
        <v>4</v>
      </c>
      <c r="B5201" s="1" t="s">
        <v>4237</v>
      </c>
      <c r="C5201" s="1" t="str">
        <f ca="1">IFERROR(__xludf.DUMMYFUNCTION("GOOGLETRANSLATE(B5257,""en"",""ja"")"),"クセノパネス")</f>
        <v>クセノパネス</v>
      </c>
    </row>
    <row r="5202" spans="1:3" ht="18" customHeight="1" x14ac:dyDescent="0.3">
      <c r="A5202" s="1">
        <v>4</v>
      </c>
      <c r="B5202" s="1" t="s">
        <v>4238</v>
      </c>
      <c r="C5202" s="1" t="str">
        <f ca="1">IFERROR(__xludf.DUMMYFUNCTION("GOOGLETRANSLATE(B5258,""en"",""ja"")"),"書き込み")</f>
        <v>書き込み</v>
      </c>
    </row>
    <row r="5203" spans="1:3" ht="18" customHeight="1" x14ac:dyDescent="0.3">
      <c r="A5203" s="1">
        <v>4</v>
      </c>
      <c r="B5203" s="1" t="s">
        <v>4239</v>
      </c>
      <c r="C5203" s="1" t="str">
        <f ca="1">IFERROR(__xludf.DUMMYFUNCTION("GOOGLETRANSLATE(B5259,""en"",""ja"")"),"難破")</f>
        <v>難破</v>
      </c>
    </row>
    <row r="5204" spans="1:3" ht="18" customHeight="1" x14ac:dyDescent="0.3">
      <c r="A5204" s="1">
        <v>4</v>
      </c>
      <c r="B5204" s="1" t="s">
        <v>4240</v>
      </c>
      <c r="C5204" s="1" t="str">
        <f ca="1">IFERROR(__xludf.DUMMYFUNCTION("GOOGLETRANSLATE(B5260,""en"",""ja"")"),"価値があります")</f>
        <v>価値があります</v>
      </c>
    </row>
    <row r="5205" spans="1:3" ht="18" customHeight="1" x14ac:dyDescent="0.3">
      <c r="A5205" s="1">
        <v>4</v>
      </c>
      <c r="B5205" s="1" t="s">
        <v>4241</v>
      </c>
      <c r="C5205" s="1" t="str">
        <f ca="1">IFERROR(__xludf.DUMMYFUNCTION("GOOGLETRANSLATE(B5261,""en"",""ja"")"),"世界観")</f>
        <v>世界観</v>
      </c>
    </row>
    <row r="5206" spans="1:3" ht="18" customHeight="1" x14ac:dyDescent="0.3">
      <c r="A5206" s="1">
        <v>4</v>
      </c>
      <c r="B5206" s="1" t="s">
        <v>4242</v>
      </c>
      <c r="C5206" s="1" t="str">
        <f ca="1">IFERROR(__xludf.DUMMYFUNCTION("GOOGLETRANSLATE(B5262,""en"",""ja"")"),"差し控える")</f>
        <v>差し控える</v>
      </c>
    </row>
    <row r="5207" spans="1:3" ht="18" customHeight="1" x14ac:dyDescent="0.3">
      <c r="A5207" s="1">
        <v>4</v>
      </c>
      <c r="B5207" s="1" t="s">
        <v>4243</v>
      </c>
      <c r="C5207" s="1" t="str">
        <f ca="1">IFERROR(__xludf.DUMMYFUNCTION("GOOGLETRANSLATE(B5263,""en"",""ja"")"),"希望")</f>
        <v>希望</v>
      </c>
    </row>
    <row r="5208" spans="1:3" ht="18" customHeight="1" x14ac:dyDescent="0.3">
      <c r="A5208" s="1">
        <v>4</v>
      </c>
      <c r="B5208" s="1" t="s">
        <v>2023</v>
      </c>
      <c r="C5208" s="1" t="str">
        <f ca="1">IFERROR(__xludf.DUMMYFUNCTION("GOOGLETRANSLATE(B5264,""en"",""ja"")"),"野生動物")</f>
        <v>野生動物</v>
      </c>
    </row>
    <row r="5209" spans="1:3" ht="18" customHeight="1" x14ac:dyDescent="0.3">
      <c r="A5209" s="1">
        <v>4</v>
      </c>
      <c r="B5209" s="1" t="s">
        <v>4244</v>
      </c>
      <c r="C5209" s="1" t="str">
        <f ca="1">IFERROR(__xludf.DUMMYFUNCTION("GOOGLETRANSLATE(B5265,""en"",""ja"")"),"白人")</f>
        <v>白人</v>
      </c>
    </row>
    <row r="5210" spans="1:3" ht="18" customHeight="1" x14ac:dyDescent="0.3">
      <c r="A5210" s="1">
        <v>4</v>
      </c>
      <c r="B5210" s="1" t="s">
        <v>4245</v>
      </c>
      <c r="C5210" s="1" t="str">
        <f ca="1">IFERROR(__xludf.DUMMYFUNCTION("GOOGLETRANSLATE(B5266,""en"",""ja"")"),"ホイッグ")</f>
        <v>ホイッグ</v>
      </c>
    </row>
    <row r="5211" spans="1:3" ht="18" customHeight="1" x14ac:dyDescent="0.3">
      <c r="A5211" s="1">
        <v>4</v>
      </c>
      <c r="B5211" s="1" t="s">
        <v>4246</v>
      </c>
      <c r="C5211" s="1" t="str">
        <f ca="1">IFERROR(__xludf.DUMMYFUNCTION("GOOGLETRANSLATE(B5267,""en"",""ja"")"),"前記")</f>
        <v>前記</v>
      </c>
    </row>
    <row r="5212" spans="1:3" ht="18" customHeight="1" x14ac:dyDescent="0.3">
      <c r="A5212" s="1">
        <v>4</v>
      </c>
      <c r="B5212" s="1" t="s">
        <v>4247</v>
      </c>
      <c r="C5212" s="1" t="str">
        <f ca="1">IFERROR(__xludf.DUMMYFUNCTION("GOOGLETRANSLATE(B5268,""en"",""ja"")"),"何のために")</f>
        <v>何のために</v>
      </c>
    </row>
    <row r="5213" spans="1:3" ht="18" customHeight="1" x14ac:dyDescent="0.3">
      <c r="A5213" s="1">
        <v>4</v>
      </c>
      <c r="B5213" s="1" t="s">
        <v>4248</v>
      </c>
      <c r="C5213" s="1" t="str">
        <f ca="1">IFERROR(__xludf.DUMMYFUNCTION("GOOGLETRANSLATE(B5269,""en"",""ja"")"),"所在")</f>
        <v>所在</v>
      </c>
    </row>
    <row r="5214" spans="1:3" ht="18" customHeight="1" x14ac:dyDescent="0.3">
      <c r="A5214" s="1">
        <v>4</v>
      </c>
      <c r="B5214" s="1" t="s">
        <v>1401</v>
      </c>
      <c r="C5214" s="1" t="str">
        <f ca="1">IFERROR(__xludf.DUMMYFUNCTION("GOOGLETRANSLATE(B5270,""en"",""ja"")"),"西")</f>
        <v>西</v>
      </c>
    </row>
    <row r="5215" spans="1:3" ht="18" customHeight="1" x14ac:dyDescent="0.3">
      <c r="A5215" s="1">
        <v>4</v>
      </c>
      <c r="B5215" s="1" t="s">
        <v>4249</v>
      </c>
      <c r="C5215" s="1" t="str">
        <f ca="1">IFERROR(__xludf.DUMMYFUNCTION("GOOGLETRANSLATE(B5271,""en"",""ja"")"),"ヴェンダース")</f>
        <v>ヴェンダース</v>
      </c>
    </row>
    <row r="5216" spans="1:3" ht="18" customHeight="1" x14ac:dyDescent="0.3">
      <c r="A5216" s="1">
        <v>4</v>
      </c>
      <c r="B5216" s="1" t="s">
        <v>4250</v>
      </c>
      <c r="C5216" s="1" t="str">
        <f ca="1">IFERROR(__xludf.DUMMYFUNCTION("GOOGLETRANSLATE(B5273,""en"",""ja"")"),"ウェールズ")</f>
        <v>ウェールズ</v>
      </c>
    </row>
    <row r="5217" spans="1:3" ht="18" customHeight="1" x14ac:dyDescent="0.3">
      <c r="A5217" s="1">
        <v>4</v>
      </c>
      <c r="B5217" s="1" t="s">
        <v>4251</v>
      </c>
      <c r="C5217" s="1" t="str">
        <f ca="1">IFERROR(__xludf.DUMMYFUNCTION("GOOGLETRANSLATE(B5274,""en"",""ja"")"),"ウィンナー")</f>
        <v>ウィンナー</v>
      </c>
    </row>
    <row r="5218" spans="1:3" ht="18" customHeight="1" x14ac:dyDescent="0.3">
      <c r="A5218" s="1">
        <v>4</v>
      </c>
      <c r="B5218" s="1" t="s">
        <v>4252</v>
      </c>
      <c r="C5218" s="1" t="str">
        <f ca="1">IFERROR(__xludf.DUMMYFUNCTION("GOOGLETRANSLATE(B5275,""en"",""ja"")"),"着用者")</f>
        <v>着用者</v>
      </c>
    </row>
    <row r="5219" spans="1:3" ht="18" customHeight="1" x14ac:dyDescent="0.3">
      <c r="A5219" s="1">
        <v>4</v>
      </c>
      <c r="B5219" s="1" t="s">
        <v>4253</v>
      </c>
      <c r="C5219" s="1" t="str">
        <f ca="1">IFERROR(__xludf.DUMMYFUNCTION("GOOGLETRANSLATE(B5277,""en"",""ja"")"),"揺れ動い")</f>
        <v>揺れ動い</v>
      </c>
    </row>
    <row r="5220" spans="1:3" ht="18" customHeight="1" x14ac:dyDescent="0.3">
      <c r="A5220" s="1">
        <v>4</v>
      </c>
      <c r="B5220" s="1" t="s">
        <v>4254</v>
      </c>
      <c r="C5220" s="1" t="str">
        <f ca="1">IFERROR(__xludf.DUMMYFUNCTION("GOOGLETRANSLATE(B5278,""en"",""ja"")"),"洗浄")</f>
        <v>洗浄</v>
      </c>
    </row>
    <row r="5221" spans="1:3" ht="18" customHeight="1" x14ac:dyDescent="0.3">
      <c r="A5221" s="1">
        <v>4</v>
      </c>
      <c r="B5221" s="1" t="s">
        <v>4255</v>
      </c>
      <c r="C5221" s="1" t="str">
        <f ca="1">IFERROR(__xludf.DUMMYFUNCTION("GOOGLETRANSLATE(B5279,""en"",""ja"")"),"洗浄液")</f>
        <v>洗浄液</v>
      </c>
    </row>
    <row r="5222" spans="1:3" ht="18" customHeight="1" x14ac:dyDescent="0.3">
      <c r="A5222" s="1">
        <v>4</v>
      </c>
      <c r="B5222" s="1" t="s">
        <v>4256</v>
      </c>
      <c r="C5222" s="1" t="str">
        <f ca="1">IFERROR(__xludf.DUMMYFUNCTION("GOOGLETRANSLATE(B5280,""en"",""ja"")"),"警告")</f>
        <v>警告</v>
      </c>
    </row>
    <row r="5223" spans="1:3" ht="18" customHeight="1" x14ac:dyDescent="0.3">
      <c r="A5223" s="1">
        <v>4</v>
      </c>
      <c r="B5223" s="1" t="s">
        <v>4257</v>
      </c>
      <c r="C5223" s="1" t="str">
        <f ca="1">IFERROR(__xludf.DUMMYFUNCTION("GOOGLETRANSLATE(B5281,""en"",""ja"")"),"警告します")</f>
        <v>警告します</v>
      </c>
    </row>
    <row r="5224" spans="1:3" ht="18" customHeight="1" x14ac:dyDescent="0.3">
      <c r="A5224" s="1">
        <v>4</v>
      </c>
      <c r="B5224" s="1" t="s">
        <v>4258</v>
      </c>
      <c r="C5224" s="1" t="str">
        <f ca="1">IFERROR(__xludf.DUMMYFUNCTION("GOOGLETRANSLATE(B5282,""en"",""ja"")"),"壁")</f>
        <v>壁</v>
      </c>
    </row>
    <row r="5225" spans="1:3" ht="18" customHeight="1" x14ac:dyDescent="0.3">
      <c r="A5225" s="1">
        <v>4</v>
      </c>
      <c r="B5225" s="1" t="s">
        <v>4259</v>
      </c>
      <c r="C5225" s="1" t="str">
        <f ca="1">IFERROR(__xludf.DUMMYFUNCTION("GOOGLETRANSLATE(B5283,""en"",""ja"")"),"工賃")</f>
        <v>工賃</v>
      </c>
    </row>
    <row r="5226" spans="1:3" ht="18" customHeight="1" x14ac:dyDescent="0.3">
      <c r="A5226" s="1">
        <v>4</v>
      </c>
      <c r="B5226" s="1" t="s">
        <v>1403</v>
      </c>
      <c r="C5226" s="1" t="str">
        <f ca="1">IFERROR(__xludf.DUMMYFUNCTION("GOOGLETRANSLATE(B5284,""en"",""ja"")"),"禿鷹")</f>
        <v>禿鷹</v>
      </c>
    </row>
    <row r="5227" spans="1:3" ht="18" customHeight="1" x14ac:dyDescent="0.3">
      <c r="A5227" s="1">
        <v>4</v>
      </c>
      <c r="B5227" s="1" t="s">
        <v>4260</v>
      </c>
      <c r="C5227" s="1" t="str">
        <f ca="1">IFERROR(__xludf.DUMMYFUNCTION("GOOGLETRANSLATE(B5285,""en"",""ja"")"),"自発的")</f>
        <v>自発的</v>
      </c>
    </row>
    <row r="5228" spans="1:3" ht="18" customHeight="1" x14ac:dyDescent="0.3">
      <c r="A5228" s="1">
        <v>4</v>
      </c>
      <c r="B5228" s="1" t="s">
        <v>4261</v>
      </c>
      <c r="C5228" s="1" t="str">
        <f ca="1">IFERROR(__xludf.DUMMYFUNCTION("GOOGLETRANSLATE(B5286,""en"",""ja"")"),"声")</f>
        <v>声</v>
      </c>
    </row>
    <row r="5229" spans="1:3" ht="18" customHeight="1" x14ac:dyDescent="0.3">
      <c r="A5229" s="1">
        <v>4</v>
      </c>
      <c r="B5229" s="1" t="s">
        <v>4262</v>
      </c>
      <c r="C5229" s="1" t="str">
        <f ca="1">IFERROR(__xludf.DUMMYFUNCTION("GOOGLETRANSLATE(B5287,""en"",""ja"")"),"発声")</f>
        <v>発声</v>
      </c>
    </row>
    <row r="5230" spans="1:3" ht="18" customHeight="1" x14ac:dyDescent="0.3">
      <c r="A5230" s="1">
        <v>4</v>
      </c>
      <c r="B5230" s="1" t="s">
        <v>4263</v>
      </c>
      <c r="C5230" s="1" t="str">
        <f ca="1">IFERROR(__xludf.DUMMYFUNCTION("GOOGLETRANSLATE(B5288,""en"",""ja"")"),"バージン")</f>
        <v>バージン</v>
      </c>
    </row>
    <row r="5231" spans="1:3" ht="18" customHeight="1" x14ac:dyDescent="0.3">
      <c r="A5231" s="1">
        <v>4</v>
      </c>
      <c r="B5231" s="1" t="s">
        <v>2264</v>
      </c>
      <c r="C5231" s="1" t="str">
        <f ca="1">IFERROR(__xludf.DUMMYFUNCTION("GOOGLETRANSLATE(B5289,""en"",""ja"")"),"観点")</f>
        <v>観点</v>
      </c>
    </row>
    <row r="5232" spans="1:3" ht="18" customHeight="1" x14ac:dyDescent="0.3">
      <c r="A5232" s="1">
        <v>4</v>
      </c>
      <c r="B5232" s="1" t="s">
        <v>4264</v>
      </c>
      <c r="C5232" s="1" t="str">
        <f ca="1">IFERROR(__xludf.DUMMYFUNCTION("GOOGLETRANSLATE(B5290,""en"",""ja"")"),"ビクター")</f>
        <v>ビクター</v>
      </c>
    </row>
    <row r="5233" spans="1:3" ht="18" customHeight="1" x14ac:dyDescent="0.3">
      <c r="A5233" s="1">
        <v>4</v>
      </c>
      <c r="B5233" s="1" t="s">
        <v>4265</v>
      </c>
      <c r="C5233" s="1" t="str">
        <f ca="1">IFERROR(__xludf.DUMMYFUNCTION("GOOGLETRANSLATE(B5291,""en"",""ja"")"),"会場")</f>
        <v>会場</v>
      </c>
    </row>
    <row r="5234" spans="1:3" ht="18" customHeight="1" x14ac:dyDescent="0.3">
      <c r="A5234" s="1">
        <v>4</v>
      </c>
      <c r="B5234" s="1" t="s">
        <v>1317</v>
      </c>
      <c r="C5234" s="1" t="str">
        <f ca="1">IFERROR(__xludf.DUMMYFUNCTION("GOOGLETRANSLATE(B5292,""en"",""ja"")"),"車両")</f>
        <v>車両</v>
      </c>
    </row>
    <row r="5235" spans="1:3" ht="18" customHeight="1" x14ac:dyDescent="0.3">
      <c r="A5235" s="1">
        <v>4</v>
      </c>
      <c r="B5235" s="1" t="s">
        <v>1499</v>
      </c>
      <c r="C5235" s="1" t="str">
        <f ca="1">IFERROR(__xludf.DUMMYFUNCTION("GOOGLETRANSLATE(B5293,""en"",""ja"")"),"変数")</f>
        <v>変数</v>
      </c>
    </row>
    <row r="5236" spans="1:3" ht="18" customHeight="1" x14ac:dyDescent="0.3">
      <c r="A5236" s="1">
        <v>4</v>
      </c>
      <c r="B5236" s="1" t="s">
        <v>4266</v>
      </c>
      <c r="C5236" s="1" t="str">
        <f ca="1">IFERROR(__xludf.DUMMYFUNCTION("GOOGLETRANSLATE(B5294,""en"",""ja"")"),"谷")</f>
        <v>谷</v>
      </c>
    </row>
    <row r="5237" spans="1:3" ht="18" customHeight="1" x14ac:dyDescent="0.3">
      <c r="A5237" s="1">
        <v>4</v>
      </c>
      <c r="B5237" s="1" t="s">
        <v>4267</v>
      </c>
      <c r="C5237" s="1" t="str">
        <f ca="1">IFERROR(__xludf.DUMMYFUNCTION("GOOGLETRANSLATE(B5295,""en"",""ja"")"),"検証")</f>
        <v>検証</v>
      </c>
    </row>
    <row r="5238" spans="1:3" ht="18" customHeight="1" x14ac:dyDescent="0.3">
      <c r="A5238" s="1">
        <v>4</v>
      </c>
      <c r="B5238" s="1" t="s">
        <v>4268</v>
      </c>
      <c r="C5238" s="1" t="str">
        <f ca="1">IFERROR(__xludf.DUMMYFUNCTION("GOOGLETRANSLATE(B5296,""en"",""ja"")"),"休暇")</f>
        <v>休暇</v>
      </c>
    </row>
    <row r="5239" spans="1:3" ht="18" customHeight="1" x14ac:dyDescent="0.3">
      <c r="A5239" s="1">
        <v>4</v>
      </c>
      <c r="B5239" s="1" t="s">
        <v>4269</v>
      </c>
      <c r="C5239" s="1" t="str">
        <f ca="1">IFERROR(__xludf.DUMMYFUNCTION("GOOGLETRANSLATE(B5297,""en"",""ja"")"),"全く")</f>
        <v>全く</v>
      </c>
    </row>
    <row r="5240" spans="1:3" ht="18" customHeight="1" x14ac:dyDescent="0.3">
      <c r="A5240" s="1">
        <v>4</v>
      </c>
      <c r="B5240" s="1" t="s">
        <v>4270</v>
      </c>
      <c r="C5240" s="1" t="str">
        <f ca="1">IFERROR(__xludf.DUMMYFUNCTION("GOOGLETRANSLATE(B5298,""en"",""ja"")"),"道具")</f>
        <v>道具</v>
      </c>
    </row>
    <row r="5241" spans="1:3" ht="18" customHeight="1" x14ac:dyDescent="0.3">
      <c r="A5241" s="1">
        <v>4</v>
      </c>
      <c r="B5241" s="1" t="s">
        <v>4271</v>
      </c>
      <c r="C5241" s="1" t="str">
        <f ca="1">IFERROR(__xludf.DUMMYFUNCTION("GOOGLETRANSLATE(B5299,""en"",""ja"")"),"ユーザー")</f>
        <v>ユーザー</v>
      </c>
    </row>
    <row r="5242" spans="1:3" ht="18" customHeight="1" x14ac:dyDescent="0.3">
      <c r="A5242" s="1">
        <v>4</v>
      </c>
      <c r="B5242" s="1" t="s">
        <v>4272</v>
      </c>
      <c r="C5242" s="1" t="str">
        <f ca="1">IFERROR(__xludf.DUMMYFUNCTION("GOOGLETRANSLATE(B5300,""en"",""ja"")"),"緊急")</f>
        <v>緊急</v>
      </c>
    </row>
    <row r="5243" spans="1:3" ht="18" customHeight="1" x14ac:dyDescent="0.3">
      <c r="A5243" s="1">
        <v>4</v>
      </c>
      <c r="B5243" s="1" t="s">
        <v>4273</v>
      </c>
      <c r="C5243" s="1" t="str">
        <f ca="1">IFERROR(__xludf.DUMMYFUNCTION("GOOGLETRANSLATE(B5301,""en"",""ja"")"),"アプトン")</f>
        <v>アプトン</v>
      </c>
    </row>
    <row r="5244" spans="1:3" ht="18" customHeight="1" x14ac:dyDescent="0.3">
      <c r="A5244" s="1">
        <v>4</v>
      </c>
      <c r="B5244" s="1" t="s">
        <v>4274</v>
      </c>
      <c r="C5244" s="1" t="str">
        <f ca="1">IFERROR(__xludf.DUMMYFUNCTION("GOOGLETRANSLATE(B5302,""en"",""ja"")"),"上部")</f>
        <v>上部</v>
      </c>
    </row>
    <row r="5245" spans="1:3" ht="18" customHeight="1" x14ac:dyDescent="0.3">
      <c r="A5245" s="1">
        <v>4</v>
      </c>
      <c r="B5245" s="1" t="s">
        <v>4275</v>
      </c>
      <c r="C5245" s="1" t="str">
        <f ca="1">IFERROR(__xludf.DUMMYFUNCTION("GOOGLETRANSLATE(B5303,""en"",""ja"")"),"引き抜きます")</f>
        <v>引き抜きます</v>
      </c>
    </row>
    <row r="5246" spans="1:3" ht="18" customHeight="1" x14ac:dyDescent="0.3">
      <c r="A5246" s="1">
        <v>4</v>
      </c>
      <c r="B5246" s="1" t="s">
        <v>4276</v>
      </c>
      <c r="C5246" s="1" t="str">
        <f ca="1">IFERROR(__xludf.DUMMYFUNCTION("GOOGLETRANSLATE(B5304,""en"",""ja"")"),"ウプサラ")</f>
        <v>ウプサラ</v>
      </c>
    </row>
    <row r="5247" spans="1:3" ht="18" customHeight="1" x14ac:dyDescent="0.3">
      <c r="A5247" s="1">
        <v>4</v>
      </c>
      <c r="B5247" s="1" t="s">
        <v>4277</v>
      </c>
      <c r="C5247" s="1" t="str">
        <f ca="1">IFERROR(__xludf.DUMMYFUNCTION("GOOGLETRANSLATE(B5305,""en"",""ja"")"),"掲げ")</f>
        <v>掲げ</v>
      </c>
    </row>
    <row r="5248" spans="1:3" ht="18" customHeight="1" x14ac:dyDescent="0.3">
      <c r="A5248" s="1">
        <v>4</v>
      </c>
      <c r="B5248" s="1" t="s">
        <v>4278</v>
      </c>
      <c r="C5248" s="1" t="str">
        <f ca="1">IFERROR(__xludf.DUMMYFUNCTION("GOOGLETRANSLATE(B5306,""en"",""ja"")"),"不要")</f>
        <v>不要</v>
      </c>
    </row>
    <row r="5249" spans="1:3" ht="18" customHeight="1" x14ac:dyDescent="0.3">
      <c r="A5249" s="1">
        <v>4</v>
      </c>
      <c r="B5249" s="1" t="s">
        <v>4279</v>
      </c>
      <c r="C5249" s="1" t="str">
        <f ca="1">IFERROR(__xludf.DUMMYFUNCTION("GOOGLETRANSLATE(B5307,""en"",""ja"")"),"治療不可能")</f>
        <v>治療不可能</v>
      </c>
    </row>
    <row r="5250" spans="1:3" ht="18" customHeight="1" x14ac:dyDescent="0.3">
      <c r="A5250" s="1">
        <v>4</v>
      </c>
      <c r="B5250" s="1" t="s">
        <v>4280</v>
      </c>
      <c r="C5250" s="1" t="str">
        <f ca="1">IFERROR(__xludf.DUMMYFUNCTION("GOOGLETRANSLATE(B5308,""en"",""ja"")"),"持続不可能")</f>
        <v>持続不可能</v>
      </c>
    </row>
    <row r="5251" spans="1:3" ht="18" customHeight="1" x14ac:dyDescent="0.3">
      <c r="A5251" s="1">
        <v>4</v>
      </c>
      <c r="B5251" s="1" t="s">
        <v>4281</v>
      </c>
      <c r="C5251" s="1" t="str">
        <f ca="1">IFERROR(__xludf.DUMMYFUNCTION("GOOGLETRANSLATE(B5309,""en"",""ja"")"),"不安定な")</f>
        <v>不安定な</v>
      </c>
    </row>
    <row r="5252" spans="1:3" ht="18" customHeight="1" x14ac:dyDescent="0.3">
      <c r="A5252" s="1">
        <v>4</v>
      </c>
      <c r="B5252" s="1" t="s">
        <v>4282</v>
      </c>
      <c r="C5252" s="1" t="str">
        <f ca="1">IFERROR(__xludf.DUMMYFUNCTION("GOOGLETRANSLATE(B5310,""en"",""ja"")"),"信頼性の欠如")</f>
        <v>信頼性の欠如</v>
      </c>
    </row>
    <row r="5253" spans="1:3" ht="18" customHeight="1" x14ac:dyDescent="0.3">
      <c r="A5253" s="1">
        <v>4</v>
      </c>
      <c r="B5253" s="1" t="s">
        <v>4283</v>
      </c>
      <c r="C5253" s="1" t="str">
        <f ca="1">IFERROR(__xludf.DUMMYFUNCTION("GOOGLETRANSLATE(B5311,""en"",""ja"")"),"無理")</f>
        <v>無理</v>
      </c>
    </row>
    <row r="5254" spans="1:3" ht="18" customHeight="1" x14ac:dyDescent="0.3">
      <c r="A5254" s="1">
        <v>4</v>
      </c>
      <c r="B5254" s="1" t="s">
        <v>4284</v>
      </c>
      <c r="C5254" s="1" t="str">
        <f ca="1">IFERROR(__xludf.DUMMYFUNCTION("GOOGLETRANSLATE(B5313,""en"",""ja"")"),"無資格の")</f>
        <v>無資格の</v>
      </c>
    </row>
    <row r="5255" spans="1:3" ht="18" customHeight="1" x14ac:dyDescent="0.3">
      <c r="A5255" s="1">
        <v>4</v>
      </c>
      <c r="B5255" s="1" t="s">
        <v>4285</v>
      </c>
      <c r="C5255" s="1" t="str">
        <f ca="1">IFERROR(__xludf.DUMMYFUNCTION("GOOGLETRANSLATE(B5314,""en"",""ja"")"),"そう")</f>
        <v>そう</v>
      </c>
    </row>
    <row r="5256" spans="1:3" ht="18" customHeight="1" x14ac:dyDescent="0.3">
      <c r="A5256" s="1">
        <v>4</v>
      </c>
      <c r="B5256" s="1" t="s">
        <v>4286</v>
      </c>
      <c r="C5256" s="1" t="str">
        <f ca="1">IFERROR(__xludf.DUMMYFUNCTION("GOOGLETRANSLATE(B5315,""en"",""ja"")"),"宇宙")</f>
        <v>宇宙</v>
      </c>
    </row>
    <row r="5257" spans="1:3" ht="18" customHeight="1" x14ac:dyDescent="0.3">
      <c r="A5257" s="1">
        <v>4</v>
      </c>
      <c r="B5257" s="1" t="s">
        <v>4287</v>
      </c>
      <c r="C5257" s="1" t="str">
        <f ca="1">IFERROR(__xludf.DUMMYFUNCTION("GOOGLETRANSLATE(B5316,""en"",""ja"")"),"思わず")</f>
        <v>思わず</v>
      </c>
    </row>
    <row r="5258" spans="1:3" ht="18" customHeight="1" x14ac:dyDescent="0.3">
      <c r="A5258" s="1">
        <v>4</v>
      </c>
      <c r="B5258" s="1" t="s">
        <v>4288</v>
      </c>
      <c r="C5258" s="1" t="str">
        <f ca="1">IFERROR(__xludf.DUMMYFUNCTION("GOOGLETRANSLATE(B5317,""en"",""ja"")"),"想像を絶する")</f>
        <v>想像を絶する</v>
      </c>
    </row>
    <row r="5259" spans="1:3" ht="18" customHeight="1" x14ac:dyDescent="0.3">
      <c r="A5259" s="1">
        <v>4</v>
      </c>
      <c r="B5259" s="1" t="s">
        <v>4289</v>
      </c>
      <c r="C5259" s="1" t="str">
        <f ca="1">IFERROR(__xludf.DUMMYFUNCTION("GOOGLETRANSLATE(B5318,""en"",""ja"")"),"不幸")</f>
        <v>不幸</v>
      </c>
    </row>
    <row r="5260" spans="1:3" ht="18" customHeight="1" x14ac:dyDescent="0.3">
      <c r="A5260" s="1">
        <v>4</v>
      </c>
      <c r="B5260" s="1" t="s">
        <v>4290</v>
      </c>
      <c r="C5260" s="1" t="str">
        <f ca="1">IFERROR(__xludf.DUMMYFUNCTION("GOOGLETRANSLATE(B5319,""en"",""ja"")"),"不運にも")</f>
        <v>不運にも</v>
      </c>
    </row>
    <row r="5261" spans="1:3" ht="18" customHeight="1" x14ac:dyDescent="0.3">
      <c r="A5261" s="1">
        <v>4</v>
      </c>
      <c r="B5261" s="1" t="s">
        <v>2847</v>
      </c>
      <c r="C5261" s="1" t="str">
        <f ca="1">IFERROR(__xludf.DUMMYFUNCTION("GOOGLETRANSLATE(B5320,""en"",""ja"")"),"不測")</f>
        <v>不測</v>
      </c>
    </row>
    <row r="5262" spans="1:3" ht="18" customHeight="1" x14ac:dyDescent="0.3">
      <c r="A5262" s="1">
        <v>4</v>
      </c>
      <c r="B5262" s="1" t="s">
        <v>4291</v>
      </c>
      <c r="C5262" s="1" t="str">
        <f ca="1">IFERROR(__xludf.DUMMYFUNCTION("GOOGLETRANSLATE(B5321,""en"",""ja"")"),"折り畳まれていません")</f>
        <v>折り畳まれていません</v>
      </c>
    </row>
    <row r="5263" spans="1:3" ht="18" customHeight="1" x14ac:dyDescent="0.3">
      <c r="A5263" s="1">
        <v>4</v>
      </c>
      <c r="B5263" s="1" t="s">
        <v>4292</v>
      </c>
      <c r="C5263" s="1" t="str">
        <f ca="1">IFERROR(__xludf.DUMMYFUNCTION("GOOGLETRANSLATE(B5322,""en"",""ja"")"),"見知らぬ")</f>
        <v>見知らぬ</v>
      </c>
    </row>
    <row r="5264" spans="1:3" ht="18" customHeight="1" x14ac:dyDescent="0.3">
      <c r="A5264" s="1">
        <v>4</v>
      </c>
      <c r="B5264" s="1" t="s">
        <v>4293</v>
      </c>
      <c r="C5264" s="1" t="str">
        <f ca="1">IFERROR(__xludf.DUMMYFUNCTION("GOOGLETRANSLATE(B5323,""en"",""ja"")"),"予想外")</f>
        <v>予想外</v>
      </c>
    </row>
    <row r="5265" spans="1:3" ht="18" customHeight="1" x14ac:dyDescent="0.3">
      <c r="A5265" s="1">
        <v>4</v>
      </c>
      <c r="B5265" s="1" t="s">
        <v>4294</v>
      </c>
      <c r="C5265" s="1" t="str">
        <f ca="1">IFERROR(__xludf.DUMMYFUNCTION("GOOGLETRANSLATE(B5324,""en"",""ja"")"),"非倫理的")</f>
        <v>非倫理的</v>
      </c>
    </row>
    <row r="5266" spans="1:3" ht="18" customHeight="1" x14ac:dyDescent="0.3">
      <c r="A5266" s="1">
        <v>4</v>
      </c>
      <c r="B5266" s="1" t="s">
        <v>4295</v>
      </c>
      <c r="C5266" s="1" t="str">
        <f ca="1">IFERROR(__xludf.DUMMYFUNCTION("GOOGLETRANSLATE(B5325,""en"",""ja"")"),"不経済")</f>
        <v>不経済</v>
      </c>
    </row>
    <row r="5267" spans="1:3" ht="18" customHeight="1" x14ac:dyDescent="0.3">
      <c r="A5267" s="1">
        <v>4</v>
      </c>
      <c r="B5267" s="1" t="s">
        <v>4296</v>
      </c>
      <c r="C5267" s="1" t="str">
        <f ca="1">IFERROR(__xludf.DUMMYFUNCTION("GOOGLETRANSLATE(B5326,""en"",""ja"")"),"過小評価")</f>
        <v>過小評価</v>
      </c>
    </row>
    <row r="5268" spans="1:3" ht="18" customHeight="1" x14ac:dyDescent="0.3">
      <c r="A5268" s="1">
        <v>4</v>
      </c>
      <c r="B5268" s="1" t="s">
        <v>4297</v>
      </c>
      <c r="C5268" s="1" t="str">
        <f ca="1">IFERROR(__xludf.DUMMYFUNCTION("GOOGLETRANSLATE(B5327,""en"",""ja"")"),"否定できない")</f>
        <v>否定できない</v>
      </c>
    </row>
    <row r="5269" spans="1:3" ht="18" customHeight="1" x14ac:dyDescent="0.3">
      <c r="A5269" s="1">
        <v>4</v>
      </c>
      <c r="B5269" s="1" t="s">
        <v>4298</v>
      </c>
      <c r="C5269" s="1" t="str">
        <f ca="1">IFERROR(__xludf.DUMMYFUNCTION("GOOGLETRANSLATE(B5328,""en"",""ja"")"),"未開墾")</f>
        <v>未開墾</v>
      </c>
    </row>
    <row r="5270" spans="1:3" ht="18" customHeight="1" x14ac:dyDescent="0.3">
      <c r="A5270" s="1">
        <v>4</v>
      </c>
      <c r="B5270" s="1" t="s">
        <v>3181</v>
      </c>
      <c r="C5270" s="1" t="str">
        <f ca="1">IFERROR(__xludf.DUMMYFUNCTION("GOOGLETRANSLATE(B5329,""en"",""ja"")"),"無礼")</f>
        <v>無礼</v>
      </c>
    </row>
    <row r="5271" spans="1:3" ht="18" customHeight="1" x14ac:dyDescent="0.3">
      <c r="A5271" s="1">
        <v>4</v>
      </c>
      <c r="B5271" s="1" t="s">
        <v>4299</v>
      </c>
      <c r="C5271" s="1" t="str">
        <f ca="1">IFERROR(__xludf.DUMMYFUNCTION("GOOGLETRANSLATE(B5330,""en"",""ja"")"),"すごいです")</f>
        <v>すごいです</v>
      </c>
    </row>
    <row r="5272" spans="1:3" ht="18" customHeight="1" x14ac:dyDescent="0.3">
      <c r="A5272" s="1">
        <v>4</v>
      </c>
      <c r="B5272" s="1" t="s">
        <v>4300</v>
      </c>
      <c r="C5272" s="1" t="str">
        <f ca="1">IFERROR(__xludf.DUMMYFUNCTION("GOOGLETRANSLATE(B5331,""en"",""ja"")"),"無効")</f>
        <v>無効</v>
      </c>
    </row>
    <row r="5273" spans="1:3" ht="18" customHeight="1" x14ac:dyDescent="0.3">
      <c r="A5273" s="1">
        <v>4</v>
      </c>
      <c r="B5273" s="1" t="s">
        <v>3801</v>
      </c>
      <c r="C5273" s="1" t="str">
        <f ca="1">IFERROR(__xludf.DUMMYFUNCTION("GOOGLETRANSLATE(B5332,""en"",""ja"")"),"遍在します")</f>
        <v>遍在します</v>
      </c>
    </row>
    <row r="5274" spans="1:3" ht="18" customHeight="1" x14ac:dyDescent="0.3">
      <c r="A5274" s="1">
        <v>4</v>
      </c>
      <c r="B5274" s="1" t="s">
        <v>4301</v>
      </c>
      <c r="C5274" s="1" t="str">
        <f ca="1">IFERROR(__xludf.DUMMYFUNCTION("GOOGLETRANSLATE(B5333,""en"",""ja"")"),"暴君")</f>
        <v>暴君</v>
      </c>
    </row>
    <row r="5275" spans="1:3" ht="18" customHeight="1" x14ac:dyDescent="0.3">
      <c r="A5275" s="1">
        <v>4</v>
      </c>
      <c r="B5275" s="1" t="s">
        <v>4302</v>
      </c>
      <c r="C5275" s="1" t="str">
        <f ca="1">IFERROR(__xludf.DUMMYFUNCTION("GOOGLETRANSLATE(B5334,""en"",""ja"")"),"典型的な")</f>
        <v>典型的な</v>
      </c>
    </row>
    <row r="5276" spans="1:3" ht="18" customHeight="1" x14ac:dyDescent="0.3">
      <c r="A5276" s="1">
        <v>4</v>
      </c>
      <c r="B5276" s="1" t="s">
        <v>4303</v>
      </c>
      <c r="C5276" s="1" t="str">
        <f ca="1">IFERROR(__xludf.DUMMYFUNCTION("GOOGLETRANSLATE(B5336,""en"",""ja"")"),"二十")</f>
        <v>二十</v>
      </c>
    </row>
    <row r="5277" spans="1:3" ht="18" customHeight="1" x14ac:dyDescent="0.3">
      <c r="A5277" s="1">
        <v>4</v>
      </c>
      <c r="B5277" s="1" t="s">
        <v>4304</v>
      </c>
      <c r="C5277" s="1" t="str">
        <f ca="1">IFERROR(__xludf.DUMMYFUNCTION("GOOGLETRANSLATE(B5337,""en"",""ja"")"),"学費")</f>
        <v>学費</v>
      </c>
    </row>
    <row r="5278" spans="1:3" ht="18" customHeight="1" x14ac:dyDescent="0.3">
      <c r="A5278" s="1">
        <v>4</v>
      </c>
      <c r="B5278" s="1" t="s">
        <v>4305</v>
      </c>
      <c r="C5278" s="1" t="str">
        <f ca="1">IFERROR(__xludf.DUMMYFUNCTION("GOOGLETRANSLATE(B5338,""en"",""ja"")"),"真実")</f>
        <v>真実</v>
      </c>
    </row>
    <row r="5279" spans="1:3" ht="18" customHeight="1" x14ac:dyDescent="0.3">
      <c r="A5279" s="1">
        <v>4</v>
      </c>
      <c r="B5279" s="1" t="s">
        <v>4306</v>
      </c>
      <c r="C5279" s="1" t="str">
        <f ca="1">IFERROR(__xludf.DUMMYFUNCTION("GOOGLETRANSLATE(B5339,""en"",""ja"")"),"やっかいな")</f>
        <v>やっかいな</v>
      </c>
    </row>
    <row r="5280" spans="1:3" ht="18" customHeight="1" x14ac:dyDescent="0.3">
      <c r="A5280" s="1">
        <v>4</v>
      </c>
      <c r="B5280" s="1" t="s">
        <v>4307</v>
      </c>
      <c r="C5280" s="1" t="str">
        <f ca="1">IFERROR(__xludf.DUMMYFUNCTION("GOOGLETRANSLATE(B5340,""en"",""ja"")"),"トリプル")</f>
        <v>トリプル</v>
      </c>
    </row>
    <row r="5281" spans="1:3" ht="18" customHeight="1" x14ac:dyDescent="0.3">
      <c r="A5281" s="1">
        <v>4</v>
      </c>
      <c r="B5281" s="1" t="s">
        <v>4308</v>
      </c>
      <c r="C5281" s="1" t="str">
        <f ca="1">IFERROR(__xludf.DUMMYFUNCTION("GOOGLETRANSLATE(B5341,""en"",""ja"")"),"兆")</f>
        <v>兆</v>
      </c>
    </row>
    <row r="5282" spans="1:3" ht="18" customHeight="1" x14ac:dyDescent="0.3">
      <c r="A5282" s="1">
        <v>4</v>
      </c>
      <c r="B5282" s="1" t="s">
        <v>4309</v>
      </c>
      <c r="C5282" s="1" t="str">
        <f ca="1">IFERROR(__xludf.DUMMYFUNCTION("GOOGLETRANSLATE(B5342,""en"",""ja"")"),"トレッド")</f>
        <v>トレッド</v>
      </c>
    </row>
    <row r="5283" spans="1:3" ht="18" customHeight="1" x14ac:dyDescent="0.3">
      <c r="A5283" s="1">
        <v>4</v>
      </c>
      <c r="B5283" s="1" t="s">
        <v>2269</v>
      </c>
      <c r="C5283" s="1" t="str">
        <f ca="1">IFERROR(__xludf.DUMMYFUNCTION("GOOGLETRANSLATE(B5343,""en"",""ja"")"),"輸送")</f>
        <v>輸送</v>
      </c>
    </row>
    <row r="5284" spans="1:3" ht="18" customHeight="1" x14ac:dyDescent="0.3">
      <c r="A5284" s="1">
        <v>4</v>
      </c>
      <c r="B5284" s="1" t="s">
        <v>4310</v>
      </c>
      <c r="C5284" s="1" t="str">
        <f ca="1">IFERROR(__xludf.DUMMYFUNCTION("GOOGLETRANSLATE(B5344,""en"",""ja"")"),"翻訳")</f>
        <v>翻訳</v>
      </c>
    </row>
    <row r="5285" spans="1:3" ht="18" customHeight="1" x14ac:dyDescent="0.3">
      <c r="A5285" s="1">
        <v>4</v>
      </c>
      <c r="B5285" s="1" t="s">
        <v>3809</v>
      </c>
      <c r="C5285" s="1" t="str">
        <f ca="1">IFERROR(__xludf.DUMMYFUNCTION("GOOGLETRANSLATE(B5345,""en"",""ja"")"),"列車")</f>
        <v>列車</v>
      </c>
    </row>
    <row r="5286" spans="1:3" ht="18" customHeight="1" x14ac:dyDescent="0.3">
      <c r="A5286" s="1">
        <v>4</v>
      </c>
      <c r="B5286" s="1" t="s">
        <v>4311</v>
      </c>
      <c r="C5286" s="1" t="str">
        <f ca="1">IFERROR(__xludf.DUMMYFUNCTION("GOOGLETRANSLATE(B5346,""en"",""ja"")"),"痕跡")</f>
        <v>痕跡</v>
      </c>
    </row>
    <row r="5287" spans="1:3" ht="18" customHeight="1" x14ac:dyDescent="0.3">
      <c r="A5287" s="1">
        <v>4</v>
      </c>
      <c r="B5287" s="1" t="s">
        <v>184</v>
      </c>
      <c r="C5287" s="1" t="str">
        <f ca="1">IFERROR(__xludf.DUMMYFUNCTION("GOOGLETRANSLATE(B5347,""en"",""ja"")"),"方へ")</f>
        <v>方へ</v>
      </c>
    </row>
    <row r="5288" spans="1:3" ht="18" customHeight="1" x14ac:dyDescent="0.3">
      <c r="A5288" s="1">
        <v>4</v>
      </c>
      <c r="B5288" s="1" t="s">
        <v>4312</v>
      </c>
      <c r="C5288" s="1" t="str">
        <f ca="1">IFERROR(__xludf.DUMMYFUNCTION("GOOGLETRANSLATE(B5348,""en"",""ja"")"),"表土")</f>
        <v>表土</v>
      </c>
    </row>
    <row r="5289" spans="1:3" ht="18" customHeight="1" x14ac:dyDescent="0.3">
      <c r="A5289" s="1">
        <v>4</v>
      </c>
      <c r="B5289" s="1" t="s">
        <v>3199</v>
      </c>
      <c r="C5289" s="1" t="str">
        <f ca="1">IFERROR(__xludf.DUMMYFUNCTION("GOOGLETRANSLATE(B5349,""en"",""ja"")"),"トピック")</f>
        <v>トピック</v>
      </c>
    </row>
    <row r="5290" spans="1:3" ht="18" customHeight="1" x14ac:dyDescent="0.3">
      <c r="A5290" s="1">
        <v>4</v>
      </c>
      <c r="B5290" s="1" t="s">
        <v>4313</v>
      </c>
      <c r="C5290" s="1" t="str">
        <f ca="1">IFERROR(__xludf.DUMMYFUNCTION("GOOGLETRANSLATE(B5350,""en"",""ja"")"),"ツールメーカー")</f>
        <v>ツールメーカー</v>
      </c>
    </row>
    <row r="5291" spans="1:3" ht="18" customHeight="1" x14ac:dyDescent="0.3">
      <c r="A5291" s="1">
        <v>4</v>
      </c>
      <c r="B5291" s="1" t="s">
        <v>4314</v>
      </c>
      <c r="C5291" s="1" t="str">
        <f ca="1">IFERROR(__xludf.DUMMYFUNCTION("GOOGLETRANSLATE(B5351,""en"",""ja"")"),"舌")</f>
        <v>舌</v>
      </c>
    </row>
    <row r="5292" spans="1:3" ht="18" customHeight="1" x14ac:dyDescent="0.3">
      <c r="A5292" s="1">
        <v>4</v>
      </c>
      <c r="B5292" s="1" t="s">
        <v>4315</v>
      </c>
      <c r="C5292" s="1" t="str">
        <f ca="1">IFERROR(__xludf.DUMMYFUNCTION("GOOGLETRANSLATE(B5352,""en"",""ja"")"),"トモグラフィー")</f>
        <v>トモグラフィー</v>
      </c>
    </row>
    <row r="5293" spans="1:3" ht="18" customHeight="1" x14ac:dyDescent="0.3">
      <c r="A5293" s="1">
        <v>4</v>
      </c>
      <c r="B5293" s="1" t="s">
        <v>4316</v>
      </c>
      <c r="C5293" s="1" t="str">
        <f ca="1">IFERROR(__xludf.DUMMYFUNCTION("GOOGLETRANSLATE(B5353,""en"",""ja"")"),"時間節約")</f>
        <v>時間節約</v>
      </c>
    </row>
    <row r="5294" spans="1:3" ht="18" customHeight="1" x14ac:dyDescent="0.3">
      <c r="A5294" s="1">
        <v>4</v>
      </c>
      <c r="B5294" s="1" t="s">
        <v>4317</v>
      </c>
      <c r="C5294" s="1" t="str">
        <f ca="1">IFERROR(__xludf.DUMMYFUNCTION("GOOGLETRANSLATE(B5354,""en"",""ja"")"),"縛ら")</f>
        <v>縛ら</v>
      </c>
    </row>
    <row r="5295" spans="1:3" ht="18" customHeight="1" x14ac:dyDescent="0.3">
      <c r="A5295" s="1">
        <v>4</v>
      </c>
      <c r="B5295" s="1" t="s">
        <v>4318</v>
      </c>
      <c r="C5295" s="1" t="str">
        <f ca="1">IFERROR(__xludf.DUMMYFUNCTION("GOOGLETRANSLATE(B5355,""en"",""ja"")"),"ticated")</f>
        <v>ticated</v>
      </c>
    </row>
    <row r="5296" spans="1:3" ht="18" customHeight="1" x14ac:dyDescent="0.3">
      <c r="A5296" s="1">
        <v>4</v>
      </c>
      <c r="B5296" s="1" t="s">
        <v>4319</v>
      </c>
      <c r="C5296" s="1" t="str">
        <f ca="1">IFERROR(__xludf.DUMMYFUNCTION("GOOGLETRANSLATE(B5356,""en"",""ja"")"),"阻止")</f>
        <v>阻止</v>
      </c>
    </row>
    <row r="5297" spans="1:3" ht="18" customHeight="1" x14ac:dyDescent="0.3">
      <c r="A5297" s="1">
        <v>4</v>
      </c>
      <c r="B5297" s="1" t="s">
        <v>4320</v>
      </c>
      <c r="C5297" s="1" t="str">
        <f ca="1">IFERROR(__xludf.DUMMYFUNCTION("GOOGLETRANSLATE(B5357,""en"",""ja"")"),"繁栄")</f>
        <v>繁栄</v>
      </c>
    </row>
    <row r="5298" spans="1:3" ht="18" customHeight="1" x14ac:dyDescent="0.3">
      <c r="A5298" s="1">
        <v>4</v>
      </c>
      <c r="B5298" s="1" t="s">
        <v>4321</v>
      </c>
      <c r="C5298" s="1" t="str">
        <f ca="1">IFERROR(__xludf.DUMMYFUNCTION("GOOGLETRANSLATE(B5358,""en"",""ja"")"),"トラキア人")</f>
        <v>トラキア人</v>
      </c>
    </row>
    <row r="5299" spans="1:3" ht="18" customHeight="1" x14ac:dyDescent="0.3">
      <c r="A5299" s="1">
        <v>4</v>
      </c>
      <c r="B5299" s="1" t="s">
        <v>382</v>
      </c>
      <c r="C5299" s="1" t="str">
        <f ca="1">IFERROR(__xludf.DUMMYFUNCTION("GOOGLETRANSLATE(B5359,""en"",""ja"")"),"思想")</f>
        <v>思想</v>
      </c>
    </row>
    <row r="5300" spans="1:3" ht="18" customHeight="1" x14ac:dyDescent="0.3">
      <c r="A5300" s="1">
        <v>4</v>
      </c>
      <c r="B5300" s="1" t="s">
        <v>4322</v>
      </c>
      <c r="C5300" s="1" t="str">
        <f ca="1">IFERROR(__xludf.DUMMYFUNCTION("GOOGLETRANSLATE(B5360,""en"",""ja"")"),"思想家")</f>
        <v>思想家</v>
      </c>
    </row>
    <row r="5301" spans="1:3" ht="18" customHeight="1" x14ac:dyDescent="0.3">
      <c r="A5301" s="1">
        <v>4</v>
      </c>
      <c r="B5301" s="1" t="s">
        <v>4323</v>
      </c>
      <c r="C5301" s="1" t="str">
        <f ca="1">IFERROR(__xludf.DUMMYFUNCTION("GOOGLETRANSLATE(B5361,""en"",""ja"")"),"彼ら")</f>
        <v>彼ら</v>
      </c>
    </row>
    <row r="5302" spans="1:3" ht="18" customHeight="1" x14ac:dyDescent="0.3">
      <c r="A5302" s="1">
        <v>4</v>
      </c>
      <c r="B5302" s="1" t="s">
        <v>4324</v>
      </c>
      <c r="C5302" s="1" t="str">
        <f ca="1">IFERROR(__xludf.DUMMYFUNCTION("GOOGLETRANSLATE(B5362,""en"",""ja"")"),"盗難")</f>
        <v>盗難</v>
      </c>
    </row>
    <row r="5303" spans="1:3" ht="18" customHeight="1" x14ac:dyDescent="0.3">
      <c r="A5303" s="1">
        <v>4</v>
      </c>
      <c r="B5303" s="1" t="s">
        <v>33</v>
      </c>
      <c r="C5303" s="1" t="str">
        <f ca="1">IFERROR(__xludf.DUMMYFUNCTION("GOOGLETRANSLATE(B5363,""en"",""ja"")"),"より")</f>
        <v>より</v>
      </c>
    </row>
    <row r="5304" spans="1:3" ht="18" customHeight="1" x14ac:dyDescent="0.3">
      <c r="A5304" s="1">
        <v>4</v>
      </c>
      <c r="B5304" s="1" t="s">
        <v>4325</v>
      </c>
      <c r="C5304" s="1" t="str">
        <f ca="1">IFERROR(__xludf.DUMMYFUNCTION("GOOGLETRANSLATE(B5364,""en"",""ja"")"),"感謝")</f>
        <v>感謝</v>
      </c>
    </row>
    <row r="5305" spans="1:3" ht="18" customHeight="1" x14ac:dyDescent="0.3">
      <c r="A5305" s="1">
        <v>4</v>
      </c>
      <c r="B5305" s="1" t="s">
        <v>4326</v>
      </c>
      <c r="C5305" s="1" t="str">
        <f ca="1">IFERROR(__xludf.DUMMYFUNCTION("GOOGLETRANSLATE(B5365,""en"",""ja"")"),"テキスト")</f>
        <v>テキスト</v>
      </c>
    </row>
    <row r="5306" spans="1:3" ht="18" customHeight="1" x14ac:dyDescent="0.3">
      <c r="A5306" s="1">
        <v>4</v>
      </c>
      <c r="B5306" s="1" t="s">
        <v>4327</v>
      </c>
      <c r="C5306" s="1" t="str">
        <f ca="1">IFERROR(__xludf.DUMMYFUNCTION("GOOGLETRANSLATE(B5366,""en"",""ja"")"),"教科書")</f>
        <v>教科書</v>
      </c>
    </row>
    <row r="5307" spans="1:3" ht="18" customHeight="1" x14ac:dyDescent="0.3">
      <c r="A5307" s="1">
        <v>4</v>
      </c>
      <c r="B5307" s="1" t="s">
        <v>4328</v>
      </c>
      <c r="C5307" s="1" t="str">
        <f ca="1">IFERROR(__xludf.DUMMYFUNCTION("GOOGLETRANSLATE(B5367,""en"",""ja"")"),"テロリスト")</f>
        <v>テロリスト</v>
      </c>
    </row>
    <row r="5308" spans="1:3" ht="18" customHeight="1" x14ac:dyDescent="0.3">
      <c r="A5308" s="1">
        <v>4</v>
      </c>
      <c r="B5308" s="1" t="s">
        <v>4329</v>
      </c>
      <c r="C5308" s="1" t="str">
        <f ca="1">IFERROR(__xludf.DUMMYFUNCTION("GOOGLETRANSLATE(B5368,""en"",""ja"")"),"誘惑")</f>
        <v>誘惑</v>
      </c>
    </row>
    <row r="5309" spans="1:3" ht="18" customHeight="1" x14ac:dyDescent="0.3">
      <c r="A5309" s="1">
        <v>4</v>
      </c>
      <c r="B5309" s="1" t="s">
        <v>4330</v>
      </c>
      <c r="C5309" s="1" t="str">
        <f ca="1">IFERROR(__xludf.DUMMYFUNCTION("GOOGLETRANSLATE(B5369,""en"",""ja"")"),"出納係")</f>
        <v>出納係</v>
      </c>
    </row>
    <row r="5310" spans="1:3" ht="18" customHeight="1" x14ac:dyDescent="0.3">
      <c r="A5310" s="1">
        <v>4</v>
      </c>
      <c r="B5310" s="1" t="s">
        <v>2036</v>
      </c>
      <c r="C5310" s="1" t="str">
        <f ca="1">IFERROR(__xludf.DUMMYFUNCTION("GOOGLETRANSLATE(B5370,""en"",""ja"")"),"伝えます")</f>
        <v>伝えます</v>
      </c>
    </row>
    <row r="5311" spans="1:3" ht="18" customHeight="1" x14ac:dyDescent="0.3">
      <c r="A5311" s="1">
        <v>4</v>
      </c>
      <c r="B5311" s="1" t="s">
        <v>4331</v>
      </c>
      <c r="C5311" s="1" t="str">
        <f ca="1">IFERROR(__xludf.DUMMYFUNCTION("GOOGLETRANSLATE(B5371,""en"",""ja"")"),"生息")</f>
        <v>生息</v>
      </c>
    </row>
    <row r="5312" spans="1:3" ht="18" customHeight="1" x14ac:dyDescent="0.3">
      <c r="A5312" s="1">
        <v>4</v>
      </c>
      <c r="B5312" s="1" t="s">
        <v>1623</v>
      </c>
      <c r="C5312" s="1" t="str">
        <f ca="1">IFERROR(__xludf.DUMMYFUNCTION("GOOGLETRANSLATE(B5372,""en"",""ja"")"),"科学技術の")</f>
        <v>科学技術の</v>
      </c>
    </row>
    <row r="5313" spans="1:3" ht="18" customHeight="1" x14ac:dyDescent="0.3">
      <c r="A5313" s="1">
        <v>4</v>
      </c>
      <c r="B5313" s="1" t="s">
        <v>4332</v>
      </c>
      <c r="C5313" s="1" t="str">
        <f ca="1">IFERROR(__xludf.DUMMYFUNCTION("GOOGLETRANSLATE(B5373,""en"",""ja"")"),"引き裂きます")</f>
        <v>引き裂きます</v>
      </c>
    </row>
    <row r="5314" spans="1:3" ht="18" customHeight="1" x14ac:dyDescent="0.3">
      <c r="A5314" s="1">
        <v>4</v>
      </c>
      <c r="B5314" s="1" t="s">
        <v>4333</v>
      </c>
      <c r="C5314" s="1" t="str">
        <f ca="1">IFERROR(__xludf.DUMMYFUNCTION("GOOGLETRANSLATE(B5374,""en"",""ja"")"),"taskmaster")</f>
        <v>taskmaster</v>
      </c>
    </row>
    <row r="5315" spans="1:3" ht="18" customHeight="1" x14ac:dyDescent="0.3">
      <c r="A5315" s="1">
        <v>4</v>
      </c>
      <c r="B5315" s="1" t="s">
        <v>4334</v>
      </c>
      <c r="C5315" s="1" t="str">
        <f ca="1">IFERROR(__xludf.DUMMYFUNCTION("GOOGLETRANSLATE(B5375,""en"",""ja"")"),"テーパー")</f>
        <v>テーパー</v>
      </c>
    </row>
    <row r="5316" spans="1:3" ht="18" customHeight="1" x14ac:dyDescent="0.3">
      <c r="A5316" s="1">
        <v>4</v>
      </c>
      <c r="B5316" s="1" t="s">
        <v>4335</v>
      </c>
      <c r="C5316" s="1" t="str">
        <f ca="1">IFERROR(__xludf.DUMMYFUNCTION("GOOGLETRANSLATE(B5376,""en"",""ja"")"),"汚染されました")</f>
        <v>汚染されました</v>
      </c>
    </row>
    <row r="5317" spans="1:3" ht="18" customHeight="1" x14ac:dyDescent="0.3">
      <c r="A5317" s="1">
        <v>4</v>
      </c>
      <c r="B5317" s="1" t="s">
        <v>4336</v>
      </c>
      <c r="C5317" s="1" t="str">
        <f ca="1">IFERROR(__xludf.DUMMYFUNCTION("GOOGLETRANSLATE(B5377,""en"",""ja"")"),"タヒチ")</f>
        <v>タヒチ</v>
      </c>
    </row>
    <row r="5318" spans="1:3" ht="18" customHeight="1" x14ac:dyDescent="0.3">
      <c r="A5318" s="1">
        <v>4</v>
      </c>
      <c r="B5318" s="1" t="s">
        <v>4337</v>
      </c>
      <c r="C5318" s="1" t="str">
        <f ca="1">IFERROR(__xludf.DUMMYFUNCTION("GOOGLETRANSLATE(B5378,""en"",""ja"")"),"タグ付き")</f>
        <v>タグ付き</v>
      </c>
    </row>
    <row r="5319" spans="1:3" ht="18" customHeight="1" x14ac:dyDescent="0.3">
      <c r="A5319" s="1">
        <v>4</v>
      </c>
      <c r="B5319" s="1" t="s">
        <v>4338</v>
      </c>
      <c r="C5319" s="1" t="str">
        <f ca="1">IFERROR(__xludf.DUMMYFUNCTION("GOOGLETRANSLATE(B5379,""en"",""ja"")"),"タックル")</f>
        <v>タックル</v>
      </c>
    </row>
    <row r="5320" spans="1:3" ht="18" customHeight="1" x14ac:dyDescent="0.3">
      <c r="A5320" s="1">
        <v>4</v>
      </c>
      <c r="B5320" s="1" t="s">
        <v>4339</v>
      </c>
      <c r="C5320" s="1" t="str">
        <f ca="1">IFERROR(__xludf.DUMMYFUNCTION("GOOGLETRANSLATE(B5380,""en"",""ja"")"),"合成")</f>
        <v>合成</v>
      </c>
    </row>
    <row r="5321" spans="1:3" ht="18" customHeight="1" x14ac:dyDescent="0.3">
      <c r="A5321" s="1">
        <v>4</v>
      </c>
      <c r="B5321" s="1" t="s">
        <v>4340</v>
      </c>
      <c r="C5321" s="1" t="str">
        <f ca="1">IFERROR(__xludf.DUMMYFUNCTION("GOOGLETRANSLATE(B5381,""en"",""ja"")"),"剣")</f>
        <v>剣</v>
      </c>
    </row>
    <row r="5322" spans="1:3" ht="18" customHeight="1" x14ac:dyDescent="0.3">
      <c r="A5322" s="1">
        <v>4</v>
      </c>
      <c r="B5322" s="1" t="s">
        <v>4341</v>
      </c>
      <c r="C5322" s="1" t="str">
        <f ca="1">IFERROR(__xludf.DUMMYFUNCTION("GOOGLETRANSLATE(B5382,""en"",""ja"")"),"迅速")</f>
        <v>迅速</v>
      </c>
    </row>
    <row r="5323" spans="1:3" ht="18" customHeight="1" x14ac:dyDescent="0.3">
      <c r="A5323" s="1">
        <v>4</v>
      </c>
      <c r="B5323" s="1" t="s">
        <v>4342</v>
      </c>
      <c r="C5323" s="1" t="str">
        <f ca="1">IFERROR(__xludf.DUMMYFUNCTION("GOOGLETRANSLATE(B5383,""en"",""ja"")"),"掃く")</f>
        <v>掃く</v>
      </c>
    </row>
    <row r="5324" spans="1:3" ht="18" customHeight="1" x14ac:dyDescent="0.3">
      <c r="A5324" s="1">
        <v>4</v>
      </c>
      <c r="B5324" s="1" t="s">
        <v>4343</v>
      </c>
      <c r="C5324" s="1" t="str">
        <f ca="1">IFERROR(__xludf.DUMMYFUNCTION("GOOGLETRANSLATE(B5384,""en"",""ja"")"),"スウェーデン")</f>
        <v>スウェーデン</v>
      </c>
    </row>
    <row r="5325" spans="1:3" ht="18" customHeight="1" x14ac:dyDescent="0.3">
      <c r="A5325" s="1">
        <v>4</v>
      </c>
      <c r="B5325" s="1" t="s">
        <v>4344</v>
      </c>
      <c r="C5325" s="1" t="str">
        <f ca="1">IFERROR(__xludf.DUMMYFUNCTION("GOOGLETRANSLATE(B5385,""en"",""ja"")"),"揺れます")</f>
        <v>揺れます</v>
      </c>
    </row>
    <row r="5326" spans="1:3" ht="18" customHeight="1" x14ac:dyDescent="0.3">
      <c r="A5326" s="1">
        <v>4</v>
      </c>
      <c r="B5326" s="1" t="s">
        <v>4345</v>
      </c>
      <c r="C5326" s="1" t="str">
        <f ca="1">IFERROR(__xludf.DUMMYFUNCTION("GOOGLETRANSLATE(B5386,""en"",""ja"")"),"持続可能性")</f>
        <v>持続可能性</v>
      </c>
    </row>
    <row r="5327" spans="1:3" ht="18" customHeight="1" x14ac:dyDescent="0.3">
      <c r="A5327" s="1">
        <v>4</v>
      </c>
      <c r="B5327" s="1" t="s">
        <v>4346</v>
      </c>
      <c r="C5327" s="1" t="str">
        <f ca="1">IFERROR(__xludf.DUMMYFUNCTION("GOOGLETRANSLATE(B5387,""en"",""ja"")"),"中断")</f>
        <v>中断</v>
      </c>
    </row>
    <row r="5328" spans="1:3" ht="18" customHeight="1" x14ac:dyDescent="0.3">
      <c r="A5328" s="1">
        <v>4</v>
      </c>
      <c r="B5328" s="1" t="s">
        <v>4347</v>
      </c>
      <c r="C5328" s="1" t="str">
        <f ca="1">IFERROR(__xludf.DUMMYFUNCTION("GOOGLETRANSLATE(B5388,""en"",""ja"")"),"疑わ")</f>
        <v>疑わ</v>
      </c>
    </row>
    <row r="5329" spans="1:3" ht="18" customHeight="1" x14ac:dyDescent="0.3">
      <c r="A5329" s="1">
        <v>4</v>
      </c>
      <c r="B5329" s="1" t="s">
        <v>1881</v>
      </c>
      <c r="C5329" s="1" t="str">
        <f ca="1">IFERROR(__xludf.DUMMYFUNCTION("GOOGLETRANSLATE(B5389,""en"",""ja"")"),"生き残ります")</f>
        <v>生き残ります</v>
      </c>
    </row>
    <row r="5330" spans="1:3" ht="18" customHeight="1" x14ac:dyDescent="0.3">
      <c r="A5330" s="1">
        <v>4</v>
      </c>
      <c r="B5330" s="1" t="s">
        <v>4348</v>
      </c>
      <c r="C5330" s="1" t="str">
        <f ca="1">IFERROR(__xludf.DUMMYFUNCTION("GOOGLETRANSLATE(B5390,""en"",""ja"")"),"囲まれました")</f>
        <v>囲まれました</v>
      </c>
    </row>
    <row r="5331" spans="1:3" ht="18" customHeight="1" x14ac:dyDescent="0.3">
      <c r="A5331" s="1">
        <v>4</v>
      </c>
      <c r="B5331" s="1" t="s">
        <v>4349</v>
      </c>
      <c r="C5331" s="1" t="str">
        <f ca="1">IFERROR(__xludf.DUMMYFUNCTION("GOOGLETRANSLATE(B5391,""en"",""ja"")"),"降伏")</f>
        <v>降伏</v>
      </c>
    </row>
    <row r="5332" spans="1:3" ht="18" customHeight="1" x14ac:dyDescent="0.3">
      <c r="A5332" s="1">
        <v>4</v>
      </c>
      <c r="B5332" s="1" t="s">
        <v>4350</v>
      </c>
      <c r="C5332" s="1" t="str">
        <f ca="1">IFERROR(__xludf.DUMMYFUNCTION("GOOGLETRANSLATE(B5392,""en"",""ja"")"),"驚きました")</f>
        <v>驚きました</v>
      </c>
    </row>
    <row r="5333" spans="1:3" ht="18" customHeight="1" x14ac:dyDescent="0.3">
      <c r="A5333" s="1">
        <v>4</v>
      </c>
      <c r="B5333" s="1" t="s">
        <v>506</v>
      </c>
      <c r="C5333" s="1" t="str">
        <f ca="1">IFERROR(__xludf.DUMMYFUNCTION("GOOGLETRANSLATE(B5393,""en"",""ja"")"),"表面")</f>
        <v>表面</v>
      </c>
    </row>
    <row r="5334" spans="1:3" ht="18" customHeight="1" x14ac:dyDescent="0.3">
      <c r="A5334" s="1">
        <v>4</v>
      </c>
      <c r="B5334" s="1" t="s">
        <v>4351</v>
      </c>
      <c r="C5334" s="1" t="str">
        <f ca="1">IFERROR(__xludf.DUMMYFUNCTION("GOOGLETRANSLATE(B5394,""en"",""ja"")"),"確かに")</f>
        <v>確かに</v>
      </c>
    </row>
    <row r="5335" spans="1:3" ht="18" customHeight="1" x14ac:dyDescent="0.3">
      <c r="A5335" s="1">
        <v>4</v>
      </c>
      <c r="B5335" s="1" t="s">
        <v>4352</v>
      </c>
      <c r="C5335" s="1" t="str">
        <f ca="1">IFERROR(__xludf.DUMMYFUNCTION("GOOGLETRANSLATE(B5395,""en"",""ja"")"),"サポート")</f>
        <v>サポート</v>
      </c>
    </row>
    <row r="5336" spans="1:3" ht="18" customHeight="1" x14ac:dyDescent="0.3">
      <c r="A5336" s="1">
        <v>4</v>
      </c>
      <c r="B5336" s="1" t="s">
        <v>4353</v>
      </c>
      <c r="C5336" s="1" t="str">
        <f ca="1">IFERROR(__xludf.DUMMYFUNCTION("GOOGLETRANSLATE(B5396,""en"",""ja"")"),"太陽")</f>
        <v>太陽</v>
      </c>
    </row>
    <row r="5337" spans="1:3" ht="18" customHeight="1" x14ac:dyDescent="0.3">
      <c r="A5337" s="1">
        <v>4</v>
      </c>
      <c r="B5337" s="1" t="s">
        <v>4354</v>
      </c>
      <c r="C5337" s="1" t="str">
        <f ca="1">IFERROR(__xludf.DUMMYFUNCTION("GOOGLETRANSLATE(B5397,""en"",""ja"")"),"召喚")</f>
        <v>召喚</v>
      </c>
    </row>
    <row r="5338" spans="1:3" ht="18" customHeight="1" x14ac:dyDescent="0.3">
      <c r="A5338" s="1">
        <v>4</v>
      </c>
      <c r="B5338" s="1" t="s">
        <v>4355</v>
      </c>
      <c r="C5338" s="1" t="str">
        <f ca="1">IFERROR(__xludf.DUMMYFUNCTION("GOOGLETRANSLATE(B5398,""en"",""ja"")"),"挑発的")</f>
        <v>挑発的</v>
      </c>
    </row>
    <row r="5339" spans="1:3" ht="18" customHeight="1" x14ac:dyDescent="0.3">
      <c r="A5339" s="1">
        <v>4</v>
      </c>
      <c r="B5339" s="1" t="s">
        <v>930</v>
      </c>
      <c r="C5339" s="1" t="str">
        <f ca="1">IFERROR(__xludf.DUMMYFUNCTION("GOOGLETRANSLATE(B5399,""en"",""ja"")"),"成功します")</f>
        <v>成功します</v>
      </c>
    </row>
    <row r="5340" spans="1:3" ht="18" customHeight="1" x14ac:dyDescent="0.3">
      <c r="A5340" s="1">
        <v>4</v>
      </c>
      <c r="B5340" s="1" t="s">
        <v>4356</v>
      </c>
      <c r="C5340" s="1" t="str">
        <f ca="1">IFERROR(__xludf.DUMMYFUNCTION("GOOGLETRANSLATE(B5400,""en"",""ja"")"),"下位")</f>
        <v>下位</v>
      </c>
    </row>
    <row r="5341" spans="1:3" ht="18" customHeight="1" x14ac:dyDescent="0.3">
      <c r="A5341" s="1">
        <v>4</v>
      </c>
      <c r="B5341" s="1" t="s">
        <v>4357</v>
      </c>
      <c r="C5341" s="1" t="str">
        <f ca="1">IFERROR(__xludf.DUMMYFUNCTION("GOOGLETRANSLATE(B5401,""en"",""ja"")"),"参加する")</f>
        <v>参加する</v>
      </c>
    </row>
    <row r="5342" spans="1:3" ht="18" customHeight="1" x14ac:dyDescent="0.3">
      <c r="A5342" s="1">
        <v>4</v>
      </c>
      <c r="B5342" s="1" t="s">
        <v>4358</v>
      </c>
      <c r="C5342" s="1" t="str">
        <f ca="1">IFERROR(__xludf.DUMMYFUNCTION("GOOGLETRANSLATE(B5402,""en"",""ja"")"),"スタイル")</f>
        <v>スタイル</v>
      </c>
    </row>
    <row r="5343" spans="1:3" ht="18" customHeight="1" x14ac:dyDescent="0.3">
      <c r="A5343" s="1">
        <v>4</v>
      </c>
      <c r="B5343" s="1" t="s">
        <v>1043</v>
      </c>
      <c r="C5343" s="1" t="str">
        <f ca="1">IFERROR(__xludf.DUMMYFUNCTION("GOOGLETRANSLATE(B5403,""en"",""ja"")"),"構造の")</f>
        <v>構造の</v>
      </c>
    </row>
    <row r="5344" spans="1:3" ht="18" customHeight="1" x14ac:dyDescent="0.3">
      <c r="A5344" s="1">
        <v>4</v>
      </c>
      <c r="B5344" s="1" t="s">
        <v>4359</v>
      </c>
      <c r="C5344" s="1" t="str">
        <f ca="1">IFERROR(__xludf.DUMMYFUNCTION("GOOGLETRANSLATE(B5404,""en"",""ja"")"),"努力")</f>
        <v>努力</v>
      </c>
    </row>
    <row r="5345" spans="1:3" ht="18" customHeight="1" x14ac:dyDescent="0.3">
      <c r="A5345" s="1">
        <v>4</v>
      </c>
      <c r="B5345" s="1" t="s">
        <v>4360</v>
      </c>
      <c r="C5345" s="1" t="str">
        <f ca="1">IFERROR(__xludf.DUMMYFUNCTION("GOOGLETRANSLATE(B5405,""en"",""ja"")"),"ストリップ")</f>
        <v>ストリップ</v>
      </c>
    </row>
    <row r="5346" spans="1:3" ht="18" customHeight="1" x14ac:dyDescent="0.3">
      <c r="A5346" s="1">
        <v>4</v>
      </c>
      <c r="B5346" s="1" t="s">
        <v>4361</v>
      </c>
      <c r="C5346" s="1" t="str">
        <f ca="1">IFERROR(__xludf.DUMMYFUNCTION("GOOGLETRANSLATE(B5406,""en"",""ja"")"),"ストリップ")</f>
        <v>ストリップ</v>
      </c>
    </row>
    <row r="5347" spans="1:3" ht="18" customHeight="1" x14ac:dyDescent="0.3">
      <c r="A5347" s="1">
        <v>4</v>
      </c>
      <c r="B5347" s="1" t="s">
        <v>4362</v>
      </c>
      <c r="C5347" s="1" t="str">
        <f ca="1">IFERROR(__xludf.DUMMYFUNCTION("GOOGLETRANSLATE(B5407,""en"",""ja"")"),"見知らぬ人")</f>
        <v>見知らぬ人</v>
      </c>
    </row>
    <row r="5348" spans="1:3" ht="18" customHeight="1" x14ac:dyDescent="0.3">
      <c r="A5348" s="1">
        <v>4</v>
      </c>
      <c r="B5348" s="1" t="s">
        <v>3830</v>
      </c>
      <c r="C5348" s="1" t="str">
        <f ca="1">IFERROR(__xludf.DUMMYFUNCTION("GOOGLETRANSLATE(B5408,""en"",""ja"")"),"直截")</f>
        <v>直截</v>
      </c>
    </row>
    <row r="5349" spans="1:3" ht="18" customHeight="1" x14ac:dyDescent="0.3">
      <c r="A5349" s="1">
        <v>4</v>
      </c>
      <c r="B5349" s="1" t="s">
        <v>4363</v>
      </c>
      <c r="C5349" s="1" t="str">
        <f ca="1">IFERROR(__xludf.DUMMYFUNCTION("GOOGLETRANSLATE(B5409,""en"",""ja"")"),"まっすぐ")</f>
        <v>まっすぐ</v>
      </c>
    </row>
    <row r="5350" spans="1:3" ht="18" customHeight="1" x14ac:dyDescent="0.3">
      <c r="A5350" s="1">
        <v>4</v>
      </c>
      <c r="B5350" s="1" t="s">
        <v>4364</v>
      </c>
      <c r="C5350" s="1" t="str">
        <f ca="1">IFERROR(__xludf.DUMMYFUNCTION("GOOGLETRANSLATE(B5410,""en"",""ja"")"),"刺激")</f>
        <v>刺激</v>
      </c>
    </row>
    <row r="5351" spans="1:3" ht="18" customHeight="1" x14ac:dyDescent="0.3">
      <c r="A5351" s="1">
        <v>4</v>
      </c>
      <c r="B5351" s="1" t="s">
        <v>4365</v>
      </c>
      <c r="C5351" s="1" t="str">
        <f ca="1">IFERROR(__xludf.DUMMYFUNCTION("GOOGLETRANSLATE(B5411,""en"",""ja"")"),"どんどん")</f>
        <v>どんどん</v>
      </c>
    </row>
    <row r="5352" spans="1:3" ht="18" customHeight="1" x14ac:dyDescent="0.3">
      <c r="A5352" s="1">
        <v>4</v>
      </c>
      <c r="B5352" s="1" t="s">
        <v>4366</v>
      </c>
      <c r="C5352" s="1" t="str">
        <f ca="1">IFERROR(__xludf.DUMMYFUNCTION("GOOGLETRANSLATE(B5412,""en"",""ja"")"),"滞在")</f>
        <v>滞在</v>
      </c>
    </row>
    <row r="5353" spans="1:3" ht="18" customHeight="1" x14ac:dyDescent="0.3">
      <c r="A5353" s="1">
        <v>4</v>
      </c>
      <c r="B5353" s="1" t="s">
        <v>4367</v>
      </c>
      <c r="C5353" s="1" t="str">
        <f ca="1">IFERROR(__xludf.DUMMYFUNCTION("GOOGLETRANSLATE(B5413,""en"",""ja"")"),"星")</f>
        <v>星</v>
      </c>
    </row>
    <row r="5354" spans="1:3" ht="18" customHeight="1" x14ac:dyDescent="0.3">
      <c r="A5354" s="1">
        <v>4</v>
      </c>
      <c r="B5354" s="1" t="s">
        <v>4368</v>
      </c>
      <c r="C5354" s="1" t="str">
        <f ca="1">IFERROR(__xludf.DUMMYFUNCTION("GOOGLETRANSLATE(B5414,""en"",""ja"")"),"スタンレー")</f>
        <v>スタンレー</v>
      </c>
    </row>
    <row r="5355" spans="1:3" ht="18" customHeight="1" x14ac:dyDescent="0.3">
      <c r="A5355" s="1">
        <v>4</v>
      </c>
      <c r="B5355" s="1" t="s">
        <v>4369</v>
      </c>
      <c r="C5355" s="1" t="str">
        <f ca="1">IFERROR(__xludf.DUMMYFUNCTION("GOOGLETRANSLATE(B5415,""en"",""ja"")"),"茎")</f>
        <v>茎</v>
      </c>
    </row>
    <row r="5356" spans="1:3" ht="18" customHeight="1" x14ac:dyDescent="0.3">
      <c r="A5356" s="1">
        <v>4</v>
      </c>
      <c r="B5356" s="1" t="s">
        <v>4370</v>
      </c>
      <c r="C5356" s="1" t="str">
        <f ca="1">IFERROR(__xludf.DUMMYFUNCTION("GOOGLETRANSLATE(B5416,""en"",""ja"")"),"安定させます")</f>
        <v>安定させます</v>
      </c>
    </row>
    <row r="5357" spans="1:3" ht="18" customHeight="1" x14ac:dyDescent="0.3">
      <c r="A5357" s="1">
        <v>4</v>
      </c>
      <c r="B5357" s="1" t="s">
        <v>4371</v>
      </c>
      <c r="C5357" s="1" t="str">
        <f ca="1">IFERROR(__xludf.DUMMYFUNCTION("GOOGLETRANSLATE(B5417,""en"",""ja"")"),"つまらないけんか")</f>
        <v>つまらないけんか</v>
      </c>
    </row>
    <row r="5358" spans="1:3" ht="18" customHeight="1" x14ac:dyDescent="0.3">
      <c r="A5358" s="1">
        <v>4</v>
      </c>
      <c r="B5358" s="1" t="s">
        <v>4372</v>
      </c>
      <c r="C5358" s="1" t="str">
        <f ca="1">IFERROR(__xludf.DUMMYFUNCTION("GOOGLETRANSLATE(B5418,""en"",""ja"")"),"スパイ")</f>
        <v>スパイ</v>
      </c>
    </row>
    <row r="5359" spans="1:3" ht="18" customHeight="1" x14ac:dyDescent="0.3">
      <c r="A5359" s="1">
        <v>4</v>
      </c>
      <c r="B5359" s="1" t="s">
        <v>4373</v>
      </c>
      <c r="C5359" s="1" t="str">
        <f ca="1">IFERROR(__xludf.DUMMYFUNCTION("GOOGLETRANSLATE(B5419,""en"",""ja"")"),"不気味な")</f>
        <v>不気味な</v>
      </c>
    </row>
    <row r="5360" spans="1:3" ht="18" customHeight="1" x14ac:dyDescent="0.3">
      <c r="A5360" s="1">
        <v>4</v>
      </c>
      <c r="B5360" s="1" t="s">
        <v>4374</v>
      </c>
      <c r="C5360" s="1" t="str">
        <f ca="1">IFERROR(__xludf.DUMMYFUNCTION("GOOGLETRANSLATE(B5420,""en"",""ja"")"),"スポンサー")</f>
        <v>スポンサー</v>
      </c>
    </row>
    <row r="5361" spans="1:3" ht="18" customHeight="1" x14ac:dyDescent="0.3">
      <c r="A5361" s="1">
        <v>4</v>
      </c>
      <c r="B5361" s="1" t="s">
        <v>4375</v>
      </c>
      <c r="C5361" s="1" t="str">
        <f ca="1">IFERROR(__xludf.DUMMYFUNCTION("GOOGLETRANSLATE(B5421,""en"",""ja"")"),"話した")</f>
        <v>話した</v>
      </c>
    </row>
    <row r="5362" spans="1:3" ht="18" customHeight="1" x14ac:dyDescent="0.3">
      <c r="A5362" s="1">
        <v>4</v>
      </c>
      <c r="B5362" s="1" t="s">
        <v>4376</v>
      </c>
      <c r="C5362" s="1" t="str">
        <f ca="1">IFERROR(__xludf.DUMMYFUNCTION("GOOGLETRANSLATE(B5422,""en"",""ja"")"),"憶測")</f>
        <v>憶測</v>
      </c>
    </row>
    <row r="5363" spans="1:3" ht="18" customHeight="1" x14ac:dyDescent="0.3">
      <c r="A5363" s="1">
        <v>4</v>
      </c>
      <c r="B5363" s="1" t="s">
        <v>4377</v>
      </c>
      <c r="C5363" s="1" t="str">
        <f ca="1">IFERROR(__xludf.DUMMYFUNCTION("GOOGLETRANSLATE(B5423,""en"",""ja"")"),"スペクトル")</f>
        <v>スペクトル</v>
      </c>
    </row>
    <row r="5364" spans="1:3" ht="18" customHeight="1" x14ac:dyDescent="0.3">
      <c r="A5364" s="1">
        <v>4</v>
      </c>
      <c r="B5364" s="1" t="s">
        <v>4378</v>
      </c>
      <c r="C5364" s="1" t="str">
        <f ca="1">IFERROR(__xludf.DUMMYFUNCTION("GOOGLETRANSLATE(B5424,""en"",""ja"")"),"特定します")</f>
        <v>特定します</v>
      </c>
    </row>
    <row r="5365" spans="1:3" ht="18" customHeight="1" x14ac:dyDescent="0.3">
      <c r="A5365" s="1">
        <v>4</v>
      </c>
      <c r="B5365" s="1" t="s">
        <v>644</v>
      </c>
      <c r="C5365" s="1" t="str">
        <f ca="1">IFERROR(__xludf.DUMMYFUNCTION("GOOGLETRANSLATE(B5425,""en"",""ja"")"),"明確な")</f>
        <v>明確な</v>
      </c>
    </row>
    <row r="5366" spans="1:3" ht="18" customHeight="1" x14ac:dyDescent="0.3">
      <c r="A5366" s="1">
        <v>4</v>
      </c>
      <c r="B5366" s="1" t="s">
        <v>1242</v>
      </c>
      <c r="C5366" s="1" t="str">
        <f ca="1">IFERROR(__xludf.DUMMYFUNCTION("GOOGLETRANSLATE(B5426,""en"",""ja"")"),"話す")</f>
        <v>話す</v>
      </c>
    </row>
    <row r="5367" spans="1:3" ht="18" customHeight="1" x14ac:dyDescent="0.3">
      <c r="A5367" s="1">
        <v>4</v>
      </c>
      <c r="B5367" s="1" t="s">
        <v>4379</v>
      </c>
      <c r="C5367" s="1" t="str">
        <f ca="1">IFERROR(__xludf.DUMMYFUNCTION("GOOGLETRANSLATE(B5427,""en"",""ja"")"),"ソ連")</f>
        <v>ソ連</v>
      </c>
    </row>
    <row r="5368" spans="1:3" ht="18" customHeight="1" x14ac:dyDescent="0.3">
      <c r="A5368" s="1">
        <v>4</v>
      </c>
      <c r="B5368" s="1" t="s">
        <v>4380</v>
      </c>
      <c r="C5368" s="1" t="str">
        <f ca="1">IFERROR(__xludf.DUMMYFUNCTION("GOOGLETRANSLATE(B5428,""en"",""ja"")"),"sophis")</f>
        <v>sophis</v>
      </c>
    </row>
    <row r="5369" spans="1:3" ht="18" customHeight="1" x14ac:dyDescent="0.3">
      <c r="A5369" s="1">
        <v>4</v>
      </c>
      <c r="B5369" s="1" t="s">
        <v>4381</v>
      </c>
      <c r="C5369" s="1" t="str">
        <f ca="1">IFERROR(__xludf.DUMMYFUNCTION("GOOGLETRANSLATE(B5429,""en"",""ja"")"),"誰かの")</f>
        <v>誰かの</v>
      </c>
    </row>
    <row r="5370" spans="1:3" ht="18" customHeight="1" x14ac:dyDescent="0.3">
      <c r="A5370" s="1">
        <v>4</v>
      </c>
      <c r="B5370" s="1" t="s">
        <v>4382</v>
      </c>
      <c r="C5370" s="1" t="str">
        <f ca="1">IFERROR(__xludf.DUMMYFUNCTION("GOOGLETRANSLATE(B5430,""en"",""ja"")"),"孤独")</f>
        <v>孤独</v>
      </c>
    </row>
    <row r="5371" spans="1:3" ht="18" customHeight="1" x14ac:dyDescent="0.3">
      <c r="A5371" s="1">
        <v>4</v>
      </c>
      <c r="B5371" s="1" t="s">
        <v>4383</v>
      </c>
      <c r="C5371" s="1" t="str">
        <f ca="1">IFERROR(__xludf.DUMMYFUNCTION("GOOGLETRANSLATE(B5431,""en"",""ja"")"),"社会学")</f>
        <v>社会学</v>
      </c>
    </row>
    <row r="5372" spans="1:3" ht="18" customHeight="1" x14ac:dyDescent="0.3">
      <c r="A5372" s="1">
        <v>4</v>
      </c>
      <c r="B5372" s="1" t="s">
        <v>4384</v>
      </c>
      <c r="C5372" s="1" t="str">
        <f ca="1">IFERROR(__xludf.DUMMYFUNCTION("GOOGLETRANSLATE(B5432,""en"",""ja"")"),"社会")</f>
        <v>社会</v>
      </c>
    </row>
    <row r="5373" spans="1:3" ht="18" customHeight="1" x14ac:dyDescent="0.3">
      <c r="A5373" s="1">
        <v>4</v>
      </c>
      <c r="B5373" s="1" t="s">
        <v>58</v>
      </c>
      <c r="C5373" s="1" t="str">
        <f ca="1">IFERROR(__xludf.DUMMYFUNCTION("GOOGLETRANSLATE(B5433,""en"",""ja"")"),"ソーシャル")</f>
        <v>ソーシャル</v>
      </c>
    </row>
    <row r="5374" spans="1:3" ht="18" customHeight="1" x14ac:dyDescent="0.3">
      <c r="A5374" s="1">
        <v>4</v>
      </c>
      <c r="B5374" s="1" t="s">
        <v>4385</v>
      </c>
      <c r="C5374" s="1" t="str">
        <f ca="1">IFERROR(__xludf.DUMMYFUNCTION("GOOGLETRANSLATE(B5434,""en"",""ja"")"),"鼻面")</f>
        <v>鼻面</v>
      </c>
    </row>
    <row r="5375" spans="1:3" ht="18" customHeight="1" x14ac:dyDescent="0.3">
      <c r="A5375" s="1">
        <v>4</v>
      </c>
      <c r="B5375" s="1" t="s">
        <v>4386</v>
      </c>
      <c r="C5375" s="1" t="str">
        <f ca="1">IFERROR(__xludf.DUMMYFUNCTION("GOOGLETRANSLATE(B5435,""en"",""ja"")"),"にこやか")</f>
        <v>にこやか</v>
      </c>
    </row>
    <row r="5376" spans="1:3" ht="18" customHeight="1" x14ac:dyDescent="0.3">
      <c r="A5376" s="1">
        <v>4</v>
      </c>
      <c r="B5376" s="1" t="s">
        <v>4387</v>
      </c>
      <c r="C5376" s="1" t="str">
        <f ca="1">IFERROR(__xludf.DUMMYFUNCTION("GOOGLETRANSLATE(B5436,""en"",""ja"")"),"スマイル")</f>
        <v>スマイル</v>
      </c>
    </row>
    <row r="5377" spans="1:3" ht="18" customHeight="1" x14ac:dyDescent="0.3">
      <c r="A5377" s="1">
        <v>4</v>
      </c>
      <c r="B5377" s="1" t="s">
        <v>4388</v>
      </c>
      <c r="C5377" s="1" t="str">
        <f ca="1">IFERROR(__xludf.DUMMYFUNCTION("GOOGLETRANSLATE(B5437,""en"",""ja"")"),"スマートフォン")</f>
        <v>スマートフォン</v>
      </c>
    </row>
    <row r="5378" spans="1:3" ht="18" customHeight="1" x14ac:dyDescent="0.3">
      <c r="A5378" s="1">
        <v>4</v>
      </c>
      <c r="B5378" s="1" t="s">
        <v>4389</v>
      </c>
      <c r="C5378" s="1" t="str">
        <f ca="1">IFERROR(__xludf.DUMMYFUNCTION("GOOGLETRANSLATE(B5438,""en"",""ja"")"),"小さいです")</f>
        <v>小さいです</v>
      </c>
    </row>
    <row r="5379" spans="1:3" ht="18" customHeight="1" x14ac:dyDescent="0.3">
      <c r="A5379" s="1">
        <v>4</v>
      </c>
      <c r="B5379" s="1" t="s">
        <v>4390</v>
      </c>
      <c r="C5379" s="1" t="str">
        <f ca="1">IFERROR(__xludf.DUMMYFUNCTION("GOOGLETRANSLATE(B5439,""en"",""ja"")"),"低迷")</f>
        <v>低迷</v>
      </c>
    </row>
    <row r="5380" spans="1:3" ht="18" customHeight="1" x14ac:dyDescent="0.3">
      <c r="A5380" s="1">
        <v>4</v>
      </c>
      <c r="B5380" s="1" t="s">
        <v>4391</v>
      </c>
      <c r="C5380" s="1" t="str">
        <f ca="1">IFERROR(__xludf.DUMMYFUNCTION("GOOGLETRANSLATE(B5440,""en"",""ja"")"),"滑り台")</f>
        <v>滑り台</v>
      </c>
    </row>
    <row r="5381" spans="1:3" ht="18" customHeight="1" x14ac:dyDescent="0.3">
      <c r="A5381" s="1">
        <v>4</v>
      </c>
      <c r="B5381" s="1" t="s">
        <v>4392</v>
      </c>
      <c r="C5381" s="1" t="str">
        <f ca="1">IFERROR(__xludf.DUMMYFUNCTION("GOOGLETRANSLATE(B5441,""en"",""ja"")"),"スラッシュ")</f>
        <v>スラッシュ</v>
      </c>
    </row>
    <row r="5382" spans="1:3" ht="18" customHeight="1" x14ac:dyDescent="0.3">
      <c r="A5382" s="1">
        <v>4</v>
      </c>
      <c r="B5382" s="1" t="s">
        <v>4393</v>
      </c>
      <c r="C5382" s="1" t="str">
        <f ca="1">IFERROR(__xludf.DUMMYFUNCTION("GOOGLETRANSLATE(B5442,""en"",""ja"")"),"スキップ")</f>
        <v>スキップ</v>
      </c>
    </row>
    <row r="5383" spans="1:3" ht="18" customHeight="1" x14ac:dyDescent="0.3">
      <c r="A5383" s="1">
        <v>4</v>
      </c>
      <c r="B5383" s="1" t="s">
        <v>3245</v>
      </c>
      <c r="C5383" s="1" t="str">
        <f ca="1">IFERROR(__xludf.DUMMYFUNCTION("GOOGLETRANSLATE(B5443,""en"",""ja"")"),"肌")</f>
        <v>肌</v>
      </c>
    </row>
    <row r="5384" spans="1:3" ht="18" customHeight="1" x14ac:dyDescent="0.3">
      <c r="A5384" s="1">
        <v>4</v>
      </c>
      <c r="B5384" s="1" t="s">
        <v>1244</v>
      </c>
      <c r="C5384" s="1" t="str">
        <f ca="1">IFERROR(__xludf.DUMMYFUNCTION("GOOGLETRANSLATE(B5444,""en"",""ja"")"),"サイズ")</f>
        <v>サイズ</v>
      </c>
    </row>
    <row r="5385" spans="1:3" ht="18" customHeight="1" x14ac:dyDescent="0.3">
      <c r="A5385" s="1">
        <v>4</v>
      </c>
      <c r="B5385" s="1" t="s">
        <v>4394</v>
      </c>
      <c r="C5385" s="1" t="str">
        <f ca="1">IFERROR(__xludf.DUMMYFUNCTION("GOOGLETRANSLATE(B5445,""en"",""ja"")"),"シンク")</f>
        <v>シンク</v>
      </c>
    </row>
    <row r="5386" spans="1:3" ht="18" customHeight="1" x14ac:dyDescent="0.3">
      <c r="A5386" s="1">
        <v>4</v>
      </c>
      <c r="B5386" s="1" t="s">
        <v>4395</v>
      </c>
      <c r="C5386" s="1" t="str">
        <f ca="1">IFERROR(__xludf.DUMMYFUNCTION("GOOGLETRANSLATE(B5446,""en"",""ja"")"),"沈黙")</f>
        <v>沈黙</v>
      </c>
    </row>
    <row r="5387" spans="1:3" ht="18" customHeight="1" x14ac:dyDescent="0.3">
      <c r="A5387" s="1">
        <v>4</v>
      </c>
      <c r="B5387" s="1" t="s">
        <v>4396</v>
      </c>
      <c r="C5387" s="1" t="str">
        <f ca="1">IFERROR(__xludf.DUMMYFUNCTION("GOOGLETRANSLATE(B5447,""en"",""ja"")"),"署名")</f>
        <v>署名</v>
      </c>
    </row>
    <row r="5388" spans="1:3" ht="18" customHeight="1" x14ac:dyDescent="0.3">
      <c r="A5388" s="1">
        <v>4</v>
      </c>
      <c r="B5388" s="1" t="s">
        <v>2547</v>
      </c>
      <c r="C5388" s="1" t="str">
        <f ca="1">IFERROR(__xludf.DUMMYFUNCTION("GOOGLETRANSLATE(B5448,""en"",""ja"")"),"信号")</f>
        <v>信号</v>
      </c>
    </row>
    <row r="5389" spans="1:3" ht="18" customHeight="1" x14ac:dyDescent="0.3">
      <c r="A5389" s="1">
        <v>4</v>
      </c>
      <c r="B5389" s="1" t="s">
        <v>4397</v>
      </c>
      <c r="C5389" s="1" t="str">
        <f ca="1">IFERROR(__xludf.DUMMYFUNCTION("GOOGLETRANSLATE(B5449,""en"",""ja"")"),"兄弟")</f>
        <v>兄弟</v>
      </c>
    </row>
    <row r="5390" spans="1:3" ht="18" customHeight="1" x14ac:dyDescent="0.3">
      <c r="A5390" s="1">
        <v>4</v>
      </c>
      <c r="B5390" s="1" t="s">
        <v>4398</v>
      </c>
      <c r="C5390" s="1" t="str">
        <f ca="1">IFERROR(__xludf.DUMMYFUNCTION("GOOGLETRANSLATE(B5450,""en"",""ja"")"),"shortchanged")</f>
        <v>shortchanged</v>
      </c>
    </row>
    <row r="5391" spans="1:3" ht="18" customHeight="1" x14ac:dyDescent="0.3">
      <c r="A5391" s="1">
        <v>4</v>
      </c>
      <c r="B5391" s="1" t="s">
        <v>4399</v>
      </c>
      <c r="C5391" s="1" t="str">
        <f ca="1">IFERROR(__xludf.DUMMYFUNCTION("GOOGLETRANSLATE(B5451,""en"",""ja"")"),"ショップ")</f>
        <v>ショップ</v>
      </c>
    </row>
    <row r="5392" spans="1:3" ht="18" customHeight="1" x14ac:dyDescent="0.3">
      <c r="A5392" s="1">
        <v>4</v>
      </c>
      <c r="B5392" s="1" t="s">
        <v>4400</v>
      </c>
      <c r="C5392" s="1" t="str">
        <f ca="1">IFERROR(__xludf.DUMMYFUNCTION("GOOGLETRANSLATE(B5452,""en"",""ja"")"),"撮影")</f>
        <v>撮影</v>
      </c>
    </row>
    <row r="5393" spans="1:3" ht="18" customHeight="1" x14ac:dyDescent="0.3">
      <c r="A5393" s="1">
        <v>4</v>
      </c>
      <c r="B5393" s="1" t="s">
        <v>4401</v>
      </c>
      <c r="C5393" s="1" t="str">
        <f ca="1">IFERROR(__xludf.DUMMYFUNCTION("GOOGLETRANSLATE(B5453,""en"",""ja"")"),"見掛け倒し")</f>
        <v>見掛け倒し</v>
      </c>
    </row>
    <row r="5394" spans="1:3" ht="18" customHeight="1" x14ac:dyDescent="0.3">
      <c r="A5394" s="1">
        <v>4</v>
      </c>
      <c r="B5394" s="1" t="s">
        <v>4402</v>
      </c>
      <c r="C5394" s="1" t="str">
        <f ca="1">IFERROR(__xludf.DUMMYFUNCTION("GOOGLETRANSLATE(B5454,""en"",""ja"")"),"シフト")</f>
        <v>シフト</v>
      </c>
    </row>
    <row r="5395" spans="1:3" ht="18" customHeight="1" x14ac:dyDescent="0.3">
      <c r="A5395" s="1">
        <v>4</v>
      </c>
      <c r="B5395" s="1" t="s">
        <v>4403</v>
      </c>
      <c r="C5395" s="1" t="str">
        <f ca="1">IFERROR(__xludf.DUMMYFUNCTION("GOOGLETRANSLATE(B5455,""en"",""ja"")"),"シャピロ")</f>
        <v>シャピロ</v>
      </c>
    </row>
    <row r="5396" spans="1:3" ht="18" customHeight="1" x14ac:dyDescent="0.3">
      <c r="A5396" s="1">
        <v>4</v>
      </c>
      <c r="B5396" s="1" t="s">
        <v>4404</v>
      </c>
      <c r="C5396" s="1" t="str">
        <f ca="1">IFERROR(__xludf.DUMMYFUNCTION("GOOGLETRANSLATE(B5456,""en"",""ja"")"),"浅いです")</f>
        <v>浅いです</v>
      </c>
    </row>
    <row r="5397" spans="1:3" ht="18" customHeight="1" x14ac:dyDescent="0.3">
      <c r="A5397" s="1">
        <v>4</v>
      </c>
      <c r="B5397" s="1" t="s">
        <v>4405</v>
      </c>
      <c r="C5397" s="1" t="str">
        <f ca="1">IFERROR(__xludf.DUMMYFUNCTION("GOOGLETRANSLATE(B5457,""en"",""ja"")"),"ぐらつきます")</f>
        <v>ぐらつきます</v>
      </c>
    </row>
    <row r="5398" spans="1:3" ht="18" customHeight="1" x14ac:dyDescent="0.3">
      <c r="A5398" s="1">
        <v>4</v>
      </c>
      <c r="B5398" s="1" t="s">
        <v>4406</v>
      </c>
      <c r="C5398" s="1" t="str">
        <f ca="1">IFERROR(__xludf.DUMMYFUNCTION("GOOGLETRANSLATE(B5458,""en"",""ja"")"),"SF")</f>
        <v>SF</v>
      </c>
    </row>
    <row r="5399" spans="1:3" ht="18" customHeight="1" x14ac:dyDescent="0.3">
      <c r="A5399" s="1">
        <v>4</v>
      </c>
      <c r="B5399" s="1" t="s">
        <v>1047</v>
      </c>
      <c r="C5399" s="1" t="str">
        <f ca="1">IFERROR(__xludf.DUMMYFUNCTION("GOOGLETRANSLATE(B5459,""en"",""ja"")"),"農奴")</f>
        <v>農奴</v>
      </c>
    </row>
    <row r="5400" spans="1:3" ht="18" customHeight="1" x14ac:dyDescent="0.3">
      <c r="A5400" s="1">
        <v>4</v>
      </c>
      <c r="B5400" s="1" t="s">
        <v>4407</v>
      </c>
      <c r="C5400" s="1" t="str">
        <f ca="1">IFERROR(__xludf.DUMMYFUNCTION("GOOGLETRANSLATE(B5460,""en"",""ja"")"),"感情")</f>
        <v>感情</v>
      </c>
    </row>
    <row r="5401" spans="1:3" ht="18" customHeight="1" x14ac:dyDescent="0.3">
      <c r="A5401" s="1">
        <v>4</v>
      </c>
      <c r="B5401" s="1" t="s">
        <v>4408</v>
      </c>
      <c r="C5401" s="1" t="str">
        <f ca="1">IFERROR(__xludf.DUMMYFUNCTION("GOOGLETRANSLATE(B5461,""en"",""ja"")"),"感情")</f>
        <v>感情</v>
      </c>
    </row>
    <row r="5402" spans="1:3" ht="18" customHeight="1" x14ac:dyDescent="0.3">
      <c r="A5402" s="1">
        <v>4</v>
      </c>
      <c r="B5402" s="1" t="s">
        <v>4409</v>
      </c>
      <c r="C5402" s="1" t="str">
        <f ca="1">IFERROR(__xludf.DUMMYFUNCTION("GOOGLETRANSLATE(B5462,""en"",""ja"")"),"高感度")</f>
        <v>高感度</v>
      </c>
    </row>
    <row r="5403" spans="1:3" ht="18" customHeight="1" x14ac:dyDescent="0.3">
      <c r="A5403" s="1">
        <v>4</v>
      </c>
      <c r="B5403" s="1" t="s">
        <v>4410</v>
      </c>
      <c r="C5403" s="1" t="str">
        <f ca="1">IFERROR(__xludf.DUMMYFUNCTION("GOOGLETRANSLATE(B5463,""en"",""ja"")"),"センシング")</f>
        <v>センシング</v>
      </c>
    </row>
    <row r="5404" spans="1:3" ht="18" customHeight="1" x14ac:dyDescent="0.3">
      <c r="A5404" s="1">
        <v>4</v>
      </c>
      <c r="B5404" s="1" t="s">
        <v>4411</v>
      </c>
      <c r="C5404" s="1" t="str">
        <f ca="1">IFERROR(__xludf.DUMMYFUNCTION("GOOGLETRANSLATE(B5464,""en"",""ja"")"),"半透明")</f>
        <v>半透明</v>
      </c>
    </row>
    <row r="5405" spans="1:3" ht="18" customHeight="1" x14ac:dyDescent="0.3">
      <c r="A5405" s="1">
        <v>4</v>
      </c>
      <c r="B5405" s="1" t="s">
        <v>4412</v>
      </c>
      <c r="C5405" s="1" t="str">
        <f ca="1">IFERROR(__xludf.DUMMYFUNCTION("GOOGLETRANSLATE(B5465,""en"",""ja"")"),"セミナー")</f>
        <v>セミナー</v>
      </c>
    </row>
    <row r="5406" spans="1:3" ht="18" customHeight="1" x14ac:dyDescent="0.3">
      <c r="A5406" s="1">
        <v>4</v>
      </c>
      <c r="B5406" s="1" t="s">
        <v>4413</v>
      </c>
      <c r="C5406" s="1" t="str">
        <f ca="1">IFERROR(__xludf.DUMMYFUNCTION("GOOGLETRANSLATE(B5466,""en"",""ja"")"),"セミナー")</f>
        <v>セミナー</v>
      </c>
    </row>
    <row r="5407" spans="1:3" ht="18" customHeight="1" x14ac:dyDescent="0.3">
      <c r="A5407" s="1">
        <v>4</v>
      </c>
      <c r="B5407" s="1" t="s">
        <v>4414</v>
      </c>
      <c r="C5407" s="1" t="str">
        <f ca="1">IFERROR(__xludf.DUMMYFUNCTION("GOOGLETRANSLATE(B5467,""en"",""ja"")"),"セミ")</f>
        <v>セミ</v>
      </c>
    </row>
    <row r="5408" spans="1:3" ht="18" customHeight="1" x14ac:dyDescent="0.3">
      <c r="A5408" s="1">
        <v>4</v>
      </c>
      <c r="B5408" s="1" t="s">
        <v>4415</v>
      </c>
      <c r="C5408" s="1" t="str">
        <f ca="1">IFERROR(__xludf.DUMMYFUNCTION("GOOGLETRANSLATE(B5468,""en"",""ja"")"),"販売")</f>
        <v>販売</v>
      </c>
    </row>
    <row r="5409" spans="1:3" ht="18" customHeight="1" x14ac:dyDescent="0.3">
      <c r="A5409" s="1">
        <v>4</v>
      </c>
      <c r="B5409" s="1" t="s">
        <v>4416</v>
      </c>
      <c r="C5409" s="1" t="str">
        <f ca="1">IFERROR(__xludf.DUMMYFUNCTION("GOOGLETRANSLATE(B5469,""en"",""ja"")"),"滅多")</f>
        <v>滅多</v>
      </c>
    </row>
    <row r="5410" spans="1:3" ht="18" customHeight="1" x14ac:dyDescent="0.3">
      <c r="A5410" s="1">
        <v>4</v>
      </c>
      <c r="B5410" s="1" t="s">
        <v>4417</v>
      </c>
      <c r="C5410" s="1" t="str">
        <f ca="1">IFERROR(__xludf.DUMMYFUNCTION("GOOGLETRANSLATE(B5470,""en"",""ja"")"),"一見")</f>
        <v>一見</v>
      </c>
    </row>
    <row r="5411" spans="1:3" ht="18" customHeight="1" x14ac:dyDescent="0.3">
      <c r="A5411" s="1">
        <v>4</v>
      </c>
      <c r="B5411" s="1" t="s">
        <v>4418</v>
      </c>
      <c r="C5411" s="1" t="str">
        <f ca="1">IFERROR(__xludf.DUMMYFUNCTION("GOOGLETRANSLATE(B5471,""en"",""ja"")"),"誘惑")</f>
        <v>誘惑</v>
      </c>
    </row>
    <row r="5412" spans="1:3" ht="18" customHeight="1" x14ac:dyDescent="0.3">
      <c r="A5412" s="1">
        <v>4</v>
      </c>
      <c r="B5412" s="1" t="s">
        <v>4419</v>
      </c>
      <c r="C5412" s="1" t="str">
        <f ca="1">IFERROR(__xludf.DUMMYFUNCTION("GOOGLETRANSLATE(B5472,""en"",""ja"")"),"季節的")</f>
        <v>季節的</v>
      </c>
    </row>
    <row r="5413" spans="1:3" ht="18" customHeight="1" x14ac:dyDescent="0.3">
      <c r="A5413" s="1">
        <v>4</v>
      </c>
      <c r="B5413" s="1" t="s">
        <v>4420</v>
      </c>
      <c r="C5413" s="1" t="str">
        <f ca="1">IFERROR(__xludf.DUMMYFUNCTION("GOOGLETRANSLATE(B5473,""en"",""ja"")"),"こすります")</f>
        <v>こすります</v>
      </c>
    </row>
    <row r="5414" spans="1:3" ht="18" customHeight="1" x14ac:dyDescent="0.3">
      <c r="A5414" s="1">
        <v>4</v>
      </c>
      <c r="B5414" s="1" t="s">
        <v>3857</v>
      </c>
      <c r="C5414" s="1" t="str">
        <f ca="1">IFERROR(__xludf.DUMMYFUNCTION("GOOGLETRANSLATE(B5474,""en"",""ja"")"),"奨学金")</f>
        <v>奨学金</v>
      </c>
    </row>
    <row r="5415" spans="1:3" ht="18" customHeight="1" x14ac:dyDescent="0.3">
      <c r="A5415" s="1">
        <v>4</v>
      </c>
      <c r="B5415" s="1" t="s">
        <v>4421</v>
      </c>
      <c r="C5415" s="1" t="str">
        <f ca="1">IFERROR(__xludf.DUMMYFUNCTION("GOOGLETRANSLATE(B5475,""en"",""ja"")"),"学者")</f>
        <v>学者</v>
      </c>
    </row>
    <row r="5416" spans="1:3" ht="18" customHeight="1" x14ac:dyDescent="0.3">
      <c r="A5416" s="1">
        <v>4</v>
      </c>
      <c r="B5416" s="1" t="s">
        <v>4422</v>
      </c>
      <c r="C5416" s="1" t="str">
        <f ca="1">IFERROR(__xludf.DUMMYFUNCTION("GOOGLETRANSLATE(B5476,""en"",""ja"")"),"詐欺")</f>
        <v>詐欺</v>
      </c>
    </row>
    <row r="5417" spans="1:3" ht="18" customHeight="1" x14ac:dyDescent="0.3">
      <c r="A5417" s="1">
        <v>4</v>
      </c>
      <c r="B5417" s="1" t="s">
        <v>4423</v>
      </c>
      <c r="C5417" s="1" t="str">
        <f ca="1">IFERROR(__xludf.DUMMYFUNCTION("GOOGLETRANSLATE(B5477,""en"",""ja"")"),"満足")</f>
        <v>満足</v>
      </c>
    </row>
    <row r="5418" spans="1:3" ht="18" customHeight="1" x14ac:dyDescent="0.3">
      <c r="A5418" s="1">
        <v>4</v>
      </c>
      <c r="B5418" s="1" t="s">
        <v>1102</v>
      </c>
      <c r="C5418" s="1" t="str">
        <f ca="1">IFERROR(__xludf.DUMMYFUNCTION("GOOGLETRANSLATE(B5478,""en"",""ja"")"),"サピエンス")</f>
        <v>サピエンス</v>
      </c>
    </row>
    <row r="5419" spans="1:3" ht="18" customHeight="1" x14ac:dyDescent="0.3">
      <c r="A5419" s="1">
        <v>4</v>
      </c>
      <c r="B5419" s="1" t="s">
        <v>4424</v>
      </c>
      <c r="C5419" s="1" t="str">
        <f ca="1">IFERROR(__xludf.DUMMYFUNCTION("GOOGLETRANSLATE(B5479,""en"",""ja"")"),"砂の")</f>
        <v>砂の</v>
      </c>
    </row>
    <row r="5420" spans="1:3" ht="18" customHeight="1" x14ac:dyDescent="0.3">
      <c r="A5420" s="1">
        <v>4</v>
      </c>
      <c r="B5420" s="1" t="s">
        <v>4425</v>
      </c>
      <c r="C5420" s="1" t="str">
        <f ca="1">IFERROR(__xludf.DUMMYFUNCTION("GOOGLETRANSLATE(B5480,""en"",""ja"")"),"わいせつな")</f>
        <v>わいせつな</v>
      </c>
    </row>
    <row r="5421" spans="1:3" ht="18" customHeight="1" x14ac:dyDescent="0.3">
      <c r="A5421" s="1">
        <v>4</v>
      </c>
      <c r="B5421" s="1" t="s">
        <v>4426</v>
      </c>
      <c r="C5421" s="1" t="str">
        <f ca="1">IFERROR(__xludf.DUMMYFUNCTION("GOOGLETRANSLATE(B5481,""en"",""ja"")"),"サハラ")</f>
        <v>サハラ</v>
      </c>
    </row>
    <row r="5422" spans="1:3" ht="18" customHeight="1" x14ac:dyDescent="0.3">
      <c r="A5422" s="1">
        <v>4</v>
      </c>
      <c r="B5422" s="1" t="s">
        <v>4427</v>
      </c>
      <c r="C5422" s="1" t="str">
        <f ca="1">IFERROR(__xludf.DUMMYFUNCTION("GOOGLETRANSLATE(B5482,""en"",""ja"")"),"犠牲")</f>
        <v>犠牲</v>
      </c>
    </row>
    <row r="5423" spans="1:3" ht="18" customHeight="1" x14ac:dyDescent="0.3">
      <c r="A5423" s="1">
        <v>4</v>
      </c>
      <c r="B5423" s="1" t="s">
        <v>4428</v>
      </c>
      <c r="C5423" s="1" t="str">
        <f ca="1">IFERROR(__xludf.DUMMYFUNCTION("GOOGLETRANSLATE(B5483,""en"",""ja"")"),"急いで")</f>
        <v>急いで</v>
      </c>
    </row>
    <row r="5424" spans="1:3" ht="18" customHeight="1" x14ac:dyDescent="0.3">
      <c r="A5424" s="1">
        <v>4</v>
      </c>
      <c r="B5424" s="1" t="s">
        <v>1173</v>
      </c>
      <c r="C5424" s="1" t="str">
        <f ca="1">IFERROR(__xludf.DUMMYFUNCTION("GOOGLETRANSLATE(B5484,""en"",""ja"")"),"ルーラー")</f>
        <v>ルーラー</v>
      </c>
    </row>
    <row r="5425" spans="1:3" ht="18" customHeight="1" x14ac:dyDescent="0.3">
      <c r="A5425" s="1">
        <v>4</v>
      </c>
      <c r="B5425" s="1" t="s">
        <v>4429</v>
      </c>
      <c r="C5425" s="1" t="str">
        <f ca="1">IFERROR(__xludf.DUMMYFUNCTION("GOOGLETRANSLATE(B5485,""en"",""ja"")"),"ロービング")</f>
        <v>ロービング</v>
      </c>
    </row>
    <row r="5426" spans="1:3" ht="18" customHeight="1" x14ac:dyDescent="0.3">
      <c r="A5426" s="1">
        <v>4</v>
      </c>
      <c r="B5426" s="1" t="s">
        <v>4430</v>
      </c>
      <c r="C5426" s="1" t="str">
        <f ca="1">IFERROR(__xludf.DUMMYFUNCTION("GOOGLETRANSLATE(B5486,""en"",""ja"")"),"腐朽")</f>
        <v>腐朽</v>
      </c>
    </row>
    <row r="5427" spans="1:3" ht="18" customHeight="1" x14ac:dyDescent="0.3">
      <c r="A5427" s="1">
        <v>4</v>
      </c>
      <c r="B5427" s="1" t="s">
        <v>4431</v>
      </c>
      <c r="C5427" s="1" t="str">
        <f ca="1">IFERROR(__xludf.DUMMYFUNCTION("GOOGLETRANSLATE(B5487,""en"",""ja"")"),"部屋")</f>
        <v>部屋</v>
      </c>
    </row>
    <row r="5428" spans="1:3" ht="18" customHeight="1" x14ac:dyDescent="0.3">
      <c r="A5428" s="1">
        <v>4</v>
      </c>
      <c r="B5428" s="1" t="s">
        <v>4432</v>
      </c>
      <c r="C5428" s="1" t="str">
        <f ca="1">IFERROR(__xludf.DUMMYFUNCTION("GOOGLETRANSLATE(B5488,""en"",""ja"")"),"ROMの")</f>
        <v>ROMの</v>
      </c>
    </row>
    <row r="5429" spans="1:3" ht="18" customHeight="1" x14ac:dyDescent="0.3">
      <c r="A5429" s="1">
        <v>4</v>
      </c>
      <c r="B5429" s="1" t="s">
        <v>4433</v>
      </c>
      <c r="C5429" s="1" t="str">
        <f ca="1">IFERROR(__xludf.DUMMYFUNCTION("GOOGLETRANSLATE(B5489,""en"",""ja"")"),"ローマ")</f>
        <v>ローマ</v>
      </c>
    </row>
    <row r="5430" spans="1:3" ht="18" customHeight="1" x14ac:dyDescent="0.3">
      <c r="A5430" s="1">
        <v>4</v>
      </c>
      <c r="B5430" s="1" t="s">
        <v>4434</v>
      </c>
      <c r="C5430" s="1" t="str">
        <f ca="1">IFERROR(__xludf.DUMMYFUNCTION("GOOGLETRANSLATE(B5490,""en"",""ja"")"),"ロマンチック")</f>
        <v>ロマンチック</v>
      </c>
    </row>
    <row r="5431" spans="1:3" ht="18" customHeight="1" x14ac:dyDescent="0.3">
      <c r="A5431" s="1">
        <v>4</v>
      </c>
      <c r="B5431" s="1" t="s">
        <v>4435</v>
      </c>
      <c r="C5431" s="1" t="str">
        <f ca="1">IFERROR(__xludf.DUMMYFUNCTION("GOOGLETRANSLATE(B5491,""en"",""ja"")"),"ロボット工学")</f>
        <v>ロボット工学</v>
      </c>
    </row>
    <row r="5432" spans="1:3" ht="18" customHeight="1" x14ac:dyDescent="0.3">
      <c r="A5432" s="1">
        <v>4</v>
      </c>
      <c r="B5432" s="1" t="s">
        <v>589</v>
      </c>
      <c r="C5432" s="1" t="str">
        <f ca="1">IFERROR(__xludf.DUMMYFUNCTION("GOOGLETRANSLATE(B5492,""en"",""ja"")"),"リッチ")</f>
        <v>リッチ</v>
      </c>
    </row>
    <row r="5433" spans="1:3" ht="18" customHeight="1" x14ac:dyDescent="0.3">
      <c r="A5433" s="1">
        <v>4</v>
      </c>
      <c r="B5433" s="1" t="s">
        <v>4436</v>
      </c>
      <c r="C5433" s="1" t="str">
        <f ca="1">IFERROR(__xludf.DUMMYFUNCTION("GOOGLETRANSLATE(B5493,""en"",""ja"")"),"やりがい")</f>
        <v>やりがい</v>
      </c>
    </row>
    <row r="5434" spans="1:3" ht="18" customHeight="1" x14ac:dyDescent="0.3">
      <c r="A5434" s="1">
        <v>4</v>
      </c>
      <c r="B5434" s="1" t="s">
        <v>4437</v>
      </c>
      <c r="C5434" s="1" t="str">
        <f ca="1">IFERROR(__xludf.DUMMYFUNCTION("GOOGLETRANSLATE(B5494,""en"",""ja"")"),"回転")</f>
        <v>回転</v>
      </c>
    </row>
    <row r="5435" spans="1:3" ht="18" customHeight="1" x14ac:dyDescent="0.3">
      <c r="A5435" s="1">
        <v>4</v>
      </c>
      <c r="B5435" s="1" t="s">
        <v>4438</v>
      </c>
      <c r="C5435" s="1" t="str">
        <f ca="1">IFERROR(__xludf.DUMMYFUNCTION("GOOGLETRANSLATE(B5495,""en"",""ja"")"),"逆転")</f>
        <v>逆転</v>
      </c>
    </row>
    <row r="5436" spans="1:3" ht="18" customHeight="1" x14ac:dyDescent="0.3">
      <c r="A5436" s="1">
        <v>4</v>
      </c>
      <c r="B5436" s="1" t="s">
        <v>2564</v>
      </c>
      <c r="C5436" s="1" t="str">
        <f ca="1">IFERROR(__xludf.DUMMYFUNCTION("GOOGLETRANSLATE(B5496,""en"",""ja"")"),"逆行する")</f>
        <v>逆行する</v>
      </c>
    </row>
    <row r="5437" spans="1:3" ht="18" customHeight="1" x14ac:dyDescent="0.3">
      <c r="A5437" s="1">
        <v>4</v>
      </c>
      <c r="B5437" s="1" t="s">
        <v>4439</v>
      </c>
      <c r="C5437" s="1" t="str">
        <f ca="1">IFERROR(__xludf.DUMMYFUNCTION("GOOGLETRANSLATE(B5497,""en"",""ja"")"),"retrench")</f>
        <v>retrench</v>
      </c>
    </row>
    <row r="5438" spans="1:3" ht="18" customHeight="1" x14ac:dyDescent="0.3">
      <c r="A5438" s="1">
        <v>4</v>
      </c>
      <c r="B5438" s="1" t="s">
        <v>4440</v>
      </c>
      <c r="C5438" s="1" t="str">
        <f ca="1">IFERROR(__xludf.DUMMYFUNCTION("GOOGLETRANSLATE(B5498,""en"",""ja"")"),"再試験")</f>
        <v>再試験</v>
      </c>
    </row>
    <row r="5439" spans="1:3" ht="18" customHeight="1" x14ac:dyDescent="0.3">
      <c r="A5439" s="1">
        <v>4</v>
      </c>
      <c r="B5439" s="1" t="s">
        <v>4441</v>
      </c>
      <c r="C5439" s="1" t="str">
        <f ca="1">IFERROR(__xludf.DUMMYFUNCTION("GOOGLETRANSLATE(B5499,""en"",""ja"")"),"復活")</f>
        <v>復活</v>
      </c>
    </row>
    <row r="5440" spans="1:3" ht="18" customHeight="1" x14ac:dyDescent="0.3">
      <c r="A5440" s="1">
        <v>4</v>
      </c>
      <c r="B5440" s="1" t="s">
        <v>4442</v>
      </c>
      <c r="C5440" s="1" t="str">
        <f ca="1">IFERROR(__xludf.DUMMYFUNCTION("GOOGLETRANSLATE(B5500,""en"",""ja"")"),"リストラクチャー")</f>
        <v>リストラクチャー</v>
      </c>
    </row>
    <row r="5441" spans="1:3" ht="18" customHeight="1" x14ac:dyDescent="0.3">
      <c r="A5441" s="1">
        <v>4</v>
      </c>
      <c r="B5441" s="1" t="s">
        <v>4443</v>
      </c>
      <c r="C5441" s="1" t="str">
        <f ca="1">IFERROR(__xludf.DUMMYFUNCTION("GOOGLETRANSLATE(B5501,""en"",""ja"")"),"限定的")</f>
        <v>限定的</v>
      </c>
    </row>
    <row r="5442" spans="1:3" ht="18" customHeight="1" x14ac:dyDescent="0.3">
      <c r="A5442" s="1">
        <v>4</v>
      </c>
      <c r="B5442" s="1" t="s">
        <v>4444</v>
      </c>
      <c r="C5442" s="1" t="str">
        <f ca="1">IFERROR(__xludf.DUMMYFUNCTION("GOOGLETRANSLATE(B5502,""en"",""ja"")"),"拘束")</f>
        <v>拘束</v>
      </c>
    </row>
    <row r="5443" spans="1:3" ht="18" customHeight="1" x14ac:dyDescent="0.3">
      <c r="A5443" s="1">
        <v>4</v>
      </c>
      <c r="B5443" s="1" t="s">
        <v>4445</v>
      </c>
      <c r="C5443" s="1" t="str">
        <f ca="1">IFERROR(__xludf.DUMMYFUNCTION("GOOGLETRANSLATE(B5503,""en"",""ja"")"),"休憩")</f>
        <v>休憩</v>
      </c>
    </row>
    <row r="5444" spans="1:3" ht="18" customHeight="1" x14ac:dyDescent="0.3">
      <c r="A5444" s="1">
        <v>4</v>
      </c>
      <c r="B5444" s="1" t="s">
        <v>4446</v>
      </c>
      <c r="C5444" s="1" t="str">
        <f ca="1">IFERROR(__xludf.DUMMYFUNCTION("GOOGLETRANSLATE(B5504,""en"",""ja"")"),"休養")</f>
        <v>休養</v>
      </c>
    </row>
    <row r="5445" spans="1:3" ht="18" customHeight="1" x14ac:dyDescent="0.3">
      <c r="A5445" s="1">
        <v>4</v>
      </c>
      <c r="B5445" s="1" t="s">
        <v>4447</v>
      </c>
      <c r="C5445" s="1" t="str">
        <f ca="1">IFERROR(__xludf.DUMMYFUNCTION("GOOGLETRANSLATE(B5505,""en"",""ja"")"),"責任")</f>
        <v>責任</v>
      </c>
    </row>
    <row r="5446" spans="1:3" ht="18" customHeight="1" x14ac:dyDescent="0.3">
      <c r="A5446" s="1">
        <v>4</v>
      </c>
      <c r="B5446" s="1" t="s">
        <v>4448</v>
      </c>
      <c r="C5446" s="1" t="str">
        <f ca="1">IFERROR(__xludf.DUMMYFUNCTION("GOOGLETRANSLATE(B5506,""en"",""ja"")"),"各々")</f>
        <v>各々</v>
      </c>
    </row>
    <row r="5447" spans="1:3" ht="18" customHeight="1" x14ac:dyDescent="0.3">
      <c r="A5447" s="1">
        <v>4</v>
      </c>
      <c r="B5447" s="1" t="s">
        <v>4449</v>
      </c>
      <c r="C5447" s="1" t="str">
        <f ca="1">IFERROR(__xludf.DUMMYFUNCTION("GOOGLETRANSLATE(B5507,""en"",""ja"")"),"敬意")</f>
        <v>敬意</v>
      </c>
    </row>
    <row r="5448" spans="1:3" ht="18" customHeight="1" x14ac:dyDescent="0.3">
      <c r="A5448" s="1">
        <v>4</v>
      </c>
      <c r="B5448" s="1" t="s">
        <v>793</v>
      </c>
      <c r="C5448" s="1" t="str">
        <f ca="1">IFERROR(__xludf.DUMMYFUNCTION("GOOGLETRANSLATE(B5508,""en"",""ja"")"),"尊敬")</f>
        <v>尊敬</v>
      </c>
    </row>
    <row r="5449" spans="1:3" ht="18" customHeight="1" x14ac:dyDescent="0.3">
      <c r="A5449" s="1">
        <v>4</v>
      </c>
      <c r="B5449" s="1" t="s">
        <v>4450</v>
      </c>
      <c r="C5449" s="1" t="str">
        <f ca="1">IFERROR(__xludf.DUMMYFUNCTION("GOOGLETRANSLATE(B5509,""en"",""ja"")"),"共振")</f>
        <v>共振</v>
      </c>
    </row>
    <row r="5450" spans="1:3" ht="18" customHeight="1" x14ac:dyDescent="0.3">
      <c r="A5450" s="1">
        <v>4</v>
      </c>
      <c r="B5450" s="1" t="s">
        <v>3870</v>
      </c>
      <c r="C5450" s="1" t="str">
        <f ca="1">IFERROR(__xludf.DUMMYFUNCTION("GOOGLETRANSLATE(B5510,""en"",""ja"")"),"決意")</f>
        <v>決意</v>
      </c>
    </row>
    <row r="5451" spans="1:3" ht="18" customHeight="1" x14ac:dyDescent="0.3">
      <c r="A5451" s="1">
        <v>4</v>
      </c>
      <c r="B5451" s="1" t="s">
        <v>4451</v>
      </c>
      <c r="C5451" s="1" t="str">
        <f ca="1">IFERROR(__xludf.DUMMYFUNCTION("GOOGLETRANSLATE(B5511,""en"",""ja"")"),"抵抗")</f>
        <v>抵抗</v>
      </c>
    </row>
    <row r="5452" spans="1:3" ht="18" customHeight="1" x14ac:dyDescent="0.3">
      <c r="A5452" s="1">
        <v>4</v>
      </c>
      <c r="B5452" s="1" t="s">
        <v>4452</v>
      </c>
      <c r="C5452" s="1" t="str">
        <f ca="1">IFERROR(__xludf.DUMMYFUNCTION("GOOGLETRANSLATE(B5512,""en"",""ja"")"),"必要")</f>
        <v>必要</v>
      </c>
    </row>
    <row r="5453" spans="1:3" ht="18" customHeight="1" x14ac:dyDescent="0.3">
      <c r="A5453" s="1">
        <v>4</v>
      </c>
      <c r="B5453" s="1" t="s">
        <v>4453</v>
      </c>
      <c r="C5453" s="1" t="str">
        <f ca="1">IFERROR(__xludf.DUMMYFUNCTION("GOOGLETRANSLATE(B5513,""en"",""ja"")"),"要求")</f>
        <v>要求</v>
      </c>
    </row>
    <row r="5454" spans="1:3" ht="18" customHeight="1" x14ac:dyDescent="0.3">
      <c r="A5454" s="1">
        <v>4</v>
      </c>
      <c r="B5454" s="1" t="s">
        <v>4454</v>
      </c>
      <c r="C5454" s="1" t="str">
        <f ca="1">IFERROR(__xludf.DUMMYFUNCTION("GOOGLETRANSLATE(B5514,""en"",""ja"")"),"再版")</f>
        <v>再版</v>
      </c>
    </row>
    <row r="5455" spans="1:3" ht="18" customHeight="1" x14ac:dyDescent="0.3">
      <c r="A5455" s="1">
        <v>4</v>
      </c>
      <c r="B5455" s="1" t="s">
        <v>4455</v>
      </c>
      <c r="C5455" s="1" t="str">
        <f ca="1">IFERROR(__xludf.DUMMYFUNCTION("GOOGLETRANSLATE(B5515,""en"",""ja"")"),"抑圧的")</f>
        <v>抑圧的</v>
      </c>
    </row>
    <row r="5456" spans="1:3" ht="18" customHeight="1" x14ac:dyDescent="0.3">
      <c r="A5456" s="1">
        <v>4</v>
      </c>
      <c r="B5456" s="1" t="s">
        <v>4456</v>
      </c>
      <c r="C5456" s="1" t="str">
        <f ca="1">IFERROR(__xludf.DUMMYFUNCTION("GOOGLETRANSLATE(B5516,""en"",""ja"")"),"抑制")</f>
        <v>抑制</v>
      </c>
    </row>
    <row r="5457" spans="1:3" ht="18" customHeight="1" x14ac:dyDescent="0.3">
      <c r="A5457" s="1">
        <v>4</v>
      </c>
      <c r="B5457" s="1" t="s">
        <v>4457</v>
      </c>
      <c r="C5457" s="1" t="str">
        <f ca="1">IFERROR(__xludf.DUMMYFUNCTION("GOOGLETRANSLATE(B5517,""en"",""ja"")"),"具象")</f>
        <v>具象</v>
      </c>
    </row>
    <row r="5458" spans="1:3" ht="18" customHeight="1" x14ac:dyDescent="0.3">
      <c r="A5458" s="1">
        <v>4</v>
      </c>
      <c r="B5458" s="1" t="s">
        <v>936</v>
      </c>
      <c r="C5458" s="1" t="str">
        <f ca="1">IFERROR(__xludf.DUMMYFUNCTION("GOOGLETRANSLATE(B5518,""en"",""ja"")"),"報告書")</f>
        <v>報告書</v>
      </c>
    </row>
    <row r="5459" spans="1:3" ht="18" customHeight="1" x14ac:dyDescent="0.3">
      <c r="A5459" s="1">
        <v>4</v>
      </c>
      <c r="B5459" s="1" t="s">
        <v>4458</v>
      </c>
      <c r="C5459" s="1" t="str">
        <f ca="1">IFERROR(__xludf.DUMMYFUNCTION("GOOGLETRANSLATE(B5519,""en"",""ja"")"),"再配向")</f>
        <v>再配向</v>
      </c>
    </row>
    <row r="5460" spans="1:3" ht="18" customHeight="1" x14ac:dyDescent="0.3">
      <c r="A5460" s="1">
        <v>4</v>
      </c>
      <c r="B5460" s="1" t="s">
        <v>4459</v>
      </c>
      <c r="C5460" s="1" t="str">
        <f ca="1">IFERROR(__xludf.DUMMYFUNCTION("GOOGLETRANSLATE(B5520,""en"",""ja"")"),"削除する")</f>
        <v>削除する</v>
      </c>
    </row>
    <row r="5461" spans="1:3" ht="18" customHeight="1" x14ac:dyDescent="0.3">
      <c r="A5461" s="1">
        <v>4</v>
      </c>
      <c r="B5461" s="1" t="s">
        <v>3292</v>
      </c>
      <c r="C5461" s="1" t="str">
        <f ca="1">IFERROR(__xludf.DUMMYFUNCTION("GOOGLETRANSLATE(B5521,""en"",""ja"")"),"リマインダー")</f>
        <v>リマインダー</v>
      </c>
    </row>
    <row r="5462" spans="1:3" ht="18" customHeight="1" x14ac:dyDescent="0.3">
      <c r="A5462" s="1">
        <v>4</v>
      </c>
      <c r="B5462" s="1" t="s">
        <v>4460</v>
      </c>
      <c r="C5462" s="1" t="str">
        <f ca="1">IFERROR(__xludf.DUMMYFUNCTION("GOOGLETRANSLATE(B5522,""en"",""ja"")"),"思い出します")</f>
        <v>思い出します</v>
      </c>
    </row>
    <row r="5463" spans="1:3" ht="18" customHeight="1" x14ac:dyDescent="0.3">
      <c r="A5463" s="1">
        <v>4</v>
      </c>
      <c r="B5463" s="1" t="s">
        <v>4461</v>
      </c>
      <c r="C5463" s="1" t="str">
        <f ca="1">IFERROR(__xludf.DUMMYFUNCTION("GOOGLETRANSLATE(B5523,""en"",""ja"")"),"レンブラント")</f>
        <v>レンブラント</v>
      </c>
    </row>
    <row r="5464" spans="1:3" ht="18" customHeight="1" x14ac:dyDescent="0.3">
      <c r="A5464" s="1">
        <v>4</v>
      </c>
      <c r="B5464" s="1" t="s">
        <v>4462</v>
      </c>
      <c r="C5464" s="1" t="str">
        <f ca="1">IFERROR(__xludf.DUMMYFUNCTION("GOOGLETRANSLATE(B5524,""en"",""ja"")"),"顕著")</f>
        <v>顕著</v>
      </c>
    </row>
    <row r="5465" spans="1:3" ht="18" customHeight="1" x14ac:dyDescent="0.3">
      <c r="A5465" s="1">
        <v>4</v>
      </c>
      <c r="B5465" s="1" t="s">
        <v>4463</v>
      </c>
      <c r="C5465" s="1" t="str">
        <f ca="1">IFERROR(__xludf.DUMMYFUNCTION("GOOGLETRANSLATE(B5525,""en"",""ja"")"),"リメイク")</f>
        <v>リメイク</v>
      </c>
    </row>
    <row r="5466" spans="1:3" ht="18" customHeight="1" x14ac:dyDescent="0.3">
      <c r="A5466" s="1">
        <v>4</v>
      </c>
      <c r="B5466" s="1" t="s">
        <v>4464</v>
      </c>
      <c r="C5466" s="1" t="str">
        <f ca="1">IFERROR(__xludf.DUMMYFUNCTION("GOOGLETRANSLATE(B5526,""en"",""ja"")"),"宗教的に")</f>
        <v>宗教的に</v>
      </c>
    </row>
    <row r="5467" spans="1:3" ht="18" customHeight="1" x14ac:dyDescent="0.3">
      <c r="A5467" s="1">
        <v>4</v>
      </c>
      <c r="B5467" s="1" t="s">
        <v>4465</v>
      </c>
      <c r="C5467" s="1" t="str">
        <f ca="1">IFERROR(__xludf.DUMMYFUNCTION("GOOGLETRANSLATE(B5527,""en"",""ja"")"),"レリーフ")</f>
        <v>レリーフ</v>
      </c>
    </row>
    <row r="5468" spans="1:3" ht="18" customHeight="1" x14ac:dyDescent="0.3">
      <c r="A5468" s="1">
        <v>4</v>
      </c>
      <c r="B5468" s="1" t="s">
        <v>4466</v>
      </c>
      <c r="C5468" s="1" t="str">
        <f ca="1">IFERROR(__xludf.DUMMYFUNCTION("GOOGLETRANSLATE(B5528,""en"",""ja"")"),"リリース")</f>
        <v>リリース</v>
      </c>
    </row>
    <row r="5469" spans="1:3" ht="18" customHeight="1" x14ac:dyDescent="0.3">
      <c r="A5469" s="1">
        <v>4</v>
      </c>
      <c r="B5469" s="1" t="s">
        <v>4467</v>
      </c>
      <c r="C5469" s="1" t="str">
        <f ca="1">IFERROR(__xludf.DUMMYFUNCTION("GOOGLETRANSLATE(B5529,""en"",""ja"")"),"再投資")</f>
        <v>再投資</v>
      </c>
    </row>
    <row r="5470" spans="1:3" ht="18" customHeight="1" x14ac:dyDescent="0.3">
      <c r="A5470" s="1">
        <v>4</v>
      </c>
      <c r="B5470" s="1" t="s">
        <v>4468</v>
      </c>
      <c r="C5470" s="1" t="str">
        <f ca="1">IFERROR(__xludf.DUMMYFUNCTION("GOOGLETRANSLATE(B5530,""en"",""ja"")"),"領域")</f>
        <v>領域</v>
      </c>
    </row>
    <row r="5471" spans="1:3" ht="18" customHeight="1" x14ac:dyDescent="0.3">
      <c r="A5471" s="1">
        <v>4</v>
      </c>
      <c r="B5471" s="1" t="s">
        <v>4469</v>
      </c>
      <c r="C5471" s="1" t="str">
        <f ca="1">IFERROR(__xludf.DUMMYFUNCTION("GOOGLETRANSLATE(B5531,""en"",""ja"")"),"再生")</f>
        <v>再生</v>
      </c>
    </row>
    <row r="5472" spans="1:3" ht="18" customHeight="1" x14ac:dyDescent="0.3">
      <c r="A5472" s="1">
        <v>4</v>
      </c>
      <c r="B5472" s="1" t="s">
        <v>4470</v>
      </c>
      <c r="C5472" s="1" t="str">
        <f ca="1">IFERROR(__xludf.DUMMYFUNCTION("GOOGLETRANSLATE(B5532,""en"",""ja"")"),"再生")</f>
        <v>再生</v>
      </c>
    </row>
    <row r="5473" spans="1:3" ht="18" customHeight="1" x14ac:dyDescent="0.3">
      <c r="A5473" s="1">
        <v>4</v>
      </c>
      <c r="B5473" s="1" t="s">
        <v>4471</v>
      </c>
      <c r="C5473" s="1" t="str">
        <f ca="1">IFERROR(__xludf.DUMMYFUNCTION("GOOGLETRANSLATE(B5534,""en"",""ja"")"),"よろしく")</f>
        <v>よろしく</v>
      </c>
    </row>
    <row r="5474" spans="1:3" ht="18" customHeight="1" x14ac:dyDescent="0.3">
      <c r="A5474" s="1">
        <v>4</v>
      </c>
      <c r="B5474" s="1" t="s">
        <v>4472</v>
      </c>
      <c r="C5474" s="1" t="str">
        <f ca="1">IFERROR(__xludf.DUMMYFUNCTION("GOOGLETRANSLATE(B5535,""en"",""ja"")"),"拒否しました")</f>
        <v>拒否しました</v>
      </c>
    </row>
    <row r="5475" spans="1:3" ht="18" customHeight="1" x14ac:dyDescent="0.3">
      <c r="A5475" s="1">
        <v>4</v>
      </c>
      <c r="B5475" s="1" t="s">
        <v>4473</v>
      </c>
      <c r="C5475" s="1" t="str">
        <f ca="1">IFERROR(__xludf.DUMMYFUNCTION("GOOGLETRANSLATE(B5536,""en"",""ja"")"),"反射")</f>
        <v>反射</v>
      </c>
    </row>
    <row r="5476" spans="1:3" ht="18" customHeight="1" x14ac:dyDescent="0.3">
      <c r="A5476" s="1">
        <v>4</v>
      </c>
      <c r="B5476" s="1" t="s">
        <v>4474</v>
      </c>
      <c r="C5476" s="1" t="str">
        <f ca="1">IFERROR(__xludf.DUMMYFUNCTION("GOOGLETRANSLATE(B5537,""en"",""ja"")"),"リファイン")</f>
        <v>リファイン</v>
      </c>
    </row>
    <row r="5477" spans="1:3" ht="18" customHeight="1" x14ac:dyDescent="0.3">
      <c r="A5477" s="1">
        <v>4</v>
      </c>
      <c r="B5477" s="1" t="s">
        <v>4475</v>
      </c>
      <c r="C5477" s="1" t="str">
        <f ca="1">IFERROR(__xludf.DUMMYFUNCTION("GOOGLETRANSLATE(B5538,""en"",""ja"")"),"再検出")</f>
        <v>再検出</v>
      </c>
    </row>
    <row r="5478" spans="1:3" ht="18" customHeight="1" x14ac:dyDescent="0.3">
      <c r="A5478" s="1">
        <v>4</v>
      </c>
      <c r="B5478" s="1" t="s">
        <v>991</v>
      </c>
      <c r="C5478" s="1" t="str">
        <f ca="1">IFERROR(__xludf.DUMMYFUNCTION("GOOGLETRANSLATE(B5539,""en"",""ja"")"),"赤")</f>
        <v>赤</v>
      </c>
    </row>
    <row r="5479" spans="1:3" ht="18" customHeight="1" x14ac:dyDescent="0.3">
      <c r="A5479" s="1">
        <v>4</v>
      </c>
      <c r="B5479" s="1" t="s">
        <v>4476</v>
      </c>
      <c r="C5479" s="1" t="str">
        <f ca="1">IFERROR(__xludf.DUMMYFUNCTION("GOOGLETRANSLATE(B5540,""en"",""ja"")"),"記録")</f>
        <v>記録</v>
      </c>
    </row>
    <row r="5480" spans="1:3" ht="18" customHeight="1" x14ac:dyDescent="0.3">
      <c r="A5480" s="1">
        <v>4</v>
      </c>
      <c r="B5480" s="1" t="s">
        <v>365</v>
      </c>
      <c r="C5480" s="1" t="str">
        <f ca="1">IFERROR(__xludf.DUMMYFUNCTION("GOOGLETRANSLATE(B5541,""en"",""ja"")"),"最近")</f>
        <v>最近</v>
      </c>
    </row>
    <row r="5481" spans="1:3" ht="18" customHeight="1" x14ac:dyDescent="0.3">
      <c r="A5481" s="1">
        <v>4</v>
      </c>
      <c r="B5481" s="1" t="s">
        <v>4477</v>
      </c>
      <c r="C5481" s="1" t="str">
        <f ca="1">IFERROR(__xludf.DUMMYFUNCTION("GOOGLETRANSLATE(B5542,""en"",""ja"")"),"反論")</f>
        <v>反論</v>
      </c>
    </row>
    <row r="5482" spans="1:3" ht="18" customHeight="1" x14ac:dyDescent="0.3">
      <c r="A5482" s="1">
        <v>4</v>
      </c>
      <c r="B5482" s="1" t="s">
        <v>4478</v>
      </c>
      <c r="C5482" s="1" t="str">
        <f ca="1">IFERROR(__xludf.DUMMYFUNCTION("GOOGLETRANSLATE(B5543,""en"",""ja"")"),"反抗の")</f>
        <v>反抗の</v>
      </c>
    </row>
    <row r="5483" spans="1:3" ht="18" customHeight="1" x14ac:dyDescent="0.3">
      <c r="A5483" s="1">
        <v>4</v>
      </c>
      <c r="B5483" s="1" t="s">
        <v>3301</v>
      </c>
      <c r="C5483" s="1" t="str">
        <f ca="1">IFERROR(__xludf.DUMMYFUNCTION("GOOGLETRANSLATE(B5544,""en"",""ja"")"),"安心させます")</f>
        <v>安心させます</v>
      </c>
    </row>
    <row r="5484" spans="1:3" ht="18" customHeight="1" x14ac:dyDescent="0.3">
      <c r="A5484" s="1">
        <v>4</v>
      </c>
      <c r="B5484" s="1" t="s">
        <v>4479</v>
      </c>
      <c r="C5484" s="1" t="str">
        <f ca="1">IFERROR(__xludf.DUMMYFUNCTION("GOOGLETRANSLATE(B5545,""en"",""ja"")"),"再配置")</f>
        <v>再配置</v>
      </c>
    </row>
    <row r="5485" spans="1:3" ht="18" customHeight="1" x14ac:dyDescent="0.3">
      <c r="A5485" s="1">
        <v>4</v>
      </c>
      <c r="B5485" s="1" t="s">
        <v>4480</v>
      </c>
      <c r="C5485" s="1" t="str">
        <f ca="1">IFERROR(__xludf.DUMMYFUNCTION("GOOGLETRANSLATE(B5546,""en"",""ja"")"),"再配置")</f>
        <v>再配置</v>
      </c>
    </row>
    <row r="5486" spans="1:3" ht="18" customHeight="1" x14ac:dyDescent="0.3">
      <c r="A5486" s="1">
        <v>4</v>
      </c>
      <c r="B5486" s="1" t="s">
        <v>4481</v>
      </c>
      <c r="C5486" s="1" t="str">
        <f ca="1">IFERROR(__xludf.DUMMYFUNCTION("GOOGLETRANSLATE(B5547,""en"",""ja"")"),"現実的")</f>
        <v>現実的</v>
      </c>
    </row>
    <row r="5487" spans="1:3" ht="18" customHeight="1" x14ac:dyDescent="0.3">
      <c r="A5487" s="1">
        <v>4</v>
      </c>
      <c r="B5487" s="1" t="s">
        <v>2918</v>
      </c>
      <c r="C5487" s="1" t="str">
        <f ca="1">IFERROR(__xludf.DUMMYFUNCTION("GOOGLETRANSLATE(B5548,""en"",""ja"")"),"生")</f>
        <v>生</v>
      </c>
    </row>
    <row r="5488" spans="1:3" ht="18" customHeight="1" x14ac:dyDescent="0.3">
      <c r="A5488" s="1">
        <v>4</v>
      </c>
      <c r="B5488" s="1" t="s">
        <v>4482</v>
      </c>
      <c r="C5488" s="1" t="str">
        <f ca="1">IFERROR(__xludf.DUMMYFUNCTION("GOOGLETRANSLATE(B5549,""en"",""ja"")"),"評価")</f>
        <v>評価</v>
      </c>
    </row>
    <row r="5489" spans="1:3" ht="18" customHeight="1" x14ac:dyDescent="0.3">
      <c r="A5489" s="1">
        <v>4</v>
      </c>
      <c r="B5489" s="1" t="s">
        <v>1176</v>
      </c>
      <c r="C5489" s="1" t="str">
        <f ca="1">IFERROR(__xludf.DUMMYFUNCTION("GOOGLETRANSLATE(B5550,""en"",""ja"")"),"割合")</f>
        <v>割合</v>
      </c>
    </row>
    <row r="5490" spans="1:3" ht="18" customHeight="1" x14ac:dyDescent="0.3">
      <c r="A5490" s="1">
        <v>4</v>
      </c>
      <c r="B5490" s="1" t="s">
        <v>4483</v>
      </c>
      <c r="C5490" s="1" t="str">
        <f ca="1">IFERROR(__xludf.DUMMYFUNCTION("GOOGLETRANSLATE(B5551,""en"",""ja"")"),"ラット")</f>
        <v>ラット</v>
      </c>
    </row>
    <row r="5491" spans="1:3" ht="18" customHeight="1" x14ac:dyDescent="0.3">
      <c r="A5491" s="1">
        <v>4</v>
      </c>
      <c r="B5491" s="1" t="s">
        <v>4484</v>
      </c>
      <c r="C5491" s="1" t="str">
        <f ca="1">IFERROR(__xludf.DUMMYFUNCTION("GOOGLETRANSLATE(B5552,""en"",""ja"")"),"無作為に")</f>
        <v>無作為に</v>
      </c>
    </row>
    <row r="5492" spans="1:3" ht="18" customHeight="1" x14ac:dyDescent="0.3">
      <c r="A5492" s="1">
        <v>4</v>
      </c>
      <c r="B5492" s="1" t="s">
        <v>2919</v>
      </c>
      <c r="C5492" s="1" t="str">
        <f ca="1">IFERROR(__xludf.DUMMYFUNCTION("GOOGLETRANSLATE(B5553,""en"",""ja"")"),"ランダム")</f>
        <v>ランダム</v>
      </c>
    </row>
    <row r="5493" spans="1:3" ht="18" customHeight="1" x14ac:dyDescent="0.3">
      <c r="A5493" s="1">
        <v>4</v>
      </c>
      <c r="B5493" s="1" t="s">
        <v>4485</v>
      </c>
      <c r="C5493" s="1" t="str">
        <f ca="1">IFERROR(__xludf.DUMMYFUNCTION("GOOGLETRANSLATE(B5554,""en"",""ja"")"),"放射線")</f>
        <v>放射線</v>
      </c>
    </row>
    <row r="5494" spans="1:3" ht="18" customHeight="1" x14ac:dyDescent="0.3">
      <c r="A5494" s="1">
        <v>4</v>
      </c>
      <c r="B5494" s="1" t="s">
        <v>4486</v>
      </c>
      <c r="C5494" s="1" t="str">
        <f ca="1">IFERROR(__xludf.DUMMYFUNCTION("GOOGLETRANSLATE(B5555,""en"",""ja"")"),"速いです")</f>
        <v>速いです</v>
      </c>
    </row>
    <row r="5495" spans="1:3" ht="18" customHeight="1" x14ac:dyDescent="0.3">
      <c r="A5495" s="1">
        <v>4</v>
      </c>
      <c r="B5495" s="1" t="s">
        <v>4487</v>
      </c>
      <c r="C5495" s="1" t="str">
        <f ca="1">IFERROR(__xludf.DUMMYFUNCTION("GOOGLETRANSLATE(B5556,""en"",""ja"")"),"質問者")</f>
        <v>質問者</v>
      </c>
    </row>
    <row r="5496" spans="1:3" ht="18" customHeight="1" x14ac:dyDescent="0.3">
      <c r="A5496" s="1">
        <v>4</v>
      </c>
      <c r="B5496" s="1" t="s">
        <v>4488</v>
      </c>
      <c r="C5496" s="1" t="str">
        <f ca="1">IFERROR(__xludf.DUMMYFUNCTION("GOOGLETRANSLATE(B5558,""en"",""ja"")"),"パンプス")</f>
        <v>パンプス</v>
      </c>
    </row>
    <row r="5497" spans="1:3" ht="18" customHeight="1" x14ac:dyDescent="0.3">
      <c r="A5497" s="1">
        <v>4</v>
      </c>
      <c r="B5497" s="1" t="s">
        <v>4489</v>
      </c>
      <c r="C5497" s="1" t="str">
        <f ca="1">IFERROR(__xludf.DUMMYFUNCTION("GOOGLETRANSLATE(B5559,""en"",""ja"")"),"ポンプ")</f>
        <v>ポンプ</v>
      </c>
    </row>
    <row r="5498" spans="1:3" ht="18" customHeight="1" x14ac:dyDescent="0.3">
      <c r="A5498" s="1">
        <v>4</v>
      </c>
      <c r="B5498" s="1" t="s">
        <v>4490</v>
      </c>
      <c r="C5498" s="1" t="str">
        <f ca="1">IFERROR(__xludf.DUMMYFUNCTION("GOOGLETRANSLATE(B5560,""en"",""ja"")"),"出版社")</f>
        <v>出版社</v>
      </c>
    </row>
    <row r="5499" spans="1:3" ht="18" customHeight="1" x14ac:dyDescent="0.3">
      <c r="A5499" s="1">
        <v>4</v>
      </c>
      <c r="B5499" s="1" t="s">
        <v>4491</v>
      </c>
      <c r="C5499" s="1" t="str">
        <f ca="1">IFERROR(__xludf.DUMMYFUNCTION("GOOGLETRANSLATE(B5561,""en"",""ja"")"),"出版")</f>
        <v>出版</v>
      </c>
    </row>
    <row r="5500" spans="1:3" ht="18" customHeight="1" x14ac:dyDescent="0.3">
      <c r="A5500" s="1">
        <v>4</v>
      </c>
      <c r="B5500" s="1" t="s">
        <v>2322</v>
      </c>
      <c r="C5500" s="1" t="str">
        <f ca="1">IFERROR(__xludf.DUMMYFUNCTION("GOOGLETRANSLATE(B5562,""en"",""ja"")"),"心理学")</f>
        <v>心理学</v>
      </c>
    </row>
    <row r="5501" spans="1:3" ht="18" customHeight="1" x14ac:dyDescent="0.3">
      <c r="A5501" s="1">
        <v>4</v>
      </c>
      <c r="B5501" s="1" t="s">
        <v>1911</v>
      </c>
      <c r="C5501" s="1" t="str">
        <f ca="1">IFERROR(__xludf.DUMMYFUNCTION("GOOGLETRANSLATE(B5563,""en"",""ja"")"),"繁栄")</f>
        <v>繁栄</v>
      </c>
    </row>
    <row r="5502" spans="1:3" ht="18" customHeight="1" x14ac:dyDescent="0.3">
      <c r="A5502" s="1">
        <v>4</v>
      </c>
      <c r="B5502" s="1" t="s">
        <v>4492</v>
      </c>
      <c r="C5502" s="1" t="str">
        <f ca="1">IFERROR(__xludf.DUMMYFUNCTION("GOOGLETRANSLATE(B5564,""en"",""ja"")"),"証明")</f>
        <v>証明</v>
      </c>
    </row>
    <row r="5503" spans="1:3" ht="18" customHeight="1" x14ac:dyDescent="0.3">
      <c r="A5503" s="1">
        <v>4</v>
      </c>
      <c r="B5503" s="1" t="s">
        <v>4493</v>
      </c>
      <c r="C5503" s="1" t="str">
        <f ca="1">IFERROR(__xludf.DUMMYFUNCTION("GOOGLETRANSLATE(B5565,""en"",""ja"")"),"プロモーション")</f>
        <v>プロモーション</v>
      </c>
    </row>
    <row r="5504" spans="1:3" ht="18" customHeight="1" x14ac:dyDescent="0.3">
      <c r="A5504" s="1">
        <v>4</v>
      </c>
      <c r="B5504" s="1" t="s">
        <v>4494</v>
      </c>
      <c r="C5504" s="1" t="str">
        <f ca="1">IFERROR(__xludf.DUMMYFUNCTION("GOOGLETRANSLATE(B5567,""en"",""ja"")"),"促進")</f>
        <v>促進</v>
      </c>
    </row>
    <row r="5505" spans="1:3" ht="18" customHeight="1" x14ac:dyDescent="0.3">
      <c r="A5505" s="1">
        <v>4</v>
      </c>
      <c r="B5505" s="1" t="s">
        <v>3892</v>
      </c>
      <c r="C5505" s="1" t="str">
        <f ca="1">IFERROR(__xludf.DUMMYFUNCTION("GOOGLETRANSLATE(B5568,""en"",""ja"")"),"約束する")</f>
        <v>約束する</v>
      </c>
    </row>
    <row r="5506" spans="1:3" ht="18" customHeight="1" x14ac:dyDescent="0.3">
      <c r="A5506" s="1">
        <v>4</v>
      </c>
      <c r="B5506" s="1" t="s">
        <v>4495</v>
      </c>
      <c r="C5506" s="1" t="str">
        <f ca="1">IFERROR(__xludf.DUMMYFUNCTION("GOOGLETRANSLATE(B5569,""en"",""ja"")"),"禁止します")</f>
        <v>禁止します</v>
      </c>
    </row>
    <row r="5507" spans="1:3" ht="18" customHeight="1" x14ac:dyDescent="0.3">
      <c r="A5507" s="1">
        <v>4</v>
      </c>
      <c r="B5507" s="1" t="s">
        <v>4496</v>
      </c>
      <c r="C5507" s="1" t="str">
        <f ca="1">IFERROR(__xludf.DUMMYFUNCTION("GOOGLETRANSLATE(B5570,""en"",""ja"")"),"進行")</f>
        <v>進行</v>
      </c>
    </row>
    <row r="5508" spans="1:3" ht="18" customHeight="1" x14ac:dyDescent="0.3">
      <c r="A5508" s="1">
        <v>4</v>
      </c>
      <c r="B5508" s="1" t="s">
        <v>2325</v>
      </c>
      <c r="C5508" s="1" t="str">
        <f ca="1">IFERROR(__xludf.DUMMYFUNCTION("GOOGLETRANSLATE(B5571,""en"",""ja"")"),"利益")</f>
        <v>利益</v>
      </c>
    </row>
    <row r="5509" spans="1:3" ht="18" customHeight="1" x14ac:dyDescent="0.3">
      <c r="A5509" s="1">
        <v>4</v>
      </c>
      <c r="B5509" s="1" t="s">
        <v>3896</v>
      </c>
      <c r="C5509" s="1" t="str">
        <f ca="1">IFERROR(__xludf.DUMMYFUNCTION("GOOGLETRANSLATE(B5572,""en"",""ja"")"),"プロフィール")</f>
        <v>プロフィール</v>
      </c>
    </row>
    <row r="5510" spans="1:3" ht="18" customHeight="1" x14ac:dyDescent="0.3">
      <c r="A5510" s="1">
        <v>4</v>
      </c>
      <c r="B5510" s="1" t="s">
        <v>4497</v>
      </c>
      <c r="C5510" s="1" t="str">
        <f ca="1">IFERROR(__xludf.DUMMYFUNCTION("GOOGLETRANSLATE(B5573,""en"",""ja"")"),"プロデューサー")</f>
        <v>プロデューサー</v>
      </c>
    </row>
    <row r="5511" spans="1:3" ht="18" customHeight="1" x14ac:dyDescent="0.3">
      <c r="A5511" s="1">
        <v>4</v>
      </c>
      <c r="B5511" s="1" t="s">
        <v>4498</v>
      </c>
      <c r="C5511" s="1" t="str">
        <f ca="1">IFERROR(__xludf.DUMMYFUNCTION("GOOGLETRANSLATE(B5574,""en"",""ja"")"),"天才")</f>
        <v>天才</v>
      </c>
    </row>
    <row r="5512" spans="1:3" ht="18" customHeight="1" x14ac:dyDescent="0.3">
      <c r="A5512" s="1">
        <v>4</v>
      </c>
      <c r="B5512" s="1" t="s">
        <v>4499</v>
      </c>
      <c r="C5512" s="1" t="str">
        <f ca="1">IFERROR(__xludf.DUMMYFUNCTION("GOOGLETRANSLATE(B5575,""en"",""ja"")"),"布告")</f>
        <v>布告</v>
      </c>
    </row>
    <row r="5513" spans="1:3" ht="18" customHeight="1" x14ac:dyDescent="0.3">
      <c r="A5513" s="1">
        <v>4</v>
      </c>
      <c r="B5513" s="1" t="s">
        <v>4500</v>
      </c>
      <c r="C5513" s="1" t="str">
        <f ca="1">IFERROR(__xludf.DUMMYFUNCTION("GOOGLETRANSLATE(B5576,""en"",""ja"")"),"プロセッサ")</f>
        <v>プロセッサ</v>
      </c>
    </row>
    <row r="5514" spans="1:3" ht="18" customHeight="1" x14ac:dyDescent="0.3">
      <c r="A5514" s="1">
        <v>4</v>
      </c>
      <c r="B5514" s="1" t="s">
        <v>4501</v>
      </c>
      <c r="C5514" s="1" t="str">
        <f ca="1">IFERROR(__xludf.DUMMYFUNCTION("GOOGLETRANSLATE(B5577,""en"",""ja"")"),"進みます")</f>
        <v>進みます</v>
      </c>
    </row>
    <row r="5515" spans="1:3" ht="18" customHeight="1" x14ac:dyDescent="0.3">
      <c r="A5515" s="1">
        <v>4</v>
      </c>
      <c r="B5515" s="1" t="s">
        <v>4502</v>
      </c>
      <c r="C5515" s="1" t="str">
        <f ca="1">IFERROR(__xludf.DUMMYFUNCTION("GOOGLETRANSLATE(B5578,""en"",""ja"")"),"問題の")</f>
        <v>問題の</v>
      </c>
    </row>
    <row r="5516" spans="1:3" ht="18" customHeight="1" x14ac:dyDescent="0.3">
      <c r="A5516" s="1">
        <v>4</v>
      </c>
      <c r="B5516" s="1" t="s">
        <v>4503</v>
      </c>
      <c r="C5516" s="1" t="str">
        <f ca="1">IFERROR(__xludf.DUMMYFUNCTION("GOOGLETRANSLATE(B5579,""en"",""ja"")"),"調査")</f>
        <v>調査</v>
      </c>
    </row>
    <row r="5517" spans="1:3" ht="18" customHeight="1" x14ac:dyDescent="0.3">
      <c r="A5517" s="1">
        <v>4</v>
      </c>
      <c r="B5517" s="1" t="s">
        <v>4504</v>
      </c>
      <c r="C5517" s="1" t="str">
        <f ca="1">IFERROR(__xludf.DUMMYFUNCTION("GOOGLETRANSLATE(B5581,""en"",""ja"")"),"プロ")</f>
        <v>プロ</v>
      </c>
    </row>
    <row r="5518" spans="1:3" ht="18" customHeight="1" x14ac:dyDescent="0.3">
      <c r="A5518" s="1">
        <v>4</v>
      </c>
      <c r="B5518" s="1" t="s">
        <v>4505</v>
      </c>
      <c r="C5518" s="1" t="str">
        <f ca="1">IFERROR(__xludf.DUMMYFUNCTION("GOOGLETRANSLATE(B5582,""en"",""ja"")"),"賞品")</f>
        <v>賞品</v>
      </c>
    </row>
    <row r="5519" spans="1:3" ht="18" customHeight="1" x14ac:dyDescent="0.3">
      <c r="A5519" s="1">
        <v>4</v>
      </c>
      <c r="B5519" s="1" t="s">
        <v>4506</v>
      </c>
      <c r="C5519" s="1" t="str">
        <f ca="1">IFERROR(__xludf.DUMMYFUNCTION("GOOGLETRANSLATE(B5583,""en"",""ja"")"),"プリミティブ")</f>
        <v>プリミティブ</v>
      </c>
    </row>
    <row r="5520" spans="1:3" ht="18" customHeight="1" x14ac:dyDescent="0.3">
      <c r="A5520" s="1">
        <v>4</v>
      </c>
      <c r="B5520" s="1" t="s">
        <v>3329</v>
      </c>
      <c r="C5520" s="1" t="str">
        <f ca="1">IFERROR(__xludf.DUMMYFUNCTION("GOOGLETRANSLATE(B5584,""en"",""ja"")"),"霊長類")</f>
        <v>霊長類</v>
      </c>
    </row>
    <row r="5521" spans="1:3" ht="18" customHeight="1" x14ac:dyDescent="0.3">
      <c r="A5521" s="1">
        <v>4</v>
      </c>
      <c r="B5521" s="1" t="s">
        <v>4507</v>
      </c>
      <c r="C5521" s="1" t="str">
        <f ca="1">IFERROR(__xludf.DUMMYFUNCTION("GOOGLETRANSLATE(B5585,""en"",""ja"")"),"祭司")</f>
        <v>祭司</v>
      </c>
    </row>
    <row r="5522" spans="1:3" ht="18" customHeight="1" x14ac:dyDescent="0.3">
      <c r="A5522" s="1">
        <v>4</v>
      </c>
      <c r="B5522" s="1" t="s">
        <v>2083</v>
      </c>
      <c r="C5522" s="1" t="str">
        <f ca="1">IFERROR(__xludf.DUMMYFUNCTION("GOOGLETRANSLATE(B5586,""en"",""ja"")"),"価格")</f>
        <v>価格</v>
      </c>
    </row>
    <row r="5523" spans="1:3" ht="18" customHeight="1" x14ac:dyDescent="0.3">
      <c r="A5523" s="1">
        <v>4</v>
      </c>
      <c r="B5523" s="1" t="s">
        <v>4508</v>
      </c>
      <c r="C5523" s="1" t="str">
        <f ca="1">IFERROR(__xludf.DUMMYFUNCTION("GOOGLETRANSLATE(B5587,""en"",""ja"")"),"餌食")</f>
        <v>餌食</v>
      </c>
    </row>
    <row r="5524" spans="1:3" ht="18" customHeight="1" x14ac:dyDescent="0.3">
      <c r="A5524" s="1">
        <v>4</v>
      </c>
      <c r="B5524" s="1" t="s">
        <v>4509</v>
      </c>
      <c r="C5524" s="1" t="str">
        <f ca="1">IFERROR(__xludf.DUMMYFUNCTION("GOOGLETRANSLATE(B5588,""en"",""ja"")"),"プレッツェル")</f>
        <v>プレッツェル</v>
      </c>
    </row>
    <row r="5525" spans="1:3" ht="18" customHeight="1" x14ac:dyDescent="0.3">
      <c r="A5525" s="1">
        <v>4</v>
      </c>
      <c r="B5525" s="1" t="s">
        <v>4510</v>
      </c>
      <c r="C5525" s="1" t="str">
        <f ca="1">IFERROR(__xludf.DUMMYFUNCTION("GOOGLETRANSLATE(B5589,""en"",""ja"")"),"偽ります")</f>
        <v>偽ります</v>
      </c>
    </row>
    <row r="5526" spans="1:3" ht="18" customHeight="1" x14ac:dyDescent="0.3">
      <c r="A5526" s="1">
        <v>4</v>
      </c>
      <c r="B5526" s="1" t="s">
        <v>4511</v>
      </c>
      <c r="C5526" s="1" t="str">
        <f ca="1">IFERROR(__xludf.DUMMYFUNCTION("GOOGLETRANSLATE(B5590,""en"",""ja"")"),"現在")</f>
        <v>現在</v>
      </c>
    </row>
    <row r="5527" spans="1:3" ht="18" customHeight="1" x14ac:dyDescent="0.3">
      <c r="A5527" s="1">
        <v>4</v>
      </c>
      <c r="B5527" s="1" t="s">
        <v>4512</v>
      </c>
      <c r="C5527" s="1" t="str">
        <f ca="1">IFERROR(__xludf.DUMMYFUNCTION("GOOGLETRANSLATE(B5591,""en"",""ja"")"),"予備校")</f>
        <v>予備校</v>
      </c>
    </row>
    <row r="5528" spans="1:3" ht="18" customHeight="1" x14ac:dyDescent="0.3">
      <c r="A5528" s="1">
        <v>4</v>
      </c>
      <c r="B5528" s="1" t="s">
        <v>4513</v>
      </c>
      <c r="C5528" s="1" t="str">
        <f ca="1">IFERROR(__xludf.DUMMYFUNCTION("GOOGLETRANSLATE(B5592,""en"",""ja"")"),"施設")</f>
        <v>施設</v>
      </c>
    </row>
    <row r="5529" spans="1:3" ht="18" customHeight="1" x14ac:dyDescent="0.3">
      <c r="A5529" s="1">
        <v>4</v>
      </c>
      <c r="B5529" s="1" t="s">
        <v>4514</v>
      </c>
      <c r="C5529" s="1" t="str">
        <f ca="1">IFERROR(__xludf.DUMMYFUNCTION("GOOGLETRANSLATE(B5593,""en"",""ja"")"),"前提")</f>
        <v>前提</v>
      </c>
    </row>
    <row r="5530" spans="1:3" ht="18" customHeight="1" x14ac:dyDescent="0.3">
      <c r="A5530" s="1">
        <v>4</v>
      </c>
      <c r="B5530" s="1" t="s">
        <v>4515</v>
      </c>
      <c r="C5530" s="1" t="str">
        <f ca="1">IFERROR(__xludf.DUMMYFUNCTION("GOOGLETRANSLATE(B5594,""en"",""ja"")"),"途中で")</f>
        <v>途中で</v>
      </c>
    </row>
    <row r="5531" spans="1:3" ht="18" customHeight="1" x14ac:dyDescent="0.3">
      <c r="A5531" s="1">
        <v>4</v>
      </c>
      <c r="B5531" s="1" t="s">
        <v>4516</v>
      </c>
      <c r="C5531" s="1" t="str">
        <f ca="1">IFERROR(__xludf.DUMMYFUNCTION("GOOGLETRANSLATE(B5595,""en"",""ja"")"),"交配前")</f>
        <v>交配前</v>
      </c>
    </row>
    <row r="5532" spans="1:3" ht="18" customHeight="1" x14ac:dyDescent="0.3">
      <c r="A5532" s="1">
        <v>4</v>
      </c>
      <c r="B5532" s="1" t="s">
        <v>4517</v>
      </c>
      <c r="C5532" s="1" t="str">
        <f ca="1">IFERROR(__xludf.DUMMYFUNCTION("GOOGLETRANSLATE(B5596,""en"",""ja"")"),"好みます")</f>
        <v>好みます</v>
      </c>
    </row>
    <row r="5533" spans="1:3" ht="18" customHeight="1" x14ac:dyDescent="0.3">
      <c r="A5533" s="1">
        <v>4</v>
      </c>
      <c r="B5533" s="1" t="s">
        <v>4518</v>
      </c>
      <c r="C5533" s="1" t="str">
        <f ca="1">IFERROR(__xludf.DUMMYFUNCTION("GOOGLETRANSLATE(B5597,""en"",""ja"")"),"好みます")</f>
        <v>好みます</v>
      </c>
    </row>
    <row r="5534" spans="1:3" ht="18" customHeight="1" x14ac:dyDescent="0.3">
      <c r="A5534" s="1">
        <v>4</v>
      </c>
      <c r="B5534" s="1" t="s">
        <v>4519</v>
      </c>
      <c r="C5534" s="1" t="str">
        <f ca="1">IFERROR(__xludf.DUMMYFUNCTION("GOOGLETRANSLATE(B5598,""en"",""ja"")"),"好適")</f>
        <v>好適</v>
      </c>
    </row>
    <row r="5535" spans="1:3" ht="18" customHeight="1" x14ac:dyDescent="0.3">
      <c r="A5535" s="1">
        <v>4</v>
      </c>
      <c r="B5535" s="1" t="s">
        <v>4520</v>
      </c>
      <c r="C5535" s="1" t="str">
        <f ca="1">IFERROR(__xludf.DUMMYFUNCTION("GOOGLETRANSLATE(B5599,""en"",""ja"")"),"優先")</f>
        <v>優先</v>
      </c>
    </row>
    <row r="5536" spans="1:3" ht="18" customHeight="1" x14ac:dyDescent="0.3">
      <c r="A5536" s="1">
        <v>4</v>
      </c>
      <c r="B5536" s="1" t="s">
        <v>4521</v>
      </c>
      <c r="C5536" s="1" t="str">
        <f ca="1">IFERROR(__xludf.DUMMYFUNCTION("GOOGLETRANSLATE(B5600,""en"",""ja"")"),"素因")</f>
        <v>素因</v>
      </c>
    </row>
    <row r="5537" spans="1:3" ht="18" customHeight="1" x14ac:dyDescent="0.3">
      <c r="A5537" s="1">
        <v>4</v>
      </c>
      <c r="B5537" s="1" t="s">
        <v>4522</v>
      </c>
      <c r="C5537" s="1" t="str">
        <f ca="1">IFERROR(__xludf.DUMMYFUNCTION("GOOGLETRANSLATE(B5601,""en"",""ja"")"),"予測因子")</f>
        <v>予測因子</v>
      </c>
    </row>
    <row r="5538" spans="1:3" ht="18" customHeight="1" x14ac:dyDescent="0.3">
      <c r="A5538" s="1">
        <v>4</v>
      </c>
      <c r="B5538" s="1" t="s">
        <v>4523</v>
      </c>
      <c r="C5538" s="1" t="str">
        <f ca="1">IFERROR(__xludf.DUMMYFUNCTION("GOOGLETRANSLATE(B5602,""en"",""ja"")"),"予測可能な")</f>
        <v>予測可能な</v>
      </c>
    </row>
    <row r="5539" spans="1:3" ht="18" customHeight="1" x14ac:dyDescent="0.3">
      <c r="A5539" s="1">
        <v>4</v>
      </c>
      <c r="B5539" s="1" t="s">
        <v>4524</v>
      </c>
      <c r="C5539" s="1" t="str">
        <f ca="1">IFERROR(__xludf.DUMMYFUNCTION("GOOGLETRANSLATE(B5604,""en"",""ja"")"),"排除して")</f>
        <v>排除して</v>
      </c>
    </row>
    <row r="5540" spans="1:3" ht="18" customHeight="1" x14ac:dyDescent="0.3">
      <c r="A5540" s="1">
        <v>4</v>
      </c>
      <c r="B5540" s="1" t="s">
        <v>4525</v>
      </c>
      <c r="C5540" s="1" t="str">
        <f ca="1">IFERROR(__xludf.DUMMYFUNCTION("GOOGLETRANSLATE(B5605,""en"",""ja"")"),"急激に")</f>
        <v>急激に</v>
      </c>
    </row>
    <row r="5541" spans="1:3" ht="18" customHeight="1" x14ac:dyDescent="0.3">
      <c r="A5541" s="1">
        <v>4</v>
      </c>
      <c r="B5541" s="1" t="s">
        <v>4526</v>
      </c>
      <c r="C5541" s="1" t="str">
        <f ca="1">IFERROR(__xludf.DUMMYFUNCTION("GOOGLETRANSLATE(B5606,""en"",""ja"")"),"先行")</f>
        <v>先行</v>
      </c>
    </row>
    <row r="5542" spans="1:3" ht="18" customHeight="1" x14ac:dyDescent="0.3">
      <c r="A5542" s="1">
        <v>4</v>
      </c>
      <c r="B5542" s="1" t="s">
        <v>4527</v>
      </c>
      <c r="C5542" s="1" t="str">
        <f ca="1">IFERROR(__xludf.DUMMYFUNCTION("GOOGLETRANSLATE(B5607,""en"",""ja"")"),"プラジャーパティ")</f>
        <v>プラジャーパティ</v>
      </c>
    </row>
    <row r="5543" spans="1:3" ht="18" customHeight="1" x14ac:dyDescent="0.3">
      <c r="A5543" s="1">
        <v>4</v>
      </c>
      <c r="B5543" s="1" t="s">
        <v>4528</v>
      </c>
      <c r="C5543" s="1" t="str">
        <f ca="1">IFERROR(__xludf.DUMMYFUNCTION("GOOGLETRANSLATE(B5608,""en"",""ja"")"),"パワーハウス")</f>
        <v>パワーハウス</v>
      </c>
    </row>
    <row r="5544" spans="1:3" ht="18" customHeight="1" x14ac:dyDescent="0.3">
      <c r="A5544" s="1">
        <v>4</v>
      </c>
      <c r="B5544" s="1" t="s">
        <v>4529</v>
      </c>
      <c r="C5544" s="1" t="str">
        <f ca="1">IFERROR(__xludf.DUMMYFUNCTION("GOOGLETRANSLATE(B5609,""en"",""ja"")"),"姿勢")</f>
        <v>姿勢</v>
      </c>
    </row>
    <row r="5545" spans="1:3" ht="18" customHeight="1" x14ac:dyDescent="0.3">
      <c r="A5545" s="1">
        <v>4</v>
      </c>
      <c r="B5545" s="1" t="s">
        <v>4530</v>
      </c>
      <c r="C5545" s="1" t="str">
        <f ca="1">IFERROR(__xludf.DUMMYFUNCTION("GOOGLETRANSLATE(B5610,""en"",""ja"")"),"投稿")</f>
        <v>投稿</v>
      </c>
    </row>
    <row r="5546" spans="1:3" ht="18" customHeight="1" x14ac:dyDescent="0.3">
      <c r="A5546" s="1">
        <v>4</v>
      </c>
      <c r="B5546" s="1" t="s">
        <v>4531</v>
      </c>
      <c r="C5546" s="1" t="str">
        <f ca="1">IFERROR(__xludf.DUMMYFUNCTION("GOOGLETRANSLATE(B5611,""en"",""ja"")"),"可能性")</f>
        <v>可能性</v>
      </c>
    </row>
    <row r="5547" spans="1:3" ht="18" customHeight="1" x14ac:dyDescent="0.3">
      <c r="A5547" s="1">
        <v>4</v>
      </c>
      <c r="B5547" s="1" t="s">
        <v>4532</v>
      </c>
      <c r="C5547" s="1" t="str">
        <f ca="1">IFERROR(__xludf.DUMMYFUNCTION("GOOGLETRANSLATE(B5612,""en"",""ja"")"),"描か")</f>
        <v>描か</v>
      </c>
    </row>
    <row r="5548" spans="1:3" ht="18" customHeight="1" x14ac:dyDescent="0.3">
      <c r="A5548" s="1">
        <v>4</v>
      </c>
      <c r="B5548" s="1" t="s">
        <v>4533</v>
      </c>
      <c r="C5548" s="1" t="str">
        <f ca="1">IFERROR(__xludf.DUMMYFUNCTION("GOOGLETRANSLATE(B5613,""en"",""ja"")"),"部分")</f>
        <v>部分</v>
      </c>
    </row>
    <row r="5549" spans="1:3" ht="18" customHeight="1" x14ac:dyDescent="0.3">
      <c r="A5549" s="1">
        <v>4</v>
      </c>
      <c r="B5549" s="1" t="s">
        <v>4534</v>
      </c>
      <c r="C5549" s="1" t="str">
        <f ca="1">IFERROR(__xludf.DUMMYFUNCTION("GOOGLETRANSLATE(B5614,""en"",""ja"")"),"普及")</f>
        <v>普及</v>
      </c>
    </row>
    <row r="5550" spans="1:3" ht="18" customHeight="1" x14ac:dyDescent="0.3">
      <c r="A5550" s="1">
        <v>4</v>
      </c>
      <c r="B5550" s="1" t="s">
        <v>1916</v>
      </c>
      <c r="C5550" s="1" t="str">
        <f ca="1">IFERROR(__xludf.DUMMYFUNCTION("GOOGLETRANSLATE(B5615,""en"",""ja"")"),"汚染")</f>
        <v>汚染</v>
      </c>
    </row>
    <row r="5551" spans="1:3" ht="18" customHeight="1" x14ac:dyDescent="0.3">
      <c r="A5551" s="1">
        <v>4</v>
      </c>
      <c r="B5551" s="1" t="s">
        <v>4535</v>
      </c>
      <c r="C5551" s="1" t="str">
        <f ca="1">IFERROR(__xludf.DUMMYFUNCTION("GOOGLETRANSLATE(B5616,""en"",""ja"")"),"政治的に")</f>
        <v>政治的に</v>
      </c>
    </row>
    <row r="5552" spans="1:3" ht="18" customHeight="1" x14ac:dyDescent="0.3">
      <c r="A5552" s="1">
        <v>4</v>
      </c>
      <c r="B5552" s="1" t="s">
        <v>86</v>
      </c>
      <c r="C5552" s="1" t="str">
        <f ca="1">IFERROR(__xludf.DUMMYFUNCTION("GOOGLETRANSLATE(B5617,""en"",""ja"")"),"政治的")</f>
        <v>政治的</v>
      </c>
    </row>
    <row r="5553" spans="1:3" ht="18" customHeight="1" x14ac:dyDescent="0.3">
      <c r="A5553" s="1">
        <v>4</v>
      </c>
      <c r="B5553" s="1" t="s">
        <v>4536</v>
      </c>
      <c r="C5553" s="1" t="str">
        <f ca="1">IFERROR(__xludf.DUMMYFUNCTION("GOOGLETRANSLATE(B5618,""en"",""ja"")"),"極性")</f>
        <v>極性</v>
      </c>
    </row>
    <row r="5554" spans="1:3" ht="18" customHeight="1" x14ac:dyDescent="0.3">
      <c r="A5554" s="1">
        <v>4</v>
      </c>
      <c r="B5554" s="1" t="s">
        <v>4537</v>
      </c>
      <c r="C5554" s="1" t="str">
        <f ca="1">IFERROR(__xludf.DUMMYFUNCTION("GOOGLETRANSLATE(B5619,""en"",""ja"")"),"尖った")</f>
        <v>尖った</v>
      </c>
    </row>
    <row r="5555" spans="1:3" ht="18" customHeight="1" x14ac:dyDescent="0.3">
      <c r="A5555" s="1">
        <v>4</v>
      </c>
      <c r="B5555" s="1" t="s">
        <v>4538</v>
      </c>
      <c r="C5555" s="1" t="str">
        <f ca="1">IFERROR(__xludf.DUMMYFUNCTION("GOOGLETRANSLATE(B5620,""en"",""ja"")"),"詩人")</f>
        <v>詩人</v>
      </c>
    </row>
    <row r="5556" spans="1:3" ht="18" customHeight="1" x14ac:dyDescent="0.3">
      <c r="A5556" s="1">
        <v>4</v>
      </c>
      <c r="B5556" s="1" t="s">
        <v>4539</v>
      </c>
      <c r="C5556" s="1" t="str">
        <f ca="1">IFERROR(__xludf.DUMMYFUNCTION("GOOGLETRANSLATE(B5621,""en"",""ja"")"),"PNP")</f>
        <v>PNP</v>
      </c>
    </row>
    <row r="5557" spans="1:3" ht="18" customHeight="1" x14ac:dyDescent="0.3">
      <c r="A5557" s="1">
        <v>4</v>
      </c>
      <c r="B5557" s="1" t="s">
        <v>4540</v>
      </c>
      <c r="C5557" s="1" t="str">
        <f ca="1">IFERROR(__xludf.DUMMYFUNCTION("GOOGLETRANSLATE(B5622,""en"",""ja"")"),"プラス")</f>
        <v>プラス</v>
      </c>
    </row>
    <row r="5558" spans="1:3" ht="18" customHeight="1" x14ac:dyDescent="0.3">
      <c r="A5558" s="1">
        <v>4</v>
      </c>
      <c r="B5558" s="1" t="s">
        <v>4541</v>
      </c>
      <c r="C5558" s="1" t="str">
        <f ca="1">IFERROR(__xludf.DUMMYFUNCTION("GOOGLETRANSLATE(B5623,""en"",""ja"")"),"プラウ")</f>
        <v>プラウ</v>
      </c>
    </row>
    <row r="5559" spans="1:3" ht="18" customHeight="1" x14ac:dyDescent="0.3">
      <c r="A5559" s="1">
        <v>4</v>
      </c>
      <c r="B5559" s="1" t="s">
        <v>4542</v>
      </c>
      <c r="C5559" s="1" t="str">
        <f ca="1">IFERROR(__xludf.DUMMYFUNCTION("GOOGLETRANSLATE(B5624,""en"",""ja"")"),"豊富")</f>
        <v>豊富</v>
      </c>
    </row>
    <row r="5560" spans="1:3" ht="18" customHeight="1" x14ac:dyDescent="0.3">
      <c r="A5560" s="1">
        <v>4</v>
      </c>
      <c r="B5560" s="1" t="s">
        <v>4543</v>
      </c>
      <c r="C5560" s="1" t="str">
        <f ca="1">IFERROR(__xludf.DUMMYFUNCTION("GOOGLETRANSLATE(B5625,""en"",""ja"")"),"喜び")</f>
        <v>喜び</v>
      </c>
    </row>
    <row r="5561" spans="1:3" ht="18" customHeight="1" x14ac:dyDescent="0.3">
      <c r="A5561" s="1">
        <v>4</v>
      </c>
      <c r="B5561" s="1" t="s">
        <v>4544</v>
      </c>
      <c r="C5561" s="1" t="str">
        <f ca="1">IFERROR(__xludf.DUMMYFUNCTION("GOOGLETRANSLATE(B5626,""en"",""ja"")"),"プレーヤー")</f>
        <v>プレーヤー</v>
      </c>
    </row>
    <row r="5562" spans="1:3" ht="18" customHeight="1" x14ac:dyDescent="0.3">
      <c r="A5562" s="1">
        <v>4</v>
      </c>
      <c r="B5562" s="1" t="s">
        <v>4545</v>
      </c>
      <c r="C5562" s="1" t="str">
        <f ca="1">IFERROR(__xludf.DUMMYFUNCTION("GOOGLETRANSLATE(B5627,""en"",""ja"")"),"尤もらしいです")</f>
        <v>尤もらしいです</v>
      </c>
    </row>
    <row r="5563" spans="1:3" ht="18" customHeight="1" x14ac:dyDescent="0.3">
      <c r="A5563" s="1">
        <v>4</v>
      </c>
      <c r="B5563" s="1" t="s">
        <v>4546</v>
      </c>
      <c r="C5563" s="1" t="str">
        <f ca="1">IFERROR(__xludf.DUMMYFUNCTION("GOOGLETRANSLATE(B5628,""en"",""ja"")"),"工場")</f>
        <v>工場</v>
      </c>
    </row>
    <row r="5564" spans="1:3" ht="18" customHeight="1" x14ac:dyDescent="0.3">
      <c r="A5564" s="1">
        <v>4</v>
      </c>
      <c r="B5564" s="1" t="s">
        <v>4547</v>
      </c>
      <c r="C5564" s="1" t="str">
        <f ca="1">IFERROR(__xludf.DUMMYFUNCTION("GOOGLETRANSLATE(B5629,""en"",""ja"")"),"平野")</f>
        <v>平野</v>
      </c>
    </row>
    <row r="5565" spans="1:3" ht="18" customHeight="1" x14ac:dyDescent="0.3">
      <c r="A5565" s="1">
        <v>4</v>
      </c>
      <c r="B5565" s="1" t="s">
        <v>4548</v>
      </c>
      <c r="C5565" s="1" t="str">
        <f ca="1">IFERROR(__xludf.DUMMYFUNCTION("GOOGLETRANSLATE(B5630,""en"",""ja"")"),"配置")</f>
        <v>配置</v>
      </c>
    </row>
    <row r="5566" spans="1:3" ht="18" customHeight="1" x14ac:dyDescent="0.3">
      <c r="A5566" s="1">
        <v>4</v>
      </c>
      <c r="B5566" s="1" t="s">
        <v>4549</v>
      </c>
      <c r="C5566" s="1" t="str">
        <f ca="1">IFERROR(__xludf.DUMMYFUNCTION("GOOGLETRANSLATE(B5631,""en"",""ja"")"),"ピット")</f>
        <v>ピット</v>
      </c>
    </row>
    <row r="5567" spans="1:3" ht="18" customHeight="1" x14ac:dyDescent="0.3">
      <c r="A5567" s="1">
        <v>4</v>
      </c>
      <c r="B5567" s="1" t="s">
        <v>4550</v>
      </c>
      <c r="C5567" s="1" t="str">
        <f ca="1">IFERROR(__xludf.DUMMYFUNCTION("GOOGLETRANSLATE(B5632,""en"",""ja"")"),"落とし穴")</f>
        <v>落とし穴</v>
      </c>
    </row>
    <row r="5568" spans="1:3" ht="18" customHeight="1" x14ac:dyDescent="0.3">
      <c r="A5568" s="1">
        <v>4</v>
      </c>
      <c r="B5568" s="1" t="s">
        <v>4551</v>
      </c>
      <c r="C5568" s="1" t="str">
        <f ca="1">IFERROR(__xludf.DUMMYFUNCTION("GOOGLETRANSLATE(B5633,""en"",""ja"")"),"開拓者")</f>
        <v>開拓者</v>
      </c>
    </row>
    <row r="5569" spans="1:3" ht="18" customHeight="1" x14ac:dyDescent="0.3">
      <c r="A5569" s="1">
        <v>4</v>
      </c>
      <c r="B5569" s="1" t="s">
        <v>4552</v>
      </c>
      <c r="C5569" s="1" t="str">
        <f ca="1">IFERROR(__xludf.DUMMYFUNCTION("GOOGLETRANSLATE(B5634,""en"",""ja"")"),"突き刺します")</f>
        <v>突き刺します</v>
      </c>
    </row>
    <row r="5570" spans="1:3" ht="18" customHeight="1" x14ac:dyDescent="0.3">
      <c r="A5570" s="1">
        <v>4</v>
      </c>
      <c r="B5570" s="1" t="s">
        <v>4553</v>
      </c>
      <c r="C5570" s="1" t="str">
        <f ca="1">IFERROR(__xludf.DUMMYFUNCTION("GOOGLETRANSLATE(B5635,""en"",""ja"")"),"フレーズ")</f>
        <v>フレーズ</v>
      </c>
    </row>
    <row r="5571" spans="1:3" ht="18" customHeight="1" x14ac:dyDescent="0.3">
      <c r="A5571" s="1">
        <v>4</v>
      </c>
      <c r="B5571" s="1" t="s">
        <v>4554</v>
      </c>
      <c r="C5571" s="1" t="str">
        <f ca="1">IFERROR(__xludf.DUMMYFUNCTION("GOOGLETRANSLATE(B5636,""en"",""ja"")"),"ペット")</f>
        <v>ペット</v>
      </c>
    </row>
    <row r="5572" spans="1:3" ht="18" customHeight="1" x14ac:dyDescent="0.3">
      <c r="A5572" s="1">
        <v>4</v>
      </c>
      <c r="B5572" s="1" t="s">
        <v>4555</v>
      </c>
      <c r="C5572" s="1" t="str">
        <f ca="1">IFERROR(__xludf.DUMMYFUNCTION("GOOGLETRANSLATE(B5637,""en"",""ja"")"),"説得")</f>
        <v>説得</v>
      </c>
    </row>
    <row r="5573" spans="1:3" ht="18" customHeight="1" x14ac:dyDescent="0.3">
      <c r="A5573" s="1">
        <v>4</v>
      </c>
      <c r="B5573" s="1" t="s">
        <v>4556</v>
      </c>
      <c r="C5573" s="1" t="str">
        <f ca="1">IFERROR(__xludf.DUMMYFUNCTION("GOOGLETRANSLATE(B5638,""en"",""ja"")"),"言い聞かせる")</f>
        <v>言い聞かせる</v>
      </c>
    </row>
    <row r="5574" spans="1:3" ht="18" customHeight="1" x14ac:dyDescent="0.3">
      <c r="A5574" s="1">
        <v>4</v>
      </c>
      <c r="B5574" s="1" t="s">
        <v>4557</v>
      </c>
      <c r="C5574" s="1" t="str">
        <f ca="1">IFERROR(__xludf.DUMMYFUNCTION("GOOGLETRANSLATE(B5639,""en"",""ja"")"),"許可")</f>
        <v>許可</v>
      </c>
    </row>
    <row r="5575" spans="1:3" ht="18" customHeight="1" x14ac:dyDescent="0.3">
      <c r="A5575" s="1">
        <v>4</v>
      </c>
      <c r="B5575" s="1" t="s">
        <v>4558</v>
      </c>
      <c r="C5575" s="1" t="str">
        <f ca="1">IFERROR(__xludf.DUMMYFUNCTION("GOOGLETRANSLATE(B5640,""en"",""ja"")"),"許可")</f>
        <v>許可</v>
      </c>
    </row>
    <row r="5576" spans="1:3" ht="18" customHeight="1" x14ac:dyDescent="0.3">
      <c r="A5576" s="1">
        <v>4</v>
      </c>
      <c r="B5576" s="1" t="s">
        <v>4559</v>
      </c>
      <c r="C5576" s="1" t="str">
        <f ca="1">IFERROR(__xludf.DUMMYFUNCTION("GOOGLETRANSLATE(B5641,""en"",""ja"")"),"周辺")</f>
        <v>周辺</v>
      </c>
    </row>
    <row r="5577" spans="1:3" ht="18" customHeight="1" x14ac:dyDescent="0.3">
      <c r="A5577" s="1">
        <v>4</v>
      </c>
      <c r="B5577" s="1" t="s">
        <v>4560</v>
      </c>
      <c r="C5577" s="1" t="str">
        <f ca="1">IFERROR(__xludf.DUMMYFUNCTION("GOOGLETRANSLATE(B5642,""en"",""ja"")"),"期間")</f>
        <v>期間</v>
      </c>
    </row>
    <row r="5578" spans="1:3" ht="18" customHeight="1" x14ac:dyDescent="0.3">
      <c r="A5578" s="1">
        <v>4</v>
      </c>
      <c r="B5578" s="1" t="s">
        <v>4561</v>
      </c>
      <c r="C5578" s="1" t="str">
        <f ca="1">IFERROR(__xludf.DUMMYFUNCTION("GOOGLETRANSLATE(B5643,""en"",""ja"")"),"周期性")</f>
        <v>周期性</v>
      </c>
    </row>
    <row r="5579" spans="1:3" ht="18" customHeight="1" x14ac:dyDescent="0.3">
      <c r="A5579" s="1">
        <v>4</v>
      </c>
      <c r="B5579" s="1" t="s">
        <v>328</v>
      </c>
      <c r="C5579" s="1" t="str">
        <f ca="1">IFERROR(__xludf.DUMMYFUNCTION("GOOGLETRANSLATE(B5644,""en"",""ja"")"),"多分")</f>
        <v>多分</v>
      </c>
    </row>
    <row r="5580" spans="1:3" ht="18" customHeight="1" x14ac:dyDescent="0.3">
      <c r="A5580" s="1">
        <v>4</v>
      </c>
      <c r="B5580" s="1" t="s">
        <v>2600</v>
      </c>
      <c r="C5580" s="1" t="str">
        <f ca="1">IFERROR(__xludf.DUMMYFUNCTION("GOOGLETRANSLATE(B5645,""en"",""ja"")"),"完璧")</f>
        <v>完璧</v>
      </c>
    </row>
    <row r="5581" spans="1:3" ht="18" customHeight="1" x14ac:dyDescent="0.3">
      <c r="A5581" s="1">
        <v>4</v>
      </c>
      <c r="B5581" s="1" t="s">
        <v>4562</v>
      </c>
      <c r="C5581" s="1" t="str">
        <f ca="1">IFERROR(__xludf.DUMMYFUNCTION("GOOGLETRANSLATE(B5646,""en"",""ja"")"),"ふりかけ")</f>
        <v>ふりかけ</v>
      </c>
    </row>
    <row r="5582" spans="1:3" ht="18" customHeight="1" x14ac:dyDescent="0.3">
      <c r="A5582" s="1">
        <v>4</v>
      </c>
      <c r="B5582" s="1" t="s">
        <v>4563</v>
      </c>
      <c r="C5582" s="1" t="str">
        <f ca="1">IFERROR(__xludf.DUMMYFUNCTION("GOOGLETRANSLATE(B5647,""en"",""ja"")"),"pensioned")</f>
        <v>pensioned</v>
      </c>
    </row>
    <row r="5583" spans="1:3" ht="18" customHeight="1" x14ac:dyDescent="0.3">
      <c r="A5583" s="1">
        <v>4</v>
      </c>
      <c r="B5583" s="1" t="s">
        <v>4564</v>
      </c>
      <c r="C5583" s="1" t="str">
        <f ca="1">IFERROR(__xludf.DUMMYFUNCTION("GOOGLETRANSLATE(B5648,""en"",""ja"")"),"支払います")</f>
        <v>支払います</v>
      </c>
    </row>
    <row r="5584" spans="1:3" ht="18" customHeight="1" x14ac:dyDescent="0.3">
      <c r="A5584" s="1">
        <v>4</v>
      </c>
      <c r="B5584" s="1" t="s">
        <v>1774</v>
      </c>
      <c r="C5584" s="1" t="str">
        <f ca="1">IFERROR(__xludf.DUMMYFUNCTION("GOOGLETRANSLATE(B5649,""en"",""ja"")"),"患者")</f>
        <v>患者</v>
      </c>
    </row>
    <row r="5585" spans="1:3" ht="18" customHeight="1" x14ac:dyDescent="0.3">
      <c r="A5585" s="1">
        <v>4</v>
      </c>
      <c r="B5585" s="1" t="s">
        <v>1108</v>
      </c>
      <c r="C5585" s="1" t="str">
        <f ca="1">IFERROR(__xludf.DUMMYFUNCTION("GOOGLETRANSLATE(B5650,""en"",""ja"")"),"参加")</f>
        <v>参加</v>
      </c>
    </row>
    <row r="5586" spans="1:3" ht="18" customHeight="1" x14ac:dyDescent="0.3">
      <c r="A5586" s="1">
        <v>4</v>
      </c>
      <c r="B5586" s="1" t="s">
        <v>4565</v>
      </c>
      <c r="C5586" s="1" t="str">
        <f ca="1">IFERROR(__xludf.DUMMYFUNCTION("GOOGLETRANSLATE(B5651,""en"",""ja"")"),"パーキング")</f>
        <v>パーキング</v>
      </c>
    </row>
    <row r="5587" spans="1:3" ht="18" customHeight="1" x14ac:dyDescent="0.3">
      <c r="A5587" s="1">
        <v>4</v>
      </c>
      <c r="B5587" s="1" t="s">
        <v>4566</v>
      </c>
      <c r="C5587" s="1" t="str">
        <f ca="1">IFERROR(__xludf.DUMMYFUNCTION("GOOGLETRANSLATE(B5652,""en"",""ja"")"),"子育て")</f>
        <v>子育て</v>
      </c>
    </row>
    <row r="5588" spans="1:3" ht="18" customHeight="1" x14ac:dyDescent="0.3">
      <c r="A5588" s="1">
        <v>4</v>
      </c>
      <c r="B5588" s="1" t="s">
        <v>4567</v>
      </c>
      <c r="C5588" s="1" t="str">
        <f ca="1">IFERROR(__xludf.DUMMYFUNCTION("GOOGLETRANSLATE(B5653,""en"",""ja"")"),"家柄")</f>
        <v>家柄</v>
      </c>
    </row>
    <row r="5589" spans="1:3" ht="18" customHeight="1" x14ac:dyDescent="0.3">
      <c r="A5589" s="1">
        <v>4</v>
      </c>
      <c r="B5589" s="1" t="s">
        <v>4568</v>
      </c>
      <c r="C5589" s="1" t="str">
        <f ca="1">IFERROR(__xludf.DUMMYFUNCTION("GOOGLETRANSLATE(B5654,""en"",""ja"")"),"煎り立ての")</f>
        <v>煎り立ての</v>
      </c>
    </row>
    <row r="5590" spans="1:3" ht="18" customHeight="1" x14ac:dyDescent="0.3">
      <c r="A5590" s="1">
        <v>4</v>
      </c>
      <c r="B5590" s="1" t="s">
        <v>4569</v>
      </c>
      <c r="C5590" s="1" t="str">
        <f ca="1">IFERROR(__xludf.DUMMYFUNCTION("GOOGLETRANSLATE(B5655,""en"",""ja"")"),"乾上がります")</f>
        <v>乾上がります</v>
      </c>
    </row>
    <row r="5591" spans="1:3" ht="18" customHeight="1" x14ac:dyDescent="0.3">
      <c r="A5591" s="1">
        <v>4</v>
      </c>
      <c r="B5591" s="1" t="s">
        <v>4570</v>
      </c>
      <c r="C5591" s="1" t="str">
        <f ca="1">IFERROR(__xludf.DUMMYFUNCTION("GOOGLETRANSLATE(B5656,""en"",""ja"")"),"寄生虫")</f>
        <v>寄生虫</v>
      </c>
    </row>
    <row r="5592" spans="1:3" ht="18" customHeight="1" x14ac:dyDescent="0.3">
      <c r="A5592" s="1">
        <v>4</v>
      </c>
      <c r="B5592" s="1" t="s">
        <v>4571</v>
      </c>
      <c r="C5592" s="1" t="str">
        <f ca="1">IFERROR(__xludf.DUMMYFUNCTION("GOOGLETRANSLATE(B5657,""en"",""ja"")"),"パラダイム")</f>
        <v>パラダイム</v>
      </c>
    </row>
    <row r="5593" spans="1:3" ht="18" customHeight="1" x14ac:dyDescent="0.3">
      <c r="A5593" s="1">
        <v>4</v>
      </c>
      <c r="B5593" s="1" t="s">
        <v>4572</v>
      </c>
      <c r="C5593" s="1" t="str">
        <f ca="1">IFERROR(__xludf.DUMMYFUNCTION("GOOGLETRANSLATE(B5658,""en"",""ja"")"),"ペアリング")</f>
        <v>ペアリング</v>
      </c>
    </row>
    <row r="5594" spans="1:3" ht="18" customHeight="1" x14ac:dyDescent="0.3">
      <c r="A5594" s="1">
        <v>4</v>
      </c>
      <c r="B5594" s="1" t="s">
        <v>4573</v>
      </c>
      <c r="C5594" s="1" t="str">
        <f ca="1">IFERROR(__xludf.DUMMYFUNCTION("GOOGLETRANSLATE(B5659,""en"",""ja"")"),"痛み")</f>
        <v>痛み</v>
      </c>
    </row>
    <row r="5595" spans="1:3" ht="18" customHeight="1" x14ac:dyDescent="0.3">
      <c r="A5595" s="1">
        <v>4</v>
      </c>
      <c r="B5595" s="1" t="s">
        <v>1109</v>
      </c>
      <c r="C5595" s="1" t="str">
        <f ca="1">IFERROR(__xludf.DUMMYFUNCTION("GOOGLETRANSLATE(B5660,""en"",""ja"")"),"ページ")</f>
        <v>ページ</v>
      </c>
    </row>
    <row r="5596" spans="1:3" ht="18" customHeight="1" x14ac:dyDescent="0.3">
      <c r="A5596" s="1">
        <v>4</v>
      </c>
      <c r="B5596" s="1" t="s">
        <v>4574</v>
      </c>
      <c r="C5596" s="1" t="str">
        <f ca="1">IFERROR(__xludf.DUMMYFUNCTION("GOOGLETRANSLATE(B5661,""en"",""ja"")"),"異教の")</f>
        <v>異教の</v>
      </c>
    </row>
    <row r="5597" spans="1:3" ht="18" customHeight="1" x14ac:dyDescent="0.3">
      <c r="A5597" s="1">
        <v>4</v>
      </c>
      <c r="B5597" s="1" t="s">
        <v>4575</v>
      </c>
      <c r="C5597" s="1" t="str">
        <f ca="1">IFERROR(__xludf.DUMMYFUNCTION("GOOGLETRANSLATE(B5662,""en"",""ja"")"),"パッケージ")</f>
        <v>パッケージ</v>
      </c>
    </row>
    <row r="5598" spans="1:3" ht="18" customHeight="1" x14ac:dyDescent="0.3">
      <c r="A5598" s="1">
        <v>4</v>
      </c>
      <c r="B5598" s="1" t="s">
        <v>4576</v>
      </c>
      <c r="C5598" s="1" t="str">
        <f ca="1">IFERROR(__xludf.DUMMYFUNCTION("GOOGLETRANSLATE(B5663,""en"",""ja"")"),"オーナー")</f>
        <v>オーナー</v>
      </c>
    </row>
    <row r="5599" spans="1:3" ht="18" customHeight="1" x14ac:dyDescent="0.3">
      <c r="A5599" s="1">
        <v>4</v>
      </c>
      <c r="B5599" s="1" t="s">
        <v>4577</v>
      </c>
      <c r="C5599" s="1" t="str">
        <f ca="1">IFERROR(__xludf.DUMMYFUNCTION("GOOGLETRANSLATE(B5664,""en"",""ja"")"),"負います")</f>
        <v>負います</v>
      </c>
    </row>
    <row r="5600" spans="1:3" ht="18" customHeight="1" x14ac:dyDescent="0.3">
      <c r="A5600" s="1">
        <v>4</v>
      </c>
      <c r="B5600" s="1" t="s">
        <v>4578</v>
      </c>
      <c r="C5600" s="1" t="str">
        <f ca="1">IFERROR(__xludf.DUMMYFUNCTION("GOOGLETRANSLATE(B5665,""en"",""ja"")"),"過大評価")</f>
        <v>過大評価</v>
      </c>
    </row>
    <row r="5601" spans="1:3" ht="18" customHeight="1" x14ac:dyDescent="0.3">
      <c r="A5601" s="1">
        <v>4</v>
      </c>
      <c r="B5601" s="1" t="s">
        <v>4579</v>
      </c>
      <c r="C5601" s="1" t="str">
        <f ca="1">IFERROR(__xludf.DUMMYFUNCTION("GOOGLETRANSLATE(B5666,""en"",""ja"")"),"全体")</f>
        <v>全体</v>
      </c>
    </row>
    <row r="5602" spans="1:3" ht="18" customHeight="1" x14ac:dyDescent="0.3">
      <c r="A5602" s="1">
        <v>4</v>
      </c>
      <c r="B5602" s="1" t="s">
        <v>4580</v>
      </c>
      <c r="C5602" s="1" t="str">
        <f ca="1">IFERROR(__xludf.DUMMYFUNCTION("GOOGLETRANSLATE(B5667,""en"",""ja"")"),"overact")</f>
        <v>overact</v>
      </c>
    </row>
    <row r="5603" spans="1:3" ht="18" customHeight="1" x14ac:dyDescent="0.3">
      <c r="A5603" s="1">
        <v>4</v>
      </c>
      <c r="B5603" s="1" t="s">
        <v>4581</v>
      </c>
      <c r="C5603" s="1" t="str">
        <f ca="1">IFERROR(__xludf.DUMMYFUNCTION("GOOGLETRANSLATE(B5668,""en"",""ja"")"),"オーブン")</f>
        <v>オーブン</v>
      </c>
    </row>
    <row r="5604" spans="1:3" ht="18" customHeight="1" x14ac:dyDescent="0.3">
      <c r="A5604" s="1">
        <v>4</v>
      </c>
      <c r="B5604" s="1" t="s">
        <v>4582</v>
      </c>
      <c r="C5604" s="1" t="str">
        <f ca="1">IFERROR(__xludf.DUMMYFUNCTION("GOOGLETRANSLATE(B5669,""en"",""ja"")"),"上回ります")</f>
        <v>上回ります</v>
      </c>
    </row>
    <row r="5605" spans="1:3" ht="18" customHeight="1" x14ac:dyDescent="0.3">
      <c r="A5605" s="1">
        <v>4</v>
      </c>
      <c r="B5605" s="1" t="s">
        <v>4583</v>
      </c>
      <c r="C5605" s="1" t="str">
        <f ca="1">IFERROR(__xludf.DUMMYFUNCTION("GOOGLETRANSLATE(B5670,""en"",""ja"")"),"アウター")</f>
        <v>アウター</v>
      </c>
    </row>
    <row r="5606" spans="1:3" ht="18" customHeight="1" x14ac:dyDescent="0.3">
      <c r="A5606" s="1">
        <v>4</v>
      </c>
      <c r="B5606" s="1" t="s">
        <v>4584</v>
      </c>
      <c r="C5606" s="1" t="str">
        <f ca="1">IFERROR(__xludf.DUMMYFUNCTION("GOOGLETRANSLATE(B5671,""en"",""ja"")"),"時代遅れ")</f>
        <v>時代遅れ</v>
      </c>
    </row>
    <row r="5607" spans="1:3" ht="18" customHeight="1" x14ac:dyDescent="0.3">
      <c r="A5607" s="1">
        <v>4</v>
      </c>
      <c r="B5607" s="1" t="s">
        <v>4585</v>
      </c>
      <c r="C5607" s="1" t="str">
        <f ca="1">IFERROR(__xludf.DUMMYFUNCTION("GOOGLETRANSLATE(B5672,""en"",""ja"")"),"勝ります")</f>
        <v>勝ります</v>
      </c>
    </row>
    <row r="5608" spans="1:3" ht="18" customHeight="1" x14ac:dyDescent="0.3">
      <c r="A5608" s="1">
        <v>4</v>
      </c>
      <c r="B5608" s="1" t="s">
        <v>1776</v>
      </c>
      <c r="C5608" s="1" t="str">
        <f ca="1">IFERROR(__xludf.DUMMYFUNCTION("GOOGLETRANSLATE(B5673,""en"",""ja"")"),"発振")</f>
        <v>発振</v>
      </c>
    </row>
    <row r="5609" spans="1:3" ht="18" customHeight="1" x14ac:dyDescent="0.3">
      <c r="A5609" s="1">
        <v>4</v>
      </c>
      <c r="B5609" s="1" t="s">
        <v>2612</v>
      </c>
      <c r="C5609" s="1" t="str">
        <f ca="1">IFERROR(__xludf.DUMMYFUNCTION("GOOGLETRANSLATE(B5674,""en"",""ja"")"),"整理")</f>
        <v>整理</v>
      </c>
    </row>
    <row r="5610" spans="1:3" ht="18" customHeight="1" x14ac:dyDescent="0.3">
      <c r="A5610" s="1">
        <v>4</v>
      </c>
      <c r="B5610" s="1" t="s">
        <v>4586</v>
      </c>
      <c r="C5610" s="1" t="str">
        <f ca="1">IFERROR(__xludf.DUMMYFUNCTION("GOOGLETRANSLATE(B5675,""en"",""ja"")"),"虐げます")</f>
        <v>虐げます</v>
      </c>
    </row>
    <row r="5611" spans="1:3" ht="18" customHeight="1" x14ac:dyDescent="0.3">
      <c r="A5611" s="1">
        <v>4</v>
      </c>
      <c r="B5611" s="1" t="s">
        <v>4587</v>
      </c>
      <c r="C5611" s="1" t="str">
        <f ca="1">IFERROR(__xludf.DUMMYFUNCTION("GOOGLETRANSLATE(B5676,""en"",""ja"")"),"反対")</f>
        <v>反対</v>
      </c>
    </row>
    <row r="5612" spans="1:3" ht="18" customHeight="1" x14ac:dyDescent="0.3">
      <c r="A5612" s="1">
        <v>4</v>
      </c>
      <c r="B5612" s="1" t="s">
        <v>1437</v>
      </c>
      <c r="C5612" s="1" t="str">
        <f ca="1">IFERROR(__xludf.DUMMYFUNCTION("GOOGLETRANSLATE(B5677,""en"",""ja"")"),"自分")</f>
        <v>自分</v>
      </c>
    </row>
    <row r="5613" spans="1:3" ht="18" customHeight="1" x14ac:dyDescent="0.3">
      <c r="A5613" s="1">
        <v>4</v>
      </c>
      <c r="B5613" s="1" t="s">
        <v>1</v>
      </c>
      <c r="C5613" s="1" t="str">
        <f ca="1">IFERROR(__xludf.DUMMYFUNCTION("GOOGLETRANSLATE(B5678,""en"",""ja"")"),"の")</f>
        <v>の</v>
      </c>
    </row>
    <row r="5614" spans="1:3" ht="18" customHeight="1" x14ac:dyDescent="0.3">
      <c r="A5614" s="1">
        <v>4</v>
      </c>
      <c r="B5614" s="1" t="s">
        <v>4588</v>
      </c>
      <c r="C5614" s="1" t="str">
        <f ca="1">IFERROR(__xludf.DUMMYFUNCTION("GOOGLETRANSLATE(B5679,""en"",""ja"")"),"募集")</f>
        <v>募集</v>
      </c>
    </row>
    <row r="5615" spans="1:3" ht="18" customHeight="1" x14ac:dyDescent="0.3">
      <c r="A5615" s="1">
        <v>4</v>
      </c>
      <c r="B5615" s="1" t="s">
        <v>2947</v>
      </c>
      <c r="C5615" s="1" t="str">
        <f ca="1">IFERROR(__xludf.DUMMYFUNCTION("GOOGLETRANSLATE(B5680,""en"",""ja"")"),"犯罪")</f>
        <v>犯罪</v>
      </c>
    </row>
    <row r="5616" spans="1:3" ht="18" customHeight="1" x14ac:dyDescent="0.3">
      <c r="A5616" s="1">
        <v>4</v>
      </c>
      <c r="B5616" s="1" t="s">
        <v>4589</v>
      </c>
      <c r="C5616" s="1" t="str">
        <f ca="1">IFERROR(__xludf.DUMMYFUNCTION("GOOGLETRANSLATE(B5681,""en"",""ja"")"),"変わり者")</f>
        <v>変わり者</v>
      </c>
    </row>
    <row r="5617" spans="1:3" ht="18" customHeight="1" x14ac:dyDescent="0.3">
      <c r="A5617" s="1">
        <v>4</v>
      </c>
      <c r="B5617" s="1" t="s">
        <v>4590</v>
      </c>
      <c r="C5617" s="1" t="str">
        <f ca="1">IFERROR(__xludf.DUMMYFUNCTION("GOOGLETRANSLATE(B5682,""en"",""ja"")"),"奇妙な")</f>
        <v>奇妙な</v>
      </c>
    </row>
    <row r="5618" spans="1:3" ht="18" customHeight="1" x14ac:dyDescent="0.3">
      <c r="A5618" s="1">
        <v>4</v>
      </c>
      <c r="B5618" s="1" t="s">
        <v>4591</v>
      </c>
      <c r="C5618" s="1" t="str">
        <f ca="1">IFERROR(__xludf.DUMMYFUNCTION("GOOGLETRANSLATE(B5683,""en"",""ja"")"),"海")</f>
        <v>海</v>
      </c>
    </row>
    <row r="5619" spans="1:3" ht="18" customHeight="1" x14ac:dyDescent="0.3">
      <c r="A5619" s="1">
        <v>4</v>
      </c>
      <c r="B5619" s="1" t="s">
        <v>4592</v>
      </c>
      <c r="C5619" s="1" t="str">
        <f ca="1">IFERROR(__xludf.DUMMYFUNCTION("GOOGLETRANSLATE(B5684,""en"",""ja"")"),"占める")</f>
        <v>占める</v>
      </c>
    </row>
    <row r="5620" spans="1:3" ht="18" customHeight="1" x14ac:dyDescent="0.3">
      <c r="A5620" s="1">
        <v>4</v>
      </c>
      <c r="B5620" s="1" t="s">
        <v>4593</v>
      </c>
      <c r="C5620" s="1" t="str">
        <f ca="1">IFERROR(__xludf.DUMMYFUNCTION("GOOGLETRANSLATE(B5685,""en"",""ja"")"),"観察")</f>
        <v>観察</v>
      </c>
    </row>
    <row r="5621" spans="1:3" ht="18" customHeight="1" x14ac:dyDescent="0.3">
      <c r="A5621" s="1">
        <v>4</v>
      </c>
      <c r="B5621" s="1" t="s">
        <v>4594</v>
      </c>
      <c r="C5621" s="1" t="str">
        <f ca="1">IFERROR(__xludf.DUMMYFUNCTION("GOOGLETRANSLATE(B5686,""en"",""ja"")"),"不明瞭")</f>
        <v>不明瞭</v>
      </c>
    </row>
    <row r="5622" spans="1:3" ht="18" customHeight="1" x14ac:dyDescent="0.3">
      <c r="A5622" s="1">
        <v>4</v>
      </c>
      <c r="B5622" s="1" t="s">
        <v>3929</v>
      </c>
      <c r="C5622" s="1" t="str">
        <f ca="1">IFERROR(__xludf.DUMMYFUNCTION("GOOGLETRANSLATE(B5687,""en"",""ja"")"),"オブジェクト")</f>
        <v>オブジェクト</v>
      </c>
    </row>
    <row r="5623" spans="1:3" ht="18" customHeight="1" x14ac:dyDescent="0.3">
      <c r="A5623" s="1">
        <v>4</v>
      </c>
      <c r="B5623" s="1" t="s">
        <v>4595</v>
      </c>
      <c r="C5623" s="1" t="str">
        <f ca="1">IFERROR(__xludf.DUMMYFUNCTION("GOOGLETRANSLATE(B5688,""en"",""ja"")"),"育成")</f>
        <v>育成</v>
      </c>
    </row>
    <row r="5624" spans="1:3" ht="18" customHeight="1" x14ac:dyDescent="0.3">
      <c r="A5624" s="1">
        <v>4</v>
      </c>
      <c r="B5624" s="1" t="s">
        <v>4596</v>
      </c>
      <c r="C5624" s="1" t="str">
        <f ca="1">IFERROR(__xludf.DUMMYFUNCTION("GOOGLETRANSLATE(B5689,""en"",""ja"")"),"看護")</f>
        <v>看護</v>
      </c>
    </row>
    <row r="5625" spans="1:3" ht="18" customHeight="1" x14ac:dyDescent="0.3">
      <c r="A5625" s="1">
        <v>4</v>
      </c>
      <c r="B5625" s="1" t="s">
        <v>3389</v>
      </c>
      <c r="C5625" s="1" t="str">
        <f ca="1">IFERROR(__xludf.DUMMYFUNCTION("GOOGLETRANSLATE(B5690,""en"",""ja"")"),"小説")</f>
        <v>小説</v>
      </c>
    </row>
    <row r="5626" spans="1:3" ht="18" customHeight="1" x14ac:dyDescent="0.3">
      <c r="A5626" s="1">
        <v>4</v>
      </c>
      <c r="B5626" s="1" t="s">
        <v>4597</v>
      </c>
      <c r="C5626" s="1" t="str">
        <f ca="1">IFERROR(__xludf.DUMMYFUNCTION("GOOGLETRANSLATE(B5691,""en"",""ja"")"),"注目に")</f>
        <v>注目に</v>
      </c>
    </row>
    <row r="5627" spans="1:3" ht="18" customHeight="1" x14ac:dyDescent="0.3">
      <c r="A5627" s="1">
        <v>4</v>
      </c>
      <c r="B5627" s="1" t="s">
        <v>4598</v>
      </c>
      <c r="C5627" s="1" t="str">
        <f ca="1">IFERROR(__xludf.DUMMYFUNCTION("GOOGLETRANSLATE(B5692,""en"",""ja"")"),"知らせます")</f>
        <v>知らせます</v>
      </c>
    </row>
    <row r="5628" spans="1:3" ht="18" customHeight="1" x14ac:dyDescent="0.3">
      <c r="A5628" s="1">
        <v>4</v>
      </c>
      <c r="B5628" s="1" t="s">
        <v>3390</v>
      </c>
      <c r="C5628" s="1" t="str">
        <f ca="1">IFERROR(__xludf.DUMMYFUNCTION("GOOGLETRANSLATE(B5693,""en"",""ja"")"),"通知")</f>
        <v>通知</v>
      </c>
    </row>
    <row r="5629" spans="1:3" ht="18" customHeight="1" x14ac:dyDescent="0.3">
      <c r="A5629" s="1">
        <v>4</v>
      </c>
      <c r="B5629" s="1" t="s">
        <v>4599</v>
      </c>
      <c r="C5629" s="1" t="str">
        <f ca="1">IFERROR(__xludf.DUMMYFUNCTION("GOOGLETRANSLATE(B5694,""en"",""ja"")"),"著名")</f>
        <v>著名</v>
      </c>
    </row>
    <row r="5630" spans="1:3" ht="18" customHeight="1" x14ac:dyDescent="0.3">
      <c r="A5630" s="1">
        <v>4</v>
      </c>
      <c r="B5630" s="1" t="s">
        <v>4600</v>
      </c>
      <c r="C5630" s="1" t="str">
        <f ca="1">IFERROR(__xludf.DUMMYFUNCTION("GOOGLETRANSLATE(B5695,""en"",""ja"")"),"再生不可能な")</f>
        <v>再生不可能な</v>
      </c>
    </row>
    <row r="5631" spans="1:3" ht="18" customHeight="1" x14ac:dyDescent="0.3">
      <c r="A5631" s="1">
        <v>4</v>
      </c>
      <c r="B5631" s="1" t="s">
        <v>4601</v>
      </c>
      <c r="C5631" s="1" t="str">
        <f ca="1">IFERROR(__xludf.DUMMYFUNCTION("GOOGLETRANSLATE(B5696,""en"",""ja"")"),"非金融")</f>
        <v>非金融</v>
      </c>
    </row>
    <row r="5632" spans="1:3" ht="18" customHeight="1" x14ac:dyDescent="0.3">
      <c r="A5632" s="1">
        <v>4</v>
      </c>
      <c r="B5632" s="1" t="s">
        <v>4602</v>
      </c>
      <c r="C5632" s="1" t="str">
        <f ca="1">IFERROR(__xludf.DUMMYFUNCTION("GOOGLETRANSLATE(B5697,""en"",""ja"")"),"うるさい")</f>
        <v>うるさい</v>
      </c>
    </row>
    <row r="5633" spans="1:3" ht="18" customHeight="1" x14ac:dyDescent="0.3">
      <c r="A5633" s="1">
        <v>4</v>
      </c>
      <c r="B5633" s="1" t="s">
        <v>4603</v>
      </c>
      <c r="C5633" s="1" t="str">
        <f ca="1">IFERROR(__xludf.DUMMYFUNCTION("GOOGLETRANSLATE(B5698,""en"",""ja"")"),"ノーベル")</f>
        <v>ノーベル</v>
      </c>
    </row>
    <row r="5634" spans="1:3" ht="18" customHeight="1" x14ac:dyDescent="0.3">
      <c r="A5634" s="1">
        <v>4</v>
      </c>
      <c r="B5634" s="1" t="s">
        <v>4604</v>
      </c>
      <c r="C5634" s="1" t="str">
        <f ca="1">IFERROR(__xludf.DUMMYFUNCTION("GOOGLETRANSLATE(B5699,""en"",""ja"")"),"ノーム")</f>
        <v>ノーム</v>
      </c>
    </row>
    <row r="5635" spans="1:3" ht="18" customHeight="1" x14ac:dyDescent="0.3">
      <c r="A5635" s="1">
        <v>4</v>
      </c>
      <c r="B5635" s="1" t="s">
        <v>2956</v>
      </c>
      <c r="C5635" s="1" t="str">
        <f ca="1">IFERROR(__xludf.DUMMYFUNCTION("GOOGLETRANSLATE(B5700,""en"",""ja"")"),"夜")</f>
        <v>夜</v>
      </c>
    </row>
    <row r="5636" spans="1:3" ht="18" customHeight="1" x14ac:dyDescent="0.3">
      <c r="A5636" s="1">
        <v>4</v>
      </c>
      <c r="B5636" s="1" t="s">
        <v>4605</v>
      </c>
      <c r="C5636" s="1" t="str">
        <f ca="1">IFERROR(__xludf.DUMMYFUNCTION("GOOGLETRANSLATE(B5701,""en"",""ja"")"),"nexuses")</f>
        <v>nexuses</v>
      </c>
    </row>
    <row r="5637" spans="1:3" ht="18" customHeight="1" x14ac:dyDescent="0.3">
      <c r="A5637" s="1">
        <v>4</v>
      </c>
      <c r="B5637" s="1" t="s">
        <v>943</v>
      </c>
      <c r="C5637" s="1" t="str">
        <f ca="1">IFERROR(__xludf.DUMMYFUNCTION("GOOGLETRANSLATE(B5702,""en"",""ja"")"),"次")</f>
        <v>次</v>
      </c>
    </row>
    <row r="5638" spans="1:3" ht="18" customHeight="1" x14ac:dyDescent="0.3">
      <c r="A5638" s="1">
        <v>4</v>
      </c>
      <c r="B5638" s="1" t="s">
        <v>4606</v>
      </c>
      <c r="C5638" s="1" t="str">
        <f ca="1">IFERROR(__xludf.DUMMYFUNCTION("GOOGLETRANSLATE(B5703,""en"",""ja"")"),"ネスト")</f>
        <v>ネスト</v>
      </c>
    </row>
    <row r="5639" spans="1:3" ht="18" customHeight="1" x14ac:dyDescent="0.3">
      <c r="A5639" s="1">
        <v>4</v>
      </c>
      <c r="B5639" s="1" t="s">
        <v>4607</v>
      </c>
      <c r="C5639" s="1" t="str">
        <f ca="1">IFERROR(__xludf.DUMMYFUNCTION("GOOGLETRANSLATE(B5704,""en"",""ja"")"),"neobehaviorists")</f>
        <v>neobehaviorists</v>
      </c>
    </row>
    <row r="5640" spans="1:3" ht="18" customHeight="1" x14ac:dyDescent="0.3">
      <c r="A5640" s="1">
        <v>4</v>
      </c>
      <c r="B5640" s="1" t="s">
        <v>1266</v>
      </c>
      <c r="C5640" s="1" t="str">
        <f ca="1">IFERROR(__xludf.DUMMYFUNCTION("GOOGLETRANSLATE(B5705,""en"",""ja"")"),"必要")</f>
        <v>必要</v>
      </c>
    </row>
    <row r="5641" spans="1:3" ht="18" customHeight="1" x14ac:dyDescent="0.3">
      <c r="A5641" s="1">
        <v>4</v>
      </c>
      <c r="B5641" s="1" t="s">
        <v>610</v>
      </c>
      <c r="C5641" s="1" t="str">
        <f ca="1">IFERROR(__xludf.DUMMYFUNCTION("GOOGLETRANSLATE(B5706,""en"",""ja"")"),"必ずしも")</f>
        <v>必ずしも</v>
      </c>
    </row>
    <row r="5642" spans="1:3" ht="18" customHeight="1" x14ac:dyDescent="0.3">
      <c r="A5642" s="1">
        <v>4</v>
      </c>
      <c r="B5642" s="1" t="s">
        <v>4608</v>
      </c>
      <c r="C5642" s="1" t="str">
        <f ca="1">IFERROR(__xludf.DUMMYFUNCTION("GOOGLETRANSLATE(B5707,""en"",""ja"")"),"neanderthalensis")</f>
        <v>neanderthalensis</v>
      </c>
    </row>
    <row r="5643" spans="1:3" ht="18" customHeight="1" x14ac:dyDescent="0.3">
      <c r="A5643" s="1">
        <v>4</v>
      </c>
      <c r="B5643" s="1" t="s">
        <v>4609</v>
      </c>
      <c r="C5643" s="1" t="str">
        <f ca="1">IFERROR(__xludf.DUMMYFUNCTION("GOOGLETRANSLATE(B5708,""en"",""ja"")"),"ナビゲーション")</f>
        <v>ナビゲーション</v>
      </c>
    </row>
    <row r="5644" spans="1:3" ht="18" customHeight="1" x14ac:dyDescent="0.3">
      <c r="A5644" s="1">
        <v>4</v>
      </c>
      <c r="B5644" s="1" t="s">
        <v>4610</v>
      </c>
      <c r="C5644" s="1" t="str">
        <f ca="1">IFERROR(__xludf.DUMMYFUNCTION("GOOGLETRANSLATE(B5709,""en"",""ja"")"),"ナビゲート")</f>
        <v>ナビゲート</v>
      </c>
    </row>
    <row r="5645" spans="1:3" ht="18" customHeight="1" x14ac:dyDescent="0.3">
      <c r="A5645" s="1">
        <v>4</v>
      </c>
      <c r="B5645" s="1" t="s">
        <v>4611</v>
      </c>
      <c r="C5645" s="1" t="str">
        <f ca="1">IFERROR(__xludf.DUMMYFUNCTION("GOOGLETRANSLATE(B5710,""en"",""ja"")"),"ナショナリスト")</f>
        <v>ナショナリスト</v>
      </c>
    </row>
    <row r="5646" spans="1:3" ht="18" customHeight="1" x14ac:dyDescent="0.3">
      <c r="A5646" s="1">
        <v>4</v>
      </c>
      <c r="B5646" s="1" t="s">
        <v>4612</v>
      </c>
      <c r="C5646" s="1" t="str">
        <f ca="1">IFERROR(__xludf.DUMMYFUNCTION("GOOGLETRANSLATE(B5711,""en"",""ja"")"),"nanos値")</f>
        <v>nanos値</v>
      </c>
    </row>
    <row r="5647" spans="1:3" ht="18" customHeight="1" x14ac:dyDescent="0.3">
      <c r="A5647" s="1">
        <v>4</v>
      </c>
      <c r="B5647" s="1" t="s">
        <v>1115</v>
      </c>
      <c r="C5647" s="1" t="str">
        <f ca="1">IFERROR(__xludf.DUMMYFUNCTION("GOOGLETRANSLATE(B5712,""en"",""ja"")"),"名前")</f>
        <v>名前</v>
      </c>
    </row>
    <row r="5648" spans="1:3" ht="18" customHeight="1" x14ac:dyDescent="0.3">
      <c r="A5648" s="1">
        <v>4</v>
      </c>
      <c r="B5648" s="1" t="s">
        <v>4613</v>
      </c>
      <c r="C5648" s="1" t="str">
        <f ca="1">IFERROR(__xludf.DUMMYFUNCTION("GOOGLETRANSLATE(B5713,""en"",""ja"")"),"神話")</f>
        <v>神話</v>
      </c>
    </row>
    <row r="5649" spans="1:3" ht="18" customHeight="1" x14ac:dyDescent="0.3">
      <c r="A5649" s="1">
        <v>4</v>
      </c>
      <c r="B5649" s="1" t="s">
        <v>4614</v>
      </c>
      <c r="C5649" s="1" t="str">
        <f ca="1">IFERROR(__xludf.DUMMYFUNCTION("GOOGLETRANSLATE(B5715,""en"",""ja"")"),"神秘的")</f>
        <v>神秘的</v>
      </c>
    </row>
    <row r="5650" spans="1:3" ht="18" customHeight="1" x14ac:dyDescent="0.3">
      <c r="A5650" s="1">
        <v>4</v>
      </c>
      <c r="B5650" s="1" t="s">
        <v>4615</v>
      </c>
      <c r="C5650" s="1" t="str">
        <f ca="1">IFERROR(__xludf.DUMMYFUNCTION("GOOGLETRANSLATE(B5716,""en"",""ja"")"),"神秘的")</f>
        <v>神秘的</v>
      </c>
    </row>
    <row r="5651" spans="1:3" ht="18" customHeight="1" x14ac:dyDescent="0.3">
      <c r="A5651" s="1">
        <v>4</v>
      </c>
      <c r="B5651" s="1" t="s">
        <v>4616</v>
      </c>
      <c r="C5651" s="1" t="str">
        <f ca="1">IFERROR(__xludf.DUMMYFUNCTION("GOOGLETRANSLATE(B5717,""en"",""ja"")"),"博物館")</f>
        <v>博物館</v>
      </c>
    </row>
    <row r="5652" spans="1:3" ht="18" customHeight="1" x14ac:dyDescent="0.3">
      <c r="A5652" s="1">
        <v>4</v>
      </c>
      <c r="B5652" s="1" t="s">
        <v>2960</v>
      </c>
      <c r="C5652" s="1" t="str">
        <f ca="1">IFERROR(__xludf.DUMMYFUNCTION("GOOGLETRANSLATE(B5718,""en"",""ja"")"),"博物館")</f>
        <v>博物館</v>
      </c>
    </row>
    <row r="5653" spans="1:3" ht="18" customHeight="1" x14ac:dyDescent="0.3">
      <c r="A5653" s="1">
        <v>4</v>
      </c>
      <c r="B5653" s="1" t="s">
        <v>4617</v>
      </c>
      <c r="C5653" s="1" t="str">
        <f ca="1">IFERROR(__xludf.DUMMYFUNCTION("GOOGLETRANSLATE(B5719,""en"",""ja"")"),"多民族")</f>
        <v>多民族</v>
      </c>
    </row>
    <row r="5654" spans="1:3" ht="18" customHeight="1" x14ac:dyDescent="0.3">
      <c r="A5654" s="1">
        <v>4</v>
      </c>
      <c r="B5654" s="1" t="s">
        <v>4618</v>
      </c>
      <c r="C5654" s="1" t="str">
        <f ca="1">IFERROR(__xludf.DUMMYFUNCTION("GOOGLETRANSLATE(B5720,""en"",""ja"")"),"かける")</f>
        <v>かける</v>
      </c>
    </row>
    <row r="5655" spans="1:3" ht="18" customHeight="1" x14ac:dyDescent="0.3">
      <c r="A5655" s="1">
        <v>4</v>
      </c>
      <c r="B5655" s="1" t="s">
        <v>70</v>
      </c>
      <c r="C5655" s="1" t="str">
        <f ca="1">IFERROR(__xludf.DUMMYFUNCTION("GOOGLETRANSLATE(B5721,""en"",""ja"")"),"最も")</f>
        <v>最も</v>
      </c>
    </row>
    <row r="5656" spans="1:3" ht="18" customHeight="1" x14ac:dyDescent="0.3">
      <c r="A5656" s="1">
        <v>4</v>
      </c>
      <c r="B5656" s="1" t="s">
        <v>4619</v>
      </c>
      <c r="C5656" s="1" t="str">
        <f ca="1">IFERROR(__xludf.DUMMYFUNCTION("GOOGLETRANSLATE(B5722,""en"",""ja"")"),"大半")</f>
        <v>大半</v>
      </c>
    </row>
    <row r="5657" spans="1:3" ht="18" customHeight="1" x14ac:dyDescent="0.3">
      <c r="A5657" s="1">
        <v>4</v>
      </c>
      <c r="B5657" s="1" t="s">
        <v>4620</v>
      </c>
      <c r="C5657" s="1" t="str">
        <f ca="1">IFERROR(__xludf.DUMMYFUNCTION("GOOGLETRANSLATE(B5723,""en"",""ja"")"),"士気")</f>
        <v>士気</v>
      </c>
    </row>
    <row r="5658" spans="1:3" ht="18" customHeight="1" x14ac:dyDescent="0.3">
      <c r="A5658" s="1">
        <v>4</v>
      </c>
      <c r="B5658" s="1" t="s">
        <v>4621</v>
      </c>
      <c r="C5658" s="1" t="str">
        <f ca="1">IFERROR(__xludf.DUMMYFUNCTION("GOOGLETRANSLATE(B5724,""en"",""ja"")"),"気分")</f>
        <v>気分</v>
      </c>
    </row>
    <row r="5659" spans="1:3" ht="18" customHeight="1" x14ac:dyDescent="0.3">
      <c r="A5659" s="1">
        <v>4</v>
      </c>
      <c r="B5659" s="1" t="s">
        <v>2965</v>
      </c>
      <c r="C5659" s="1" t="str">
        <f ca="1">IFERROR(__xludf.DUMMYFUNCTION("GOOGLETRANSLATE(B5725,""en"",""ja"")"),"月")</f>
        <v>月</v>
      </c>
    </row>
    <row r="5660" spans="1:3" ht="18" customHeight="1" x14ac:dyDescent="0.3">
      <c r="A5660" s="1">
        <v>4</v>
      </c>
      <c r="B5660" s="1" t="s">
        <v>4622</v>
      </c>
      <c r="C5660" s="1" t="str">
        <f ca="1">IFERROR(__xludf.DUMMYFUNCTION("GOOGLETRANSLATE(B5726,""en"",""ja"")"),"モンテスキュー")</f>
        <v>モンテスキュー</v>
      </c>
    </row>
    <row r="5661" spans="1:3" ht="18" customHeight="1" x14ac:dyDescent="0.3">
      <c r="A5661" s="1">
        <v>4</v>
      </c>
      <c r="B5661" s="1" t="s">
        <v>4623</v>
      </c>
      <c r="C5661" s="1" t="str">
        <f ca="1">IFERROR(__xludf.DUMMYFUNCTION("GOOGLETRANSLATE(B5728,""en"",""ja"")"),"モニタリング")</f>
        <v>モニタリング</v>
      </c>
    </row>
    <row r="5662" spans="1:3" ht="18" customHeight="1" x14ac:dyDescent="0.3">
      <c r="A5662" s="1">
        <v>4</v>
      </c>
      <c r="B5662" s="1" t="s">
        <v>4624</v>
      </c>
      <c r="C5662" s="1" t="str">
        <f ca="1">IFERROR(__xludf.DUMMYFUNCTION("GOOGLETRANSLATE(B5729,""en"",""ja"")"),"重大")</f>
        <v>重大</v>
      </c>
    </row>
    <row r="5663" spans="1:3" ht="18" customHeight="1" x14ac:dyDescent="0.3">
      <c r="A5663" s="1">
        <v>4</v>
      </c>
      <c r="B5663" s="1" t="s">
        <v>4625</v>
      </c>
      <c r="C5663" s="1" t="str">
        <f ca="1">IFERROR(__xludf.DUMMYFUNCTION("GOOGLETRANSLATE(B5730,""en"",""ja"")"),"分子")</f>
        <v>分子</v>
      </c>
    </row>
    <row r="5664" spans="1:3" ht="18" customHeight="1" x14ac:dyDescent="0.3">
      <c r="A5664" s="1">
        <v>4</v>
      </c>
      <c r="B5664" s="1" t="s">
        <v>4626</v>
      </c>
      <c r="C5664" s="1" t="str">
        <f ca="1">IFERROR(__xludf.DUMMYFUNCTION("GOOGLETRANSLATE(B5731,""en"",""ja"")"),"造形")</f>
        <v>造形</v>
      </c>
    </row>
    <row r="5665" spans="1:3" ht="18" customHeight="1" x14ac:dyDescent="0.3">
      <c r="A5665" s="1">
        <v>4</v>
      </c>
      <c r="B5665" s="1" t="s">
        <v>4627</v>
      </c>
      <c r="C5665" s="1" t="str">
        <f ca="1">IFERROR(__xludf.DUMMYFUNCTION("GOOGLETRANSLATE(B5732,""en"",""ja"")"),"変調")</f>
        <v>変調</v>
      </c>
    </row>
    <row r="5666" spans="1:3" ht="18" customHeight="1" x14ac:dyDescent="0.3">
      <c r="A5666" s="1">
        <v>4</v>
      </c>
      <c r="B5666" s="1" t="s">
        <v>4628</v>
      </c>
      <c r="C5666" s="1" t="str">
        <f ca="1">IFERROR(__xludf.DUMMYFUNCTION("GOOGLETRANSLATE(B5733,""en"",""ja"")"),"変形")</f>
        <v>変形</v>
      </c>
    </row>
    <row r="5667" spans="1:3" ht="18" customHeight="1" x14ac:dyDescent="0.3">
      <c r="A5667" s="1">
        <v>4</v>
      </c>
      <c r="B5667" s="1" t="s">
        <v>4629</v>
      </c>
      <c r="C5667" s="1" t="str">
        <f ca="1">IFERROR(__xludf.DUMMYFUNCTION("GOOGLETRANSLATE(B5734,""en"",""ja"")"),"近代化")</f>
        <v>近代化</v>
      </c>
    </row>
    <row r="5668" spans="1:3" ht="18" customHeight="1" x14ac:dyDescent="0.3">
      <c r="A5668" s="1">
        <v>4</v>
      </c>
      <c r="B5668" s="1" t="s">
        <v>4630</v>
      </c>
      <c r="C5668" s="1" t="str">
        <f ca="1">IFERROR(__xludf.DUMMYFUNCTION("GOOGLETRANSLATE(B5735,""en"",""ja"")"),"節度")</f>
        <v>節度</v>
      </c>
    </row>
    <row r="5669" spans="1:3" ht="18" customHeight="1" x14ac:dyDescent="0.3">
      <c r="A5669" s="1">
        <v>4</v>
      </c>
      <c r="B5669" s="1" t="s">
        <v>4631</v>
      </c>
      <c r="C5669" s="1" t="str">
        <f ca="1">IFERROR(__xludf.DUMMYFUNCTION("GOOGLETRANSLATE(B5736,""en"",""ja"")"),"ミッション")</f>
        <v>ミッション</v>
      </c>
    </row>
    <row r="5670" spans="1:3" ht="18" customHeight="1" x14ac:dyDescent="0.3">
      <c r="A5670" s="1">
        <v>4</v>
      </c>
      <c r="B5670" s="1" t="s">
        <v>4632</v>
      </c>
      <c r="C5670" s="1" t="str">
        <f ca="1">IFERROR(__xludf.DUMMYFUNCTION("GOOGLETRANSLATE(B5737,""en"",""ja"")"),"ミサイル")</f>
        <v>ミサイル</v>
      </c>
    </row>
    <row r="5671" spans="1:3" ht="18" customHeight="1" x14ac:dyDescent="0.3">
      <c r="A5671" s="1">
        <v>4</v>
      </c>
      <c r="B5671" s="1" t="s">
        <v>3411</v>
      </c>
      <c r="C5671" s="1" t="str">
        <f ca="1">IFERROR(__xludf.DUMMYFUNCTION("GOOGLETRANSLATE(B5738,""en"",""ja"")"),"不始末")</f>
        <v>不始末</v>
      </c>
    </row>
    <row r="5672" spans="1:3" ht="18" customHeight="1" x14ac:dyDescent="0.3">
      <c r="A5672" s="1">
        <v>4</v>
      </c>
      <c r="B5672" s="1" t="s">
        <v>4633</v>
      </c>
      <c r="C5672" s="1" t="str">
        <f ca="1">IFERROR(__xludf.DUMMYFUNCTION("GOOGLETRANSLATE(B5739,""en"",""ja"")"),"事故")</f>
        <v>事故</v>
      </c>
    </row>
    <row r="5673" spans="1:3" ht="18" customHeight="1" x14ac:dyDescent="0.3">
      <c r="A5673" s="1">
        <v>4</v>
      </c>
      <c r="B5673" s="1" t="s">
        <v>2634</v>
      </c>
      <c r="C5673" s="1" t="str">
        <f ca="1">IFERROR(__xludf.DUMMYFUNCTION("GOOGLETRANSLATE(B5740,""en"",""ja"")"),"悲惨")</f>
        <v>悲惨</v>
      </c>
    </row>
    <row r="5674" spans="1:3" ht="18" customHeight="1" x14ac:dyDescent="0.3">
      <c r="A5674" s="1">
        <v>4</v>
      </c>
      <c r="B5674" s="1" t="s">
        <v>4634</v>
      </c>
      <c r="C5674" s="1" t="str">
        <f ca="1">IFERROR(__xludf.DUMMYFUNCTION("GOOGLETRANSLATE(B5741,""en"",""ja"")"),"微罪")</f>
        <v>微罪</v>
      </c>
    </row>
    <row r="5675" spans="1:3" ht="18" customHeight="1" x14ac:dyDescent="0.3">
      <c r="A5675" s="1">
        <v>4</v>
      </c>
      <c r="B5675" s="1" t="s">
        <v>4635</v>
      </c>
      <c r="C5675" s="1" t="str">
        <f ca="1">IFERROR(__xludf.DUMMYFUNCTION("GOOGLETRANSLATE(B5742,""en"",""ja"")"),"誤解")</f>
        <v>誤解</v>
      </c>
    </row>
    <row r="5676" spans="1:3" ht="18" customHeight="1" x14ac:dyDescent="0.3">
      <c r="A5676" s="1">
        <v>4</v>
      </c>
      <c r="B5676" s="1" t="s">
        <v>4636</v>
      </c>
      <c r="C5676" s="1" t="str">
        <f ca="1">IFERROR(__xludf.DUMMYFUNCTION("GOOGLETRANSLATE(B5743,""en"",""ja"")"),"模倣")</f>
        <v>模倣</v>
      </c>
    </row>
    <row r="5677" spans="1:3" ht="18" customHeight="1" x14ac:dyDescent="0.3">
      <c r="A5677" s="1">
        <v>4</v>
      </c>
      <c r="B5677" s="1" t="s">
        <v>212</v>
      </c>
      <c r="C5677" s="1" t="str">
        <f ca="1">IFERROR(__xludf.DUMMYFUNCTION("GOOGLETRANSLATE(B5744,""en"",""ja"")"),"百万")</f>
        <v>百万</v>
      </c>
    </row>
    <row r="5678" spans="1:3" ht="18" customHeight="1" x14ac:dyDescent="0.3">
      <c r="A5678" s="1">
        <v>4</v>
      </c>
      <c r="B5678" s="1" t="s">
        <v>4637</v>
      </c>
      <c r="C5678" s="1" t="str">
        <f ca="1">IFERROR(__xludf.DUMMYFUNCTION("GOOGLETRANSLATE(B5745,""en"",""ja"")"),"工場")</f>
        <v>工場</v>
      </c>
    </row>
    <row r="5679" spans="1:3" ht="18" customHeight="1" x14ac:dyDescent="0.3">
      <c r="A5679" s="1">
        <v>4</v>
      </c>
      <c r="B5679" s="1" t="s">
        <v>4638</v>
      </c>
      <c r="C5679" s="1" t="str">
        <f ca="1">IFERROR(__xludf.DUMMYFUNCTION("GOOGLETRANSLATE(B5746,""en"",""ja"")"),"ミルグラム")</f>
        <v>ミルグラム</v>
      </c>
    </row>
    <row r="5680" spans="1:3" ht="18" customHeight="1" x14ac:dyDescent="0.3">
      <c r="A5680" s="1">
        <v>4</v>
      </c>
      <c r="B5680" s="1" t="s">
        <v>4639</v>
      </c>
      <c r="C5680" s="1" t="str">
        <f ca="1">IFERROR(__xludf.DUMMYFUNCTION("GOOGLETRANSLATE(B5747,""en"",""ja"")"),"マイクロ波")</f>
        <v>マイクロ波</v>
      </c>
    </row>
    <row r="5681" spans="1:3" ht="18" customHeight="1" x14ac:dyDescent="0.3">
      <c r="A5681" s="1">
        <v>4</v>
      </c>
      <c r="B5681" s="1" t="s">
        <v>4640</v>
      </c>
      <c r="C5681" s="1" t="str">
        <f ca="1">IFERROR(__xludf.DUMMYFUNCTION("GOOGLETRANSLATE(B5748,""en"",""ja"")"),"微視的")</f>
        <v>微視的</v>
      </c>
    </row>
    <row r="5682" spans="1:3" ht="18" customHeight="1" x14ac:dyDescent="0.3">
      <c r="A5682" s="1">
        <v>4</v>
      </c>
      <c r="B5682" s="1" t="s">
        <v>4641</v>
      </c>
      <c r="C5682" s="1" t="str">
        <f ca="1">IFERROR(__xludf.DUMMYFUNCTION("GOOGLETRANSLATE(B5749,""en"",""ja"")"),"マイクロエレクトロニクス")</f>
        <v>マイクロエレクトロニクス</v>
      </c>
    </row>
    <row r="5683" spans="1:3" ht="18" customHeight="1" x14ac:dyDescent="0.3">
      <c r="A5683" s="1">
        <v>4</v>
      </c>
      <c r="B5683" s="1" t="s">
        <v>4642</v>
      </c>
      <c r="C5683" s="1" t="str">
        <f ca="1">IFERROR(__xludf.DUMMYFUNCTION("GOOGLETRANSLATE(B5750,""en"",""ja"")"),"メタ")</f>
        <v>メタ</v>
      </c>
    </row>
    <row r="5684" spans="1:3" ht="18" customHeight="1" x14ac:dyDescent="0.3">
      <c r="A5684" s="1">
        <v>4</v>
      </c>
      <c r="B5684" s="1" t="s">
        <v>2976</v>
      </c>
      <c r="C5684" s="1" t="str">
        <f ca="1">IFERROR(__xludf.DUMMYFUNCTION("GOOGLETRANSLATE(B5751,""en"",""ja"")"),"平凡")</f>
        <v>平凡</v>
      </c>
    </row>
    <row r="5685" spans="1:3" ht="18" customHeight="1" x14ac:dyDescent="0.3">
      <c r="A5685" s="1">
        <v>4</v>
      </c>
      <c r="B5685" s="1" t="s">
        <v>4643</v>
      </c>
      <c r="C5685" s="1" t="str">
        <f ca="1">IFERROR(__xludf.DUMMYFUNCTION("GOOGLETRANSLATE(B5752,""en"",""ja"")"),"機械化")</f>
        <v>機械化</v>
      </c>
    </row>
    <row r="5686" spans="1:3" ht="18" customHeight="1" x14ac:dyDescent="0.3">
      <c r="A5686" s="1">
        <v>4</v>
      </c>
      <c r="B5686" s="1" t="s">
        <v>3422</v>
      </c>
      <c r="C5686" s="1" t="str">
        <f ca="1">IFERROR(__xludf.DUMMYFUNCTION("GOOGLETRANSLATE(B5753,""en"",""ja"")"),"機構")</f>
        <v>機構</v>
      </c>
    </row>
    <row r="5687" spans="1:3" ht="18" customHeight="1" x14ac:dyDescent="0.3">
      <c r="A5687" s="1">
        <v>4</v>
      </c>
      <c r="B5687" s="1" t="s">
        <v>4644</v>
      </c>
      <c r="C5687" s="1" t="str">
        <f ca="1">IFERROR(__xludf.DUMMYFUNCTION("GOOGLETRANSLATE(B5754,""en"",""ja"")"),"MD")</f>
        <v>MD</v>
      </c>
    </row>
    <row r="5688" spans="1:3" ht="18" customHeight="1" x14ac:dyDescent="0.3">
      <c r="A5688" s="1">
        <v>4</v>
      </c>
      <c r="B5688" s="1" t="s">
        <v>3954</v>
      </c>
      <c r="C5688" s="1" t="str">
        <f ca="1">IFERROR(__xludf.DUMMYFUNCTION("GOOGLETRANSLATE(B5755,""en"",""ja"")"),"マクファーランド")</f>
        <v>マクファーランド</v>
      </c>
    </row>
    <row r="5689" spans="1:3" ht="18" customHeight="1" x14ac:dyDescent="0.3">
      <c r="A5689" s="1">
        <v>4</v>
      </c>
      <c r="B5689" s="1" t="s">
        <v>37</v>
      </c>
      <c r="C5689" s="1" t="str">
        <f ca="1">IFERROR(__xludf.DUMMYFUNCTION("GOOGLETRANSLATE(B5756,""en"",""ja"")"),"五月")</f>
        <v>五月</v>
      </c>
    </row>
    <row r="5690" spans="1:3" ht="18" customHeight="1" x14ac:dyDescent="0.3">
      <c r="A5690" s="1">
        <v>4</v>
      </c>
      <c r="B5690" s="1" t="s">
        <v>4645</v>
      </c>
      <c r="C5690" s="1" t="str">
        <f ca="1">IFERROR(__xludf.DUMMYFUNCTION("GOOGLETRANSLATE(B5757,""en"",""ja"")"),"母性")</f>
        <v>母性</v>
      </c>
    </row>
    <row r="5691" spans="1:3" ht="18" customHeight="1" x14ac:dyDescent="0.3">
      <c r="A5691" s="1">
        <v>4</v>
      </c>
      <c r="B5691" s="1" t="s">
        <v>4646</v>
      </c>
      <c r="C5691" s="1" t="str">
        <f ca="1">IFERROR(__xludf.DUMMYFUNCTION("GOOGLETRANSLATE(B5758,""en"",""ja"")"),"マッチ")</f>
        <v>マッチ</v>
      </c>
    </row>
    <row r="5692" spans="1:3" ht="18" customHeight="1" x14ac:dyDescent="0.3">
      <c r="A5692" s="1">
        <v>4</v>
      </c>
      <c r="B5692" s="1" t="s">
        <v>4647</v>
      </c>
      <c r="C5692" s="1" t="str">
        <f ca="1">IFERROR(__xludf.DUMMYFUNCTION("GOOGLETRANSLATE(B5759,""en"",""ja"")"),"マサチューセッツ州")</f>
        <v>マサチューセッツ州</v>
      </c>
    </row>
    <row r="5693" spans="1:3" ht="18" customHeight="1" x14ac:dyDescent="0.3">
      <c r="A5693" s="1">
        <v>4</v>
      </c>
      <c r="B5693" s="1" t="s">
        <v>4648</v>
      </c>
      <c r="C5693" s="1" t="str">
        <f ca="1">IFERROR(__xludf.DUMMYFUNCTION("GOOGLETRANSLATE(B5760,""en"",""ja"")"),"マスク")</f>
        <v>マスク</v>
      </c>
    </row>
    <row r="5694" spans="1:3" ht="18" customHeight="1" x14ac:dyDescent="0.3">
      <c r="A5694" s="1">
        <v>4</v>
      </c>
      <c r="B5694" s="1" t="s">
        <v>4649</v>
      </c>
      <c r="C5694" s="1" t="str">
        <f ca="1">IFERROR(__xludf.DUMMYFUNCTION("GOOGLETRANSLATE(B5761,""en"",""ja"")"),"メアリー")</f>
        <v>メアリー</v>
      </c>
    </row>
    <row r="5695" spans="1:3" ht="18" customHeight="1" x14ac:dyDescent="0.3">
      <c r="A5695" s="1">
        <v>4</v>
      </c>
      <c r="B5695" s="1" t="s">
        <v>4650</v>
      </c>
      <c r="C5695" s="1" t="str">
        <f ca="1">IFERROR(__xludf.DUMMYFUNCTION("GOOGLETRANSLATE(B5762,""en"",""ja"")"),"マルクス")</f>
        <v>マルクス</v>
      </c>
    </row>
    <row r="5696" spans="1:3" ht="18" customHeight="1" x14ac:dyDescent="0.3">
      <c r="A5696" s="1">
        <v>4</v>
      </c>
      <c r="B5696" s="1" t="s">
        <v>1786</v>
      </c>
      <c r="C5696" s="1" t="str">
        <f ca="1">IFERROR(__xludf.DUMMYFUNCTION("GOOGLETRANSLATE(B5763,""en"",""ja"")"),"マージナル")</f>
        <v>マージナル</v>
      </c>
    </row>
    <row r="5697" spans="1:3" ht="18" customHeight="1" x14ac:dyDescent="0.3">
      <c r="A5697" s="1">
        <v>4</v>
      </c>
      <c r="B5697" s="1" t="s">
        <v>4651</v>
      </c>
      <c r="C5697" s="1" t="str">
        <f ca="1">IFERROR(__xludf.DUMMYFUNCTION("GOOGLETRANSLATE(B5764,""en"",""ja"")"),"製造")</f>
        <v>製造</v>
      </c>
    </row>
    <row r="5698" spans="1:3" ht="18" customHeight="1" x14ac:dyDescent="0.3">
      <c r="A5698" s="1">
        <v>4</v>
      </c>
      <c r="B5698" s="1" t="s">
        <v>4652</v>
      </c>
      <c r="C5698" s="1" t="str">
        <f ca="1">IFERROR(__xludf.DUMMYFUNCTION("GOOGLETRANSLATE(B5765,""en"",""ja"")"),"マナー")</f>
        <v>マナー</v>
      </c>
    </row>
    <row r="5699" spans="1:3" ht="18" customHeight="1" x14ac:dyDescent="0.3">
      <c r="A5699" s="1">
        <v>4</v>
      </c>
      <c r="B5699" s="1" t="s">
        <v>3962</v>
      </c>
      <c r="C5699" s="1" t="str">
        <f ca="1">IFERROR(__xludf.DUMMYFUNCTION("GOOGLETRANSLATE(B5766,""en"",""ja"")"),"マンハッタン")</f>
        <v>マンハッタン</v>
      </c>
    </row>
    <row r="5700" spans="1:3" ht="18" customHeight="1" x14ac:dyDescent="0.3">
      <c r="A5700" s="1">
        <v>4</v>
      </c>
      <c r="B5700" s="1" t="s">
        <v>4653</v>
      </c>
      <c r="C5700" s="1" t="str">
        <f ca="1">IFERROR(__xludf.DUMMYFUNCTION("GOOGLETRANSLATE(B5767,""en"",""ja"")"),"哺乳類")</f>
        <v>哺乳類</v>
      </c>
    </row>
    <row r="5701" spans="1:3" ht="18" customHeight="1" x14ac:dyDescent="0.3">
      <c r="A5701" s="1">
        <v>4</v>
      </c>
      <c r="B5701" s="1" t="s">
        <v>3433</v>
      </c>
      <c r="C5701" s="1" t="str">
        <f ca="1">IFERROR(__xludf.DUMMYFUNCTION("GOOGLETRANSLATE(B5768,""en"",""ja"")"),"マルサス")</f>
        <v>マルサス</v>
      </c>
    </row>
    <row r="5702" spans="1:3" ht="18" customHeight="1" x14ac:dyDescent="0.3">
      <c r="A5702" s="1">
        <v>4</v>
      </c>
      <c r="B5702" s="1" t="s">
        <v>1274</v>
      </c>
      <c r="C5702" s="1" t="str">
        <f ca="1">IFERROR(__xludf.DUMMYFUNCTION("GOOGLETRANSLATE(B5769,""en"",""ja"")"),"男性")</f>
        <v>男性</v>
      </c>
    </row>
    <row r="5703" spans="1:3" ht="18" customHeight="1" x14ac:dyDescent="0.3">
      <c r="A5703" s="1">
        <v>4</v>
      </c>
      <c r="B5703" s="1" t="s">
        <v>765</v>
      </c>
      <c r="C5703" s="1" t="str">
        <f ca="1">IFERROR(__xludf.DUMMYFUNCTION("GOOGLETRANSLATE(B5770,""en"",""ja"")"),"メイン")</f>
        <v>メイン</v>
      </c>
    </row>
    <row r="5704" spans="1:3" ht="18" customHeight="1" x14ac:dyDescent="0.3">
      <c r="A5704" s="1">
        <v>4</v>
      </c>
      <c r="B5704" s="1" t="s">
        <v>4654</v>
      </c>
      <c r="C5704" s="1" t="str">
        <f ca="1">IFERROR(__xludf.DUMMYFUNCTION("GOOGLETRANSLATE(B5771,""en"",""ja"")"),"マガジン")</f>
        <v>マガジン</v>
      </c>
    </row>
    <row r="5705" spans="1:3" ht="18" customHeight="1" x14ac:dyDescent="0.3">
      <c r="A5705" s="1">
        <v>4</v>
      </c>
      <c r="B5705" s="1" t="s">
        <v>4655</v>
      </c>
      <c r="C5705" s="1" t="str">
        <f ca="1">IFERROR(__xludf.DUMMYFUNCTION("GOOGLETRANSLATE(B5772,""en"",""ja"")"),"リン")</f>
        <v>リン</v>
      </c>
    </row>
    <row r="5706" spans="1:3" ht="18" customHeight="1" x14ac:dyDescent="0.3">
      <c r="A5706" s="1">
        <v>4</v>
      </c>
      <c r="B5706" s="1" t="s">
        <v>4656</v>
      </c>
      <c r="C5706" s="1" t="str">
        <f ca="1">IFERROR(__xludf.DUMMYFUNCTION("GOOGLETRANSLATE(B5773,""en"",""ja"")"),"ロイヤル")</f>
        <v>ロイヤル</v>
      </c>
    </row>
    <row r="5707" spans="1:3" ht="18" customHeight="1" x14ac:dyDescent="0.3">
      <c r="A5707" s="1">
        <v>4</v>
      </c>
      <c r="B5707" s="1" t="s">
        <v>4657</v>
      </c>
      <c r="C5707" s="1" t="str">
        <f ca="1">IFERROR(__xludf.DUMMYFUNCTION("GOOGLETRANSLATE(B5774,""en"",""ja"")"),"愛します")</f>
        <v>愛します</v>
      </c>
    </row>
    <row r="5708" spans="1:3" ht="18" customHeight="1" x14ac:dyDescent="0.3">
      <c r="A5708" s="1">
        <v>4</v>
      </c>
      <c r="B5708" s="1" t="s">
        <v>4658</v>
      </c>
      <c r="C5708" s="1" t="str">
        <f ca="1">IFERROR(__xludf.DUMMYFUNCTION("GOOGLETRANSLATE(B5775,""en"",""ja"")"),"lovelocks")</f>
        <v>lovelocks</v>
      </c>
    </row>
    <row r="5709" spans="1:3" ht="18" customHeight="1" x14ac:dyDescent="0.3">
      <c r="A5709" s="1">
        <v>4</v>
      </c>
      <c r="B5709" s="1" t="s">
        <v>4659</v>
      </c>
      <c r="C5709" s="1" t="str">
        <f ca="1">IFERROR(__xludf.DUMMYFUNCTION("GOOGLETRANSLATE(B5777,""en"",""ja"")"),"損失")</f>
        <v>損失</v>
      </c>
    </row>
    <row r="5710" spans="1:3" ht="18" customHeight="1" x14ac:dyDescent="0.3">
      <c r="A5710" s="1">
        <v>4</v>
      </c>
      <c r="B5710" s="1" t="s">
        <v>4660</v>
      </c>
      <c r="C5710" s="1" t="str">
        <f ca="1">IFERROR(__xludf.DUMMYFUNCTION("GOOGLETRANSLATE(B5778,""en"",""ja"")"),"敗者")</f>
        <v>敗者</v>
      </c>
    </row>
    <row r="5711" spans="1:3" ht="18" customHeight="1" x14ac:dyDescent="0.3">
      <c r="A5711" s="1">
        <v>4</v>
      </c>
      <c r="B5711" s="1" t="s">
        <v>4661</v>
      </c>
      <c r="C5711" s="1" t="str">
        <f ca="1">IFERROR(__xludf.DUMMYFUNCTION("GOOGLETRANSLATE(B5779,""en"",""ja"")"),"長寿")</f>
        <v>長寿</v>
      </c>
    </row>
    <row r="5712" spans="1:3" ht="18" customHeight="1" x14ac:dyDescent="0.3">
      <c r="A5712" s="1">
        <v>4</v>
      </c>
      <c r="B5712" s="1" t="s">
        <v>4662</v>
      </c>
      <c r="C5712" s="1" t="str">
        <f ca="1">IFERROR(__xludf.DUMMYFUNCTION("GOOGLETRANSLATE(B5780,""en"",""ja"")"),"一匹狼")</f>
        <v>一匹狼</v>
      </c>
    </row>
    <row r="5713" spans="1:3" ht="18" customHeight="1" x14ac:dyDescent="0.3">
      <c r="A5713" s="1">
        <v>4</v>
      </c>
      <c r="B5713" s="1" t="s">
        <v>4663</v>
      </c>
      <c r="C5713" s="1" t="str">
        <f ca="1">IFERROR(__xludf.DUMMYFUNCTION("GOOGLETRANSLATE(B5781,""en"",""ja"")"),"ログ")</f>
        <v>ログ</v>
      </c>
    </row>
    <row r="5714" spans="1:3" ht="18" customHeight="1" x14ac:dyDescent="0.3">
      <c r="A5714" s="1">
        <v>4</v>
      </c>
      <c r="B5714" s="1" t="s">
        <v>4664</v>
      </c>
      <c r="C5714" s="1" t="str">
        <f ca="1">IFERROR(__xludf.DUMMYFUNCTION("GOOGLETRANSLATE(B5782,""en"",""ja"")"),"ローン")</f>
        <v>ローン</v>
      </c>
    </row>
    <row r="5715" spans="1:3" ht="18" customHeight="1" x14ac:dyDescent="0.3">
      <c r="A5715" s="1">
        <v>4</v>
      </c>
      <c r="B5715" s="1" t="s">
        <v>4665</v>
      </c>
      <c r="C5715" s="1" t="str">
        <f ca="1">IFERROR(__xludf.DUMMYFUNCTION("GOOGLETRANSLATE(B5783,""en"",""ja"")"),"雌ライオン")</f>
        <v>雌ライオン</v>
      </c>
    </row>
    <row r="5716" spans="1:3" ht="18" customHeight="1" x14ac:dyDescent="0.3">
      <c r="A5716" s="1">
        <v>4</v>
      </c>
      <c r="B5716" s="1" t="s">
        <v>2115</v>
      </c>
      <c r="C5716" s="1" t="str">
        <f ca="1">IFERROR(__xludf.DUMMYFUNCTION("GOOGLETRANSLATE(B5784,""en"",""ja"")"),"言語学")</f>
        <v>言語学</v>
      </c>
    </row>
    <row r="5717" spans="1:3" ht="18" customHeight="1" x14ac:dyDescent="0.3">
      <c r="A5717" s="1">
        <v>4</v>
      </c>
      <c r="B5717" s="1" t="s">
        <v>3443</v>
      </c>
      <c r="C5717" s="1" t="str">
        <f ca="1">IFERROR(__xludf.DUMMYFUNCTION("GOOGLETRANSLATE(B5785,""en"",""ja"")"),"言語学者")</f>
        <v>言語学者</v>
      </c>
    </row>
    <row r="5718" spans="1:3" ht="18" customHeight="1" x14ac:dyDescent="0.3">
      <c r="A5718" s="1">
        <v>4</v>
      </c>
      <c r="B5718" s="1" t="s">
        <v>4666</v>
      </c>
      <c r="C5718" s="1" t="str">
        <f ca="1">IFERROR(__xludf.DUMMYFUNCTION("GOOGLETRANSLATE(B5786,""en"",""ja"")"),"手足")</f>
        <v>手足</v>
      </c>
    </row>
    <row r="5719" spans="1:3" ht="18" customHeight="1" x14ac:dyDescent="0.3">
      <c r="A5719" s="1">
        <v>4</v>
      </c>
      <c r="B5719" s="1" t="s">
        <v>4667</v>
      </c>
      <c r="C5719" s="1" t="str">
        <f ca="1">IFERROR(__xludf.DUMMYFUNCTION("GOOGLETRANSLATE(B5787,""en"",""ja"")"),"可能性")</f>
        <v>可能性</v>
      </c>
    </row>
    <row r="5720" spans="1:3" ht="18" customHeight="1" x14ac:dyDescent="0.3">
      <c r="A5720" s="1">
        <v>4</v>
      </c>
      <c r="B5720" s="1" t="s">
        <v>4668</v>
      </c>
      <c r="C5720" s="1" t="str">
        <f ca="1">IFERROR(__xludf.DUMMYFUNCTION("GOOGLETRANSLATE(B5788,""en"",""ja"")"),"せ")</f>
        <v>せ</v>
      </c>
    </row>
    <row r="5721" spans="1:3" ht="18" customHeight="1" x14ac:dyDescent="0.3">
      <c r="A5721" s="1">
        <v>4</v>
      </c>
      <c r="B5721" s="1" t="s">
        <v>4669</v>
      </c>
      <c r="C5721" s="1" t="str">
        <f ca="1">IFERROR(__xludf.DUMMYFUNCTION("GOOGLETRANSLATE(B5789,""en"",""ja"")"),"風下")</f>
        <v>風下</v>
      </c>
    </row>
    <row r="5722" spans="1:3" ht="18" customHeight="1" x14ac:dyDescent="0.3">
      <c r="A5722" s="1">
        <v>4</v>
      </c>
      <c r="B5722" s="1" t="s">
        <v>4670</v>
      </c>
      <c r="C5722" s="1" t="str">
        <f ca="1">IFERROR(__xludf.DUMMYFUNCTION("GOOGLETRANSLATE(B5790,""en"",""ja"")"),"学習者")</f>
        <v>学習者</v>
      </c>
    </row>
    <row r="5723" spans="1:3" ht="18" customHeight="1" x14ac:dyDescent="0.3">
      <c r="A5723" s="1">
        <v>4</v>
      </c>
      <c r="B5723" s="1" t="s">
        <v>4671</v>
      </c>
      <c r="C5723" s="1" t="str">
        <f ca="1">IFERROR(__xludf.DUMMYFUNCTION("GOOGLETRANSLATE(B5791,""en"",""ja"")"),"弁護士")</f>
        <v>弁護士</v>
      </c>
    </row>
    <row r="5724" spans="1:3" ht="18" customHeight="1" x14ac:dyDescent="0.3">
      <c r="A5724" s="1">
        <v>4</v>
      </c>
      <c r="B5724" s="1" t="s">
        <v>4672</v>
      </c>
      <c r="C5724" s="1" t="str">
        <f ca="1">IFERROR(__xludf.DUMMYFUNCTION("GOOGLETRANSLATE(B5792,""en"",""ja"")"),"喉頭炎")</f>
        <v>喉頭炎</v>
      </c>
    </row>
    <row r="5725" spans="1:3" ht="18" customHeight="1" x14ac:dyDescent="0.3">
      <c r="A5725" s="1">
        <v>4</v>
      </c>
      <c r="B5725" s="1" t="s">
        <v>4673</v>
      </c>
      <c r="C5725" s="1" t="str">
        <f ca="1">IFERROR(__xludf.DUMMYFUNCTION("GOOGLETRANSLATE(B5793,""en"",""ja"")"),"最大")</f>
        <v>最大</v>
      </c>
    </row>
    <row r="5726" spans="1:3" ht="18" customHeight="1" x14ac:dyDescent="0.3">
      <c r="A5726" s="1">
        <v>4</v>
      </c>
      <c r="B5726" s="1" t="s">
        <v>4674</v>
      </c>
      <c r="C5726" s="1" t="str">
        <f ca="1">IFERROR(__xludf.DUMMYFUNCTION("GOOGLETRANSLATE(B5794,""en"",""ja"")"),"土地")</f>
        <v>土地</v>
      </c>
    </row>
    <row r="5727" spans="1:3" ht="18" customHeight="1" x14ac:dyDescent="0.3">
      <c r="A5727" s="1">
        <v>4</v>
      </c>
      <c r="B5727" s="1" t="s">
        <v>4675</v>
      </c>
      <c r="C5727" s="1" t="str">
        <f ca="1">IFERROR(__xludf.DUMMYFUNCTION("GOOGLETRANSLATE(B5795,""en"",""ja"")"),"着陸")</f>
        <v>着陸</v>
      </c>
    </row>
    <row r="5728" spans="1:3" ht="18" customHeight="1" x14ac:dyDescent="0.3">
      <c r="A5728" s="1">
        <v>4</v>
      </c>
      <c r="B5728" s="1" t="s">
        <v>4676</v>
      </c>
      <c r="C5728" s="1" t="str">
        <f ca="1">IFERROR(__xludf.DUMMYFUNCTION("GOOGLETRANSLATE(B5796,""en"",""ja"")"),"ランプ")</f>
        <v>ランプ</v>
      </c>
    </row>
    <row r="5729" spans="1:3" ht="18" customHeight="1" x14ac:dyDescent="0.3">
      <c r="A5729" s="1">
        <v>4</v>
      </c>
      <c r="B5729" s="1" t="s">
        <v>4677</v>
      </c>
      <c r="C5729" s="1" t="str">
        <f ca="1">IFERROR(__xludf.DUMMYFUNCTION("GOOGLETRANSLATE(B5797,""en"",""ja"")"),"レイド")</f>
        <v>レイド</v>
      </c>
    </row>
    <row r="5730" spans="1:3" ht="18" customHeight="1" x14ac:dyDescent="0.3">
      <c r="A5730" s="1">
        <v>4</v>
      </c>
      <c r="B5730" s="1" t="s">
        <v>4678</v>
      </c>
      <c r="C5730" s="1" t="str">
        <f ca="1">IFERROR(__xludf.DUMMYFUNCTION("GOOGLETRANSLATE(B5798,""en"",""ja"")"),"研究所")</f>
        <v>研究所</v>
      </c>
    </row>
    <row r="5731" spans="1:3" ht="18" customHeight="1" x14ac:dyDescent="0.3">
      <c r="A5731" s="1">
        <v>4</v>
      </c>
      <c r="B5731" s="1" t="s">
        <v>4679</v>
      </c>
      <c r="C5731" s="1" t="str">
        <f ca="1">IFERROR(__xludf.DUMMYFUNCTION("GOOGLETRANSLATE(B5799,""en"",""ja"")"),"ラベル")</f>
        <v>ラベル</v>
      </c>
    </row>
    <row r="5732" spans="1:3" ht="18" customHeight="1" x14ac:dyDescent="0.3">
      <c r="A5732" s="1">
        <v>4</v>
      </c>
      <c r="B5732" s="1" t="s">
        <v>4680</v>
      </c>
      <c r="C5732" s="1" t="str">
        <f ca="1">IFERROR(__xludf.DUMMYFUNCTION("GOOGLETRANSLATE(B5800,""en"",""ja"")"),"知ること")</f>
        <v>知ること</v>
      </c>
    </row>
    <row r="5733" spans="1:3" ht="18" customHeight="1" x14ac:dyDescent="0.3">
      <c r="A5733" s="1">
        <v>4</v>
      </c>
      <c r="B5733" s="1" t="s">
        <v>4681</v>
      </c>
      <c r="C5733" s="1" t="str">
        <f ca="1">IFERROR(__xludf.DUMMYFUNCTION("GOOGLETRANSLATE(B5801,""en"",""ja"")"),"ナイフ")</f>
        <v>ナイフ</v>
      </c>
    </row>
    <row r="5734" spans="1:3" ht="18" customHeight="1" x14ac:dyDescent="0.3">
      <c r="A5734" s="1">
        <v>4</v>
      </c>
      <c r="B5734" s="1" t="s">
        <v>4682</v>
      </c>
      <c r="C5734" s="1" t="str">
        <f ca="1">IFERROR(__xludf.DUMMYFUNCTION("GOOGLETRANSLATE(B5802,""en"",""ja"")"),"王さん")</f>
        <v>王さん</v>
      </c>
    </row>
    <row r="5735" spans="1:3" ht="18" customHeight="1" x14ac:dyDescent="0.3">
      <c r="A5735" s="1">
        <v>4</v>
      </c>
      <c r="B5735" s="1" t="s">
        <v>4683</v>
      </c>
      <c r="C5735" s="1" t="str">
        <f ca="1">IFERROR(__xludf.DUMMYFUNCTION("GOOGLETRANSLATE(B5803,""en"",""ja"")"),"殺害")</f>
        <v>殺害</v>
      </c>
    </row>
    <row r="5736" spans="1:3" ht="18" customHeight="1" x14ac:dyDescent="0.3">
      <c r="A5736" s="1">
        <v>4</v>
      </c>
      <c r="B5736" s="1" t="s">
        <v>4684</v>
      </c>
      <c r="C5736" s="1" t="str">
        <f ca="1">IFERROR(__xludf.DUMMYFUNCTION("GOOGLETRANSLATE(B5804,""en"",""ja"")"),"キック")</f>
        <v>キック</v>
      </c>
    </row>
    <row r="5737" spans="1:3" ht="18" customHeight="1" x14ac:dyDescent="0.3">
      <c r="A5737" s="1">
        <v>4</v>
      </c>
      <c r="B5737" s="1" t="s">
        <v>4685</v>
      </c>
      <c r="C5737" s="1" t="str">
        <f ca="1">IFERROR(__xludf.DUMMYFUNCTION("GOOGLETRANSLATE(B5805,""en"",""ja"")"),"ハルツーム")</f>
        <v>ハルツーム</v>
      </c>
    </row>
    <row r="5738" spans="1:3" ht="18" customHeight="1" x14ac:dyDescent="0.3">
      <c r="A5738" s="1">
        <v>4</v>
      </c>
      <c r="B5738" s="1" t="s">
        <v>4686</v>
      </c>
      <c r="C5738" s="1" t="str">
        <f ca="1">IFERROR(__xludf.DUMMYFUNCTION("GOOGLETRANSLATE(B5806,""en"",""ja"")"),"ケネディ")</f>
        <v>ケネディ</v>
      </c>
    </row>
    <row r="5739" spans="1:3" ht="18" customHeight="1" x14ac:dyDescent="0.3">
      <c r="A5739" s="1">
        <v>4</v>
      </c>
      <c r="B5739" s="1" t="s">
        <v>4687</v>
      </c>
      <c r="C5739" s="1" t="str">
        <f ca="1">IFERROR(__xludf.DUMMYFUNCTION("GOOGLETRANSLATE(B5807,""en"",""ja"")"),"六月")</f>
        <v>六月</v>
      </c>
    </row>
    <row r="5740" spans="1:3" ht="18" customHeight="1" x14ac:dyDescent="0.3">
      <c r="A5740" s="1">
        <v>4</v>
      </c>
      <c r="B5740" s="1" t="s">
        <v>3454</v>
      </c>
      <c r="C5740" s="1" t="str">
        <f ca="1">IFERROR(__xludf.DUMMYFUNCTION("GOOGLETRANSLATE(B5808,""en"",""ja"")"),"司法")</f>
        <v>司法</v>
      </c>
    </row>
    <row r="5741" spans="1:3" ht="18" customHeight="1" x14ac:dyDescent="0.3">
      <c r="A5741" s="1">
        <v>4</v>
      </c>
      <c r="B5741" s="1" t="s">
        <v>4688</v>
      </c>
      <c r="C5741" s="1" t="str">
        <f ca="1">IFERROR(__xludf.DUMMYFUNCTION("GOOGLETRANSLATE(B5809,""en"",""ja"")"),"嫉妬")</f>
        <v>嫉妬</v>
      </c>
    </row>
    <row r="5742" spans="1:3" ht="18" customHeight="1" x14ac:dyDescent="0.3">
      <c r="A5742" s="1">
        <v>4</v>
      </c>
      <c r="B5742" s="1" t="s">
        <v>4689</v>
      </c>
      <c r="C5742" s="1" t="str">
        <f ca="1">IFERROR(__xludf.DUMMYFUNCTION("GOOGLETRANSLATE(B5810,""en"",""ja"")"),"顎骨")</f>
        <v>顎骨</v>
      </c>
    </row>
    <row r="5743" spans="1:3" ht="18" customHeight="1" x14ac:dyDescent="0.3">
      <c r="A5743" s="1">
        <v>4</v>
      </c>
      <c r="B5743" s="1" t="s">
        <v>4690</v>
      </c>
      <c r="C5743" s="1" t="str">
        <f ca="1">IFERROR(__xludf.DUMMYFUNCTION("GOOGLETRANSLATE(B5811,""en"",""ja"")"),"ジャック")</f>
        <v>ジャック</v>
      </c>
    </row>
    <row r="5744" spans="1:3" ht="18" customHeight="1" x14ac:dyDescent="0.3">
      <c r="A5744" s="1">
        <v>4</v>
      </c>
      <c r="B5744" s="1" t="s">
        <v>4691</v>
      </c>
      <c r="C5744" s="1" t="str">
        <f ca="1">IFERROR(__xludf.DUMMYFUNCTION("GOOGLETRANSLATE(B5812,""en"",""ja"")"),"ジャバルプル")</f>
        <v>ジャバルプル</v>
      </c>
    </row>
    <row r="5745" spans="1:3" ht="18" customHeight="1" x14ac:dyDescent="0.3">
      <c r="A5745" s="1">
        <v>4</v>
      </c>
      <c r="B5745" s="1" t="s">
        <v>8</v>
      </c>
      <c r="C5745" s="1" t="str">
        <f ca="1">IFERROR(__xludf.DUMMYFUNCTION("GOOGLETRANSLATE(B5813,""en"",""ja"")"),"それ")</f>
        <v>それ</v>
      </c>
    </row>
    <row r="5746" spans="1:3" ht="18" customHeight="1" x14ac:dyDescent="0.3">
      <c r="A5746" s="1">
        <v>4</v>
      </c>
      <c r="B5746" s="1" t="s">
        <v>4692</v>
      </c>
      <c r="C5746" s="1" t="str">
        <f ca="1">IFERROR(__xludf.DUMMYFUNCTION("GOOGLETRANSLATE(B5814,""en"",""ja"")"),"刺激性")</f>
        <v>刺激性</v>
      </c>
    </row>
    <row r="5747" spans="1:3" ht="18" customHeight="1" x14ac:dyDescent="0.3">
      <c r="A5747" s="1">
        <v>4</v>
      </c>
      <c r="B5747" s="1" t="s">
        <v>4693</v>
      </c>
      <c r="C5747" s="1" t="str">
        <f ca="1">IFERROR(__xludf.DUMMYFUNCTION("GOOGLETRANSLATE(B5815,""en"",""ja"")"),"かかわらず、")</f>
        <v>かかわらず、</v>
      </c>
    </row>
    <row r="5748" spans="1:3" ht="18" customHeight="1" x14ac:dyDescent="0.3">
      <c r="A5748" s="1">
        <v>4</v>
      </c>
      <c r="B5748" s="1" t="s">
        <v>3461</v>
      </c>
      <c r="C5748" s="1" t="str">
        <f ca="1">IFERROR(__xludf.DUMMYFUNCTION("GOOGLETRANSLATE(B5816,""en"",""ja"")"),"不合理")</f>
        <v>不合理</v>
      </c>
    </row>
    <row r="5749" spans="1:3" ht="18" customHeight="1" x14ac:dyDescent="0.3">
      <c r="A5749" s="1">
        <v>4</v>
      </c>
      <c r="B5749" s="1" t="s">
        <v>4694</v>
      </c>
      <c r="C5749" s="1" t="str">
        <f ca="1">IFERROR(__xludf.DUMMYFUNCTION("GOOGLETRANSLATE(B5817,""en"",""ja"")"),"アイロニー")</f>
        <v>アイロニー</v>
      </c>
    </row>
    <row r="5750" spans="1:3" ht="18" customHeight="1" x14ac:dyDescent="0.3">
      <c r="A5750" s="1">
        <v>4</v>
      </c>
      <c r="B5750" s="1" t="s">
        <v>4695</v>
      </c>
      <c r="C5750" s="1" t="str">
        <f ca="1">IFERROR(__xludf.DUMMYFUNCTION("GOOGLETRANSLATE(B5818,""en"",""ja"")"),"関与")</f>
        <v>関与</v>
      </c>
    </row>
    <row r="5751" spans="1:3" ht="18" customHeight="1" x14ac:dyDescent="0.3">
      <c r="A5751" s="1">
        <v>4</v>
      </c>
      <c r="B5751" s="1" t="s">
        <v>4696</v>
      </c>
      <c r="C5751" s="1" t="str">
        <f ca="1">IFERROR(__xludf.DUMMYFUNCTION("GOOGLETRANSLATE(B5819,""en"",""ja"")"),"呼び出し")</f>
        <v>呼び出し</v>
      </c>
    </row>
    <row r="5752" spans="1:3" ht="18" customHeight="1" x14ac:dyDescent="0.3">
      <c r="A5752" s="1">
        <v>4</v>
      </c>
      <c r="B5752" s="1" t="s">
        <v>4697</v>
      </c>
      <c r="C5752" s="1" t="str">
        <f ca="1">IFERROR(__xludf.DUMMYFUNCTION("GOOGLETRANSLATE(B5820,""en"",""ja"")"),"招待")</f>
        <v>招待</v>
      </c>
    </row>
    <row r="5753" spans="1:3" ht="18" customHeight="1" x14ac:dyDescent="0.3">
      <c r="A5753" s="1">
        <v>4</v>
      </c>
      <c r="B5753" s="1" t="s">
        <v>4698</v>
      </c>
      <c r="C5753" s="1" t="str">
        <f ca="1">IFERROR(__xludf.DUMMYFUNCTION("GOOGLETRANSLATE(B5821,""en"",""ja"")"),"招待")</f>
        <v>招待</v>
      </c>
    </row>
    <row r="5754" spans="1:3" ht="18" customHeight="1" x14ac:dyDescent="0.3">
      <c r="A5754" s="1">
        <v>4</v>
      </c>
      <c r="B5754" s="1" t="s">
        <v>1793</v>
      </c>
      <c r="C5754" s="1" t="str">
        <f ca="1">IFERROR(__xludf.DUMMYFUNCTION("GOOGLETRANSLATE(B5822,""en"",""ja"")"),"調べます")</f>
        <v>調べます</v>
      </c>
    </row>
    <row r="5755" spans="1:3" ht="18" customHeight="1" x14ac:dyDescent="0.3">
      <c r="A5755" s="1">
        <v>4</v>
      </c>
      <c r="B5755" s="1" t="s">
        <v>4699</v>
      </c>
      <c r="C5755" s="1" t="str">
        <f ca="1">IFERROR(__xludf.DUMMYFUNCTION("GOOGLETRANSLATE(B5823,""en"",""ja"")"),"発明します")</f>
        <v>発明します</v>
      </c>
    </row>
    <row r="5756" spans="1:3" ht="18" customHeight="1" x14ac:dyDescent="0.3">
      <c r="A5756" s="1">
        <v>4</v>
      </c>
      <c r="B5756" s="1" t="s">
        <v>4700</v>
      </c>
      <c r="C5756" s="1" t="str">
        <f ca="1">IFERROR(__xludf.DUMMYFUNCTION("GOOGLETRANSLATE(B5824,""en"",""ja"")"),"侵入")</f>
        <v>侵入</v>
      </c>
    </row>
    <row r="5757" spans="1:3" ht="18" customHeight="1" x14ac:dyDescent="0.3">
      <c r="A5757" s="1">
        <v>4</v>
      </c>
      <c r="B5757" s="1" t="s">
        <v>4701</v>
      </c>
      <c r="C5757" s="1" t="str">
        <f ca="1">IFERROR(__xludf.DUMMYFUNCTION("GOOGLETRANSLATE(B5825,""en"",""ja"")"),"貴重な")</f>
        <v>貴重な</v>
      </c>
    </row>
    <row r="5758" spans="1:3" ht="18" customHeight="1" x14ac:dyDescent="0.3">
      <c r="A5758" s="1">
        <v>4</v>
      </c>
      <c r="B5758" s="1" t="s">
        <v>2126</v>
      </c>
      <c r="C5758" s="1" t="str">
        <f ca="1">IFERROR(__xludf.DUMMYFUNCTION("GOOGLETRANSLATE(B5826,""en"",""ja"")"),"前書き")</f>
        <v>前書き</v>
      </c>
    </row>
    <row r="5759" spans="1:3" ht="18" customHeight="1" x14ac:dyDescent="0.3">
      <c r="A5759" s="1">
        <v>4</v>
      </c>
      <c r="B5759" s="1" t="s">
        <v>4702</v>
      </c>
      <c r="C5759" s="1" t="str">
        <f ca="1">IFERROR(__xludf.DUMMYFUNCTION("GOOGLETRANSLATE(B5827,""en"",""ja"")"),"複雑")</f>
        <v>複雑</v>
      </c>
    </row>
    <row r="5760" spans="1:3" ht="18" customHeight="1" x14ac:dyDescent="0.3">
      <c r="A5760" s="1">
        <v>4</v>
      </c>
      <c r="B5760" s="1" t="s">
        <v>4703</v>
      </c>
      <c r="C5760" s="1" t="str">
        <f ca="1">IFERROR(__xludf.DUMMYFUNCTION("GOOGLETRANSLATE(B5828,""en"",""ja"")"),"威嚇")</f>
        <v>威嚇</v>
      </c>
    </row>
    <row r="5761" spans="1:3" ht="18" customHeight="1" x14ac:dyDescent="0.3">
      <c r="A5761" s="1">
        <v>4</v>
      </c>
      <c r="B5761" s="1" t="s">
        <v>4704</v>
      </c>
      <c r="C5761" s="1" t="str">
        <f ca="1">IFERROR(__xludf.DUMMYFUNCTION("GOOGLETRANSLATE(B5829,""en"",""ja"")"),"面接")</f>
        <v>面接</v>
      </c>
    </row>
    <row r="5762" spans="1:3" ht="18" customHeight="1" x14ac:dyDescent="0.3">
      <c r="A5762" s="1">
        <v>4</v>
      </c>
      <c r="B5762" s="1" t="s">
        <v>4705</v>
      </c>
      <c r="C5762" s="1" t="str">
        <f ca="1">IFERROR(__xludf.DUMMYFUNCTION("GOOGLETRANSLATE(B5830,""en"",""ja"")"),"インタビュアー")</f>
        <v>インタビュアー</v>
      </c>
    </row>
    <row r="5763" spans="1:3" ht="18" customHeight="1" x14ac:dyDescent="0.3">
      <c r="A5763" s="1">
        <v>4</v>
      </c>
      <c r="B5763" s="1" t="s">
        <v>4706</v>
      </c>
      <c r="C5763" s="1" t="str">
        <f ca="1">IFERROR(__xludf.DUMMYFUNCTION("GOOGLETRANSLATE(B5831,""en"",""ja"")"),"インタビュー")</f>
        <v>インタビュー</v>
      </c>
    </row>
    <row r="5764" spans="1:3" ht="18" customHeight="1" x14ac:dyDescent="0.3">
      <c r="A5764" s="1">
        <v>4</v>
      </c>
      <c r="B5764" s="1" t="s">
        <v>1453</v>
      </c>
      <c r="C5764" s="1" t="str">
        <f ca="1">IFERROR(__xludf.DUMMYFUNCTION("GOOGLETRANSLATE(B5832,""en"",""ja"")"),"介入")</f>
        <v>介入</v>
      </c>
    </row>
    <row r="5765" spans="1:3" ht="18" customHeight="1" x14ac:dyDescent="0.3">
      <c r="A5765" s="1">
        <v>4</v>
      </c>
      <c r="B5765" s="1" t="s">
        <v>4707</v>
      </c>
      <c r="C5765" s="1" t="str">
        <f ca="1">IFERROR(__xludf.DUMMYFUNCTION("GOOGLETRANSLATE(B5833,""en"",""ja"")"),"解釈")</f>
        <v>解釈</v>
      </c>
    </row>
    <row r="5766" spans="1:3" ht="18" customHeight="1" x14ac:dyDescent="0.3">
      <c r="A5766" s="1">
        <v>4</v>
      </c>
      <c r="B5766" s="1" t="s">
        <v>4708</v>
      </c>
      <c r="C5766" s="1" t="str">
        <f ca="1">IFERROR(__xludf.DUMMYFUNCTION("GOOGLETRANSLATE(B5834,""en"",""ja"")"),"通訳")</f>
        <v>通訳</v>
      </c>
    </row>
    <row r="5767" spans="1:3" ht="18" customHeight="1" x14ac:dyDescent="0.3">
      <c r="A5767" s="1">
        <v>4</v>
      </c>
      <c r="B5767" s="1" t="s">
        <v>4709</v>
      </c>
      <c r="C5767" s="1" t="str">
        <f ca="1">IFERROR(__xludf.DUMMYFUNCTION("GOOGLETRANSLATE(B5835,""en"",""ja"")"),"国際")</f>
        <v>国際</v>
      </c>
    </row>
    <row r="5768" spans="1:3" ht="18" customHeight="1" x14ac:dyDescent="0.3">
      <c r="A5768" s="1">
        <v>4</v>
      </c>
      <c r="B5768" s="1" t="s">
        <v>4710</v>
      </c>
      <c r="C5768" s="1" t="str">
        <f ca="1">IFERROR(__xludf.DUMMYFUNCTION("GOOGLETRANSLATE(B5836,""en"",""ja"")"),"意図的")</f>
        <v>意図的</v>
      </c>
    </row>
    <row r="5769" spans="1:3" ht="18" customHeight="1" x14ac:dyDescent="0.3">
      <c r="A5769" s="1">
        <v>4</v>
      </c>
      <c r="B5769" s="1" t="s">
        <v>4711</v>
      </c>
      <c r="C5769" s="1" t="str">
        <f ca="1">IFERROR(__xludf.DUMMYFUNCTION("GOOGLETRANSLATE(B5837,""en"",""ja"")"),"意図")</f>
        <v>意図</v>
      </c>
    </row>
    <row r="5770" spans="1:3" ht="18" customHeight="1" x14ac:dyDescent="0.3">
      <c r="A5770" s="1">
        <v>4</v>
      </c>
      <c r="B5770" s="1" t="s">
        <v>4712</v>
      </c>
      <c r="C5770" s="1" t="str">
        <f ca="1">IFERROR(__xludf.DUMMYFUNCTION("GOOGLETRANSLATE(B5838,""en"",""ja"")"),"強")</f>
        <v>強</v>
      </c>
    </row>
    <row r="5771" spans="1:3" ht="18" customHeight="1" x14ac:dyDescent="0.3">
      <c r="A5771" s="1">
        <v>4</v>
      </c>
      <c r="B5771" s="1" t="s">
        <v>4713</v>
      </c>
      <c r="C5771" s="1" t="str">
        <f ca="1">IFERROR(__xludf.DUMMYFUNCTION("GOOGLETRANSLATE(B5839,""en"",""ja"")"),"統合")</f>
        <v>統合</v>
      </c>
    </row>
    <row r="5772" spans="1:3" ht="18" customHeight="1" x14ac:dyDescent="0.3">
      <c r="A5772" s="1">
        <v>4</v>
      </c>
      <c r="B5772" s="1" t="s">
        <v>4714</v>
      </c>
      <c r="C5772" s="1" t="str">
        <f ca="1">IFERROR(__xludf.DUMMYFUNCTION("GOOGLETRANSLATE(B5840,""en"",""ja"")"),"無形")</f>
        <v>無形</v>
      </c>
    </row>
    <row r="5773" spans="1:3" ht="18" customHeight="1" x14ac:dyDescent="0.3">
      <c r="A5773" s="1">
        <v>4</v>
      </c>
      <c r="B5773" s="1" t="s">
        <v>4715</v>
      </c>
      <c r="C5773" s="1" t="str">
        <f ca="1">IFERROR(__xludf.DUMMYFUNCTION("GOOGLETRANSLATE(B5841,""en"",""ja"")"),"インシュリン")</f>
        <v>インシュリン</v>
      </c>
    </row>
    <row r="5774" spans="1:3" ht="18" customHeight="1" x14ac:dyDescent="0.3">
      <c r="A5774" s="1">
        <v>4</v>
      </c>
      <c r="B5774" s="1" t="s">
        <v>4716</v>
      </c>
      <c r="C5774" s="1" t="str">
        <f ca="1">IFERROR(__xludf.DUMMYFUNCTION("GOOGLETRANSLATE(B5842,""en"",""ja"")"),"断熱")</f>
        <v>断熱</v>
      </c>
    </row>
    <row r="5775" spans="1:3" ht="18" customHeight="1" x14ac:dyDescent="0.3">
      <c r="A5775" s="1">
        <v>4</v>
      </c>
      <c r="B5775" s="1" t="s">
        <v>4717</v>
      </c>
      <c r="C5775" s="1" t="str">
        <f ca="1">IFERROR(__xludf.DUMMYFUNCTION("GOOGLETRANSLATE(B5843,""en"",""ja"")"),"言い張ります")</f>
        <v>言い張ります</v>
      </c>
    </row>
    <row r="5776" spans="1:3" ht="18" customHeight="1" x14ac:dyDescent="0.3">
      <c r="A5776" s="1">
        <v>4</v>
      </c>
      <c r="B5776" s="1" t="s">
        <v>4718</v>
      </c>
      <c r="C5776" s="1" t="str">
        <f ca="1">IFERROR(__xludf.DUMMYFUNCTION("GOOGLETRANSLATE(B5844,""en"",""ja"")"),"僅少")</f>
        <v>僅少</v>
      </c>
    </row>
    <row r="5777" spans="1:3" ht="18" customHeight="1" x14ac:dyDescent="0.3">
      <c r="A5777" s="1">
        <v>4</v>
      </c>
      <c r="B5777" s="1" t="s">
        <v>4719</v>
      </c>
      <c r="C5777" s="1" t="str">
        <f ca="1">IFERROR(__xludf.DUMMYFUNCTION("GOOGLETRANSLATE(B5846,""en"",""ja"")"),"昆虫")</f>
        <v>昆虫</v>
      </c>
    </row>
    <row r="5778" spans="1:3" ht="18" customHeight="1" x14ac:dyDescent="0.3">
      <c r="A5778" s="1">
        <v>4</v>
      </c>
      <c r="B5778" s="1" t="s">
        <v>4720</v>
      </c>
      <c r="C5778" s="1" t="str">
        <f ca="1">IFERROR(__xludf.DUMMYFUNCTION("GOOGLETRANSLATE(B5847,""en"",""ja"")"),"問い合わせ")</f>
        <v>問い合わせ</v>
      </c>
    </row>
    <row r="5779" spans="1:3" ht="18" customHeight="1" x14ac:dyDescent="0.3">
      <c r="A5779" s="1">
        <v>4</v>
      </c>
      <c r="B5779" s="1" t="s">
        <v>4721</v>
      </c>
      <c r="C5779" s="1" t="str">
        <f ca="1">IFERROR(__xludf.DUMMYFUNCTION("GOOGLETRANSLATE(B5848,""en"",""ja"")"),"イノセンス")</f>
        <v>イノセンス</v>
      </c>
    </row>
    <row r="5780" spans="1:3" ht="18" customHeight="1" x14ac:dyDescent="0.3">
      <c r="A5780" s="1">
        <v>4</v>
      </c>
      <c r="B5780" s="1" t="s">
        <v>4722</v>
      </c>
      <c r="C5780" s="1" t="str">
        <f ca="1">IFERROR(__xludf.DUMMYFUNCTION("GOOGLETRANSLATE(B5849,""en"",""ja"")"),"不正")</f>
        <v>不正</v>
      </c>
    </row>
    <row r="5781" spans="1:3" ht="18" customHeight="1" x14ac:dyDescent="0.3">
      <c r="A5781" s="1">
        <v>4</v>
      </c>
      <c r="B5781" s="1" t="s">
        <v>4723</v>
      </c>
      <c r="C5781" s="1" t="str">
        <f ca="1">IFERROR(__xludf.DUMMYFUNCTION("GOOGLETRANSLATE(B5850,""en"",""ja"")"),"注入")</f>
        <v>注入</v>
      </c>
    </row>
    <row r="5782" spans="1:3" ht="18" customHeight="1" x14ac:dyDescent="0.3">
      <c r="A5782" s="1">
        <v>4</v>
      </c>
      <c r="B5782" s="1" t="s">
        <v>4724</v>
      </c>
      <c r="C5782" s="1" t="str">
        <f ca="1">IFERROR(__xludf.DUMMYFUNCTION("GOOGLETRANSLATE(B5851,""en"",""ja"")"),"本質的に")</f>
        <v>本質的に</v>
      </c>
    </row>
    <row r="5783" spans="1:3" ht="18" customHeight="1" x14ac:dyDescent="0.3">
      <c r="A5783" s="1">
        <v>4</v>
      </c>
      <c r="B5783" s="1" t="s">
        <v>4725</v>
      </c>
      <c r="C5783" s="1" t="str">
        <f ca="1">IFERROR(__xludf.DUMMYFUNCTION("GOOGLETRANSLATE(B5852,""en"",""ja"")"),"巧妙")</f>
        <v>巧妙</v>
      </c>
    </row>
    <row r="5784" spans="1:3" ht="18" customHeight="1" x14ac:dyDescent="0.3">
      <c r="A5784" s="1">
        <v>4</v>
      </c>
      <c r="B5784" s="1" t="s">
        <v>4726</v>
      </c>
      <c r="C5784" s="1" t="str">
        <f ca="1">IFERROR(__xludf.DUMMYFUNCTION("GOOGLETRANSLATE(B5854,""en"",""ja"")"),"侵害")</f>
        <v>侵害</v>
      </c>
    </row>
    <row r="5785" spans="1:3" ht="18" customHeight="1" x14ac:dyDescent="0.3">
      <c r="A5785" s="1">
        <v>4</v>
      </c>
      <c r="B5785" s="1" t="s">
        <v>4727</v>
      </c>
      <c r="C5785" s="1" t="str">
        <f ca="1">IFERROR(__xludf.DUMMYFUNCTION("GOOGLETRANSLATE(B5855,""en"",""ja"")"),"屈曲")</f>
        <v>屈曲</v>
      </c>
    </row>
    <row r="5786" spans="1:3" ht="18" customHeight="1" x14ac:dyDescent="0.3">
      <c r="A5786" s="1">
        <v>4</v>
      </c>
      <c r="B5786" s="1" t="s">
        <v>4728</v>
      </c>
      <c r="C5786" s="1" t="str">
        <f ca="1">IFERROR(__xludf.DUMMYFUNCTION("GOOGLETRANSLATE(B5856,""en"",""ja"")"),"不貞")</f>
        <v>不貞</v>
      </c>
    </row>
    <row r="5787" spans="1:3" ht="18" customHeight="1" x14ac:dyDescent="0.3">
      <c r="A5787" s="1">
        <v>4</v>
      </c>
      <c r="B5787" s="1" t="s">
        <v>4729</v>
      </c>
      <c r="C5787" s="1" t="str">
        <f ca="1">IFERROR(__xludf.DUMMYFUNCTION("GOOGLETRANSLATE(B5857,""en"",""ja"")"),"悪いです")</f>
        <v>悪いです</v>
      </c>
    </row>
    <row r="5788" spans="1:3" ht="18" customHeight="1" x14ac:dyDescent="0.3">
      <c r="A5788" s="1">
        <v>4</v>
      </c>
      <c r="B5788" s="1" t="s">
        <v>4730</v>
      </c>
      <c r="C5788" s="1" t="str">
        <f ca="1">IFERROR(__xludf.DUMMYFUNCTION("GOOGLETRANSLATE(B5858,""en"",""ja"")"),"悪名高いです")</f>
        <v>悪名高いです</v>
      </c>
    </row>
    <row r="5789" spans="1:3" ht="18" customHeight="1" x14ac:dyDescent="0.3">
      <c r="A5789" s="1">
        <v>4</v>
      </c>
      <c r="B5789" s="1" t="s">
        <v>4731</v>
      </c>
      <c r="C5789" s="1" t="str">
        <f ca="1">IFERROR(__xludf.DUMMYFUNCTION("GOOGLETRANSLATE(B5859,""en"",""ja"")"),"安価")</f>
        <v>安価</v>
      </c>
    </row>
    <row r="5790" spans="1:3" ht="18" customHeight="1" x14ac:dyDescent="0.3">
      <c r="A5790" s="1">
        <v>4</v>
      </c>
      <c r="B5790" s="1" t="s">
        <v>3002</v>
      </c>
      <c r="C5790" s="1" t="str">
        <f ca="1">IFERROR(__xludf.DUMMYFUNCTION("GOOGLETRANSLATE(B5860,""en"",""ja"")"),"必然")</f>
        <v>必然</v>
      </c>
    </row>
    <row r="5791" spans="1:3" ht="18" customHeight="1" x14ac:dyDescent="0.3">
      <c r="A5791" s="1">
        <v>4</v>
      </c>
      <c r="B5791" s="1" t="s">
        <v>4732</v>
      </c>
      <c r="C5791" s="1" t="str">
        <f ca="1">IFERROR(__xludf.DUMMYFUNCTION("GOOGLETRANSLATE(B5861,""en"",""ja"")"),"不平等")</f>
        <v>不平等</v>
      </c>
    </row>
    <row r="5792" spans="1:3" ht="18" customHeight="1" x14ac:dyDescent="0.3">
      <c r="A5792" s="1">
        <v>4</v>
      </c>
      <c r="B5792" s="1" t="s">
        <v>4733</v>
      </c>
      <c r="C5792" s="1" t="str">
        <f ca="1">IFERROR(__xludf.DUMMYFUNCTION("GOOGLETRANSLATE(B5862,""en"",""ja"")"),"不適格")</f>
        <v>不適格</v>
      </c>
    </row>
    <row r="5793" spans="1:3" ht="18" customHeight="1" x14ac:dyDescent="0.3">
      <c r="A5793" s="1">
        <v>4</v>
      </c>
      <c r="B5793" s="1" t="s">
        <v>4734</v>
      </c>
      <c r="C5793" s="1" t="str">
        <f ca="1">IFERROR(__xludf.DUMMYFUNCTION("GOOGLETRANSLATE(B5863,""en"",""ja"")"),"芸術的な")</f>
        <v>芸術的な</v>
      </c>
    </row>
    <row r="5794" spans="1:3" ht="18" customHeight="1" x14ac:dyDescent="0.3">
      <c r="A5794" s="1">
        <v>4</v>
      </c>
      <c r="B5794" s="1" t="s">
        <v>4735</v>
      </c>
      <c r="C5794" s="1" t="str">
        <f ca="1">IFERROR(__xludf.DUMMYFUNCTION("GOOGLETRANSLATE(B5864,""en"",""ja"")"),"指示します")</f>
        <v>指示します</v>
      </c>
    </row>
    <row r="5795" spans="1:3" ht="18" customHeight="1" x14ac:dyDescent="0.3">
      <c r="A5795" s="1">
        <v>4</v>
      </c>
      <c r="B5795" s="1" t="s">
        <v>4736</v>
      </c>
      <c r="C5795" s="1" t="str">
        <f ca="1">IFERROR(__xludf.DUMMYFUNCTION("GOOGLETRANSLATE(B5865,""en"",""ja"")"),"表示")</f>
        <v>表示</v>
      </c>
    </row>
    <row r="5796" spans="1:3" ht="18" customHeight="1" x14ac:dyDescent="0.3">
      <c r="A5796" s="1">
        <v>4</v>
      </c>
      <c r="B5796" s="1" t="s">
        <v>4737</v>
      </c>
      <c r="C5796" s="1" t="str">
        <f ca="1">IFERROR(__xludf.DUMMYFUNCTION("GOOGLETRANSLATE(B5866,""en"",""ja"")"),"インデックス付き")</f>
        <v>インデックス付き</v>
      </c>
    </row>
    <row r="5797" spans="1:3" ht="18" customHeight="1" x14ac:dyDescent="0.3">
      <c r="A5797" s="1">
        <v>4</v>
      </c>
      <c r="B5797" s="1" t="s">
        <v>276</v>
      </c>
      <c r="C5797" s="1" t="str">
        <f ca="1">IFERROR(__xludf.DUMMYFUNCTION("GOOGLETRANSLATE(B5867,""en"",""ja"")"),"独立の")</f>
        <v>独立の</v>
      </c>
    </row>
    <row r="5798" spans="1:3" ht="18" customHeight="1" x14ac:dyDescent="0.3">
      <c r="A5798" s="1">
        <v>4</v>
      </c>
      <c r="B5798" s="1" t="s">
        <v>4738</v>
      </c>
      <c r="C5798" s="1" t="str">
        <f ca="1">IFERROR(__xludf.DUMMYFUNCTION("GOOGLETRANSLATE(B5868,""en"",""ja"")"),"無期限")</f>
        <v>無期限</v>
      </c>
    </row>
    <row r="5799" spans="1:3" ht="18" customHeight="1" x14ac:dyDescent="0.3">
      <c r="A5799" s="1">
        <v>4</v>
      </c>
      <c r="B5799" s="1" t="s">
        <v>4739</v>
      </c>
      <c r="C5799" s="1" t="str">
        <f ca="1">IFERROR(__xludf.DUMMYFUNCTION("GOOGLETRANSLATE(B5869,""en"",""ja"")"),"傾斜")</f>
        <v>傾斜</v>
      </c>
    </row>
    <row r="5800" spans="1:3" ht="18" customHeight="1" x14ac:dyDescent="0.3">
      <c r="A5800" s="1">
        <v>4</v>
      </c>
      <c r="B5800" s="1" t="s">
        <v>4013</v>
      </c>
      <c r="C5800" s="1" t="str">
        <f ca="1">IFERROR(__xludf.DUMMYFUNCTION("GOOGLETRANSLATE(B5870,""en"",""ja"")"),"できません")</f>
        <v>できません</v>
      </c>
    </row>
    <row r="5801" spans="1:3" ht="18" customHeight="1" x14ac:dyDescent="0.3">
      <c r="A5801" s="1">
        <v>4</v>
      </c>
      <c r="B5801" s="1" t="s">
        <v>4740</v>
      </c>
      <c r="C5801" s="1" t="str">
        <f ca="1">IFERROR(__xludf.DUMMYFUNCTION("GOOGLETRANSLATE(B5871,""en"",""ja"")"),"向上")</f>
        <v>向上</v>
      </c>
    </row>
    <row r="5802" spans="1:3" ht="18" customHeight="1" x14ac:dyDescent="0.3">
      <c r="A5802" s="1">
        <v>4</v>
      </c>
      <c r="B5802" s="1" t="s">
        <v>4741</v>
      </c>
      <c r="C5802" s="1" t="str">
        <f ca="1">IFERROR(__xludf.DUMMYFUNCTION("GOOGLETRANSLATE(B5872,""en"",""ja"")"),"改善")</f>
        <v>改善</v>
      </c>
    </row>
    <row r="5803" spans="1:3" ht="18" customHeight="1" x14ac:dyDescent="0.3">
      <c r="A5803" s="1">
        <v>4</v>
      </c>
      <c r="B5803" s="1" t="s">
        <v>824</v>
      </c>
      <c r="C5803" s="1" t="str">
        <f ca="1">IFERROR(__xludf.DUMMYFUNCTION("GOOGLETRANSLATE(B5873,""en"",""ja"")"),"改善します")</f>
        <v>改善します</v>
      </c>
    </row>
    <row r="5804" spans="1:3" ht="18" customHeight="1" x14ac:dyDescent="0.3">
      <c r="A5804" s="1">
        <v>4</v>
      </c>
      <c r="B5804" s="1" t="s">
        <v>4742</v>
      </c>
      <c r="C5804" s="1" t="str">
        <f ca="1">IFERROR(__xludf.DUMMYFUNCTION("GOOGLETRANSLATE(B5874,""en"",""ja"")"),"感動")</f>
        <v>感動</v>
      </c>
    </row>
    <row r="5805" spans="1:3" ht="18" customHeight="1" x14ac:dyDescent="0.3">
      <c r="A5805" s="1">
        <v>4</v>
      </c>
      <c r="B5805" s="1" t="s">
        <v>1554</v>
      </c>
      <c r="C5805" s="1" t="str">
        <f ca="1">IFERROR(__xludf.DUMMYFUNCTION("GOOGLETRANSLATE(B5875,""en"",""ja"")"),"弾み")</f>
        <v>弾み</v>
      </c>
    </row>
    <row r="5806" spans="1:3" ht="18" customHeight="1" x14ac:dyDescent="0.3">
      <c r="A5806" s="1">
        <v>4</v>
      </c>
      <c r="B5806" s="1" t="s">
        <v>4743</v>
      </c>
      <c r="C5806" s="1" t="str">
        <f ca="1">IFERROR(__xludf.DUMMYFUNCTION("GOOGLETRANSLATE(B5876,""en"",""ja"")"),"不完全")</f>
        <v>不完全</v>
      </c>
    </row>
    <row r="5807" spans="1:3" ht="18" customHeight="1" x14ac:dyDescent="0.3">
      <c r="A5807" s="1">
        <v>4</v>
      </c>
      <c r="B5807" s="1" t="s">
        <v>2681</v>
      </c>
      <c r="C5807" s="1" t="str">
        <f ca="1">IFERROR(__xludf.DUMMYFUNCTION("GOOGLETRANSLATE(B5877,""en"",""ja"")"),"不完全")</f>
        <v>不完全</v>
      </c>
    </row>
    <row r="5808" spans="1:3" ht="18" customHeight="1" x14ac:dyDescent="0.3">
      <c r="A5808" s="1">
        <v>4</v>
      </c>
      <c r="B5808" s="1" t="s">
        <v>4744</v>
      </c>
      <c r="C5808" s="1" t="str">
        <f ca="1">IFERROR(__xludf.DUMMYFUNCTION("GOOGLETRANSLATE(B5878,""en"",""ja"")"),"免疫")</f>
        <v>免疫</v>
      </c>
    </row>
    <row r="5809" spans="1:3" ht="18" customHeight="1" x14ac:dyDescent="0.3">
      <c r="A5809" s="1">
        <v>4</v>
      </c>
      <c r="B5809" s="1" t="s">
        <v>4745</v>
      </c>
      <c r="C5809" s="1" t="str">
        <f ca="1">IFERROR(__xludf.DUMMYFUNCTION("GOOGLETRANSLATE(B5879,""en"",""ja"")"),"移住")</f>
        <v>移住</v>
      </c>
    </row>
    <row r="5810" spans="1:3" ht="18" customHeight="1" x14ac:dyDescent="0.3">
      <c r="A5810" s="1">
        <v>4</v>
      </c>
      <c r="B5810" s="1" t="s">
        <v>853</v>
      </c>
      <c r="C5810" s="1" t="str">
        <f ca="1">IFERROR(__xludf.DUMMYFUNCTION("GOOGLETRANSLATE(B5880,""en"",""ja"")"),"即座")</f>
        <v>即座</v>
      </c>
    </row>
    <row r="5811" spans="1:3" ht="18" customHeight="1" x14ac:dyDescent="0.3">
      <c r="A5811" s="1">
        <v>4</v>
      </c>
      <c r="B5811" s="1" t="s">
        <v>4746</v>
      </c>
      <c r="C5811" s="1" t="str">
        <f ca="1">IFERROR(__xludf.DUMMYFUNCTION("GOOGLETRANSLATE(B5881,""en"",""ja"")"),"模造品")</f>
        <v>模造品</v>
      </c>
    </row>
    <row r="5812" spans="1:3" ht="18" customHeight="1" x14ac:dyDescent="0.3">
      <c r="A5812" s="1">
        <v>4</v>
      </c>
      <c r="B5812" s="1" t="s">
        <v>4747</v>
      </c>
      <c r="C5812" s="1" t="str">
        <f ca="1">IFERROR(__xludf.DUMMYFUNCTION("GOOGLETRANSLATE(B5882,""en"",""ja"")"),"真似")</f>
        <v>真似</v>
      </c>
    </row>
    <row r="5813" spans="1:3" ht="18" customHeight="1" x14ac:dyDescent="0.3">
      <c r="A5813" s="1">
        <v>4</v>
      </c>
      <c r="B5813" s="1" t="s">
        <v>4748</v>
      </c>
      <c r="C5813" s="1" t="str">
        <f ca="1">IFERROR(__xludf.DUMMYFUNCTION("GOOGLETRANSLATE(B5883,""en"",""ja"")"),"想像")</f>
        <v>想像</v>
      </c>
    </row>
    <row r="5814" spans="1:3" ht="18" customHeight="1" x14ac:dyDescent="0.3">
      <c r="A5814" s="1">
        <v>4</v>
      </c>
      <c r="B5814" s="1" t="s">
        <v>4749</v>
      </c>
      <c r="C5814" s="1" t="str">
        <f ca="1">IFERROR(__xludf.DUMMYFUNCTION("GOOGLETRANSLATE(B5884,""en"",""ja"")"),"示します")</f>
        <v>示します</v>
      </c>
    </row>
    <row r="5815" spans="1:3" ht="18" customHeight="1" x14ac:dyDescent="0.3">
      <c r="A5815" s="1">
        <v>4</v>
      </c>
      <c r="B5815" s="1" t="s">
        <v>4750</v>
      </c>
      <c r="C5815" s="1" t="str">
        <f ca="1">IFERROR(__xludf.DUMMYFUNCTION("GOOGLETRANSLATE(B5885,""en"",""ja"")"),"無知の")</f>
        <v>無知の</v>
      </c>
    </row>
    <row r="5816" spans="1:3" ht="18" customHeight="1" x14ac:dyDescent="0.3">
      <c r="A5816" s="1">
        <v>4</v>
      </c>
      <c r="B5816" s="1" t="s">
        <v>4751</v>
      </c>
      <c r="C5816" s="1" t="str">
        <f ca="1">IFERROR(__xludf.DUMMYFUNCTION("GOOGLETRANSLATE(B5886,""en"",""ja"")"),"識別")</f>
        <v>識別</v>
      </c>
    </row>
    <row r="5817" spans="1:3" ht="18" customHeight="1" x14ac:dyDescent="0.3">
      <c r="A5817" s="1">
        <v>4</v>
      </c>
      <c r="B5817" s="1" t="s">
        <v>4752</v>
      </c>
      <c r="C5817" s="1" t="str">
        <f ca="1">IFERROR(__xludf.DUMMYFUNCTION("GOOGLETRANSLATE(B5887,""en"",""ja"")"),"同じ")</f>
        <v>同じ</v>
      </c>
    </row>
    <row r="5818" spans="1:3" ht="18" customHeight="1" x14ac:dyDescent="0.3">
      <c r="A5818" s="1">
        <v>4</v>
      </c>
      <c r="B5818" s="1" t="s">
        <v>4753</v>
      </c>
      <c r="C5818" s="1" t="str">
        <f ca="1">IFERROR(__xludf.DUMMYFUNCTION("GOOGLETRANSLATE(B5888,""en"",""ja"")"),"IBM")</f>
        <v>IBM</v>
      </c>
    </row>
    <row r="5819" spans="1:3" ht="18" customHeight="1" x14ac:dyDescent="0.3">
      <c r="A5819" s="1">
        <v>4</v>
      </c>
      <c r="B5819" s="1" t="s">
        <v>4754</v>
      </c>
      <c r="C5819" s="1" t="str">
        <f ca="1">IFERROR(__xludf.DUMMYFUNCTION("GOOGLETRANSLATE(B5889,""en"",""ja"")"),"偽善")</f>
        <v>偽善</v>
      </c>
    </row>
    <row r="5820" spans="1:3" ht="18" customHeight="1" x14ac:dyDescent="0.3">
      <c r="A5820" s="1">
        <v>4</v>
      </c>
      <c r="B5820" s="1" t="s">
        <v>4755</v>
      </c>
      <c r="C5820" s="1" t="str">
        <f ca="1">IFERROR(__xludf.DUMMYFUNCTION("GOOGLETRANSLATE(B5891,""en"",""ja"")"),"水文学")</f>
        <v>水文学</v>
      </c>
    </row>
    <row r="5821" spans="1:3" ht="18" customHeight="1" x14ac:dyDescent="0.3">
      <c r="A5821" s="1">
        <v>4</v>
      </c>
      <c r="B5821" s="1" t="s">
        <v>4756</v>
      </c>
      <c r="C5821" s="1" t="str">
        <f ca="1">IFERROR(__xludf.DUMMYFUNCTION("GOOGLETRANSLATE(B5892,""en"",""ja"")"),"水文学")</f>
        <v>水文学</v>
      </c>
    </row>
    <row r="5822" spans="1:3" ht="18" customHeight="1" x14ac:dyDescent="0.3">
      <c r="A5822" s="1">
        <v>4</v>
      </c>
      <c r="B5822" s="1" t="s">
        <v>4757</v>
      </c>
      <c r="C5822" s="1" t="str">
        <f ca="1">IFERROR(__xludf.DUMMYFUNCTION("GOOGLETRANSLATE(B5893,""en"",""ja"")"),"水文学")</f>
        <v>水文学</v>
      </c>
    </row>
    <row r="5823" spans="1:3" ht="18" customHeight="1" x14ac:dyDescent="0.3">
      <c r="A5823" s="1">
        <v>4</v>
      </c>
      <c r="B5823" s="1" t="s">
        <v>4758</v>
      </c>
      <c r="C5823" s="1" t="str">
        <f ca="1">IFERROR(__xludf.DUMMYFUNCTION("GOOGLETRANSLATE(B5894,""en"",""ja"")"),"ヒューストン")</f>
        <v>ヒューストン</v>
      </c>
    </row>
    <row r="5824" spans="1:3" ht="18" customHeight="1" x14ac:dyDescent="0.3">
      <c r="A5824" s="1">
        <v>4</v>
      </c>
      <c r="B5824" s="1" t="s">
        <v>4759</v>
      </c>
      <c r="C5824" s="1" t="str">
        <f ca="1">IFERROR(__xludf.DUMMYFUNCTION("GOOGLETRANSLATE(B5895,""en"",""ja"")"),"狩猟")</f>
        <v>狩猟</v>
      </c>
    </row>
    <row r="5825" spans="1:3" ht="18" customHeight="1" x14ac:dyDescent="0.3">
      <c r="A5825" s="1">
        <v>4</v>
      </c>
      <c r="B5825" s="1" t="s">
        <v>4760</v>
      </c>
      <c r="C5825" s="1" t="str">
        <f ca="1">IFERROR(__xludf.DUMMYFUNCTION("GOOGLETRANSLATE(B5896,""en"",""ja"")"),"猟師")</f>
        <v>猟師</v>
      </c>
    </row>
    <row r="5826" spans="1:3" ht="18" customHeight="1" x14ac:dyDescent="0.3">
      <c r="A5826" s="1">
        <v>4</v>
      </c>
      <c r="B5826" s="1" t="s">
        <v>4761</v>
      </c>
      <c r="C5826" s="1" t="str">
        <f ca="1">IFERROR(__xludf.DUMMYFUNCTION("GOOGLETRANSLATE(B5897,""en"",""ja"")"),"人道")</f>
        <v>人道</v>
      </c>
    </row>
    <row r="5827" spans="1:3" ht="18" customHeight="1" x14ac:dyDescent="0.3">
      <c r="A5827" s="1">
        <v>4</v>
      </c>
      <c r="B5827" s="1" t="s">
        <v>1459</v>
      </c>
      <c r="C5827" s="1" t="str">
        <f ca="1">IFERROR(__xludf.DUMMYFUNCTION("GOOGLETRANSLATE(B5898,""en"",""ja"")"),"敵意のあります")</f>
        <v>敵意のあります</v>
      </c>
    </row>
    <row r="5828" spans="1:3" ht="18" customHeight="1" x14ac:dyDescent="0.3">
      <c r="A5828" s="1">
        <v>4</v>
      </c>
      <c r="B5828" s="1" t="s">
        <v>4762</v>
      </c>
      <c r="C5828" s="1" t="str">
        <f ca="1">IFERROR(__xludf.DUMMYFUNCTION("GOOGLETRANSLATE(B5899,""en"",""ja"")"),"ホスト")</f>
        <v>ホスト</v>
      </c>
    </row>
    <row r="5829" spans="1:3" ht="18" customHeight="1" x14ac:dyDescent="0.3">
      <c r="A5829" s="1">
        <v>4</v>
      </c>
      <c r="B5829" s="1" t="s">
        <v>4763</v>
      </c>
      <c r="C5829" s="1" t="str">
        <f ca="1">IFERROR(__xludf.DUMMYFUNCTION("GOOGLETRANSLATE(B5900,""en"",""ja"")"),"病院")</f>
        <v>病院</v>
      </c>
    </row>
    <row r="5830" spans="1:3" ht="18" customHeight="1" x14ac:dyDescent="0.3">
      <c r="A5830" s="1">
        <v>4</v>
      </c>
      <c r="B5830" s="1" t="s">
        <v>4764</v>
      </c>
      <c r="C5830" s="1" t="str">
        <f ca="1">IFERROR(__xludf.DUMMYFUNCTION("GOOGLETRANSLATE(B5901,""en"",""ja"")"),"うま")</f>
        <v>うま</v>
      </c>
    </row>
    <row r="5831" spans="1:3" ht="18" customHeight="1" x14ac:dyDescent="0.3">
      <c r="A5831" s="1">
        <v>4</v>
      </c>
      <c r="B5831" s="1" t="s">
        <v>4765</v>
      </c>
      <c r="C5831" s="1" t="str">
        <f ca="1">IFERROR(__xludf.DUMMYFUNCTION("GOOGLETRANSLATE(B5902,""en"",""ja"")"),"ホーン")</f>
        <v>ホーン</v>
      </c>
    </row>
    <row r="5832" spans="1:3" ht="18" customHeight="1" x14ac:dyDescent="0.3">
      <c r="A5832" s="1">
        <v>4</v>
      </c>
      <c r="B5832" s="1" t="s">
        <v>4766</v>
      </c>
      <c r="C5832" s="1" t="str">
        <f ca="1">IFERROR(__xludf.DUMMYFUNCTION("GOOGLETRANSLATE(B5903,""en"",""ja"")"),"地平線")</f>
        <v>地平線</v>
      </c>
    </row>
    <row r="5833" spans="1:3" ht="18" customHeight="1" x14ac:dyDescent="0.3">
      <c r="A5833" s="1">
        <v>4</v>
      </c>
      <c r="B5833" s="1" t="s">
        <v>4767</v>
      </c>
      <c r="C5833" s="1" t="str">
        <f ca="1">IFERROR(__xludf.DUMMYFUNCTION("GOOGLETRANSLATE(B5904,""en"",""ja"")"),"希望に満ち")</f>
        <v>希望に満ち</v>
      </c>
    </row>
    <row r="5834" spans="1:3" ht="18" customHeight="1" x14ac:dyDescent="0.3">
      <c r="A5834" s="1">
        <v>4</v>
      </c>
      <c r="B5834" s="1" t="s">
        <v>4768</v>
      </c>
      <c r="C5834" s="1" t="str">
        <f ca="1">IFERROR(__xludf.DUMMYFUNCTION("GOOGLETRANSLATE(B5905,""en"",""ja"")"),"くわ")</f>
        <v>くわ</v>
      </c>
    </row>
    <row r="5835" spans="1:3" ht="18" customHeight="1" x14ac:dyDescent="0.3">
      <c r="A5835" s="1">
        <v>4</v>
      </c>
      <c r="B5835" s="1" t="s">
        <v>4769</v>
      </c>
      <c r="C5835" s="1" t="str">
        <f ca="1">IFERROR(__xludf.DUMMYFUNCTION("GOOGLETRANSLATE(B5906,""en"",""ja"")"),"歴史上")</f>
        <v>歴史上</v>
      </c>
    </row>
    <row r="5836" spans="1:3" ht="18" customHeight="1" x14ac:dyDescent="0.3">
      <c r="A5836" s="1">
        <v>4</v>
      </c>
      <c r="B5836" s="1" t="s">
        <v>4770</v>
      </c>
      <c r="C5836" s="1" t="str">
        <f ca="1">IFERROR(__xludf.DUMMYFUNCTION("GOOGLETRANSLATE(B5907,""en"",""ja"")"),"歴史家")</f>
        <v>歴史家</v>
      </c>
    </row>
    <row r="5837" spans="1:3" ht="18" customHeight="1" x14ac:dyDescent="0.3">
      <c r="A5837" s="1">
        <v>4</v>
      </c>
      <c r="B5837" s="1" t="s">
        <v>2141</v>
      </c>
      <c r="C5837" s="1" t="str">
        <f ca="1">IFERROR(__xludf.DUMMYFUNCTION("GOOGLETRANSLATE(B5908,""en"",""ja"")"),"階層")</f>
        <v>階層</v>
      </c>
    </row>
    <row r="5838" spans="1:3" ht="18" customHeight="1" x14ac:dyDescent="0.3">
      <c r="A5838" s="1">
        <v>4</v>
      </c>
      <c r="B5838" s="1" t="s">
        <v>4771</v>
      </c>
      <c r="C5838" s="1" t="str">
        <f ca="1">IFERROR(__xludf.DUMMYFUNCTION("GOOGLETRANSLATE(B5909,""en"",""ja"")"),"隠されました")</f>
        <v>隠されました</v>
      </c>
    </row>
    <row r="5839" spans="1:3" ht="18" customHeight="1" x14ac:dyDescent="0.3">
      <c r="A5839" s="1">
        <v>4</v>
      </c>
      <c r="B5839" s="1" t="s">
        <v>4772</v>
      </c>
      <c r="C5839" s="1" t="str">
        <f ca="1">IFERROR(__xludf.DUMMYFUNCTION("GOOGLETRANSLATE(B5910,""en"",""ja"")"),"ヒーロー")</f>
        <v>ヒーロー</v>
      </c>
    </row>
    <row r="5840" spans="1:3" ht="18" customHeight="1" x14ac:dyDescent="0.3">
      <c r="A5840" s="1">
        <v>4</v>
      </c>
      <c r="B5840" s="1" t="s">
        <v>4773</v>
      </c>
      <c r="C5840" s="1" t="str">
        <f ca="1">IFERROR(__xludf.DUMMYFUNCTION("GOOGLETRANSLATE(B5911,""en"",""ja"")"),"目まぐるしいです")</f>
        <v>目まぐるしいです</v>
      </c>
    </row>
    <row r="5841" spans="1:3" ht="18" customHeight="1" x14ac:dyDescent="0.3">
      <c r="A5841" s="1">
        <v>4</v>
      </c>
      <c r="B5841" s="1" t="s">
        <v>4774</v>
      </c>
      <c r="C5841" s="1" t="str">
        <f ca="1">IFERROR(__xludf.DUMMYFUNCTION("GOOGLETRANSLATE(B5912,""en"",""ja"")"),"ヘブライ語")</f>
        <v>ヘブライ語</v>
      </c>
    </row>
    <row r="5842" spans="1:3" ht="18" customHeight="1" x14ac:dyDescent="0.3">
      <c r="A5842" s="1">
        <v>4</v>
      </c>
      <c r="B5842" s="1" t="s">
        <v>4775</v>
      </c>
      <c r="C5842" s="1" t="str">
        <f ca="1">IFERROR(__xludf.DUMMYFUNCTION("GOOGLETRANSLATE(B5913,""en"",""ja"")"),"ヒープ")</f>
        <v>ヒープ</v>
      </c>
    </row>
    <row r="5843" spans="1:3" ht="18" customHeight="1" x14ac:dyDescent="0.3">
      <c r="A5843" s="1">
        <v>4</v>
      </c>
      <c r="B5843" s="1" t="s">
        <v>4776</v>
      </c>
      <c r="C5843" s="1" t="str">
        <f ca="1">IFERROR(__xludf.DUMMYFUNCTION("GOOGLETRANSLATE(B5914,""en"",""ja"")"),"ハーゼン")</f>
        <v>ハーゼン</v>
      </c>
    </row>
    <row r="5844" spans="1:3" ht="18" customHeight="1" x14ac:dyDescent="0.3">
      <c r="A5844" s="1">
        <v>4</v>
      </c>
      <c r="B5844" s="1" t="s">
        <v>2396</v>
      </c>
      <c r="C5844" s="1" t="str">
        <f ca="1">IFERROR(__xludf.DUMMYFUNCTION("GOOGLETRANSLATE(B5915,""en"",""ja"")"),"鷹")</f>
        <v>鷹</v>
      </c>
    </row>
    <row r="5845" spans="1:3" ht="18" customHeight="1" x14ac:dyDescent="0.3">
      <c r="A5845" s="1">
        <v>4</v>
      </c>
      <c r="B5845" s="1" t="s">
        <v>4777</v>
      </c>
      <c r="C5845" s="1" t="str">
        <f ca="1">IFERROR(__xludf.DUMMYFUNCTION("GOOGLETRANSLATE(B5916,""en"",""ja"")"),"被害")</f>
        <v>被害</v>
      </c>
    </row>
    <row r="5846" spans="1:3" ht="18" customHeight="1" x14ac:dyDescent="0.3">
      <c r="A5846" s="1">
        <v>4</v>
      </c>
      <c r="B5846" s="1" t="s">
        <v>4778</v>
      </c>
      <c r="C5846" s="1" t="str">
        <f ca="1">IFERROR(__xludf.DUMMYFUNCTION("GOOGLETRANSLATE(B5917,""en"",""ja"")"),"収穫")</f>
        <v>収穫</v>
      </c>
    </row>
    <row r="5847" spans="1:3" ht="18" customHeight="1" x14ac:dyDescent="0.3">
      <c r="A5847" s="1">
        <v>4</v>
      </c>
      <c r="B5847" s="1" t="s">
        <v>4779</v>
      </c>
      <c r="C5847" s="1" t="str">
        <f ca="1">IFERROR(__xludf.DUMMYFUNCTION("GOOGLETRANSLATE(B5918,""en"",""ja"")"),"厳しいです")</f>
        <v>厳しいです</v>
      </c>
    </row>
    <row r="5848" spans="1:3" ht="18" customHeight="1" x14ac:dyDescent="0.3">
      <c r="A5848" s="1">
        <v>4</v>
      </c>
      <c r="B5848" s="1" t="s">
        <v>4780</v>
      </c>
      <c r="C5848" s="1" t="str">
        <f ca="1">IFERROR(__xludf.DUMMYFUNCTION("GOOGLETRANSLATE(B5919,""en"",""ja"")"),"馬具")</f>
        <v>馬具</v>
      </c>
    </row>
    <row r="5849" spans="1:3" ht="18" customHeight="1" x14ac:dyDescent="0.3">
      <c r="A5849" s="1">
        <v>4</v>
      </c>
      <c r="B5849" s="1" t="s">
        <v>4781</v>
      </c>
      <c r="C5849" s="1" t="str">
        <f ca="1">IFERROR(__xludf.DUMMYFUNCTION("GOOGLETRANSLATE(B5920,""en"",""ja"")"),"調和")</f>
        <v>調和</v>
      </c>
    </row>
    <row r="5850" spans="1:3" ht="18" customHeight="1" x14ac:dyDescent="0.3">
      <c r="A5850" s="1">
        <v>4</v>
      </c>
      <c r="B5850" s="1" t="s">
        <v>1129</v>
      </c>
      <c r="C5850" s="1" t="str">
        <f ca="1">IFERROR(__xludf.DUMMYFUNCTION("GOOGLETRANSLATE(B5921,""en"",""ja"")"),"漸く")</f>
        <v>漸く</v>
      </c>
    </row>
    <row r="5851" spans="1:3" ht="18" customHeight="1" x14ac:dyDescent="0.3">
      <c r="A5851" s="1">
        <v>4</v>
      </c>
      <c r="B5851" s="1" t="s">
        <v>4782</v>
      </c>
      <c r="C5851" s="1" t="str">
        <f ca="1">IFERROR(__xludf.DUMMYFUNCTION("GOOGLETRANSLATE(B5922,""en"",""ja"")"),"ハン")</f>
        <v>ハン</v>
      </c>
    </row>
    <row r="5852" spans="1:3" ht="18" customHeight="1" x14ac:dyDescent="0.3">
      <c r="A5852" s="1">
        <v>4</v>
      </c>
      <c r="B5852" s="1" t="s">
        <v>1809</v>
      </c>
      <c r="C5852" s="1" t="str">
        <f ca="1">IFERROR(__xludf.DUMMYFUNCTION("GOOGLETRANSLATE(B5923,""en"",""ja"")"),"扱う")</f>
        <v>扱う</v>
      </c>
    </row>
    <row r="5853" spans="1:3" ht="18" customHeight="1" x14ac:dyDescent="0.3">
      <c r="A5853" s="1">
        <v>4</v>
      </c>
      <c r="B5853" s="1" t="s">
        <v>4783</v>
      </c>
      <c r="C5853" s="1" t="str">
        <f ca="1">IFERROR(__xludf.DUMMYFUNCTION("GOOGLETRANSLATE(B5924,""en"",""ja"")"),"ハメット")</f>
        <v>ハメット</v>
      </c>
    </row>
    <row r="5854" spans="1:3" ht="18" customHeight="1" x14ac:dyDescent="0.3">
      <c r="A5854" s="1">
        <v>4</v>
      </c>
      <c r="B5854" s="1" t="s">
        <v>4784</v>
      </c>
      <c r="C5854" s="1" t="str">
        <f ca="1">IFERROR(__xludf.DUMMYFUNCTION("GOOGLETRANSLATE(B5925,""en"",""ja"")"),"半体")</f>
        <v>半体</v>
      </c>
    </row>
    <row r="5855" spans="1:3" ht="18" customHeight="1" x14ac:dyDescent="0.3">
      <c r="A5855" s="1">
        <v>4</v>
      </c>
      <c r="B5855" s="1" t="s">
        <v>4785</v>
      </c>
      <c r="C5855" s="1" t="str">
        <f ca="1">IFERROR(__xludf.DUMMYFUNCTION("GOOGLETRANSLATE(B5926,""en"",""ja"")"),"髪")</f>
        <v>髪</v>
      </c>
    </row>
    <row r="5856" spans="1:3" ht="18" customHeight="1" x14ac:dyDescent="0.3">
      <c r="A5856" s="1">
        <v>4</v>
      </c>
      <c r="B5856" s="1" t="s">
        <v>4786</v>
      </c>
      <c r="C5856" s="1" t="str">
        <f ca="1">IFERROR(__xludf.DUMMYFUNCTION("GOOGLETRANSLATE(B5927,""en"",""ja"")"),"ハッカー")</f>
        <v>ハッカー</v>
      </c>
    </row>
    <row r="5857" spans="1:3" ht="18" customHeight="1" x14ac:dyDescent="0.3">
      <c r="A5857" s="1">
        <v>4</v>
      </c>
      <c r="B5857" s="1" t="s">
        <v>4787</v>
      </c>
      <c r="C5857" s="1" t="str">
        <f ca="1">IFERROR(__xludf.DUMMYFUNCTION("GOOGLETRANSLATE(B5928,""en"",""ja"")"),"ハック")</f>
        <v>ハック</v>
      </c>
    </row>
    <row r="5858" spans="1:3" ht="18" customHeight="1" x14ac:dyDescent="0.3">
      <c r="A5858" s="1">
        <v>4</v>
      </c>
      <c r="B5858" s="1" t="s">
        <v>4788</v>
      </c>
      <c r="C5858" s="1" t="str">
        <f ca="1">IFERROR(__xludf.DUMMYFUNCTION("GOOGLETRANSLATE(B5929,""en"",""ja"")"),"ジム")</f>
        <v>ジム</v>
      </c>
    </row>
    <row r="5859" spans="1:3" ht="18" customHeight="1" x14ac:dyDescent="0.3">
      <c r="A5859" s="1">
        <v>4</v>
      </c>
      <c r="B5859" s="1" t="s">
        <v>4789</v>
      </c>
      <c r="C5859" s="1" t="str">
        <f ca="1">IFERROR(__xludf.DUMMYFUNCTION("GOOGLETRANSLATE(B5931,""en"",""ja"")"),"グーテンベルク")</f>
        <v>グーテンベルク</v>
      </c>
    </row>
    <row r="5860" spans="1:3" ht="18" customHeight="1" x14ac:dyDescent="0.3">
      <c r="A5860" s="1">
        <v>4</v>
      </c>
      <c r="B5860" s="1" t="s">
        <v>4790</v>
      </c>
      <c r="C5860" s="1" t="str">
        <f ca="1">IFERROR(__xludf.DUMMYFUNCTION("GOOGLETRANSLATE(B5932,""en"",""ja"")"),"銃")</f>
        <v>銃</v>
      </c>
    </row>
    <row r="5861" spans="1:3" ht="18" customHeight="1" x14ac:dyDescent="0.3">
      <c r="A5861" s="1">
        <v>4</v>
      </c>
      <c r="B5861" s="1" t="s">
        <v>1677</v>
      </c>
      <c r="C5861" s="1" t="str">
        <f ca="1">IFERROR(__xludf.DUMMYFUNCTION("GOOGLETRANSLATE(B5933,""en"",""ja"")"),"ガイド")</f>
        <v>ガイド</v>
      </c>
    </row>
    <row r="5862" spans="1:3" ht="18" customHeight="1" x14ac:dyDescent="0.3">
      <c r="A5862" s="1">
        <v>4</v>
      </c>
      <c r="B5862" s="1" t="s">
        <v>2145</v>
      </c>
      <c r="C5862" s="1" t="str">
        <f ca="1">IFERROR(__xludf.DUMMYFUNCTION("GOOGLETRANSLATE(B5934,""en"",""ja"")"),"ガイダンス")</f>
        <v>ガイダンス</v>
      </c>
    </row>
    <row r="5863" spans="1:3" ht="18" customHeight="1" x14ac:dyDescent="0.3">
      <c r="A5863" s="1">
        <v>4</v>
      </c>
      <c r="B5863" s="1" t="s">
        <v>4791</v>
      </c>
      <c r="C5863" s="1" t="str">
        <f ca="1">IFERROR(__xludf.DUMMYFUNCTION("GOOGLETRANSLATE(B5935,""en"",""ja"")"),"キモい")</f>
        <v>キモい</v>
      </c>
    </row>
    <row r="5864" spans="1:3" ht="18" customHeight="1" x14ac:dyDescent="0.3">
      <c r="A5864" s="1">
        <v>4</v>
      </c>
      <c r="B5864" s="1" t="s">
        <v>4792</v>
      </c>
      <c r="C5864" s="1" t="str">
        <f ca="1">IFERROR(__xludf.DUMMYFUNCTION("GOOGLETRANSLATE(B5936,""en"",""ja"")"),"厳しいです")</f>
        <v>厳しいです</v>
      </c>
    </row>
    <row r="5865" spans="1:3" ht="18" customHeight="1" x14ac:dyDescent="0.3">
      <c r="A5865" s="1">
        <v>4</v>
      </c>
      <c r="B5865" s="1" t="s">
        <v>1560</v>
      </c>
      <c r="C5865" s="1" t="str">
        <f ca="1">IFERROR(__xludf.DUMMYFUNCTION("GOOGLETRANSLATE(B5937,""en"",""ja"")"),"緑")</f>
        <v>緑</v>
      </c>
    </row>
    <row r="5866" spans="1:3" ht="18" customHeight="1" x14ac:dyDescent="0.3">
      <c r="A5866" s="1">
        <v>4</v>
      </c>
      <c r="B5866" s="1" t="s">
        <v>4793</v>
      </c>
      <c r="C5866" s="1" t="str">
        <f ca="1">IFERROR(__xludf.DUMMYFUNCTION("GOOGLETRANSLATE(B5938,""en"",""ja"")"),"ギリシャ")</f>
        <v>ギリシャ</v>
      </c>
    </row>
    <row r="5867" spans="1:3" ht="18" customHeight="1" x14ac:dyDescent="0.3">
      <c r="A5867" s="1">
        <v>4</v>
      </c>
      <c r="B5867" s="1" t="s">
        <v>3507</v>
      </c>
      <c r="C5867" s="1" t="str">
        <f ca="1">IFERROR(__xludf.DUMMYFUNCTION("GOOGLETRANSLATE(B5939,""en"",""ja"")"),"重力")</f>
        <v>重力</v>
      </c>
    </row>
    <row r="5868" spans="1:3" ht="18" customHeight="1" x14ac:dyDescent="0.3">
      <c r="A5868" s="1">
        <v>4</v>
      </c>
      <c r="B5868" s="1" t="s">
        <v>4794</v>
      </c>
      <c r="C5868" s="1" t="str">
        <f ca="1">IFERROR(__xludf.DUMMYFUNCTION("GOOGLETRANSLATE(B5940,""en"",""ja"")"),"草の根")</f>
        <v>草の根</v>
      </c>
    </row>
    <row r="5869" spans="1:3" ht="18" customHeight="1" x14ac:dyDescent="0.3">
      <c r="A5869" s="1">
        <v>4</v>
      </c>
      <c r="B5869" s="1" t="s">
        <v>4795</v>
      </c>
      <c r="C5869" s="1" t="str">
        <f ca="1">IFERROR(__xludf.DUMMYFUNCTION("GOOGLETRANSLATE(B5941,""en"",""ja"")"),"孫")</f>
        <v>孫</v>
      </c>
    </row>
    <row r="5870" spans="1:3" ht="18" customHeight="1" x14ac:dyDescent="0.3">
      <c r="A5870" s="1">
        <v>4</v>
      </c>
      <c r="B5870" s="1" t="s">
        <v>4796</v>
      </c>
      <c r="C5870" s="1" t="str">
        <f ca="1">IFERROR(__xludf.DUMMYFUNCTION("GOOGLETRANSLATE(B5942,""en"",""ja"")"),"ゆるやかな")</f>
        <v>ゆるやかな</v>
      </c>
    </row>
    <row r="5871" spans="1:3" ht="18" customHeight="1" x14ac:dyDescent="0.3">
      <c r="A5871" s="1">
        <v>4</v>
      </c>
      <c r="B5871" s="1" t="s">
        <v>4797</v>
      </c>
      <c r="C5871" s="1" t="str">
        <f ca="1">IFERROR(__xludf.DUMMYFUNCTION("GOOGLETRANSLATE(B5943,""en"",""ja"")"),"ガチョウ")</f>
        <v>ガチョウ</v>
      </c>
    </row>
    <row r="5872" spans="1:3" ht="18" customHeight="1" x14ac:dyDescent="0.3">
      <c r="A5872" s="1">
        <v>4</v>
      </c>
      <c r="B5872" s="1" t="s">
        <v>4798</v>
      </c>
      <c r="C5872" s="1" t="str">
        <f ca="1">IFERROR(__xludf.DUMMYFUNCTION("GOOGLETRANSLATE(B5944,""en"",""ja"")"),"品")</f>
        <v>品</v>
      </c>
    </row>
    <row r="5873" spans="1:3" ht="18" customHeight="1" x14ac:dyDescent="0.3">
      <c r="A5873" s="1">
        <v>4</v>
      </c>
      <c r="B5873" s="1" t="s">
        <v>4799</v>
      </c>
      <c r="C5873" s="1" t="str">
        <f ca="1">IFERROR(__xludf.DUMMYFUNCTION("GOOGLETRANSLATE(B5945,""en"",""ja"")"),"ゴールデン")</f>
        <v>ゴールデン</v>
      </c>
    </row>
    <row r="5874" spans="1:3" ht="18" customHeight="1" x14ac:dyDescent="0.3">
      <c r="A5874" s="1">
        <v>4</v>
      </c>
      <c r="B5874" s="1" t="s">
        <v>4037</v>
      </c>
      <c r="C5874" s="1" t="str">
        <f ca="1">IFERROR(__xludf.DUMMYFUNCTION("GOOGLETRANSLATE(B5946,""en"",""ja"")"),"グローバリズム")</f>
        <v>グローバリズム</v>
      </c>
    </row>
    <row r="5875" spans="1:3" ht="18" customHeight="1" x14ac:dyDescent="0.3">
      <c r="A5875" s="1">
        <v>4</v>
      </c>
      <c r="B5875" s="1" t="s">
        <v>107</v>
      </c>
      <c r="C5875" s="1" t="str">
        <f ca="1">IFERROR(__xludf.DUMMYFUNCTION("GOOGLETRANSLATE(B5947,""en"",""ja"")"),"グローバル")</f>
        <v>グローバル</v>
      </c>
    </row>
    <row r="5876" spans="1:3" ht="18" customHeight="1" x14ac:dyDescent="0.3">
      <c r="A5876" s="1">
        <v>4</v>
      </c>
      <c r="B5876" s="1" t="s">
        <v>4800</v>
      </c>
      <c r="C5876" s="1" t="str">
        <f ca="1">IFERROR(__xludf.DUMMYFUNCTION("GOOGLETRANSLATE(B5948,""en"",""ja"")"),"グリッチ")</f>
        <v>グリッチ</v>
      </c>
    </row>
    <row r="5877" spans="1:3" ht="18" customHeight="1" x14ac:dyDescent="0.3">
      <c r="A5877" s="1">
        <v>4</v>
      </c>
      <c r="B5877" s="1" t="s">
        <v>4801</v>
      </c>
      <c r="C5877" s="1" t="str">
        <f ca="1">IFERROR(__xludf.DUMMYFUNCTION("GOOGLETRANSLATE(B5949,""en"",""ja"")"),"一目")</f>
        <v>一目</v>
      </c>
    </row>
    <row r="5878" spans="1:3" ht="18" customHeight="1" x14ac:dyDescent="0.3">
      <c r="A5878" s="1">
        <v>4</v>
      </c>
      <c r="B5878" s="1" t="s">
        <v>3514</v>
      </c>
      <c r="C5878" s="1" t="str">
        <f ca="1">IFERROR(__xludf.DUMMYFUNCTION("GOOGLETRANSLATE(B5950,""en"",""ja"")"),"giftedness")</f>
        <v>giftedness</v>
      </c>
    </row>
    <row r="5879" spans="1:3" ht="18" customHeight="1" x14ac:dyDescent="0.3">
      <c r="A5879" s="1">
        <v>4</v>
      </c>
      <c r="B5879" s="1" t="s">
        <v>4802</v>
      </c>
      <c r="C5879" s="1" t="str">
        <f ca="1">IFERROR(__xludf.DUMMYFUNCTION("GOOGLETRANSLATE(B5951,""en"",""ja"")"),"才能")</f>
        <v>才能</v>
      </c>
    </row>
    <row r="5880" spans="1:3" ht="18" customHeight="1" x14ac:dyDescent="0.3">
      <c r="A5880" s="1">
        <v>4</v>
      </c>
      <c r="B5880" s="1" t="s">
        <v>4803</v>
      </c>
      <c r="C5880" s="1" t="str">
        <f ca="1">IFERROR(__xludf.DUMMYFUNCTION("GOOGLETRANSLATE(B5952,""en"",""ja"")"),"ジェスチャー")</f>
        <v>ジェスチャー</v>
      </c>
    </row>
    <row r="5881" spans="1:3" ht="18" customHeight="1" x14ac:dyDescent="0.3">
      <c r="A5881" s="1">
        <v>4</v>
      </c>
      <c r="B5881" s="1" t="s">
        <v>4804</v>
      </c>
      <c r="C5881" s="1" t="str">
        <f ca="1">IFERROR(__xludf.DUMMYFUNCTION("GOOGLETRANSLATE(B5953,""en"",""ja"")"),"地質学")</f>
        <v>地質学</v>
      </c>
    </row>
    <row r="5882" spans="1:3" ht="18" customHeight="1" x14ac:dyDescent="0.3">
      <c r="A5882" s="1">
        <v>4</v>
      </c>
      <c r="B5882" s="1" t="s">
        <v>4805</v>
      </c>
      <c r="C5882" s="1" t="str">
        <f ca="1">IFERROR(__xludf.DUMMYFUNCTION("GOOGLETRANSLATE(B5954,""en"",""ja"")"),"地理的")</f>
        <v>地理的</v>
      </c>
    </row>
    <row r="5883" spans="1:3" ht="18" customHeight="1" x14ac:dyDescent="0.3">
      <c r="A5883" s="1">
        <v>4</v>
      </c>
      <c r="B5883" s="1" t="s">
        <v>4806</v>
      </c>
      <c r="C5883" s="1" t="str">
        <f ca="1">IFERROR(__xludf.DUMMYFUNCTION("GOOGLETRANSLATE(B5956,""en"",""ja"")"),"類")</f>
        <v>類</v>
      </c>
    </row>
    <row r="5884" spans="1:3" ht="18" customHeight="1" x14ac:dyDescent="0.3">
      <c r="A5884" s="1">
        <v>4</v>
      </c>
      <c r="B5884" s="1" t="s">
        <v>4807</v>
      </c>
      <c r="C5884" s="1" t="str">
        <f ca="1">IFERROR(__xludf.DUMMYFUNCTION("GOOGLETRANSLATE(B5957,""en"",""ja"")"),"ゲノミクス")</f>
        <v>ゲノミクス</v>
      </c>
    </row>
    <row r="5885" spans="1:3" ht="18" customHeight="1" x14ac:dyDescent="0.3">
      <c r="A5885" s="1">
        <v>4</v>
      </c>
      <c r="B5885" s="1" t="s">
        <v>4808</v>
      </c>
      <c r="C5885" s="1" t="str">
        <f ca="1">IFERROR(__xludf.DUMMYFUNCTION("GOOGLETRANSLATE(B5958,""en"",""ja"")"),"大虐殺")</f>
        <v>大虐殺</v>
      </c>
    </row>
    <row r="5886" spans="1:3" ht="18" customHeight="1" x14ac:dyDescent="0.3">
      <c r="A5886" s="1">
        <v>4</v>
      </c>
      <c r="B5886" s="1" t="s">
        <v>4809</v>
      </c>
      <c r="C5886" s="1" t="str">
        <f ca="1">IFERROR(__xludf.DUMMYFUNCTION("GOOGLETRANSLATE(B5959,""en"",""ja"")"),"天才")</f>
        <v>天才</v>
      </c>
    </row>
    <row r="5887" spans="1:3" ht="18" customHeight="1" x14ac:dyDescent="0.3">
      <c r="A5887" s="1">
        <v>4</v>
      </c>
      <c r="B5887" s="1" t="s">
        <v>3518</v>
      </c>
      <c r="C5887" s="1" t="str">
        <f ca="1">IFERROR(__xludf.DUMMYFUNCTION("GOOGLETRANSLATE(B5960,""en"",""ja"")"),"遺伝学")</f>
        <v>遺伝学</v>
      </c>
    </row>
    <row r="5888" spans="1:3" ht="18" customHeight="1" x14ac:dyDescent="0.3">
      <c r="A5888" s="1">
        <v>4</v>
      </c>
      <c r="B5888" s="1" t="s">
        <v>4810</v>
      </c>
      <c r="C5888" s="1" t="str">
        <f ca="1">IFERROR(__xludf.DUMMYFUNCTION("GOOGLETRANSLATE(B5961,""en"",""ja"")"),"ジェネリック")</f>
        <v>ジェネリック</v>
      </c>
    </row>
    <row r="5889" spans="1:3" ht="18" customHeight="1" x14ac:dyDescent="0.3">
      <c r="A5889" s="1">
        <v>4</v>
      </c>
      <c r="B5889" s="1" t="s">
        <v>4811</v>
      </c>
      <c r="C5889" s="1" t="str">
        <f ca="1">IFERROR(__xludf.DUMMYFUNCTION("GOOGLETRANSLATE(B5962,""en"",""ja"")"),"ガゼル")</f>
        <v>ガゼル</v>
      </c>
    </row>
    <row r="5890" spans="1:3" ht="18" customHeight="1" x14ac:dyDescent="0.3">
      <c r="A5890" s="1">
        <v>4</v>
      </c>
      <c r="B5890" s="1" t="s">
        <v>4812</v>
      </c>
      <c r="C5890" s="1" t="str">
        <f ca="1">IFERROR(__xludf.DUMMYFUNCTION("GOOGLETRANSLATE(B5963,""en"",""ja"")"),"ギャザー")</f>
        <v>ギャザー</v>
      </c>
    </row>
    <row r="5891" spans="1:3" ht="18" customHeight="1" x14ac:dyDescent="0.3">
      <c r="A5891" s="1">
        <v>4</v>
      </c>
      <c r="B5891" s="1" t="s">
        <v>4813</v>
      </c>
      <c r="C5891" s="1" t="str">
        <f ca="1">IFERROR(__xludf.DUMMYFUNCTION("GOOGLETRANSLATE(B5964,""en"",""ja"")"),"ゲイリー")</f>
        <v>ゲイリー</v>
      </c>
    </row>
    <row r="5892" spans="1:3" ht="18" customHeight="1" x14ac:dyDescent="0.3">
      <c r="A5892" s="1">
        <v>4</v>
      </c>
      <c r="B5892" s="1" t="s">
        <v>4814</v>
      </c>
      <c r="C5892" s="1" t="str">
        <f ca="1">IFERROR(__xludf.DUMMYFUNCTION("GOOGLETRANSLATE(B5965,""en"",""ja"")"),"ガガさん")</f>
        <v>ガガさん</v>
      </c>
    </row>
    <row r="5893" spans="1:3" ht="18" customHeight="1" x14ac:dyDescent="0.3">
      <c r="A5893" s="1">
        <v>4</v>
      </c>
      <c r="B5893" s="1" t="s">
        <v>4815</v>
      </c>
      <c r="C5893" s="1" t="str">
        <f ca="1">IFERROR(__xludf.DUMMYFUNCTION("GOOGLETRANSLATE(B5966,""en"",""ja"")"),"ゲール語")</f>
        <v>ゲール語</v>
      </c>
    </row>
    <row r="5894" spans="1:3" ht="18" customHeight="1" x14ac:dyDescent="0.3">
      <c r="A5894" s="1">
        <v>4</v>
      </c>
      <c r="B5894" s="1" t="s">
        <v>4816</v>
      </c>
      <c r="C5894" s="1" t="str">
        <f ca="1">IFERROR(__xludf.DUMMYFUNCTION("GOOGLETRANSLATE(B5967,""en"",""ja"")"),"先物")</f>
        <v>先物</v>
      </c>
    </row>
    <row r="5895" spans="1:3" ht="18" customHeight="1" x14ac:dyDescent="0.3">
      <c r="A5895" s="1">
        <v>4</v>
      </c>
      <c r="B5895" s="1" t="s">
        <v>4817</v>
      </c>
      <c r="C5895" s="1" t="str">
        <f ca="1">IFERROR(__xludf.DUMMYFUNCTION("GOOGLETRANSLATE(B5968,""en"",""ja"")"),"融合")</f>
        <v>融合</v>
      </c>
    </row>
    <row r="5896" spans="1:3" ht="18" customHeight="1" x14ac:dyDescent="0.3">
      <c r="A5896" s="1">
        <v>4</v>
      </c>
      <c r="B5896" s="1" t="s">
        <v>4818</v>
      </c>
      <c r="C5896" s="1" t="str">
        <f ca="1">IFERROR(__xludf.DUMMYFUNCTION("GOOGLETRANSLATE(B5969,""en"",""ja"")"),"資金調達")</f>
        <v>資金調達</v>
      </c>
    </row>
    <row r="5897" spans="1:3" ht="18" customHeight="1" x14ac:dyDescent="0.3">
      <c r="A5897" s="1">
        <v>4</v>
      </c>
      <c r="B5897" s="1" t="s">
        <v>4819</v>
      </c>
      <c r="C5897" s="1" t="str">
        <f ca="1">IFERROR(__xludf.DUMMYFUNCTION("GOOGLETRANSLATE(B5970,""en"",""ja"")"),"基本的に")</f>
        <v>基本的に</v>
      </c>
    </row>
    <row r="5898" spans="1:3" ht="18" customHeight="1" x14ac:dyDescent="0.3">
      <c r="A5898" s="1">
        <v>4</v>
      </c>
      <c r="B5898" s="1" t="s">
        <v>4820</v>
      </c>
      <c r="C5898" s="1" t="str">
        <f ca="1">IFERROR(__xludf.DUMMYFUNCTION("GOOGLETRANSLATE(B5971,""en"",""ja"")"),"最大限")</f>
        <v>最大限</v>
      </c>
    </row>
    <row r="5899" spans="1:3" ht="18" customHeight="1" x14ac:dyDescent="0.3">
      <c r="A5899" s="1">
        <v>4</v>
      </c>
      <c r="B5899" s="1" t="s">
        <v>4821</v>
      </c>
      <c r="C5899" s="1" t="str">
        <f ca="1">IFERROR(__xludf.DUMMYFUNCTION("GOOGLETRANSLATE(B5972,""en"",""ja"")"),"履行")</f>
        <v>履行</v>
      </c>
    </row>
    <row r="5900" spans="1:3" ht="18" customHeight="1" x14ac:dyDescent="0.3">
      <c r="A5900" s="1">
        <v>4</v>
      </c>
      <c r="B5900" s="1" t="s">
        <v>2700</v>
      </c>
      <c r="C5900" s="1" t="str">
        <f ca="1">IFERROR(__xludf.DUMMYFUNCTION("GOOGLETRANSLATE(B5973,""en"",""ja"")"),"フー")</f>
        <v>フー</v>
      </c>
    </row>
    <row r="5901" spans="1:3" ht="18" customHeight="1" x14ac:dyDescent="0.3">
      <c r="A5901" s="1">
        <v>4</v>
      </c>
      <c r="B5901" s="1" t="s">
        <v>4822</v>
      </c>
      <c r="C5901" s="1" t="str">
        <f ca="1">IFERROR(__xludf.DUMMYFUNCTION("GOOGLETRANSLATE(B5974,""en"",""ja"")"),"恐ろしい")</f>
        <v>恐ろしい</v>
      </c>
    </row>
    <row r="5902" spans="1:3" ht="18" customHeight="1" x14ac:dyDescent="0.3">
      <c r="A5902" s="1">
        <v>4</v>
      </c>
      <c r="B5902" s="1" t="s">
        <v>4823</v>
      </c>
      <c r="C5902" s="1" t="str">
        <f ca="1">IFERROR(__xludf.DUMMYFUNCTION("GOOGLETRANSLATE(B5975,""en"",""ja"")"),"友情")</f>
        <v>友情</v>
      </c>
    </row>
    <row r="5903" spans="1:3" ht="18" customHeight="1" x14ac:dyDescent="0.3">
      <c r="A5903" s="1">
        <v>4</v>
      </c>
      <c r="B5903" s="1" t="s">
        <v>2701</v>
      </c>
      <c r="C5903" s="1" t="str">
        <f ca="1">IFERROR(__xludf.DUMMYFUNCTION("GOOGLETRANSLATE(B5976,""en"",""ja"")"),"優しいです")</f>
        <v>優しいです</v>
      </c>
    </row>
    <row r="5904" spans="1:3" ht="18" customHeight="1" x14ac:dyDescent="0.3">
      <c r="A5904" s="1">
        <v>4</v>
      </c>
      <c r="B5904" s="1" t="s">
        <v>4824</v>
      </c>
      <c r="C5904" s="1" t="str">
        <f ca="1">IFERROR(__xludf.DUMMYFUNCTION("GOOGLETRANSLATE(B5977,""en"",""ja"")"),"自由化")</f>
        <v>自由化</v>
      </c>
    </row>
    <row r="5905" spans="1:3" ht="18" customHeight="1" x14ac:dyDescent="0.3">
      <c r="A5905" s="1">
        <v>4</v>
      </c>
      <c r="B5905" s="1" t="s">
        <v>4825</v>
      </c>
      <c r="C5905" s="1" t="str">
        <f ca="1">IFERROR(__xludf.DUMMYFUNCTION("GOOGLETRANSLATE(B5978,""en"",""ja"")"),"トランス")</f>
        <v>トランス</v>
      </c>
    </row>
    <row r="5906" spans="1:3" ht="18" customHeight="1" x14ac:dyDescent="0.3">
      <c r="A5906" s="1">
        <v>4</v>
      </c>
      <c r="B5906" s="1" t="s">
        <v>4826</v>
      </c>
      <c r="C5906" s="1" t="str">
        <f ca="1">IFERROR(__xludf.DUMMYFUNCTION("GOOGLETRANSLATE(B5979,""en"",""ja"")"),"フレーム")</f>
        <v>フレーム</v>
      </c>
    </row>
    <row r="5907" spans="1:3" ht="18" customHeight="1" x14ac:dyDescent="0.3">
      <c r="A5907" s="1">
        <v>4</v>
      </c>
      <c r="B5907" s="1" t="s">
        <v>1284</v>
      </c>
      <c r="C5907" s="1" t="str">
        <f ca="1">IFERROR(__xludf.DUMMYFUNCTION("GOOGLETRANSLATE(B5980,""en"",""ja"")"),"第4")</f>
        <v>第4</v>
      </c>
    </row>
    <row r="5908" spans="1:3" ht="18" customHeight="1" x14ac:dyDescent="0.3">
      <c r="A5908" s="1">
        <v>4</v>
      </c>
      <c r="B5908" s="1" t="s">
        <v>4827</v>
      </c>
      <c r="C5908" s="1" t="str">
        <f ca="1">IFERROR(__xludf.DUMMYFUNCTION("GOOGLETRANSLATE(B5981,""en"",""ja"")"),"財団")</f>
        <v>財団</v>
      </c>
    </row>
    <row r="5909" spans="1:3" ht="18" customHeight="1" x14ac:dyDescent="0.3">
      <c r="A5909" s="1">
        <v>4</v>
      </c>
      <c r="B5909" s="1" t="s">
        <v>4828</v>
      </c>
      <c r="C5909" s="1" t="str">
        <f ca="1">IFERROR(__xludf.DUMMYFUNCTION("GOOGLETRANSLATE(B5982,""en"",""ja"")"),"財団")</f>
        <v>財団</v>
      </c>
    </row>
    <row r="5910" spans="1:3" ht="18" customHeight="1" x14ac:dyDescent="0.3">
      <c r="A5910" s="1">
        <v>4</v>
      </c>
      <c r="B5910" s="1" t="s">
        <v>4829</v>
      </c>
      <c r="C5910" s="1" t="str">
        <f ca="1">IFERROR(__xludf.DUMMYFUNCTION("GOOGLETRANSLATE(B5983,""en"",""ja"")"),"策定")</f>
        <v>策定</v>
      </c>
    </row>
    <row r="5911" spans="1:3" ht="18" customHeight="1" x14ac:dyDescent="0.3">
      <c r="A5911" s="1">
        <v>4</v>
      </c>
      <c r="B5911" s="1" t="s">
        <v>4830</v>
      </c>
      <c r="C5911" s="1" t="str">
        <f ca="1">IFERROR(__xludf.DUMMYFUNCTION("GOOGLETRANSLATE(B5984,""en"",""ja"")"),"鍛錬")</f>
        <v>鍛錬</v>
      </c>
    </row>
    <row r="5912" spans="1:3" ht="18" customHeight="1" x14ac:dyDescent="0.3">
      <c r="A5912" s="1">
        <v>4</v>
      </c>
      <c r="B5912" s="1" t="s">
        <v>4831</v>
      </c>
      <c r="C5912" s="1" t="str">
        <f ca="1">IFERROR(__xludf.DUMMYFUNCTION("GOOGLETRANSLATE(B5985,""en"",""ja"")"),"永久に")</f>
        <v>永久に</v>
      </c>
    </row>
    <row r="5913" spans="1:3" ht="18" customHeight="1" x14ac:dyDescent="0.3">
      <c r="A5913" s="1">
        <v>4</v>
      </c>
      <c r="B5913" s="1" t="s">
        <v>4832</v>
      </c>
      <c r="C5913" s="1" t="str">
        <f ca="1">IFERROR(__xludf.DUMMYFUNCTION("GOOGLETRANSLATE(B5986,""en"",""ja"")"),"森林")</f>
        <v>森林</v>
      </c>
    </row>
    <row r="5914" spans="1:3" ht="18" customHeight="1" x14ac:dyDescent="0.3">
      <c r="A5914" s="1">
        <v>4</v>
      </c>
      <c r="B5914" s="1" t="s">
        <v>4833</v>
      </c>
      <c r="C5914" s="1" t="str">
        <f ca="1">IFERROR(__xludf.DUMMYFUNCTION("GOOGLETRANSLATE(B5987,""en"",""ja"")"),"伏線")</f>
        <v>伏線</v>
      </c>
    </row>
    <row r="5915" spans="1:3" ht="18" customHeight="1" x14ac:dyDescent="0.3">
      <c r="A5915" s="1">
        <v>4</v>
      </c>
      <c r="B5915" s="1" t="s">
        <v>556</v>
      </c>
      <c r="C5915" s="1" t="str">
        <f ca="1">IFERROR(__xludf.DUMMYFUNCTION("GOOGLETRANSLATE(B5988,""en"",""ja"")"),"外国の")</f>
        <v>外国の</v>
      </c>
    </row>
    <row r="5916" spans="1:3" ht="18" customHeight="1" x14ac:dyDescent="0.3">
      <c r="A5916" s="1">
        <v>4</v>
      </c>
      <c r="B5916" s="1" t="s">
        <v>4834</v>
      </c>
      <c r="C5916" s="1" t="str">
        <f ca="1">IFERROR(__xludf.DUMMYFUNCTION("GOOGLETRANSLATE(B5989,""en"",""ja"")"),"foregrounding")</f>
        <v>foregrounding</v>
      </c>
    </row>
    <row r="5917" spans="1:3" ht="18" customHeight="1" x14ac:dyDescent="0.3">
      <c r="A5917" s="1">
        <v>4</v>
      </c>
      <c r="B5917" s="1" t="s">
        <v>1682</v>
      </c>
      <c r="C5917" s="1" t="str">
        <f ca="1">IFERROR(__xludf.DUMMYFUNCTION("GOOGLETRANSLATE(B5990,""en"",""ja"")"),"見通し")</f>
        <v>見通し</v>
      </c>
    </row>
    <row r="5918" spans="1:3" ht="18" customHeight="1" x14ac:dyDescent="0.3">
      <c r="A5918" s="1">
        <v>4</v>
      </c>
      <c r="B5918" s="1" t="s">
        <v>4835</v>
      </c>
      <c r="C5918" s="1" t="str">
        <f ca="1">IFERROR(__xludf.DUMMYFUNCTION("GOOGLETRANSLATE(B5991,""en"",""ja"")"),"採餌")</f>
        <v>採餌</v>
      </c>
    </row>
    <row r="5919" spans="1:3" ht="18" customHeight="1" x14ac:dyDescent="0.3">
      <c r="A5919" s="1">
        <v>4</v>
      </c>
      <c r="B5919" s="1" t="s">
        <v>2157</v>
      </c>
      <c r="C5919" s="1" t="str">
        <f ca="1">IFERROR(__xludf.DUMMYFUNCTION("GOOGLETRANSLATE(B5992,""en"",""ja"")"),"フォーカス")</f>
        <v>フォーカス</v>
      </c>
    </row>
    <row r="5920" spans="1:3" ht="18" customHeight="1" x14ac:dyDescent="0.3">
      <c r="A5920" s="1">
        <v>4</v>
      </c>
      <c r="B5920" s="1" t="s">
        <v>4836</v>
      </c>
      <c r="C5920" s="1" t="str">
        <f ca="1">IFERROR(__xludf.DUMMYFUNCTION("GOOGLETRANSLATE(B5993,""en"",""ja"")"),"投げつけ")</f>
        <v>投げつけ</v>
      </c>
    </row>
    <row r="5921" spans="1:3" ht="18" customHeight="1" x14ac:dyDescent="0.3">
      <c r="A5921" s="1">
        <v>4</v>
      </c>
      <c r="B5921" s="1" t="s">
        <v>4837</v>
      </c>
      <c r="C5921" s="1" t="str">
        <f ca="1">IFERROR(__xludf.DUMMYFUNCTION("GOOGLETRANSLATE(B5994,""en"",""ja"")"),"体液")</f>
        <v>体液</v>
      </c>
    </row>
    <row r="5922" spans="1:3" ht="18" customHeight="1" x14ac:dyDescent="0.3">
      <c r="A5922" s="1">
        <v>4</v>
      </c>
      <c r="B5922" s="1" t="s">
        <v>4838</v>
      </c>
      <c r="C5922" s="1" t="str">
        <f ca="1">IFERROR(__xludf.DUMMYFUNCTION("GOOGLETRANSLATE(B5995,""en"",""ja"")"),"栄えます")</f>
        <v>栄えます</v>
      </c>
    </row>
    <row r="5923" spans="1:3" ht="18" customHeight="1" x14ac:dyDescent="0.3">
      <c r="A5923" s="1">
        <v>4</v>
      </c>
      <c r="B5923" s="1" t="s">
        <v>2158</v>
      </c>
      <c r="C5923" s="1" t="str">
        <f ca="1">IFERROR(__xludf.DUMMYFUNCTION("GOOGLETRANSLATE(B5996,""en"",""ja"")"),"洪水")</f>
        <v>洪水</v>
      </c>
    </row>
    <row r="5924" spans="1:3" ht="18" customHeight="1" x14ac:dyDescent="0.3">
      <c r="A5924" s="1">
        <v>4</v>
      </c>
      <c r="B5924" s="1" t="s">
        <v>4839</v>
      </c>
      <c r="C5924" s="1" t="str">
        <f ca="1">IFERROR(__xludf.DUMMYFUNCTION("GOOGLETRANSLATE(B5997,""en"",""ja"")"),"群れ")</f>
        <v>群れ</v>
      </c>
    </row>
    <row r="5925" spans="1:3" ht="18" customHeight="1" x14ac:dyDescent="0.3">
      <c r="A5925" s="1">
        <v>4</v>
      </c>
      <c r="B5925" s="1" t="s">
        <v>4840</v>
      </c>
      <c r="C5925" s="1" t="str">
        <f ca="1">IFERROR(__xludf.DUMMYFUNCTION("GOOGLETRANSLATE(B5998,""en"",""ja"")"),"火打ち石")</f>
        <v>火打ち石</v>
      </c>
    </row>
    <row r="5926" spans="1:3" ht="18" customHeight="1" x14ac:dyDescent="0.3">
      <c r="A5926" s="1">
        <v>4</v>
      </c>
      <c r="B5926" s="1" t="s">
        <v>4841</v>
      </c>
      <c r="C5926" s="1" t="str">
        <f ca="1">IFERROR(__xludf.DUMMYFUNCTION("GOOGLETRANSLATE(B5999,""en"",""ja"")"),"便")</f>
        <v>便</v>
      </c>
    </row>
    <row r="5927" spans="1:3" ht="18" customHeight="1" x14ac:dyDescent="0.3">
      <c r="A5927" s="1">
        <v>4</v>
      </c>
      <c r="B5927" s="1" t="s">
        <v>2160</v>
      </c>
      <c r="C5927" s="1" t="str">
        <f ca="1">IFERROR(__xludf.DUMMYFUNCTION("GOOGLETRANSLATE(B6000,""en"",""ja"")"),"平らな")</f>
        <v>平らな</v>
      </c>
    </row>
    <row r="5928" spans="1:3" ht="18" customHeight="1" x14ac:dyDescent="0.3">
      <c r="A5928" s="1">
        <v>4</v>
      </c>
      <c r="B5928" s="1" t="s">
        <v>4842</v>
      </c>
      <c r="C5928" s="1" t="str">
        <f ca="1">IFERROR(__xludf.DUMMYFUNCTION("GOOGLETRANSLATE(B6001,""en"",""ja"")"),"閃光")</f>
        <v>閃光</v>
      </c>
    </row>
    <row r="5929" spans="1:3" ht="18" customHeight="1" x14ac:dyDescent="0.3">
      <c r="A5929" s="1">
        <v>4</v>
      </c>
      <c r="B5929" s="1" t="s">
        <v>4843</v>
      </c>
      <c r="C5929" s="1" t="str">
        <f ca="1">IFERROR(__xludf.DUMMYFUNCTION("GOOGLETRANSLATE(B6002,""en"",""ja"")"),"漁師")</f>
        <v>漁師</v>
      </c>
    </row>
    <row r="5930" spans="1:3" ht="18" customHeight="1" x14ac:dyDescent="0.3">
      <c r="A5930" s="1">
        <v>4</v>
      </c>
      <c r="B5930" s="1" t="s">
        <v>4844</v>
      </c>
      <c r="C5930" s="1" t="str">
        <f ca="1">IFERROR(__xludf.DUMMYFUNCTION("GOOGLETRANSLATE(B6003,""en"",""ja"")"),"ファイル")</f>
        <v>ファイル</v>
      </c>
    </row>
    <row r="5931" spans="1:3" ht="18" customHeight="1" x14ac:dyDescent="0.3">
      <c r="A5931" s="1">
        <v>4</v>
      </c>
      <c r="B5931" s="1" t="s">
        <v>2406</v>
      </c>
      <c r="C5931" s="1" t="str">
        <f ca="1">IFERROR(__xludf.DUMMYFUNCTION("GOOGLETRANSLATE(B6004,""en"",""ja"")"),"第五の")</f>
        <v>第五の</v>
      </c>
    </row>
    <row r="5932" spans="1:3" ht="18" customHeight="1" x14ac:dyDescent="0.3">
      <c r="A5932" s="1">
        <v>4</v>
      </c>
      <c r="B5932" s="1" t="s">
        <v>774</v>
      </c>
      <c r="C5932" s="1" t="str">
        <f ca="1">IFERROR(__xludf.DUMMYFUNCTION("GOOGLETRANSLATE(B6005,""en"",""ja"")"),"フィールド")</f>
        <v>フィールド</v>
      </c>
    </row>
    <row r="5933" spans="1:3" ht="18" customHeight="1" x14ac:dyDescent="0.3">
      <c r="A5933" s="1">
        <v>4</v>
      </c>
      <c r="B5933" s="1" t="s">
        <v>4845</v>
      </c>
      <c r="C5933" s="1" t="str">
        <f ca="1">IFERROR(__xludf.DUMMYFUNCTION("GOOGLETRANSLATE(B6006,""en"",""ja"")"),"フィクション")</f>
        <v>フィクション</v>
      </c>
    </row>
    <row r="5934" spans="1:3" ht="18" customHeight="1" x14ac:dyDescent="0.3">
      <c r="A5934" s="1">
        <v>4</v>
      </c>
      <c r="B5934" s="1" t="s">
        <v>4846</v>
      </c>
      <c r="C5934" s="1" t="str">
        <f ca="1">IFERROR(__xludf.DUMMYFUNCTION("GOOGLETRANSLATE(B6007,""en"",""ja"")"),"受胎能力")</f>
        <v>受胎能力</v>
      </c>
    </row>
    <row r="5935" spans="1:3" ht="18" customHeight="1" x14ac:dyDescent="0.3">
      <c r="A5935" s="1">
        <v>4</v>
      </c>
      <c r="B5935" s="1" t="s">
        <v>4847</v>
      </c>
      <c r="C5935" s="1" t="str">
        <f ca="1">IFERROR(__xludf.DUMMYFUNCTION("GOOGLETRANSLATE(B6008,""en"",""ja"")"),"フェミニン")</f>
        <v>フェミニン</v>
      </c>
    </row>
    <row r="5936" spans="1:3" ht="18" customHeight="1" x14ac:dyDescent="0.3">
      <c r="A5936" s="1">
        <v>4</v>
      </c>
      <c r="B5936" s="1" t="s">
        <v>2714</v>
      </c>
      <c r="C5936" s="1" t="str">
        <f ca="1">IFERROR(__xludf.DUMMYFUNCTION("GOOGLETRANSLATE(B6009,""en"",""ja"")"),"フィード")</f>
        <v>フィード</v>
      </c>
    </row>
    <row r="5937" spans="1:3" ht="18" customHeight="1" x14ac:dyDescent="0.3">
      <c r="A5937" s="1">
        <v>4</v>
      </c>
      <c r="B5937" s="1" t="s">
        <v>4848</v>
      </c>
      <c r="C5937" s="1" t="str">
        <f ca="1">IFERROR(__xludf.DUMMYFUNCTION("GOOGLETRANSLATE(B6010,""en"",""ja"")"),"費用")</f>
        <v>費用</v>
      </c>
    </row>
    <row r="5938" spans="1:3" ht="18" customHeight="1" x14ac:dyDescent="0.3">
      <c r="A5938" s="1">
        <v>4</v>
      </c>
      <c r="B5938" s="1" t="s">
        <v>4849</v>
      </c>
      <c r="C5938" s="1" t="str">
        <f ca="1">IFERROR(__xludf.DUMMYFUNCTION("GOOGLETRANSLATE(B6011,""en"",""ja"")"),"可能")</f>
        <v>可能</v>
      </c>
    </row>
    <row r="5939" spans="1:3" ht="18" customHeight="1" x14ac:dyDescent="0.3">
      <c r="A5939" s="1">
        <v>4</v>
      </c>
      <c r="B5939" s="1" t="s">
        <v>4850</v>
      </c>
      <c r="C5939" s="1" t="str">
        <f ca="1">IFERROR(__xludf.DUMMYFUNCTION("GOOGLETRANSLATE(B6012,""en"",""ja"")"),"倦怠感")</f>
        <v>倦怠感</v>
      </c>
    </row>
    <row r="5940" spans="1:3" ht="18" customHeight="1" x14ac:dyDescent="0.3">
      <c r="A5940" s="1">
        <v>4</v>
      </c>
      <c r="B5940" s="1" t="s">
        <v>4851</v>
      </c>
      <c r="C5940" s="1" t="str">
        <f ca="1">IFERROR(__xludf.DUMMYFUNCTION("GOOGLETRANSLATE(B6014,""en"",""ja"")"),"滝")</f>
        <v>滝</v>
      </c>
    </row>
    <row r="5941" spans="1:3" ht="18" customHeight="1" x14ac:dyDescent="0.3">
      <c r="A5941" s="1">
        <v>4</v>
      </c>
      <c r="B5941" s="1" t="s">
        <v>4852</v>
      </c>
      <c r="C5941" s="1" t="str">
        <f ca="1">IFERROR(__xludf.DUMMYFUNCTION("GOOGLETRANSLATE(B6015,""en"",""ja"")"),"因数分解")</f>
        <v>因数分解</v>
      </c>
    </row>
    <row r="5942" spans="1:3" ht="18" customHeight="1" x14ac:dyDescent="0.3">
      <c r="A5942" s="1">
        <v>4</v>
      </c>
      <c r="B5942" s="1" t="s">
        <v>4853</v>
      </c>
      <c r="C5942" s="1" t="str">
        <f ca="1">IFERROR(__xludf.DUMMYFUNCTION("GOOGLETRANSLATE(B6016,""en"",""ja"")"),"向い")</f>
        <v>向い</v>
      </c>
    </row>
    <row r="5943" spans="1:3" ht="18" customHeight="1" x14ac:dyDescent="0.3">
      <c r="A5943" s="1">
        <v>4</v>
      </c>
      <c r="B5943" s="1" t="s">
        <v>4854</v>
      </c>
      <c r="C5943" s="1" t="str">
        <f ca="1">IFERROR(__xludf.DUMMYFUNCTION("GOOGLETRANSLATE(B6017,""en"",""ja"")"),"Facebookの")</f>
        <v>Facebookの</v>
      </c>
    </row>
    <row r="5944" spans="1:3" ht="18" customHeight="1" x14ac:dyDescent="0.3">
      <c r="A5944" s="1">
        <v>4</v>
      </c>
      <c r="B5944" s="1" t="s">
        <v>4855</v>
      </c>
      <c r="C5944" s="1" t="str">
        <f ca="1">IFERROR(__xludf.DUMMYFUNCTION("GOOGLETRANSLATE(B6018,""en"",""ja"")"),"目")</f>
        <v>目</v>
      </c>
    </row>
    <row r="5945" spans="1:3" ht="18" customHeight="1" x14ac:dyDescent="0.3">
      <c r="A5945" s="1">
        <v>4</v>
      </c>
      <c r="B5945" s="1" t="s">
        <v>4856</v>
      </c>
      <c r="C5945" s="1" t="str">
        <f ca="1">IFERROR(__xludf.DUMMYFUNCTION("GOOGLETRANSLATE(B6019,""en"",""ja"")"),"極端な")</f>
        <v>極端な</v>
      </c>
    </row>
    <row r="5946" spans="1:3" ht="18" customHeight="1" x14ac:dyDescent="0.3">
      <c r="A5946" s="1">
        <v>4</v>
      </c>
      <c r="B5946" s="1" t="s">
        <v>4857</v>
      </c>
      <c r="C5946" s="1" t="str">
        <f ca="1">IFERROR(__xludf.DUMMYFUNCTION("GOOGLETRANSLATE(B6021,""en"",""ja"")"),"エキス")</f>
        <v>エキス</v>
      </c>
    </row>
    <row r="5947" spans="1:3" ht="18" customHeight="1" x14ac:dyDescent="0.3">
      <c r="A5947" s="1">
        <v>4</v>
      </c>
      <c r="B5947" s="1" t="s">
        <v>4858</v>
      </c>
      <c r="C5947" s="1" t="str">
        <f ca="1">IFERROR(__xludf.DUMMYFUNCTION("GOOGLETRANSLATE(B6022,""en"",""ja"")"),"絶滅")</f>
        <v>絶滅</v>
      </c>
    </row>
    <row r="5948" spans="1:3" ht="18" customHeight="1" x14ac:dyDescent="0.3">
      <c r="A5948" s="1">
        <v>4</v>
      </c>
      <c r="B5948" s="1" t="s">
        <v>4859</v>
      </c>
      <c r="C5948" s="1" t="str">
        <f ca="1">IFERROR(__xludf.DUMMYFUNCTION("GOOGLETRANSLATE(B6023,""en"",""ja"")"),"表現力")</f>
        <v>表現力</v>
      </c>
    </row>
    <row r="5949" spans="1:3" ht="18" customHeight="1" x14ac:dyDescent="0.3">
      <c r="A5949" s="1">
        <v>4</v>
      </c>
      <c r="B5949" s="1" t="s">
        <v>4860</v>
      </c>
      <c r="C5949" s="1" t="str">
        <f ca="1">IFERROR(__xludf.DUMMYFUNCTION("GOOGLETRANSLATE(B6024,""en"",""ja"")"),"晒します")</f>
        <v>晒します</v>
      </c>
    </row>
    <row r="5950" spans="1:3" ht="18" customHeight="1" x14ac:dyDescent="0.3">
      <c r="A5950" s="1">
        <v>4</v>
      </c>
      <c r="B5950" s="1" t="s">
        <v>4861</v>
      </c>
      <c r="C5950" s="1" t="str">
        <f ca="1">IFERROR(__xludf.DUMMYFUNCTION("GOOGLETRANSLATE(B6025,""en"",""ja"")"),"探索")</f>
        <v>探索</v>
      </c>
    </row>
    <row r="5951" spans="1:3" ht="18" customHeight="1" x14ac:dyDescent="0.3">
      <c r="A5951" s="1">
        <v>4</v>
      </c>
      <c r="B5951" s="1" t="s">
        <v>4862</v>
      </c>
      <c r="C5951" s="1" t="str">
        <f ca="1">IFERROR(__xludf.DUMMYFUNCTION("GOOGLETRANSLATE(B6026,""en"",""ja"")"),"明示的な")</f>
        <v>明示的な</v>
      </c>
    </row>
    <row r="5952" spans="1:3" ht="18" customHeight="1" x14ac:dyDescent="0.3">
      <c r="A5952" s="1">
        <v>4</v>
      </c>
      <c r="B5952" s="1" t="s">
        <v>4058</v>
      </c>
      <c r="C5952" s="1" t="str">
        <f ca="1">IFERROR(__xludf.DUMMYFUNCTION("GOOGLETRANSLATE(B6027,""en"",""ja"")"),"熟練")</f>
        <v>熟練</v>
      </c>
    </row>
    <row r="5953" spans="1:3" ht="18" customHeight="1" x14ac:dyDescent="0.3">
      <c r="A5953" s="1">
        <v>4</v>
      </c>
      <c r="B5953" s="1" t="s">
        <v>4863</v>
      </c>
      <c r="C5953" s="1" t="str">
        <f ca="1">IFERROR(__xludf.DUMMYFUNCTION("GOOGLETRANSLATE(B6028,""en"",""ja"")"),"経験")</f>
        <v>経験</v>
      </c>
    </row>
    <row r="5954" spans="1:3" ht="18" customHeight="1" x14ac:dyDescent="0.3">
      <c r="A5954" s="1">
        <v>4</v>
      </c>
      <c r="B5954" s="1" t="s">
        <v>4864</v>
      </c>
      <c r="C5954" s="1" t="str">
        <f ca="1">IFERROR(__xludf.DUMMYFUNCTION("GOOGLETRANSLATE(B6029,""en"",""ja"")"),"存在していました")</f>
        <v>存在していました</v>
      </c>
    </row>
    <row r="5955" spans="1:3" ht="18" customHeight="1" x14ac:dyDescent="0.3">
      <c r="A5955" s="1">
        <v>4</v>
      </c>
      <c r="B5955" s="1" t="s">
        <v>828</v>
      </c>
      <c r="C5955" s="1" t="str">
        <f ca="1">IFERROR(__xludf.DUMMYFUNCTION("GOOGLETRANSLATE(B6030,""en"",""ja"")"),"が存在")</f>
        <v>が存在</v>
      </c>
    </row>
    <row r="5956" spans="1:3" ht="18" customHeight="1" x14ac:dyDescent="0.3">
      <c r="A5956" s="1">
        <v>4</v>
      </c>
      <c r="B5956" s="1" t="s">
        <v>4865</v>
      </c>
      <c r="C5956" s="1" t="str">
        <f ca="1">IFERROR(__xludf.DUMMYFUNCTION("GOOGLETRANSLATE(B6031,""en"",""ja"")"),"行使")</f>
        <v>行使</v>
      </c>
    </row>
    <row r="5957" spans="1:3" ht="18" customHeight="1" x14ac:dyDescent="0.3">
      <c r="A5957" s="1">
        <v>4</v>
      </c>
      <c r="B5957" s="1" t="s">
        <v>4866</v>
      </c>
      <c r="C5957" s="1" t="str">
        <f ca="1">IFERROR(__xludf.DUMMYFUNCTION("GOOGLETRANSLATE(B6032,""en"",""ja"")"),"エキサイティング")</f>
        <v>エキサイティング</v>
      </c>
    </row>
    <row r="5958" spans="1:3" ht="18" customHeight="1" x14ac:dyDescent="0.3">
      <c r="A5958" s="1">
        <v>4</v>
      </c>
      <c r="B5958" s="1" t="s">
        <v>4867</v>
      </c>
      <c r="C5958" s="1" t="str">
        <f ca="1">IFERROR(__xludf.DUMMYFUNCTION("GOOGLETRANSLATE(B6033,""en"",""ja"")"),"交流")</f>
        <v>交流</v>
      </c>
    </row>
    <row r="5959" spans="1:3" ht="18" customHeight="1" x14ac:dyDescent="0.3">
      <c r="A5959" s="1">
        <v>4</v>
      </c>
      <c r="B5959" s="1" t="s">
        <v>4868</v>
      </c>
      <c r="C5959" s="1" t="str">
        <f ca="1">IFERROR(__xludf.DUMMYFUNCTION("GOOGLETRANSLATE(B6034,""en"",""ja"")"),"交換")</f>
        <v>交換</v>
      </c>
    </row>
    <row r="5960" spans="1:3" ht="18" customHeight="1" x14ac:dyDescent="0.3">
      <c r="A5960" s="1">
        <v>4</v>
      </c>
      <c r="B5960" s="1" t="s">
        <v>3045</v>
      </c>
      <c r="C5960" s="1" t="str">
        <f ca="1">IFERROR(__xludf.DUMMYFUNCTION("GOOGLETRANSLATE(B6035,""en"",""ja"")"),"悪の")</f>
        <v>悪の</v>
      </c>
    </row>
    <row r="5961" spans="1:3" ht="18" customHeight="1" x14ac:dyDescent="0.3">
      <c r="A5961" s="1">
        <v>4</v>
      </c>
      <c r="B5961" s="1" t="s">
        <v>4869</v>
      </c>
      <c r="C5961" s="1" t="str">
        <f ca="1">IFERROR(__xludf.DUMMYFUNCTION("GOOGLETRANSLATE(B6036,""en"",""ja"")"),"明らか")</f>
        <v>明らか</v>
      </c>
    </row>
    <row r="5962" spans="1:3" ht="18" customHeight="1" x14ac:dyDescent="0.3">
      <c r="A5962" s="1">
        <v>4</v>
      </c>
      <c r="B5962" s="1" t="s">
        <v>905</v>
      </c>
      <c r="C5962" s="1" t="str">
        <f ca="1">IFERROR(__xludf.DUMMYFUNCTION("GOOGLETRANSLATE(B6037,""en"",""ja"")"),"イベント")</f>
        <v>イベント</v>
      </c>
    </row>
    <row r="5963" spans="1:3" ht="18" customHeight="1" x14ac:dyDescent="0.3">
      <c r="A5963" s="1">
        <v>4</v>
      </c>
      <c r="B5963" s="1" t="s">
        <v>4870</v>
      </c>
      <c r="C5963" s="1" t="str">
        <f ca="1">IFERROR(__xludf.DUMMYFUNCTION("GOOGLETRANSLATE(B6038,""en"",""ja"")"),"イブ")</f>
        <v>イブ</v>
      </c>
    </row>
    <row r="5964" spans="1:3" ht="18" customHeight="1" x14ac:dyDescent="0.3">
      <c r="A5964" s="1">
        <v>4</v>
      </c>
      <c r="B5964" s="1" t="s">
        <v>4871</v>
      </c>
      <c r="C5964" s="1" t="str">
        <f ca="1">IFERROR(__xludf.DUMMYFUNCTION("GOOGLETRANSLATE(B6039,""en"",""ja"")"),"評価します")</f>
        <v>評価します</v>
      </c>
    </row>
    <row r="5965" spans="1:3" ht="18" customHeight="1" x14ac:dyDescent="0.3">
      <c r="A5965" s="1">
        <v>4</v>
      </c>
      <c r="B5965" s="1" t="s">
        <v>4872</v>
      </c>
      <c r="C5965" s="1" t="str">
        <f ca="1">IFERROR(__xludf.DUMMYFUNCTION("GOOGLETRANSLATE(B6040,""en"",""ja"")"),"評価を")</f>
        <v>評価を</v>
      </c>
    </row>
    <row r="5966" spans="1:3" ht="18" customHeight="1" x14ac:dyDescent="0.3">
      <c r="A5966" s="1">
        <v>4</v>
      </c>
      <c r="B5966" s="1" t="s">
        <v>4873</v>
      </c>
      <c r="C5966" s="1" t="str">
        <f ca="1">IFERROR(__xludf.DUMMYFUNCTION("GOOGLETRANSLATE(B6041,""en"",""ja"")"),"ヨーロッパ人")</f>
        <v>ヨーロッパ人</v>
      </c>
    </row>
    <row r="5967" spans="1:3" ht="18" customHeight="1" x14ac:dyDescent="0.3">
      <c r="A5967" s="1">
        <v>4</v>
      </c>
      <c r="B5967" s="1" t="s">
        <v>3047</v>
      </c>
      <c r="C5967" s="1" t="str">
        <f ca="1">IFERROR(__xludf.DUMMYFUNCTION("GOOGLETRANSLATE(B6042,""en"",""ja"")"),"エスニシティ")</f>
        <v>エスニシティ</v>
      </c>
    </row>
    <row r="5968" spans="1:3" ht="18" customHeight="1" x14ac:dyDescent="0.3">
      <c r="A5968" s="1">
        <v>4</v>
      </c>
      <c r="B5968" s="1" t="s">
        <v>4874</v>
      </c>
      <c r="C5968" s="1" t="str">
        <f ca="1">IFERROR(__xludf.DUMMYFUNCTION("GOOGLETRANSLATE(B6043,""en"",""ja"")"),"エチオピア")</f>
        <v>エチオピア</v>
      </c>
    </row>
    <row r="5969" spans="1:3" ht="18" customHeight="1" x14ac:dyDescent="0.3">
      <c r="A5969" s="1">
        <v>4</v>
      </c>
      <c r="B5969" s="1" t="s">
        <v>4875</v>
      </c>
      <c r="C5969" s="1" t="str">
        <f ca="1">IFERROR(__xludf.DUMMYFUNCTION("GOOGLETRANSLATE(B6044,""en"",""ja"")"),"倫理")</f>
        <v>倫理</v>
      </c>
    </row>
    <row r="5970" spans="1:3" ht="18" customHeight="1" x14ac:dyDescent="0.3">
      <c r="A5970" s="1">
        <v>4</v>
      </c>
      <c r="B5970" s="1" t="s">
        <v>4876</v>
      </c>
      <c r="C5970" s="1" t="str">
        <f ca="1">IFERROR(__xludf.DUMMYFUNCTION("GOOGLETRANSLATE(B6045,""en"",""ja"")"),"永遠の")</f>
        <v>永遠の</v>
      </c>
    </row>
    <row r="5971" spans="1:3" ht="18" customHeight="1" x14ac:dyDescent="0.3">
      <c r="A5971" s="1">
        <v>4</v>
      </c>
      <c r="B5971" s="1" t="s">
        <v>3574</v>
      </c>
      <c r="C5971" s="1" t="str">
        <f ca="1">IFERROR(__xludf.DUMMYFUNCTION("GOOGLETRANSLATE(B6046,""en"",""ja"")"),"設立する")</f>
        <v>設立する</v>
      </c>
    </row>
    <row r="5972" spans="1:3" ht="18" customHeight="1" x14ac:dyDescent="0.3">
      <c r="A5972" s="1">
        <v>4</v>
      </c>
      <c r="B5972" s="1" t="s">
        <v>4877</v>
      </c>
      <c r="C5972" s="1" t="str">
        <f ca="1">IFERROR(__xludf.DUMMYFUNCTION("GOOGLETRANSLATE(B6047,""en"",""ja"")"),"エッセイ")</f>
        <v>エッセイ</v>
      </c>
    </row>
    <row r="5973" spans="1:3" ht="18" customHeight="1" x14ac:dyDescent="0.3">
      <c r="A5973" s="1">
        <v>4</v>
      </c>
      <c r="B5973" s="1" t="s">
        <v>4878</v>
      </c>
      <c r="C5973" s="1" t="str">
        <f ca="1">IFERROR(__xludf.DUMMYFUNCTION("GOOGLETRANSLATE(B6048,""en"",""ja"")"),"エレクトス")</f>
        <v>エレクトス</v>
      </c>
    </row>
    <row r="5974" spans="1:3" ht="18" customHeight="1" x14ac:dyDescent="0.3">
      <c r="A5974" s="1">
        <v>4</v>
      </c>
      <c r="B5974" s="1" t="s">
        <v>4879</v>
      </c>
      <c r="C5974" s="1" t="str">
        <f ca="1">IFERROR(__xludf.DUMMYFUNCTION("GOOGLETRANSLATE(B6049,""en"",""ja"")"),"立て")</f>
        <v>立て</v>
      </c>
    </row>
    <row r="5975" spans="1:3" ht="18" customHeight="1" x14ac:dyDescent="0.3">
      <c r="A5975" s="1">
        <v>4</v>
      </c>
      <c r="B5975" s="1" t="s">
        <v>4880</v>
      </c>
      <c r="C5975" s="1" t="str">
        <f ca="1">IFERROR(__xludf.DUMMYFUNCTION("GOOGLETRANSLATE(B6050,""en"",""ja"")"),"抹消")</f>
        <v>抹消</v>
      </c>
    </row>
    <row r="5976" spans="1:3" ht="18" customHeight="1" x14ac:dyDescent="0.3">
      <c r="A5976" s="1">
        <v>4</v>
      </c>
      <c r="B5976" s="1" t="s">
        <v>4881</v>
      </c>
      <c r="C5976" s="1" t="str">
        <f ca="1">IFERROR(__xludf.DUMMYFUNCTION("GOOGLETRANSLATE(B6051,""en"",""ja"")"),"エラスムス")</f>
        <v>エラスムス</v>
      </c>
    </row>
    <row r="5977" spans="1:3" ht="18" customHeight="1" x14ac:dyDescent="0.3">
      <c r="A5977" s="1">
        <v>4</v>
      </c>
      <c r="B5977" s="1" t="s">
        <v>4882</v>
      </c>
      <c r="C5977" s="1" t="str">
        <f ca="1">IFERROR(__xludf.DUMMYFUNCTION("GOOGLETRANSLATE(B6052,""en"",""ja"")"),"消去")</f>
        <v>消去</v>
      </c>
    </row>
    <row r="5978" spans="1:3" ht="18" customHeight="1" x14ac:dyDescent="0.3">
      <c r="A5978" s="1">
        <v>4</v>
      </c>
      <c r="B5978" s="1" t="s">
        <v>4883</v>
      </c>
      <c r="C5978" s="1" t="str">
        <f ca="1">IFERROR(__xludf.DUMMYFUNCTION("GOOGLETRANSLATE(B6053,""en"",""ja"")"),"同じ")</f>
        <v>同じ</v>
      </c>
    </row>
    <row r="5979" spans="1:3" ht="18" customHeight="1" x14ac:dyDescent="0.3">
      <c r="A5979" s="1">
        <v>4</v>
      </c>
      <c r="B5979" s="1" t="s">
        <v>4066</v>
      </c>
      <c r="C5979" s="1" t="str">
        <f ca="1">IFERROR(__xludf.DUMMYFUNCTION("GOOGLETRANSLATE(B6054,""en"",""ja"")"),"方程式")</f>
        <v>方程式</v>
      </c>
    </row>
    <row r="5980" spans="1:3" ht="18" customHeight="1" x14ac:dyDescent="0.3">
      <c r="A5980" s="1">
        <v>4</v>
      </c>
      <c r="B5980" s="1" t="s">
        <v>4884</v>
      </c>
      <c r="C5980" s="1" t="str">
        <f ca="1">IFERROR(__xludf.DUMMYFUNCTION("GOOGLETRANSLATE(B6055,""en"",""ja"")"),"等式")</f>
        <v>等式</v>
      </c>
    </row>
    <row r="5981" spans="1:3" ht="18" customHeight="1" x14ac:dyDescent="0.3">
      <c r="A5981" s="1">
        <v>4</v>
      </c>
      <c r="B5981" s="1" t="s">
        <v>4885</v>
      </c>
      <c r="C5981" s="1" t="str">
        <f ca="1">IFERROR(__xludf.DUMMYFUNCTION("GOOGLETRANSLATE(B6056,""en"",""ja"")"),"疫学")</f>
        <v>疫学</v>
      </c>
    </row>
    <row r="5982" spans="1:3" ht="18" customHeight="1" x14ac:dyDescent="0.3">
      <c r="A5982" s="1">
        <v>4</v>
      </c>
      <c r="B5982" s="1" t="s">
        <v>2732</v>
      </c>
      <c r="C5982" s="1" t="str">
        <f ca="1">IFERROR(__xludf.DUMMYFUNCTION("GOOGLETRANSLATE(B6057,""en"",""ja"")"),"環境保護論者")</f>
        <v>環境保護論者</v>
      </c>
    </row>
    <row r="5983" spans="1:3" ht="18" customHeight="1" x14ac:dyDescent="0.3">
      <c r="A5983" s="1">
        <v>4</v>
      </c>
      <c r="B5983" s="1" t="s">
        <v>4886</v>
      </c>
      <c r="C5983" s="1" t="str">
        <f ca="1">IFERROR(__xludf.DUMMYFUNCTION("GOOGLETRANSLATE(B6058,""en"",""ja"")"),"資格付与")</f>
        <v>資格付与</v>
      </c>
    </row>
    <row r="5984" spans="1:3" ht="18" customHeight="1" x14ac:dyDescent="0.3">
      <c r="A5984" s="1">
        <v>4</v>
      </c>
      <c r="B5984" s="1" t="s">
        <v>4887</v>
      </c>
      <c r="C5984" s="1" t="str">
        <f ca="1">IFERROR(__xludf.DUMMYFUNCTION("GOOGLETRANSLATE(B6059,""en"",""ja"")"),"含意")</f>
        <v>含意</v>
      </c>
    </row>
    <row r="5985" spans="1:3" ht="18" customHeight="1" x14ac:dyDescent="0.3">
      <c r="A5985" s="1">
        <v>4</v>
      </c>
      <c r="B5985" s="1" t="s">
        <v>4888</v>
      </c>
      <c r="C5985" s="1" t="str">
        <f ca="1">IFERROR(__xludf.DUMMYFUNCTION("GOOGLETRANSLATE(B6060,""en"",""ja"")"),"確実に")</f>
        <v>確実に</v>
      </c>
    </row>
    <row r="5986" spans="1:3" ht="18" customHeight="1" x14ac:dyDescent="0.3">
      <c r="A5986" s="1">
        <v>4</v>
      </c>
      <c r="B5986" s="1" t="s">
        <v>4889</v>
      </c>
      <c r="C5986" s="1" t="str">
        <f ca="1">IFERROR(__xludf.DUMMYFUNCTION("GOOGLETRANSLATE(B6061,""en"",""ja"")"),"確保")</f>
        <v>確保</v>
      </c>
    </row>
    <row r="5987" spans="1:3" ht="18" customHeight="1" x14ac:dyDescent="0.3">
      <c r="A5987" s="1">
        <v>4</v>
      </c>
      <c r="B5987" s="1" t="s">
        <v>4890</v>
      </c>
      <c r="C5987" s="1" t="str">
        <f ca="1">IFERROR(__xludf.DUMMYFUNCTION("GOOGLETRANSLATE(B6062,""en"",""ja"")"),"その後")</f>
        <v>その後</v>
      </c>
    </row>
    <row r="5988" spans="1:3" ht="18" customHeight="1" x14ac:dyDescent="0.3">
      <c r="A5988" s="1">
        <v>4</v>
      </c>
      <c r="B5988" s="1" t="s">
        <v>1826</v>
      </c>
      <c r="C5988" s="1" t="str">
        <f ca="1">IFERROR(__xludf.DUMMYFUNCTION("GOOGLETRANSLATE(B6063,""en"",""ja"")"),"莫大")</f>
        <v>莫大</v>
      </c>
    </row>
    <row r="5989" spans="1:3" ht="18" customHeight="1" x14ac:dyDescent="0.3">
      <c r="A5989" s="1">
        <v>4</v>
      </c>
      <c r="B5989" s="1" t="s">
        <v>4891</v>
      </c>
      <c r="C5989" s="1" t="str">
        <f ca="1">IFERROR(__xludf.DUMMYFUNCTION("GOOGLETRANSLATE(B6064,""en"",""ja"")"),"強化")</f>
        <v>強化</v>
      </c>
    </row>
    <row r="5990" spans="1:3" ht="18" customHeight="1" x14ac:dyDescent="0.3">
      <c r="A5990" s="1">
        <v>4</v>
      </c>
      <c r="B5990" s="1" t="s">
        <v>1966</v>
      </c>
      <c r="C5990" s="1" t="str">
        <f ca="1">IFERROR(__xludf.DUMMYFUNCTION("GOOGLETRANSLATE(B6065,""en"",""ja"")"),"強化")</f>
        <v>強化</v>
      </c>
    </row>
    <row r="5991" spans="1:3" ht="18" customHeight="1" x14ac:dyDescent="0.3">
      <c r="A5991" s="1">
        <v>4</v>
      </c>
      <c r="B5991" s="1" t="s">
        <v>4892</v>
      </c>
      <c r="C5991" s="1" t="str">
        <f ca="1">IFERROR(__xludf.DUMMYFUNCTION("GOOGLETRANSLATE(B6066,""en"",""ja"")"),"エネルギッシュな")</f>
        <v>エネルギッシュな</v>
      </c>
    </row>
    <row r="5992" spans="1:3" ht="18" customHeight="1" x14ac:dyDescent="0.3">
      <c r="A5992" s="1">
        <v>4</v>
      </c>
      <c r="B5992" s="1" t="s">
        <v>4893</v>
      </c>
      <c r="C5992" s="1" t="str">
        <f ca="1">IFERROR(__xludf.DUMMYFUNCTION("GOOGLETRANSLATE(B6067,""en"",""ja"")"),"エンドレス")</f>
        <v>エンドレス</v>
      </c>
    </row>
    <row r="5993" spans="1:3" ht="18" customHeight="1" x14ac:dyDescent="0.3">
      <c r="A5993" s="1">
        <v>4</v>
      </c>
      <c r="B5993" s="1" t="s">
        <v>4894</v>
      </c>
      <c r="C5993" s="1" t="str">
        <f ca="1">IFERROR(__xludf.DUMMYFUNCTION("GOOGLETRANSLATE(B6068,""en"",""ja"")"),"百科事典")</f>
        <v>百科事典</v>
      </c>
    </row>
    <row r="5994" spans="1:3" ht="18" customHeight="1" x14ac:dyDescent="0.3">
      <c r="A5994" s="1">
        <v>4</v>
      </c>
      <c r="B5994" s="1" t="s">
        <v>4895</v>
      </c>
      <c r="C5994" s="1" t="str">
        <f ca="1">IFERROR(__xludf.DUMMYFUNCTION("GOOGLETRANSLATE(B6069,""en"",""ja"")"),"文化化")</f>
        <v>文化化</v>
      </c>
    </row>
    <row r="5995" spans="1:3" ht="18" customHeight="1" x14ac:dyDescent="0.3">
      <c r="A5995" s="1">
        <v>4</v>
      </c>
      <c r="B5995" s="1" t="s">
        <v>4896</v>
      </c>
      <c r="C5995" s="1" t="str">
        <f ca="1">IFERROR(__xludf.DUMMYFUNCTION("GOOGLETRANSLATE(B6070,""en"",""ja"")"),"出会い")</f>
        <v>出会い</v>
      </c>
    </row>
    <row r="5996" spans="1:3" ht="18" customHeight="1" x14ac:dyDescent="0.3">
      <c r="A5996" s="1">
        <v>4</v>
      </c>
      <c r="B5996" s="1" t="s">
        <v>4897</v>
      </c>
      <c r="C5996" s="1" t="str">
        <f ca="1">IFERROR(__xludf.DUMMYFUNCTION("GOOGLETRANSLATE(B6071,""en"",""ja"")"),"包括的な")</f>
        <v>包括的な</v>
      </c>
    </row>
    <row r="5997" spans="1:3" ht="18" customHeight="1" x14ac:dyDescent="0.3">
      <c r="A5997" s="1">
        <v>4</v>
      </c>
      <c r="B5997" s="1" t="s">
        <v>4898</v>
      </c>
      <c r="C5997" s="1" t="str">
        <f ca="1">IFERROR(__xludf.DUMMYFUNCTION("GOOGLETRANSLATE(B6072,""en"",""ja"")"),"エンコードされました")</f>
        <v>エンコードされました</v>
      </c>
    </row>
    <row r="5998" spans="1:3" ht="18" customHeight="1" x14ac:dyDescent="0.3">
      <c r="A5998" s="1">
        <v>4</v>
      </c>
      <c r="B5998" s="1" t="s">
        <v>4899</v>
      </c>
      <c r="C5998" s="1" t="str">
        <f ca="1">IFERROR(__xludf.DUMMYFUNCTION("GOOGLETRANSLATE(B6073,""en"",""ja"")"),"制定")</f>
        <v>制定</v>
      </c>
    </row>
    <row r="5999" spans="1:3" ht="18" customHeight="1" x14ac:dyDescent="0.3">
      <c r="A5999" s="1">
        <v>4</v>
      </c>
      <c r="B5999" s="1" t="s">
        <v>4900</v>
      </c>
      <c r="C5999" s="1" t="str">
        <f ca="1">IFERROR(__xludf.DUMMYFUNCTION("GOOGLETRANSLATE(B6074,""en"",""ja"")"),"有効にします")</f>
        <v>有効にします</v>
      </c>
    </row>
    <row r="6000" spans="1:3" ht="18" customHeight="1" x14ac:dyDescent="0.3">
      <c r="A6000" s="1">
        <v>4</v>
      </c>
      <c r="B6000" s="1" t="s">
        <v>4901</v>
      </c>
      <c r="C6000" s="1" t="str">
        <f ca="1">IFERROR(__xludf.DUMMYFUNCTION("GOOGLETRANSLATE(B6075,""en"",""ja"")"),"エミュレート")</f>
        <v>エミュレート</v>
      </c>
    </row>
    <row r="6001" spans="1:3" ht="18" customHeight="1" x14ac:dyDescent="0.3">
      <c r="A6001" s="1">
        <v>4</v>
      </c>
      <c r="B6001" s="1" t="s">
        <v>653</v>
      </c>
      <c r="C6001" s="1" t="str">
        <f ca="1">IFERROR(__xludf.DUMMYFUNCTION("GOOGLETRANSLATE(B6076,""en"",""ja"")"),"感情")</f>
        <v>感情</v>
      </c>
    </row>
    <row r="6002" spans="1:3" ht="18" customHeight="1" x14ac:dyDescent="0.3">
      <c r="A6002" s="1">
        <v>4</v>
      </c>
      <c r="B6002" s="1" t="s">
        <v>4902</v>
      </c>
      <c r="C6002" s="1" t="str">
        <f ca="1">IFERROR(__xludf.DUMMYFUNCTION("GOOGLETRANSLATE(B6077,""en"",""ja"")"),"排出量")</f>
        <v>排出量</v>
      </c>
    </row>
    <row r="6003" spans="1:3" ht="18" customHeight="1" x14ac:dyDescent="0.3">
      <c r="A6003" s="1">
        <v>4</v>
      </c>
      <c r="B6003" s="1" t="s">
        <v>4903</v>
      </c>
      <c r="C6003" s="1" t="str">
        <f ca="1">IFERROR(__xludf.DUMMYFUNCTION("GOOGLETRANSLATE(B6078,""en"",""ja"")"),"移住")</f>
        <v>移住</v>
      </c>
    </row>
    <row r="6004" spans="1:3" ht="18" customHeight="1" x14ac:dyDescent="0.3">
      <c r="A6004" s="1">
        <v>4</v>
      </c>
      <c r="B6004" s="1" t="s">
        <v>4904</v>
      </c>
      <c r="C6004" s="1" t="str">
        <f ca="1">IFERROR(__xludf.DUMMYFUNCTION("GOOGLETRANSLATE(B6079,""en"",""ja"")"),"新興")</f>
        <v>新興</v>
      </c>
    </row>
    <row r="6005" spans="1:3" ht="18" customHeight="1" x14ac:dyDescent="0.3">
      <c r="A6005" s="1">
        <v>4</v>
      </c>
      <c r="B6005" s="1" t="s">
        <v>4905</v>
      </c>
      <c r="C6005" s="1" t="str">
        <f ca="1">IFERROR(__xludf.DUMMYFUNCTION("GOOGLETRANSLATE(B6080,""en"",""ja"")"),"具現化")</f>
        <v>具現化</v>
      </c>
    </row>
    <row r="6006" spans="1:3" ht="18" customHeight="1" x14ac:dyDescent="0.3">
      <c r="A6006" s="1">
        <v>4</v>
      </c>
      <c r="B6006" s="1" t="s">
        <v>4906</v>
      </c>
      <c r="C6006" s="1" t="str">
        <f ca="1">IFERROR(__xludf.DUMMYFUNCTION("GOOGLETRANSLATE(B6081,""en"",""ja"")"),"体現")</f>
        <v>体現</v>
      </c>
    </row>
    <row r="6007" spans="1:3" ht="18" customHeight="1" x14ac:dyDescent="0.3">
      <c r="A6007" s="1">
        <v>4</v>
      </c>
      <c r="B6007" s="1" t="s">
        <v>4907</v>
      </c>
      <c r="C6007" s="1" t="str">
        <f ca="1">IFERROR(__xludf.DUMMYFUNCTION("GOOGLETRANSLATE(B6082,""en"",""ja"")"),"解放します")</f>
        <v>解放します</v>
      </c>
    </row>
    <row r="6008" spans="1:3" ht="18" customHeight="1" x14ac:dyDescent="0.3">
      <c r="A6008" s="1">
        <v>4</v>
      </c>
      <c r="B6008" s="1" t="s">
        <v>4908</v>
      </c>
      <c r="C6008" s="1" t="str">
        <f ca="1">IFERROR(__xludf.DUMMYFUNCTION("GOOGLETRANSLATE(B6083,""en"",""ja"")"),"引き出します")</f>
        <v>引き出します</v>
      </c>
    </row>
    <row r="6009" spans="1:3" ht="18" customHeight="1" x14ac:dyDescent="0.3">
      <c r="A6009" s="1">
        <v>4</v>
      </c>
      <c r="B6009" s="1" t="s">
        <v>2186</v>
      </c>
      <c r="C6009" s="1" t="str">
        <f ca="1">IFERROR(__xludf.DUMMYFUNCTION("GOOGLETRANSLATE(B6084,""en"",""ja"")"),"標高")</f>
        <v>標高</v>
      </c>
    </row>
    <row r="6010" spans="1:3" ht="18" customHeight="1" x14ac:dyDescent="0.3">
      <c r="A6010" s="1">
        <v>4</v>
      </c>
      <c r="B6010" s="1" t="s">
        <v>4909</v>
      </c>
      <c r="C6010" s="1" t="str">
        <f ca="1">IFERROR(__xludf.DUMMYFUNCTION("GOOGLETRANSLATE(B6085,""en"",""ja"")"),"第十八")</f>
        <v>第十八</v>
      </c>
    </row>
    <row r="6011" spans="1:3" ht="18" customHeight="1" x14ac:dyDescent="0.3">
      <c r="A6011" s="1">
        <v>4</v>
      </c>
      <c r="B6011" s="1" t="s">
        <v>3590</v>
      </c>
      <c r="C6011" s="1" t="str">
        <f ca="1">IFERROR(__xludf.DUMMYFUNCTION("GOOGLETRANSLATE(B6086,""en"",""ja"")"),"平等主義")</f>
        <v>平等主義</v>
      </c>
    </row>
    <row r="6012" spans="1:3" ht="18" customHeight="1" x14ac:dyDescent="0.3">
      <c r="A6012" s="1">
        <v>4</v>
      </c>
      <c r="B6012" s="1" t="s">
        <v>4910</v>
      </c>
      <c r="C6012" s="1" t="str">
        <f ca="1">IFERROR(__xludf.DUMMYFUNCTION("GOOGLETRANSLATE(B6087,""en"",""ja"")"),"効率的に")</f>
        <v>効率的に</v>
      </c>
    </row>
    <row r="6013" spans="1:3" ht="18" customHeight="1" x14ac:dyDescent="0.3">
      <c r="A6013" s="1">
        <v>4</v>
      </c>
      <c r="B6013" s="1" t="s">
        <v>908</v>
      </c>
      <c r="C6013" s="1" t="str">
        <f ca="1">IFERROR(__xludf.DUMMYFUNCTION("GOOGLETRANSLATE(B6088,""en"",""ja"")"),"効率的")</f>
        <v>効率的</v>
      </c>
    </row>
    <row r="6014" spans="1:3" ht="18" customHeight="1" x14ac:dyDescent="0.3">
      <c r="A6014" s="1">
        <v>4</v>
      </c>
      <c r="B6014" s="1" t="s">
        <v>4911</v>
      </c>
      <c r="C6014" s="1" t="str">
        <f ca="1">IFERROR(__xludf.DUMMYFUNCTION("GOOGLETRANSLATE(B6089,""en"",""ja"")"),"effaces")</f>
        <v>effaces</v>
      </c>
    </row>
    <row r="6015" spans="1:3" ht="18" customHeight="1" x14ac:dyDescent="0.3">
      <c r="A6015" s="1">
        <v>4</v>
      </c>
      <c r="B6015" s="1" t="s">
        <v>910</v>
      </c>
      <c r="C6015" s="1" t="str">
        <f ca="1">IFERROR(__xludf.DUMMYFUNCTION("GOOGLETRANSLATE(B6090,""en"",""ja"")"),"エコノミスト")</f>
        <v>エコノミスト</v>
      </c>
    </row>
    <row r="6016" spans="1:3" ht="18" customHeight="1" x14ac:dyDescent="0.3">
      <c r="A6016" s="1">
        <v>4</v>
      </c>
      <c r="B6016" s="1" t="s">
        <v>4912</v>
      </c>
      <c r="C6016" s="1" t="str">
        <f ca="1">IFERROR(__xludf.DUMMYFUNCTION("GOOGLETRANSLATE(B6091,""en"",""ja"")"),"EC")</f>
        <v>EC</v>
      </c>
    </row>
    <row r="6017" spans="1:3" ht="18" customHeight="1" x14ac:dyDescent="0.3">
      <c r="A6017" s="1">
        <v>4</v>
      </c>
      <c r="B6017" s="1" t="s">
        <v>4081</v>
      </c>
      <c r="C6017" s="1" t="str">
        <f ca="1">IFERROR(__xludf.DUMMYFUNCTION("GOOGLETRANSLATE(B6092,""en"",""ja"")"),"食べる")</f>
        <v>食べる</v>
      </c>
    </row>
    <row r="6018" spans="1:3" ht="18" customHeight="1" x14ac:dyDescent="0.3">
      <c r="A6018" s="1">
        <v>4</v>
      </c>
      <c r="B6018" s="1" t="s">
        <v>4913</v>
      </c>
      <c r="C6018" s="1" t="str">
        <f ca="1">IFERROR(__xludf.DUMMYFUNCTION("GOOGLETRANSLATE(B6093,""en"",""ja"")"),"地球")</f>
        <v>地球</v>
      </c>
    </row>
    <row r="6019" spans="1:3" ht="18" customHeight="1" x14ac:dyDescent="0.3">
      <c r="A6019" s="1">
        <v>4</v>
      </c>
      <c r="B6019" s="1" t="s">
        <v>122</v>
      </c>
      <c r="C6019" s="1" t="str">
        <f ca="1">IFERROR(__xludf.DUMMYFUNCTION("GOOGLETRANSLATE(B6094,""en"",""ja"")"),"各")</f>
        <v>各</v>
      </c>
    </row>
    <row r="6020" spans="1:3" ht="18" customHeight="1" x14ac:dyDescent="0.3">
      <c r="A6020" s="1">
        <v>4</v>
      </c>
      <c r="B6020" s="1" t="s">
        <v>4914</v>
      </c>
      <c r="C6020" s="1" t="str">
        <f ca="1">IFERROR(__xludf.DUMMYFUNCTION("GOOGLETRANSLATE(B6095,""en"",""ja"")"),"ダイナミズム")</f>
        <v>ダイナミズム</v>
      </c>
    </row>
    <row r="6021" spans="1:3" ht="18" customHeight="1" x14ac:dyDescent="0.3">
      <c r="A6021" s="1">
        <v>4</v>
      </c>
      <c r="B6021" s="1" t="s">
        <v>4915</v>
      </c>
      <c r="C6021" s="1" t="str">
        <f ca="1">IFERROR(__xludf.DUMMYFUNCTION("GOOGLETRANSLATE(B6096,""en"",""ja"")"),"住人")</f>
        <v>住人</v>
      </c>
    </row>
    <row r="6022" spans="1:3" ht="18" customHeight="1" x14ac:dyDescent="0.3">
      <c r="A6022" s="1">
        <v>4</v>
      </c>
      <c r="B6022" s="1" t="s">
        <v>4916</v>
      </c>
      <c r="C6022" s="1" t="str">
        <f ca="1">IFERROR(__xludf.DUMMYFUNCTION("GOOGLETRANSLATE(B6097,""en"",""ja"")"),"投げ捨てる")</f>
        <v>投げ捨てる</v>
      </c>
    </row>
    <row r="6023" spans="1:3" ht="18" customHeight="1" x14ac:dyDescent="0.3">
      <c r="A6023" s="1">
        <v>4</v>
      </c>
      <c r="B6023" s="1" t="s">
        <v>4917</v>
      </c>
      <c r="C6023" s="1" t="str">
        <f ca="1">IFERROR(__xludf.DUMMYFUNCTION("GOOGLETRANSLATE(B6098,""en"",""ja"")"),"デュアル")</f>
        <v>デュアル</v>
      </c>
    </row>
    <row r="6024" spans="1:3" ht="18" customHeight="1" x14ac:dyDescent="0.3">
      <c r="A6024" s="1">
        <v>4</v>
      </c>
      <c r="B6024" s="1" t="s">
        <v>4918</v>
      </c>
      <c r="C6024" s="1" t="str">
        <f ca="1">IFERROR(__xludf.DUMMYFUNCTION("GOOGLETRANSLATE(B6099,""en"",""ja"")"),"運転者")</f>
        <v>運転者</v>
      </c>
    </row>
    <row r="6025" spans="1:3" ht="18" customHeight="1" x14ac:dyDescent="0.3">
      <c r="A6025" s="1">
        <v>4</v>
      </c>
      <c r="B6025" s="1" t="s">
        <v>4919</v>
      </c>
      <c r="C6025" s="1" t="str">
        <f ca="1">IFERROR(__xludf.DUMMYFUNCTION("GOOGLETRANSLATE(B6100,""en"",""ja"")"),"夢")</f>
        <v>夢</v>
      </c>
    </row>
    <row r="6026" spans="1:3" ht="18" customHeight="1" x14ac:dyDescent="0.3">
      <c r="A6026" s="1">
        <v>4</v>
      </c>
      <c r="B6026" s="1" t="s">
        <v>4920</v>
      </c>
      <c r="C6026" s="1" t="str">
        <f ca="1">IFERROR(__xludf.DUMMYFUNCTION("GOOGLETRANSLATE(B6101,""en"",""ja"")"),"ドレイン")</f>
        <v>ドレイン</v>
      </c>
    </row>
    <row r="6027" spans="1:3" ht="18" customHeight="1" x14ac:dyDescent="0.3">
      <c r="A6027" s="1">
        <v>4</v>
      </c>
      <c r="B6027" s="1" t="s">
        <v>4921</v>
      </c>
      <c r="C6027" s="1" t="str">
        <f ca="1">IFERROR(__xludf.DUMMYFUNCTION("GOOGLETRANSLATE(B6102,""en"",""ja"")"),"ダウンタウン")</f>
        <v>ダウンタウン</v>
      </c>
    </row>
    <row r="6028" spans="1:3" ht="18" customHeight="1" x14ac:dyDescent="0.3">
      <c r="A6028" s="1">
        <v>4</v>
      </c>
      <c r="B6028" s="1" t="s">
        <v>4922</v>
      </c>
      <c r="C6028" s="1" t="str">
        <f ca="1">IFERROR(__xludf.DUMMYFUNCTION("GOOGLETRANSLATE(B6103,""en"",""ja"")"),"ダウンリバー")</f>
        <v>ダウンリバー</v>
      </c>
    </row>
    <row r="6029" spans="1:3" ht="18" customHeight="1" x14ac:dyDescent="0.3">
      <c r="A6029" s="1">
        <v>4</v>
      </c>
      <c r="B6029" s="1" t="s">
        <v>3597</v>
      </c>
      <c r="C6029" s="1" t="str">
        <f ca="1">IFERROR(__xludf.DUMMYFUNCTION("GOOGLETRANSLATE(B6104,""en"",""ja"")"),"ダブル")</f>
        <v>ダブル</v>
      </c>
    </row>
    <row r="6030" spans="1:3" ht="18" customHeight="1" x14ac:dyDescent="0.3">
      <c r="A6030" s="1">
        <v>4</v>
      </c>
      <c r="B6030" s="1" t="s">
        <v>4923</v>
      </c>
      <c r="C6030" s="1" t="str">
        <f ca="1">IFERROR(__xludf.DUMMYFUNCTION("GOOGLETRANSLATE(B6105,""en"",""ja"")"),"ドッペルゲンガー")</f>
        <v>ドッペルゲンガー</v>
      </c>
    </row>
    <row r="6031" spans="1:3" ht="18" customHeight="1" x14ac:dyDescent="0.3">
      <c r="A6031" s="1">
        <v>4</v>
      </c>
      <c r="B6031" s="1" t="s">
        <v>4924</v>
      </c>
      <c r="C6031" s="1" t="str">
        <f ca="1">IFERROR(__xludf.DUMMYFUNCTION("GOOGLETRANSLATE(B6106,""en"",""ja"")"),"ドア")</f>
        <v>ドア</v>
      </c>
    </row>
    <row r="6032" spans="1:3" ht="18" customHeight="1" x14ac:dyDescent="0.3">
      <c r="A6032" s="1">
        <v>4</v>
      </c>
      <c r="B6032" s="1" t="s">
        <v>4925</v>
      </c>
      <c r="C6032" s="1" t="str">
        <f ca="1">IFERROR(__xludf.DUMMYFUNCTION("GOOGLETRANSLATE(B6107,""en"",""ja"")"),"寄付")</f>
        <v>寄付</v>
      </c>
    </row>
    <row r="6033" spans="1:3" ht="18" customHeight="1" x14ac:dyDescent="0.3">
      <c r="A6033" s="1">
        <v>4</v>
      </c>
      <c r="B6033" s="1" t="s">
        <v>2746</v>
      </c>
      <c r="C6033" s="1" t="str">
        <f ca="1">IFERROR(__xludf.DUMMYFUNCTION("GOOGLETRANSLATE(B6108,""en"",""ja"")"),"国内の")</f>
        <v>国内の</v>
      </c>
    </row>
    <row r="6034" spans="1:3" ht="18" customHeight="1" x14ac:dyDescent="0.3">
      <c r="A6034" s="1">
        <v>4</v>
      </c>
      <c r="B6034" s="1" t="s">
        <v>4926</v>
      </c>
      <c r="C6034" s="1" t="str">
        <f ca="1">IFERROR(__xludf.DUMMYFUNCTION("GOOGLETRANSLATE(B6109,""en"",""ja"")"),"ドメイン")</f>
        <v>ドメイン</v>
      </c>
    </row>
    <row r="6035" spans="1:3" ht="18" customHeight="1" x14ac:dyDescent="0.3">
      <c r="A6035" s="1">
        <v>4</v>
      </c>
      <c r="B6035" s="1" t="s">
        <v>4927</v>
      </c>
      <c r="C6035" s="1" t="str">
        <f ca="1">IFERROR(__xludf.DUMMYFUNCTION("GOOGLETRANSLATE(B6110,""en"",""ja"")"),"ドル")</f>
        <v>ドル</v>
      </c>
    </row>
    <row r="6036" spans="1:3" ht="18" customHeight="1" x14ac:dyDescent="0.3">
      <c r="A6036" s="1">
        <v>4</v>
      </c>
      <c r="B6036" s="1" t="s">
        <v>4928</v>
      </c>
      <c r="C6036" s="1" t="str">
        <f ca="1">IFERROR(__xludf.DUMMYFUNCTION("GOOGLETRANSLATE(B6111,""en"",""ja"")"),"医師")</f>
        <v>医師</v>
      </c>
    </row>
    <row r="6037" spans="1:3" ht="18" customHeight="1" x14ac:dyDescent="0.3">
      <c r="A6037" s="1">
        <v>4</v>
      </c>
      <c r="B6037" s="1" t="s">
        <v>961</v>
      </c>
      <c r="C6037" s="1" t="str">
        <f ca="1">IFERROR(__xludf.DUMMYFUNCTION("GOOGLETRANSLATE(B6112,""en"",""ja"")"),"多様")</f>
        <v>多様</v>
      </c>
    </row>
    <row r="6038" spans="1:3" ht="18" customHeight="1" x14ac:dyDescent="0.3">
      <c r="A6038" s="1">
        <v>4</v>
      </c>
      <c r="B6038" s="1" t="s">
        <v>4929</v>
      </c>
      <c r="C6038" s="1" t="str">
        <f ca="1">IFERROR(__xludf.DUMMYFUNCTION("GOOGLETRANSLATE(B6113,""en"",""ja"")"),"歪ま")</f>
        <v>歪ま</v>
      </c>
    </row>
    <row r="6039" spans="1:3" ht="18" customHeight="1" x14ac:dyDescent="0.3">
      <c r="A6039" s="1">
        <v>4</v>
      </c>
      <c r="B6039" s="1" t="s">
        <v>3604</v>
      </c>
      <c r="C6039" s="1" t="str">
        <f ca="1">IFERROR(__xludf.DUMMYFUNCTION("GOOGLETRANSLATE(B6114,""en"",""ja"")"),"混乱させる")</f>
        <v>混乱させる</v>
      </c>
    </row>
    <row r="6040" spans="1:3" ht="18" customHeight="1" x14ac:dyDescent="0.3">
      <c r="A6040" s="1">
        <v>4</v>
      </c>
      <c r="B6040" s="1" t="s">
        <v>4930</v>
      </c>
      <c r="C6040" s="1" t="str">
        <f ca="1">IFERROR(__xludf.DUMMYFUNCTION("GOOGLETRANSLATE(B6115,""en"",""ja"")"),"係争")</f>
        <v>係争</v>
      </c>
    </row>
    <row r="6041" spans="1:3" ht="18" customHeight="1" x14ac:dyDescent="0.3">
      <c r="A6041" s="1">
        <v>4</v>
      </c>
      <c r="B6041" s="1" t="s">
        <v>4931</v>
      </c>
      <c r="C6041" s="1" t="str">
        <f ca="1">IFERROR(__xludf.DUMMYFUNCTION("GOOGLETRANSLATE(B6116,""en"",""ja"")"),"無秩序")</f>
        <v>無秩序</v>
      </c>
    </row>
    <row r="6042" spans="1:3" ht="18" customHeight="1" x14ac:dyDescent="0.3">
      <c r="A6042" s="1">
        <v>4</v>
      </c>
      <c r="B6042" s="1" t="s">
        <v>4094</v>
      </c>
      <c r="C6042" s="1" t="str">
        <f ca="1">IFERROR(__xludf.DUMMYFUNCTION("GOOGLETRANSLATE(B6117,""en"",""ja"")"),"嫌い")</f>
        <v>嫌い</v>
      </c>
    </row>
    <row r="6043" spans="1:3" ht="18" customHeight="1" x14ac:dyDescent="0.3">
      <c r="A6043" s="1">
        <v>4</v>
      </c>
      <c r="B6043" s="1" t="s">
        <v>4932</v>
      </c>
      <c r="C6043" s="1" t="str">
        <f ca="1">IFERROR(__xludf.DUMMYFUNCTION("GOOGLETRANSLATE(B6118,""en"",""ja"")"),"権利を奪わ")</f>
        <v>権利を奪わ</v>
      </c>
    </row>
    <row r="6044" spans="1:3" ht="18" customHeight="1" x14ac:dyDescent="0.3">
      <c r="A6044" s="1">
        <v>4</v>
      </c>
      <c r="B6044" s="1" t="s">
        <v>4933</v>
      </c>
      <c r="C6044" s="1" t="str">
        <f ca="1">IFERROR(__xludf.DUMMYFUNCTION("GOOGLETRANSLATE(B6119,""en"",""ja"")"),"議論")</f>
        <v>議論</v>
      </c>
    </row>
    <row r="6045" spans="1:3" ht="18" customHeight="1" x14ac:dyDescent="0.3">
      <c r="A6045" s="1">
        <v>4</v>
      </c>
      <c r="B6045" s="1" t="s">
        <v>4934</v>
      </c>
      <c r="C6045" s="1" t="str">
        <f ca="1">IFERROR(__xludf.DUMMYFUNCTION("GOOGLETRANSLATE(B6120,""en"",""ja"")"),"切断")</f>
        <v>切断</v>
      </c>
    </row>
    <row r="6046" spans="1:3" ht="18" customHeight="1" x14ac:dyDescent="0.3">
      <c r="A6046" s="1">
        <v>4</v>
      </c>
      <c r="B6046" s="1" t="s">
        <v>4935</v>
      </c>
      <c r="C6046" s="1" t="str">
        <f ca="1">IFERROR(__xludf.DUMMYFUNCTION("GOOGLETRANSLATE(B6121,""en"",""ja"")"),"廃棄")</f>
        <v>廃棄</v>
      </c>
    </row>
    <row r="6047" spans="1:3" ht="18" customHeight="1" x14ac:dyDescent="0.3">
      <c r="A6047" s="1">
        <v>4</v>
      </c>
      <c r="B6047" s="1" t="s">
        <v>4936</v>
      </c>
      <c r="C6047" s="1" t="str">
        <f ca="1">IFERROR(__xludf.DUMMYFUNCTION("GOOGLETRANSLATE(B6122,""en"",""ja"")"),"意見の相違")</f>
        <v>意見の相違</v>
      </c>
    </row>
    <row r="6048" spans="1:3" ht="18" customHeight="1" x14ac:dyDescent="0.3">
      <c r="A6048" s="1">
        <v>4</v>
      </c>
      <c r="B6048" s="1" t="s">
        <v>4937</v>
      </c>
      <c r="C6048" s="1" t="str">
        <f ca="1">IFERROR(__xludf.DUMMYFUNCTION("GOOGLETRANSLATE(B6123,""en"",""ja"")"),"ディレクター")</f>
        <v>ディレクター</v>
      </c>
    </row>
    <row r="6049" spans="1:3" ht="18" customHeight="1" x14ac:dyDescent="0.3">
      <c r="A6049" s="1">
        <v>4</v>
      </c>
      <c r="B6049" s="1" t="s">
        <v>4938</v>
      </c>
      <c r="C6049" s="1" t="str">
        <f ca="1">IFERROR(__xludf.DUMMYFUNCTION("GOOGLETRANSLATE(B6124,""en"",""ja"")"),"次元の")</f>
        <v>次元の</v>
      </c>
    </row>
    <row r="6050" spans="1:3" ht="18" customHeight="1" x14ac:dyDescent="0.3">
      <c r="A6050" s="1">
        <v>4</v>
      </c>
      <c r="B6050" s="1" t="s">
        <v>4939</v>
      </c>
      <c r="C6050" s="1" t="str">
        <f ca="1">IFERROR(__xludf.DUMMYFUNCTION("GOOGLETRANSLATE(B6125,""en"",""ja"")"),"寸法")</f>
        <v>寸法</v>
      </c>
    </row>
    <row r="6051" spans="1:3" ht="18" customHeight="1" x14ac:dyDescent="0.3">
      <c r="A6051" s="1">
        <v>4</v>
      </c>
      <c r="B6051" s="1" t="s">
        <v>4940</v>
      </c>
      <c r="C6051" s="1" t="str">
        <f ca="1">IFERROR(__xludf.DUMMYFUNCTION("GOOGLETRANSLATE(B6126,""en"",""ja"")"),"桁")</f>
        <v>桁</v>
      </c>
    </row>
    <row r="6052" spans="1:3" ht="18" customHeight="1" x14ac:dyDescent="0.3">
      <c r="A6052" s="1">
        <v>4</v>
      </c>
      <c r="B6052" s="1" t="s">
        <v>4941</v>
      </c>
      <c r="C6052" s="1" t="str">
        <f ca="1">IFERROR(__xludf.DUMMYFUNCTION("GOOGLETRANSLATE(B6127,""en"",""ja"")"),"ダイジェスト")</f>
        <v>ダイジェスト</v>
      </c>
    </row>
    <row r="6053" spans="1:3" ht="18" customHeight="1" x14ac:dyDescent="0.3">
      <c r="A6053" s="1">
        <v>4</v>
      </c>
      <c r="B6053" s="1" t="s">
        <v>4942</v>
      </c>
      <c r="C6053" s="1" t="str">
        <f ca="1">IFERROR(__xludf.DUMMYFUNCTION("GOOGLETRANSLATE(B6128,""en"",""ja"")"),"難しさ")</f>
        <v>難しさ</v>
      </c>
    </row>
    <row r="6054" spans="1:3" ht="18" customHeight="1" x14ac:dyDescent="0.3">
      <c r="A6054" s="1">
        <v>4</v>
      </c>
      <c r="B6054" s="1" t="s">
        <v>4943</v>
      </c>
      <c r="C6054" s="1" t="str">
        <f ca="1">IFERROR(__xludf.DUMMYFUNCTION("GOOGLETRANSLATE(B6129,""en"",""ja"")"),"分化")</f>
        <v>分化</v>
      </c>
    </row>
    <row r="6055" spans="1:3" ht="18" customHeight="1" x14ac:dyDescent="0.3">
      <c r="A6055" s="1">
        <v>4</v>
      </c>
      <c r="B6055" s="1" t="s">
        <v>3067</v>
      </c>
      <c r="C6055" s="1" t="str">
        <f ca="1">IFERROR(__xludf.DUMMYFUNCTION("GOOGLETRANSLATE(B6130,""en"",""ja"")"),"死にます")</f>
        <v>死にます</v>
      </c>
    </row>
    <row r="6056" spans="1:3" ht="18" customHeight="1" x14ac:dyDescent="0.3">
      <c r="A6056" s="1">
        <v>4</v>
      </c>
      <c r="B6056" s="1" t="s">
        <v>4944</v>
      </c>
      <c r="C6056" s="1" t="str">
        <f ca="1">IFERROR(__xludf.DUMMYFUNCTION("GOOGLETRANSLATE(B6131,""en"",""ja"")"),"対角線")</f>
        <v>対角線</v>
      </c>
    </row>
    <row r="6057" spans="1:3" ht="18" customHeight="1" x14ac:dyDescent="0.3">
      <c r="A6057" s="1">
        <v>4</v>
      </c>
      <c r="B6057" s="1" t="s">
        <v>4945</v>
      </c>
      <c r="C6057" s="1" t="str">
        <f ca="1">IFERROR(__xludf.DUMMYFUNCTION("GOOGLETRANSLATE(B6132,""en"",""ja"")"),"ダッカ")</f>
        <v>ダッカ</v>
      </c>
    </row>
    <row r="6058" spans="1:3" ht="18" customHeight="1" x14ac:dyDescent="0.3">
      <c r="A6058" s="1">
        <v>4</v>
      </c>
      <c r="B6058" s="1" t="s">
        <v>4946</v>
      </c>
      <c r="C6058" s="1" t="str">
        <f ca="1">IFERROR(__xludf.DUMMYFUNCTION("GOOGLETRANSLATE(B6133,""en"",""ja"")"),"熟練")</f>
        <v>熟練</v>
      </c>
    </row>
    <row r="6059" spans="1:3" ht="18" customHeight="1" x14ac:dyDescent="0.3">
      <c r="A6059" s="1">
        <v>4</v>
      </c>
      <c r="B6059" s="1" t="s">
        <v>4947</v>
      </c>
      <c r="C6059" s="1" t="str">
        <f ca="1">IFERROR(__xludf.DUMMYFUNCTION("GOOGLETRANSLATE(B6134,""en"",""ja"")"),"献身")</f>
        <v>献身</v>
      </c>
    </row>
    <row r="6060" spans="1:3" ht="18" customHeight="1" x14ac:dyDescent="0.3">
      <c r="A6060" s="1">
        <v>4</v>
      </c>
      <c r="B6060" s="1" t="s">
        <v>4948</v>
      </c>
      <c r="C6060" s="1" t="str">
        <f ca="1">IFERROR(__xludf.DUMMYFUNCTION("GOOGLETRANSLATE(B6135,""en"",""ja"")"),"悪魔")</f>
        <v>悪魔</v>
      </c>
    </row>
    <row r="6061" spans="1:3" ht="18" customHeight="1" x14ac:dyDescent="0.3">
      <c r="A6061" s="1">
        <v>4</v>
      </c>
      <c r="B6061" s="1" t="s">
        <v>4949</v>
      </c>
      <c r="C6061" s="1" t="str">
        <f ca="1">IFERROR(__xludf.DUMMYFUNCTION("GOOGLETRANSLATE(B6136,""en"",""ja"")"),"偏差")</f>
        <v>偏差</v>
      </c>
    </row>
    <row r="6062" spans="1:3" ht="18" customHeight="1" x14ac:dyDescent="0.3">
      <c r="A6062" s="1">
        <v>4</v>
      </c>
      <c r="B6062" s="1" t="s">
        <v>4950</v>
      </c>
      <c r="C6062" s="1" t="str">
        <f ca="1">IFERROR(__xludf.DUMMYFUNCTION("GOOGLETRANSLATE(B6137,""en"",""ja"")"),"壊滅的な")</f>
        <v>壊滅的な</v>
      </c>
    </row>
    <row r="6063" spans="1:3" ht="18" customHeight="1" x14ac:dyDescent="0.3">
      <c r="A6063" s="1">
        <v>4</v>
      </c>
      <c r="B6063" s="1" t="s">
        <v>4951</v>
      </c>
      <c r="C6063" s="1" t="str">
        <f ca="1">IFERROR(__xludf.DUMMYFUNCTION("GOOGLETRANSLATE(B6138,""en"",""ja"")"),"検出")</f>
        <v>検出</v>
      </c>
    </row>
    <row r="6064" spans="1:3" ht="18" customHeight="1" x14ac:dyDescent="0.3">
      <c r="A6064" s="1">
        <v>4</v>
      </c>
      <c r="B6064" s="1" t="s">
        <v>4952</v>
      </c>
      <c r="C6064" s="1" t="str">
        <f ca="1">IFERROR(__xludf.DUMMYFUNCTION("GOOGLETRANSLATE(B6140,""en"",""ja"")"),"破壊されました")</f>
        <v>破壊されました</v>
      </c>
    </row>
    <row r="6065" spans="1:3" ht="18" customHeight="1" x14ac:dyDescent="0.3">
      <c r="A6065" s="1">
        <v>4</v>
      </c>
      <c r="B6065" s="1" t="s">
        <v>861</v>
      </c>
      <c r="C6065" s="1" t="str">
        <f ca="1">IFERROR(__xludf.DUMMYFUNCTION("GOOGLETRANSLATE(B6141,""en"",""ja"")"),"破壊")</f>
        <v>破壊</v>
      </c>
    </row>
    <row r="6066" spans="1:3" ht="18" customHeight="1" x14ac:dyDescent="0.3">
      <c r="A6066" s="1">
        <v>4</v>
      </c>
      <c r="B6066" s="1" t="s">
        <v>4108</v>
      </c>
      <c r="C6066" s="1" t="str">
        <f ca="1">IFERROR(__xludf.DUMMYFUNCTION("GOOGLETRANSLATE(B6142,""en"",""ja"")"),"絶望")</f>
        <v>絶望</v>
      </c>
    </row>
    <row r="6067" spans="1:3" ht="18" customHeight="1" x14ac:dyDescent="0.3">
      <c r="A6067" s="1">
        <v>4</v>
      </c>
      <c r="B6067" s="1" t="s">
        <v>1980</v>
      </c>
      <c r="C6067" s="1" t="str">
        <f ca="1">IFERROR(__xludf.DUMMYFUNCTION("GOOGLETRANSLATE(B6143,""en"",""ja"")"),"デザイナー")</f>
        <v>デザイナー</v>
      </c>
    </row>
    <row r="6068" spans="1:3" ht="18" customHeight="1" x14ac:dyDescent="0.3">
      <c r="A6068" s="1">
        <v>4</v>
      </c>
      <c r="B6068" s="1" t="s">
        <v>4953</v>
      </c>
      <c r="C6068" s="1" t="str">
        <f ca="1">IFERROR(__xludf.DUMMYFUNCTION("GOOGLETRANSLATE(B6144,""en"",""ja"")"),"子孫")</f>
        <v>子孫</v>
      </c>
    </row>
    <row r="6069" spans="1:3" ht="18" customHeight="1" x14ac:dyDescent="0.3">
      <c r="A6069" s="1">
        <v>4</v>
      </c>
      <c r="B6069" s="1" t="s">
        <v>4954</v>
      </c>
      <c r="C6069" s="1" t="str">
        <f ca="1">IFERROR(__xludf.DUMMYFUNCTION("GOOGLETRANSLATE(B6145,""en"",""ja"")"),"下降")</f>
        <v>下降</v>
      </c>
    </row>
    <row r="6070" spans="1:3" ht="18" customHeight="1" x14ac:dyDescent="0.3">
      <c r="A6070" s="1">
        <v>4</v>
      </c>
      <c r="B6070" s="1" t="s">
        <v>4955</v>
      </c>
      <c r="C6070" s="1" t="str">
        <f ca="1">IFERROR(__xludf.DUMMYFUNCTION("GOOGLETRANSLATE(B6146,""en"",""ja"")"),"導出")</f>
        <v>導出</v>
      </c>
    </row>
    <row r="6071" spans="1:3" ht="18" customHeight="1" x14ac:dyDescent="0.3">
      <c r="A6071" s="1">
        <v>4</v>
      </c>
      <c r="B6071" s="1" t="s">
        <v>4956</v>
      </c>
      <c r="C6071" s="1" t="str">
        <f ca="1">IFERROR(__xludf.DUMMYFUNCTION("GOOGLETRANSLATE(B6147,""en"",""ja"")"),"奪います")</f>
        <v>奪います</v>
      </c>
    </row>
    <row r="6072" spans="1:3" ht="18" customHeight="1" x14ac:dyDescent="0.3">
      <c r="A6072" s="1">
        <v>4</v>
      </c>
      <c r="B6072" s="1" t="s">
        <v>4957</v>
      </c>
      <c r="C6072" s="1" t="str">
        <f ca="1">IFERROR(__xludf.DUMMYFUNCTION("GOOGLETRANSLATE(B6148,""en"",""ja"")"),"うつ病")</f>
        <v>うつ病</v>
      </c>
    </row>
    <row r="6073" spans="1:3" ht="18" customHeight="1" x14ac:dyDescent="0.3">
      <c r="A6073" s="1">
        <v>4</v>
      </c>
      <c r="B6073" s="1" t="s">
        <v>4958</v>
      </c>
      <c r="C6073" s="1" t="str">
        <f ca="1">IFERROR(__xludf.DUMMYFUNCTION("GOOGLETRANSLATE(B6149,""en"",""ja"")"),"踏込")</f>
        <v>踏込</v>
      </c>
    </row>
    <row r="6074" spans="1:3" ht="18" customHeight="1" x14ac:dyDescent="0.3">
      <c r="A6074" s="1">
        <v>4</v>
      </c>
      <c r="B6074" s="1" t="s">
        <v>4959</v>
      </c>
      <c r="C6074" s="1" t="str">
        <f ca="1">IFERROR(__xludf.DUMMYFUNCTION("GOOGLETRANSLATE(B6150,""en"",""ja"")"),"出発")</f>
        <v>出発</v>
      </c>
    </row>
    <row r="6075" spans="1:3" ht="18" customHeight="1" x14ac:dyDescent="0.3">
      <c r="A6075" s="1">
        <v>4</v>
      </c>
      <c r="B6075" s="1" t="s">
        <v>4960</v>
      </c>
      <c r="C6075" s="1" t="str">
        <f ca="1">IFERROR(__xludf.DUMMYFUNCTION("GOOGLETRANSLATE(B6151,""en"",""ja"")"),"否定します")</f>
        <v>否定します</v>
      </c>
    </row>
    <row r="6076" spans="1:3" ht="18" customHeight="1" x14ac:dyDescent="0.3">
      <c r="A6076" s="1">
        <v>4</v>
      </c>
      <c r="B6076" s="1" t="s">
        <v>4961</v>
      </c>
      <c r="C6076" s="1" t="str">
        <f ca="1">IFERROR(__xludf.DUMMYFUNCTION("GOOGLETRANSLATE(B6152,""en"",""ja"")"),"デンマーク")</f>
        <v>デンマーク</v>
      </c>
    </row>
    <row r="6077" spans="1:3" ht="18" customHeight="1" x14ac:dyDescent="0.3">
      <c r="A6077" s="1">
        <v>4</v>
      </c>
      <c r="B6077" s="1" t="s">
        <v>4962</v>
      </c>
      <c r="C6077" s="1" t="str">
        <f ca="1">IFERROR(__xludf.DUMMYFUNCTION("GOOGLETRANSLATE(B6153,""en"",""ja"")"),"demottさん")</f>
        <v>demottさん</v>
      </c>
    </row>
    <row r="6078" spans="1:3" ht="18" customHeight="1" x14ac:dyDescent="0.3">
      <c r="A6078" s="1">
        <v>4</v>
      </c>
      <c r="B6078" s="1" t="s">
        <v>4114</v>
      </c>
      <c r="C6078" s="1" t="str">
        <f ca="1">IFERROR(__xludf.DUMMYFUNCTION("GOOGLETRANSLATE(B6154,""en"",""ja"")"),"demott")</f>
        <v>demott</v>
      </c>
    </row>
    <row r="6079" spans="1:3" ht="18" customHeight="1" x14ac:dyDescent="0.3">
      <c r="A6079" s="1">
        <v>4</v>
      </c>
      <c r="B6079" s="1" t="s">
        <v>4963</v>
      </c>
      <c r="C6079" s="1" t="str">
        <f ca="1">IFERROR(__xludf.DUMMYFUNCTION("GOOGLETRANSLATE(B6155,""en"",""ja"")"),"挑みます")</f>
        <v>挑みます</v>
      </c>
    </row>
    <row r="6080" spans="1:3" ht="18" customHeight="1" x14ac:dyDescent="0.3">
      <c r="A6080" s="1">
        <v>4</v>
      </c>
      <c r="B6080" s="1" t="s">
        <v>4964</v>
      </c>
      <c r="C6080" s="1" t="str">
        <f ca="1">IFERROR(__xludf.DUMMYFUNCTION("GOOGLETRANSLATE(B6156,""en"",""ja"")"),"定義")</f>
        <v>定義</v>
      </c>
    </row>
    <row r="6081" spans="1:3" ht="18" customHeight="1" x14ac:dyDescent="0.3">
      <c r="A6081" s="1">
        <v>4</v>
      </c>
      <c r="B6081" s="1" t="s">
        <v>4965</v>
      </c>
      <c r="C6081" s="1" t="str">
        <f ca="1">IFERROR(__xludf.DUMMYFUNCTION("GOOGLETRANSLATE(B6157,""en"",""ja"")"),"守る")</f>
        <v>守る</v>
      </c>
    </row>
    <row r="6082" spans="1:3" ht="18" customHeight="1" x14ac:dyDescent="0.3">
      <c r="A6082" s="1">
        <v>4</v>
      </c>
      <c r="B6082" s="1" t="s">
        <v>4966</v>
      </c>
      <c r="C6082" s="1" t="str">
        <f ca="1">IFERROR(__xludf.DUMMYFUNCTION("GOOGLETRANSLATE(B6158,""en"",""ja"")"),"欠陥")</f>
        <v>欠陥</v>
      </c>
    </row>
    <row r="6083" spans="1:3" ht="18" customHeight="1" x14ac:dyDescent="0.3">
      <c r="A6083" s="1">
        <v>4</v>
      </c>
      <c r="B6083" s="1" t="s">
        <v>4967</v>
      </c>
      <c r="C6083" s="1" t="str">
        <f ca="1">IFERROR(__xludf.DUMMYFUNCTION("GOOGLETRANSLATE(B6159,""en"",""ja"")"),"みなし")</f>
        <v>みなし</v>
      </c>
    </row>
    <row r="6084" spans="1:3" ht="18" customHeight="1" x14ac:dyDescent="0.3">
      <c r="A6084" s="1">
        <v>4</v>
      </c>
      <c r="B6084" s="1" t="s">
        <v>4968</v>
      </c>
      <c r="C6084" s="1" t="str">
        <f ca="1">IFERROR(__xludf.DUMMYFUNCTION("GOOGLETRANSLATE(B6160,""en"",""ja"")"),"分解")</f>
        <v>分解</v>
      </c>
    </row>
    <row r="6085" spans="1:3" ht="18" customHeight="1" x14ac:dyDescent="0.3">
      <c r="A6085" s="1">
        <v>4</v>
      </c>
      <c r="B6085" s="1" t="s">
        <v>4969</v>
      </c>
      <c r="C6085" s="1" t="str">
        <f ca="1">IFERROR(__xludf.DUMMYFUNCTION("GOOGLETRANSLATE(B6161,""en"",""ja"")"),"決定的")</f>
        <v>決定的</v>
      </c>
    </row>
    <row r="6086" spans="1:3" ht="18" customHeight="1" x14ac:dyDescent="0.3">
      <c r="A6086" s="1">
        <v>4</v>
      </c>
      <c r="B6086" s="1" t="s">
        <v>2203</v>
      </c>
      <c r="C6086" s="1" t="str">
        <f ca="1">IFERROR(__xludf.DUMMYFUNCTION("GOOGLETRANSLATE(B6162,""en"",""ja"")"),"決めます")</f>
        <v>決めます</v>
      </c>
    </row>
    <row r="6087" spans="1:3" ht="18" customHeight="1" x14ac:dyDescent="0.3">
      <c r="A6087" s="1">
        <v>4</v>
      </c>
      <c r="B6087" s="1" t="s">
        <v>4970</v>
      </c>
      <c r="C6087" s="1" t="str">
        <f ca="1">IFERROR(__xludf.DUMMYFUNCTION("GOOGLETRANSLATE(B6163,""en"",""ja"")"),"分権")</f>
        <v>分権</v>
      </c>
    </row>
    <row r="6088" spans="1:3" ht="18" customHeight="1" x14ac:dyDescent="0.3">
      <c r="A6088" s="1">
        <v>4</v>
      </c>
      <c r="B6088" s="1" t="s">
        <v>4971</v>
      </c>
      <c r="C6088" s="1" t="str">
        <f ca="1">IFERROR(__xludf.DUMMYFUNCTION("GOOGLETRANSLATE(B6164,""en"",""ja"")"),"数十年")</f>
        <v>数十年</v>
      </c>
    </row>
    <row r="6089" spans="1:3" ht="18" customHeight="1" x14ac:dyDescent="0.3">
      <c r="A6089" s="1">
        <v>4</v>
      </c>
      <c r="B6089" s="1" t="s">
        <v>4972</v>
      </c>
      <c r="C6089" s="1" t="str">
        <f ca="1">IFERROR(__xludf.DUMMYFUNCTION("GOOGLETRANSLATE(B6165,""en"",""ja"")"),"ダーウィン")</f>
        <v>ダーウィン</v>
      </c>
    </row>
    <row r="6090" spans="1:3" ht="18" customHeight="1" x14ac:dyDescent="0.3">
      <c r="A6090" s="1">
        <v>4</v>
      </c>
      <c r="B6090" s="1" t="s">
        <v>4973</v>
      </c>
      <c r="C6090" s="1" t="str">
        <f ca="1">IFERROR(__xludf.DUMMYFUNCTION("GOOGLETRANSLATE(B6166,""en"",""ja"")"),"闇")</f>
        <v>闇</v>
      </c>
    </row>
    <row r="6091" spans="1:3" ht="18" customHeight="1" x14ac:dyDescent="0.3">
      <c r="A6091" s="1">
        <v>4</v>
      </c>
      <c r="B6091" s="1" t="s">
        <v>2437</v>
      </c>
      <c r="C6091" s="1" t="str">
        <f ca="1">IFERROR(__xludf.DUMMYFUNCTION("GOOGLETRANSLATE(B6167,""en"",""ja"")"),"ダメージ")</f>
        <v>ダメージ</v>
      </c>
    </row>
    <row r="6092" spans="1:3" ht="18" customHeight="1" x14ac:dyDescent="0.3">
      <c r="A6092" s="1">
        <v>4</v>
      </c>
      <c r="B6092" s="1" t="s">
        <v>4974</v>
      </c>
      <c r="C6092" s="1" t="str">
        <f ca="1">IFERROR(__xludf.DUMMYFUNCTION("GOOGLETRANSLATE(B6168,""en"",""ja"")"),"短剣")</f>
        <v>短剣</v>
      </c>
    </row>
    <row r="6093" spans="1:3" ht="18" customHeight="1" x14ac:dyDescent="0.3">
      <c r="A6093" s="1">
        <v>4</v>
      </c>
      <c r="B6093" s="1" t="s">
        <v>4975</v>
      </c>
      <c r="C6093" s="1" t="str">
        <f ca="1">IFERROR(__xludf.DUMMYFUNCTION("GOOGLETRANSLATE(B6170,""en"",""ja"")"),"切断")</f>
        <v>切断</v>
      </c>
    </row>
    <row r="6094" spans="1:3" ht="18" customHeight="1" x14ac:dyDescent="0.3">
      <c r="A6094" s="1">
        <v>4</v>
      </c>
      <c r="B6094" s="1" t="s">
        <v>4976</v>
      </c>
      <c r="C6094" s="1" t="str">
        <f ca="1">IFERROR(__xludf.DUMMYFUNCTION("GOOGLETRANSLATE(B6171,""en"",""ja"")"),"税関")</f>
        <v>税関</v>
      </c>
    </row>
    <row r="6095" spans="1:3" ht="18" customHeight="1" x14ac:dyDescent="0.3">
      <c r="A6095" s="1">
        <v>4</v>
      </c>
      <c r="B6095" s="1" t="s">
        <v>4977</v>
      </c>
      <c r="C6095" s="1" t="str">
        <f ca="1">IFERROR(__xludf.DUMMYFUNCTION("GOOGLETRANSLATE(B6172,""en"",""ja"")"),"呪い")</f>
        <v>呪い</v>
      </c>
    </row>
    <row r="6096" spans="1:3" ht="18" customHeight="1" x14ac:dyDescent="0.3">
      <c r="A6096" s="1">
        <v>4</v>
      </c>
      <c r="B6096" s="1" t="s">
        <v>4978</v>
      </c>
      <c r="C6096" s="1" t="str">
        <f ca="1">IFERROR(__xludf.DUMMYFUNCTION("GOOGLETRANSLATE(B6173,""en"",""ja"")"),"好奇心")</f>
        <v>好奇心</v>
      </c>
    </row>
    <row r="6097" spans="1:3" ht="18" customHeight="1" x14ac:dyDescent="0.3">
      <c r="A6097" s="1">
        <v>4</v>
      </c>
      <c r="B6097" s="1" t="s">
        <v>4979</v>
      </c>
      <c r="C6097" s="1" t="str">
        <f ca="1">IFERROR(__xludf.DUMMYFUNCTION("GOOGLETRANSLATE(B6175,""en"",""ja"")"),"硬化")</f>
        <v>硬化</v>
      </c>
    </row>
    <row r="6098" spans="1:3" ht="18" customHeight="1" x14ac:dyDescent="0.3">
      <c r="A6098" s="1">
        <v>4</v>
      </c>
      <c r="B6098" s="1" t="s">
        <v>4980</v>
      </c>
      <c r="C6098" s="1" t="str">
        <f ca="1">IFERROR(__xludf.DUMMYFUNCTION("GOOGLETRANSLATE(B6176,""en"",""ja"")"),"文化")</f>
        <v>文化</v>
      </c>
    </row>
    <row r="6099" spans="1:3" ht="18" customHeight="1" x14ac:dyDescent="0.3">
      <c r="A6099" s="1">
        <v>4</v>
      </c>
      <c r="B6099" s="1" t="s">
        <v>4981</v>
      </c>
      <c r="C6099" s="1" t="str">
        <f ca="1">IFERROR(__xludf.DUMMYFUNCTION("GOOGLETRANSLATE(B6177,""en"",""ja"")"),"耕す")</f>
        <v>耕す</v>
      </c>
    </row>
    <row r="6100" spans="1:3" ht="18" customHeight="1" x14ac:dyDescent="0.3">
      <c r="A6100" s="1">
        <v>4</v>
      </c>
      <c r="B6100" s="1" t="s">
        <v>3084</v>
      </c>
      <c r="C6100" s="1" t="str">
        <f ca="1">IFERROR(__xludf.DUMMYFUNCTION("GOOGLETRANSLATE(B6178,""en"",""ja"")"),"キュービクル")</f>
        <v>キュービクル</v>
      </c>
    </row>
    <row r="6101" spans="1:3" ht="18" customHeight="1" x14ac:dyDescent="0.3">
      <c r="A6101" s="1">
        <v>4</v>
      </c>
      <c r="B6101" s="1" t="s">
        <v>4982</v>
      </c>
      <c r="C6101" s="1" t="str">
        <f ca="1">IFERROR(__xludf.DUMMYFUNCTION("GOOGLETRANSLATE(B6179,""en"",""ja"")"),"粗製の")</f>
        <v>粗製の</v>
      </c>
    </row>
    <row r="6102" spans="1:3" ht="18" customHeight="1" x14ac:dyDescent="0.3">
      <c r="A6102" s="1">
        <v>4</v>
      </c>
      <c r="B6102" s="1" t="s">
        <v>4983</v>
      </c>
      <c r="C6102" s="1" t="str">
        <f ca="1">IFERROR(__xludf.DUMMYFUNCTION("GOOGLETRANSLATE(B6180,""en"",""ja"")"),"重大に")</f>
        <v>重大に</v>
      </c>
    </row>
    <row r="6103" spans="1:3" ht="18" customHeight="1" x14ac:dyDescent="0.3">
      <c r="A6103" s="1">
        <v>4</v>
      </c>
      <c r="B6103" s="1" t="s">
        <v>4984</v>
      </c>
      <c r="C6103" s="1" t="str">
        <f ca="1">IFERROR(__xludf.DUMMYFUNCTION("GOOGLETRANSLATE(B6181,""en"",""ja"")"),"群集")</f>
        <v>群集</v>
      </c>
    </row>
    <row r="6104" spans="1:3" ht="18" customHeight="1" x14ac:dyDescent="0.3">
      <c r="A6104" s="1">
        <v>4</v>
      </c>
      <c r="B6104" s="1" t="s">
        <v>4985</v>
      </c>
      <c r="C6104" s="1" t="str">
        <f ca="1">IFERROR(__xludf.DUMMYFUNCTION("GOOGLETRANSLATE(B6182,""en"",""ja"")"),"ゆがみました")</f>
        <v>ゆがみました</v>
      </c>
    </row>
    <row r="6105" spans="1:3" ht="18" customHeight="1" x14ac:dyDescent="0.3">
      <c r="A6105" s="1">
        <v>4</v>
      </c>
      <c r="B6105" s="1" t="s">
        <v>4123</v>
      </c>
      <c r="C6105" s="1" t="str">
        <f ca="1">IFERROR(__xludf.DUMMYFUNCTION("GOOGLETRANSLATE(B6183,""en"",""ja"")"),"批判します")</f>
        <v>批判します</v>
      </c>
    </row>
    <row r="6106" spans="1:3" ht="18" customHeight="1" x14ac:dyDescent="0.3">
      <c r="A6106" s="1">
        <v>4</v>
      </c>
      <c r="B6106" s="1" t="s">
        <v>3085</v>
      </c>
      <c r="C6106" s="1" t="str">
        <f ca="1">IFERROR(__xludf.DUMMYFUNCTION("GOOGLETRANSLATE(B6184,""en"",""ja"")"),"評論家")</f>
        <v>評論家</v>
      </c>
    </row>
    <row r="6107" spans="1:3" ht="18" customHeight="1" x14ac:dyDescent="0.3">
      <c r="A6107" s="1">
        <v>4</v>
      </c>
      <c r="B6107" s="1" t="s">
        <v>4986</v>
      </c>
      <c r="C6107" s="1" t="str">
        <f ca="1">IFERROR(__xludf.DUMMYFUNCTION("GOOGLETRANSLATE(B6185,""en"",""ja"")"),"クリスピー")</f>
        <v>クリスピー</v>
      </c>
    </row>
    <row r="6108" spans="1:3" ht="18" customHeight="1" x14ac:dyDescent="0.3">
      <c r="A6108" s="1">
        <v>4</v>
      </c>
      <c r="B6108" s="1" t="s">
        <v>4987</v>
      </c>
      <c r="C6108" s="1" t="str">
        <f ca="1">IFERROR(__xludf.DUMMYFUNCTION("GOOGLETRANSLATE(B6186,""en"",""ja"")"),"壊滅")</f>
        <v>壊滅</v>
      </c>
    </row>
    <row r="6109" spans="1:3" ht="18" customHeight="1" x14ac:dyDescent="0.3">
      <c r="A6109" s="1">
        <v>4</v>
      </c>
      <c r="B6109" s="1" t="s">
        <v>4988</v>
      </c>
      <c r="C6109" s="1" t="str">
        <f ca="1">IFERROR(__xludf.DUMMYFUNCTION("GOOGLETRANSLATE(B6187,""en"",""ja"")"),"クレジット")</f>
        <v>クレジット</v>
      </c>
    </row>
    <row r="6110" spans="1:3" ht="18" customHeight="1" x14ac:dyDescent="0.3">
      <c r="A6110" s="1">
        <v>4</v>
      </c>
      <c r="B6110" s="1" t="s">
        <v>4989</v>
      </c>
      <c r="C6110" s="1" t="str">
        <f ca="1">IFERROR(__xludf.DUMMYFUNCTION("GOOGLETRANSLATE(B6188,""en"",""ja"")"),"生き物")</f>
        <v>生き物</v>
      </c>
    </row>
    <row r="6111" spans="1:3" ht="18" customHeight="1" x14ac:dyDescent="0.3">
      <c r="A6111" s="1">
        <v>4</v>
      </c>
      <c r="B6111" s="1" t="s">
        <v>3086</v>
      </c>
      <c r="C6111" s="1" t="str">
        <f ca="1">IFERROR(__xludf.DUMMYFUNCTION("GOOGLETRANSLATE(B6189,""en"",""ja"")"),"生物")</f>
        <v>生物</v>
      </c>
    </row>
    <row r="6112" spans="1:3" ht="18" customHeight="1" x14ac:dyDescent="0.3">
      <c r="A6112" s="1">
        <v>4</v>
      </c>
      <c r="B6112" s="1" t="s">
        <v>2442</v>
      </c>
      <c r="C6112" s="1" t="str">
        <f ca="1">IFERROR(__xludf.DUMMYFUNCTION("GOOGLETRANSLATE(B6190,""en"",""ja"")"),"創造的")</f>
        <v>創造的</v>
      </c>
    </row>
    <row r="6113" spans="1:3" ht="18" customHeight="1" x14ac:dyDescent="0.3">
      <c r="A6113" s="1">
        <v>4</v>
      </c>
      <c r="B6113" s="1" t="s">
        <v>4990</v>
      </c>
      <c r="C6113" s="1" t="str">
        <f ca="1">IFERROR(__xludf.DUMMYFUNCTION("GOOGLETRANSLATE(B6191,""en"",""ja"")"),"カップル")</f>
        <v>カップル</v>
      </c>
    </row>
    <row r="6114" spans="1:3" ht="18" customHeight="1" x14ac:dyDescent="0.3">
      <c r="A6114" s="1">
        <v>4</v>
      </c>
      <c r="B6114" s="1" t="s">
        <v>4991</v>
      </c>
      <c r="C6114" s="1" t="str">
        <f ca="1">IFERROR(__xludf.DUMMYFUNCTION("GOOGLETRANSLATE(B6192,""en"",""ja"")"),"カウント")</f>
        <v>カウント</v>
      </c>
    </row>
    <row r="6115" spans="1:3" ht="18" customHeight="1" x14ac:dyDescent="0.3">
      <c r="A6115" s="1">
        <v>4</v>
      </c>
      <c r="B6115" s="1" t="s">
        <v>4992</v>
      </c>
      <c r="C6115" s="1" t="str">
        <f ca="1">IFERROR(__xludf.DUMMYFUNCTION("GOOGLETRANSLATE(B6193,""en"",""ja"")"),"数え切れません")</f>
        <v>数え切れません</v>
      </c>
    </row>
    <row r="6116" spans="1:3" ht="18" customHeight="1" x14ac:dyDescent="0.3">
      <c r="A6116" s="1">
        <v>4</v>
      </c>
      <c r="B6116" s="1" t="s">
        <v>4993</v>
      </c>
      <c r="C6116" s="1" t="str">
        <f ca="1">IFERROR(__xludf.DUMMYFUNCTION("GOOGLETRANSLATE(B6194,""en"",""ja"")"),"カウント")</f>
        <v>カウント</v>
      </c>
    </row>
    <row r="6117" spans="1:3" ht="18" customHeight="1" x14ac:dyDescent="0.3">
      <c r="A6117" s="1">
        <v>4</v>
      </c>
      <c r="B6117" s="1" t="s">
        <v>4994</v>
      </c>
      <c r="C6117" s="1" t="str">
        <f ca="1">IFERROR(__xludf.DUMMYFUNCTION("GOOGLETRANSLATE(B6195,""en"",""ja"")"),"同人")</f>
        <v>同人</v>
      </c>
    </row>
    <row r="6118" spans="1:3" ht="18" customHeight="1" x14ac:dyDescent="0.3">
      <c r="A6118" s="1">
        <v>4</v>
      </c>
      <c r="B6118" s="1" t="s">
        <v>4995</v>
      </c>
      <c r="C6118" s="1" t="str">
        <f ca="1">IFERROR(__xludf.DUMMYFUNCTION("GOOGLETRANSLATE(B6196,""en"",""ja"")"),"高価な")</f>
        <v>高価な</v>
      </c>
    </row>
    <row r="6119" spans="1:3" ht="18" customHeight="1" x14ac:dyDescent="0.3">
      <c r="A6119" s="1">
        <v>4</v>
      </c>
      <c r="B6119" s="1" t="s">
        <v>4996</v>
      </c>
      <c r="C6119" s="1" t="str">
        <f ca="1">IFERROR(__xludf.DUMMYFUNCTION("GOOGLETRANSLATE(B6197,""en"",""ja"")"),"宇宙")</f>
        <v>宇宙</v>
      </c>
    </row>
    <row r="6120" spans="1:3" ht="18" customHeight="1" x14ac:dyDescent="0.3">
      <c r="A6120" s="1">
        <v>4</v>
      </c>
      <c r="B6120" s="1" t="s">
        <v>4997</v>
      </c>
      <c r="C6120" s="1" t="str">
        <f ca="1">IFERROR(__xludf.DUMMYFUNCTION("GOOGLETRANSLATE(B6198,""en"",""ja"")"),"対応")</f>
        <v>対応</v>
      </c>
    </row>
    <row r="6121" spans="1:3" ht="18" customHeight="1" x14ac:dyDescent="0.3">
      <c r="A6121" s="1">
        <v>4</v>
      </c>
      <c r="B6121" s="1" t="s">
        <v>4998</v>
      </c>
      <c r="C6121" s="1" t="str">
        <f ca="1">IFERROR(__xludf.DUMMYFUNCTION("GOOGLETRANSLATE(B6199,""en"",""ja"")"),"相関")</f>
        <v>相関</v>
      </c>
    </row>
    <row r="6122" spans="1:3" ht="18" customHeight="1" x14ac:dyDescent="0.3">
      <c r="A6122" s="1">
        <v>4</v>
      </c>
      <c r="B6122" s="1" t="s">
        <v>4126</v>
      </c>
      <c r="C6122" s="1" t="str">
        <f ca="1">IFERROR(__xludf.DUMMYFUNCTION("GOOGLETRANSLATE(B6200,""en"",""ja"")"),"正し")</f>
        <v>正し</v>
      </c>
    </row>
    <row r="6123" spans="1:3" ht="18" customHeight="1" x14ac:dyDescent="0.3">
      <c r="A6123" s="1">
        <v>4</v>
      </c>
      <c r="B6123" s="1" t="s">
        <v>3087</v>
      </c>
      <c r="C6123" s="1" t="str">
        <f ca="1">IFERROR(__xludf.DUMMYFUNCTION("GOOGLETRANSLATE(B6201,""en"",""ja"")"),"コピー")</f>
        <v>コピー</v>
      </c>
    </row>
    <row r="6124" spans="1:3" ht="18" customHeight="1" x14ac:dyDescent="0.3">
      <c r="A6124" s="1">
        <v>4</v>
      </c>
      <c r="B6124" s="1" t="s">
        <v>4999</v>
      </c>
      <c r="C6124" s="1" t="str">
        <f ca="1">IFERROR(__xludf.DUMMYFUNCTION("GOOGLETRANSLATE(B6202,""en"",""ja"")"),"コーディネーション")</f>
        <v>コーディネーション</v>
      </c>
    </row>
    <row r="6125" spans="1:3" ht="18" customHeight="1" x14ac:dyDescent="0.3">
      <c r="A6125" s="1">
        <v>4</v>
      </c>
      <c r="B6125" s="1" t="s">
        <v>5000</v>
      </c>
      <c r="C6125" s="1" t="str">
        <f ca="1">IFERROR(__xludf.DUMMYFUNCTION("GOOGLETRANSLATE(B6203,""en"",""ja"")"),"変換")</f>
        <v>変換</v>
      </c>
    </row>
    <row r="6126" spans="1:3" ht="18" customHeight="1" x14ac:dyDescent="0.3">
      <c r="A6126" s="1">
        <v>4</v>
      </c>
      <c r="B6126" s="1" t="s">
        <v>5001</v>
      </c>
      <c r="C6126" s="1" t="str">
        <f ca="1">IFERROR(__xludf.DUMMYFUNCTION("GOOGLETRANSLATE(B6204,""en"",""ja"")"),"物議を醸します")</f>
        <v>物議を醸します</v>
      </c>
    </row>
    <row r="6127" spans="1:3" ht="18" customHeight="1" x14ac:dyDescent="0.3">
      <c r="A6127" s="1">
        <v>4</v>
      </c>
      <c r="B6127" s="1" t="s">
        <v>5002</v>
      </c>
      <c r="C6127" s="1" t="str">
        <f ca="1">IFERROR(__xludf.DUMMYFUNCTION("GOOGLETRANSLATE(B6205,""en"",""ja"")"),"対比")</f>
        <v>対比</v>
      </c>
    </row>
    <row r="6128" spans="1:3" ht="18" customHeight="1" x14ac:dyDescent="0.3">
      <c r="A6128" s="1">
        <v>4</v>
      </c>
      <c r="B6128" s="1" t="s">
        <v>5003</v>
      </c>
      <c r="C6128" s="1" t="str">
        <f ca="1">IFERROR(__xludf.DUMMYFUNCTION("GOOGLETRANSLATE(B6206,""en"",""ja"")"),"矛盾")</f>
        <v>矛盾</v>
      </c>
    </row>
    <row r="6129" spans="1:3" ht="18" customHeight="1" x14ac:dyDescent="0.3">
      <c r="A6129" s="1">
        <v>4</v>
      </c>
      <c r="B6129" s="1" t="s">
        <v>5004</v>
      </c>
      <c r="C6129" s="1" t="str">
        <f ca="1">IFERROR(__xludf.DUMMYFUNCTION("GOOGLETRANSLATE(B6207,""en"",""ja"")"),"contradicte")</f>
        <v>contradicte</v>
      </c>
    </row>
    <row r="6130" spans="1:3" ht="18" customHeight="1" x14ac:dyDescent="0.3">
      <c r="A6130" s="1">
        <v>4</v>
      </c>
      <c r="B6130" s="1" t="s">
        <v>5005</v>
      </c>
      <c r="C6130" s="1" t="str">
        <f ca="1">IFERROR(__xludf.DUMMYFUNCTION("GOOGLETRANSLATE(B6208,""en"",""ja"")"),"矛盾")</f>
        <v>矛盾</v>
      </c>
    </row>
    <row r="6131" spans="1:3" ht="18" customHeight="1" x14ac:dyDescent="0.3">
      <c r="A6131" s="1">
        <v>4</v>
      </c>
      <c r="B6131" s="1" t="s">
        <v>5006</v>
      </c>
      <c r="C6131" s="1" t="str">
        <f ca="1">IFERROR(__xludf.DUMMYFUNCTION("GOOGLETRANSLATE(B6209,""en"",""ja"")"),"連続")</f>
        <v>連続</v>
      </c>
    </row>
    <row r="6132" spans="1:3" ht="18" customHeight="1" x14ac:dyDescent="0.3">
      <c r="A6132" s="1">
        <v>4</v>
      </c>
      <c r="B6132" s="1" t="s">
        <v>5007</v>
      </c>
      <c r="C6132" s="1" t="str">
        <f ca="1">IFERROR(__xludf.DUMMYFUNCTION("GOOGLETRANSLATE(B6210,""en"",""ja"")"),"連続")</f>
        <v>連続</v>
      </c>
    </row>
    <row r="6133" spans="1:3" ht="18" customHeight="1" x14ac:dyDescent="0.3">
      <c r="A6133" s="1">
        <v>4</v>
      </c>
      <c r="B6133" s="1" t="s">
        <v>5008</v>
      </c>
      <c r="C6133" s="1" t="str">
        <f ca="1">IFERROR(__xludf.DUMMYFUNCTION("GOOGLETRANSLATE(B6211,""en"",""ja"")"),"続きます")</f>
        <v>続きます</v>
      </c>
    </row>
    <row r="6134" spans="1:3" ht="18" customHeight="1" x14ac:dyDescent="0.3">
      <c r="A6134" s="1">
        <v>4</v>
      </c>
      <c r="B6134" s="1" t="s">
        <v>781</v>
      </c>
      <c r="C6134" s="1" t="str">
        <f ca="1">IFERROR(__xludf.DUMMYFUNCTION("GOOGLETRANSLATE(B6212,""en"",""ja"")"),"継続する")</f>
        <v>継続する</v>
      </c>
    </row>
    <row r="6135" spans="1:3" ht="18" customHeight="1" x14ac:dyDescent="0.3">
      <c r="A6135" s="1">
        <v>4</v>
      </c>
      <c r="B6135" s="1" t="s">
        <v>5009</v>
      </c>
      <c r="C6135" s="1" t="str">
        <f ca="1">IFERROR(__xludf.DUMMYFUNCTION("GOOGLETRANSLATE(B6213,""en"",""ja"")"),"論争")</f>
        <v>論争</v>
      </c>
    </row>
    <row r="6136" spans="1:3" ht="18" customHeight="1" x14ac:dyDescent="0.3">
      <c r="A6136" s="1">
        <v>4</v>
      </c>
      <c r="B6136" s="1" t="s">
        <v>5010</v>
      </c>
      <c r="C6136" s="1" t="str">
        <f ca="1">IFERROR(__xludf.DUMMYFUNCTION("GOOGLETRANSLATE(B6214,""en"",""ja"")"),"主張")</f>
        <v>主張</v>
      </c>
    </row>
    <row r="6137" spans="1:3" ht="18" customHeight="1" x14ac:dyDescent="0.3">
      <c r="A6137" s="1">
        <v>4</v>
      </c>
      <c r="B6137" s="1" t="s">
        <v>2776</v>
      </c>
      <c r="C6137" s="1" t="str">
        <f ca="1">IFERROR(__xludf.DUMMYFUNCTION("GOOGLETRANSLATE(B6215,""en"",""ja"")"),"コンテンポラリー")</f>
        <v>コンテンポラリー</v>
      </c>
    </row>
    <row r="6138" spans="1:3" ht="18" customHeight="1" x14ac:dyDescent="0.3">
      <c r="A6138" s="1">
        <v>4</v>
      </c>
      <c r="B6138" s="1" t="s">
        <v>5011</v>
      </c>
      <c r="C6138" s="1" t="str">
        <f ca="1">IFERROR(__xludf.DUMMYFUNCTION("GOOGLETRANSLATE(B6216,""en"",""ja"")"),"検討")</f>
        <v>検討</v>
      </c>
    </row>
    <row r="6139" spans="1:3" ht="18" customHeight="1" x14ac:dyDescent="0.3">
      <c r="A6139" s="1">
        <v>4</v>
      </c>
      <c r="B6139" s="1" t="s">
        <v>5012</v>
      </c>
      <c r="C6139" s="1" t="str">
        <f ca="1">IFERROR(__xludf.DUMMYFUNCTION("GOOGLETRANSLATE(B6217,""en"",""ja"")"),"消費者")</f>
        <v>消費者</v>
      </c>
    </row>
    <row r="6140" spans="1:3" ht="18" customHeight="1" x14ac:dyDescent="0.3">
      <c r="A6140" s="1">
        <v>4</v>
      </c>
      <c r="B6140" s="1" t="s">
        <v>5013</v>
      </c>
      <c r="C6140" s="1" t="str">
        <f ca="1">IFERROR(__xludf.DUMMYFUNCTION("GOOGLETRANSLATE(B6218,""en"",""ja"")"),"コンシューマリズム")</f>
        <v>コンシューマリズム</v>
      </c>
    </row>
    <row r="6141" spans="1:3" ht="18" customHeight="1" x14ac:dyDescent="0.3">
      <c r="A6141" s="1">
        <v>4</v>
      </c>
      <c r="B6141" s="1" t="s">
        <v>2780</v>
      </c>
      <c r="C6141" s="1" t="str">
        <f ca="1">IFERROR(__xludf.DUMMYFUNCTION("GOOGLETRANSLATE(B6219,""en"",""ja"")"),"憲法")</f>
        <v>憲法</v>
      </c>
    </row>
    <row r="6142" spans="1:3" ht="18" customHeight="1" x14ac:dyDescent="0.3">
      <c r="A6142" s="1">
        <v>4</v>
      </c>
      <c r="B6142" s="1" t="s">
        <v>5014</v>
      </c>
      <c r="C6142" s="1" t="str">
        <f ca="1">IFERROR(__xludf.DUMMYFUNCTION("GOOGLETRANSLATE(B6220,""en"",""ja"")"),"みなし")</f>
        <v>みなし</v>
      </c>
    </row>
    <row r="6143" spans="1:3" ht="18" customHeight="1" x14ac:dyDescent="0.3">
      <c r="A6143" s="1">
        <v>4</v>
      </c>
      <c r="B6143" s="1" t="s">
        <v>3091</v>
      </c>
      <c r="C6143" s="1" t="str">
        <f ca="1">IFERROR(__xludf.DUMMYFUNCTION("GOOGLETRANSLATE(B6221,""en"",""ja"")"),"接続")</f>
        <v>接続</v>
      </c>
    </row>
    <row r="6144" spans="1:3" ht="18" customHeight="1" x14ac:dyDescent="0.3">
      <c r="A6144" s="1">
        <v>4</v>
      </c>
      <c r="B6144" s="1" t="s">
        <v>5015</v>
      </c>
      <c r="C6144" s="1" t="str">
        <f ca="1">IFERROR(__xludf.DUMMYFUNCTION("GOOGLETRANSLATE(B6222,""en"",""ja"")"),"会議")</f>
        <v>会議</v>
      </c>
    </row>
    <row r="6145" spans="1:3" ht="18" customHeight="1" x14ac:dyDescent="0.3">
      <c r="A6145" s="1">
        <v>4</v>
      </c>
      <c r="B6145" s="1" t="s">
        <v>5016</v>
      </c>
      <c r="C6145" s="1" t="str">
        <f ca="1">IFERROR(__xludf.DUMMYFUNCTION("GOOGLETRANSLATE(B6223,""en"",""ja"")"),"錯乱")</f>
        <v>錯乱</v>
      </c>
    </row>
    <row r="6146" spans="1:3" ht="18" customHeight="1" x14ac:dyDescent="0.3">
      <c r="A6146" s="1">
        <v>4</v>
      </c>
      <c r="B6146" s="1" t="s">
        <v>5017</v>
      </c>
      <c r="C6146" s="1" t="str">
        <f ca="1">IFERROR(__xludf.DUMMYFUNCTION("GOOGLETRANSLATE(B6224,""en"",""ja"")"),"孔子")</f>
        <v>孔子</v>
      </c>
    </row>
    <row r="6147" spans="1:3" ht="18" customHeight="1" x14ac:dyDescent="0.3">
      <c r="A6147" s="1">
        <v>4</v>
      </c>
      <c r="B6147" s="1" t="s">
        <v>5018</v>
      </c>
      <c r="C6147" s="1" t="str">
        <f ca="1">IFERROR(__xludf.DUMMYFUNCTION("GOOGLETRANSLATE(B6225,""en"",""ja"")"),"対決")</f>
        <v>対決</v>
      </c>
    </row>
    <row r="6148" spans="1:3" ht="18" customHeight="1" x14ac:dyDescent="0.3">
      <c r="A6148" s="1">
        <v>4</v>
      </c>
      <c r="B6148" s="1" t="s">
        <v>5019</v>
      </c>
      <c r="C6148" s="1" t="str">
        <f ca="1">IFERROR(__xludf.DUMMYFUNCTION("GOOGLETRANSLATE(B6227,""en"",""ja"")"),"自信を持って")</f>
        <v>自信を持って</v>
      </c>
    </row>
    <row r="6149" spans="1:3" ht="18" customHeight="1" x14ac:dyDescent="0.3">
      <c r="A6149" s="1">
        <v>4</v>
      </c>
      <c r="B6149" s="1" t="s">
        <v>3665</v>
      </c>
      <c r="C6149" s="1" t="str">
        <f ca="1">IFERROR(__xludf.DUMMYFUNCTION("GOOGLETRANSLATE(B6228,""en"",""ja"")"),"同時に")</f>
        <v>同時に</v>
      </c>
    </row>
    <row r="6150" spans="1:3" ht="18" customHeight="1" x14ac:dyDescent="0.3">
      <c r="A6150" s="1">
        <v>4</v>
      </c>
      <c r="B6150" s="1" t="s">
        <v>5020</v>
      </c>
      <c r="C6150" s="1" t="str">
        <f ca="1">IFERROR(__xludf.DUMMYFUNCTION("GOOGLETRANSLATE(B6229,""en"",""ja"")"),"について")</f>
        <v>について</v>
      </c>
    </row>
    <row r="6151" spans="1:3" ht="18" customHeight="1" x14ac:dyDescent="0.3">
      <c r="A6151" s="1">
        <v>4</v>
      </c>
      <c r="B6151" s="1" t="s">
        <v>5021</v>
      </c>
      <c r="C6151" s="1" t="str">
        <f ca="1">IFERROR(__xludf.DUMMYFUNCTION("GOOGLETRANSLATE(B6230,""en"",""ja"")"),"思いつきます")</f>
        <v>思いつきます</v>
      </c>
    </row>
    <row r="6152" spans="1:3" ht="18" customHeight="1" x14ac:dyDescent="0.3">
      <c r="A6152" s="1">
        <v>4</v>
      </c>
      <c r="B6152" s="1" t="s">
        <v>4146</v>
      </c>
      <c r="C6152" s="1" t="str">
        <f ca="1">IFERROR(__xludf.DUMMYFUNCTION("GOOGLETRANSLATE(B6231,""en"",""ja"")"),"成分")</f>
        <v>成分</v>
      </c>
    </row>
    <row r="6153" spans="1:3" ht="18" customHeight="1" x14ac:dyDescent="0.3">
      <c r="A6153" s="1">
        <v>4</v>
      </c>
      <c r="B6153" s="1" t="s">
        <v>5022</v>
      </c>
      <c r="C6153" s="1" t="str">
        <f ca="1">IFERROR(__xludf.DUMMYFUNCTION("GOOGLETRANSLATE(B6232,""en"",""ja"")"),"複雑")</f>
        <v>複雑</v>
      </c>
    </row>
    <row r="6154" spans="1:3" ht="18" customHeight="1" x14ac:dyDescent="0.3">
      <c r="A6154" s="1">
        <v>4</v>
      </c>
      <c r="B6154" s="1" t="s">
        <v>1299</v>
      </c>
      <c r="C6154" s="1" t="str">
        <f ca="1">IFERROR(__xludf.DUMMYFUNCTION("GOOGLETRANSLATE(B6233,""en"",""ja"")"),"完全に")</f>
        <v>完全に</v>
      </c>
    </row>
    <row r="6155" spans="1:3" ht="18" customHeight="1" x14ac:dyDescent="0.3">
      <c r="A6155" s="1">
        <v>4</v>
      </c>
      <c r="B6155" s="1" t="s">
        <v>5023</v>
      </c>
      <c r="C6155" s="1" t="str">
        <f ca="1">IFERROR(__xludf.DUMMYFUNCTION("GOOGLETRANSLATE(B6234,""en"",""ja"")"),"編集済み")</f>
        <v>編集済み</v>
      </c>
    </row>
    <row r="6156" spans="1:3" ht="18" customHeight="1" x14ac:dyDescent="0.3">
      <c r="A6156" s="1">
        <v>4</v>
      </c>
      <c r="B6156" s="1" t="s">
        <v>5024</v>
      </c>
      <c r="C6156" s="1" t="str">
        <f ca="1">IFERROR(__xludf.DUMMYFUNCTION("GOOGLETRANSLATE(B6235,""en"",""ja"")"),"競合")</f>
        <v>競合</v>
      </c>
    </row>
    <row r="6157" spans="1:3" ht="18" customHeight="1" x14ac:dyDescent="0.3">
      <c r="A6157" s="1">
        <v>4</v>
      </c>
      <c r="B6157" s="1" t="s">
        <v>4149</v>
      </c>
      <c r="C6157" s="1" t="str">
        <f ca="1">IFERROR(__xludf.DUMMYFUNCTION("GOOGLETRANSLATE(B6236,""en"",""ja"")"),"競合")</f>
        <v>競合</v>
      </c>
    </row>
    <row r="6158" spans="1:3" ht="18" customHeight="1" x14ac:dyDescent="0.3">
      <c r="A6158" s="1">
        <v>4</v>
      </c>
      <c r="B6158" s="1" t="s">
        <v>5025</v>
      </c>
      <c r="C6158" s="1" t="str">
        <f ca="1">IFERROR(__xludf.DUMMYFUNCTION("GOOGLETRANSLATE(B6237,""en"",""ja"")"),"比較")</f>
        <v>比較</v>
      </c>
    </row>
    <row r="6159" spans="1:3" ht="18" customHeight="1" x14ac:dyDescent="0.3">
      <c r="A6159" s="1">
        <v>4</v>
      </c>
      <c r="B6159" s="1" t="s">
        <v>5026</v>
      </c>
      <c r="C6159" s="1" t="str">
        <f ca="1">IFERROR(__xludf.DUMMYFUNCTION("GOOGLETRANSLATE(B6238,""en"",""ja"")"),"匹敵します")</f>
        <v>匹敵します</v>
      </c>
    </row>
    <row r="6160" spans="1:3" ht="18" customHeight="1" x14ac:dyDescent="0.3">
      <c r="A6160" s="1">
        <v>4</v>
      </c>
      <c r="B6160" s="1" t="s">
        <v>5027</v>
      </c>
      <c r="C6160" s="1" t="str">
        <f ca="1">IFERROR(__xludf.DUMMYFUNCTION("GOOGLETRANSLATE(B6240,""en"",""ja"")"),"通信")</f>
        <v>通信</v>
      </c>
    </row>
    <row r="6161" spans="1:3" ht="18" customHeight="1" x14ac:dyDescent="0.3">
      <c r="A6161" s="1">
        <v>4</v>
      </c>
      <c r="B6161" s="1" t="s">
        <v>5028</v>
      </c>
      <c r="C6161" s="1" t="str">
        <f ca="1">IFERROR(__xludf.DUMMYFUNCTION("GOOGLETRANSLATE(B6241,""en"",""ja"")"),"ありふれました")</f>
        <v>ありふれました</v>
      </c>
    </row>
    <row r="6162" spans="1:3" ht="18" customHeight="1" x14ac:dyDescent="0.3">
      <c r="A6162" s="1">
        <v>4</v>
      </c>
      <c r="B6162" s="1" t="s">
        <v>5029</v>
      </c>
      <c r="C6162" s="1" t="str">
        <f ca="1">IFERROR(__xludf.DUMMYFUNCTION("GOOGLETRANSLATE(B6243,""en"",""ja"")"),"コモディティ")</f>
        <v>コモディティ</v>
      </c>
    </row>
    <row r="6163" spans="1:3" ht="18" customHeight="1" x14ac:dyDescent="0.3">
      <c r="A6163" s="1">
        <v>4</v>
      </c>
      <c r="B6163" s="1" t="s">
        <v>5030</v>
      </c>
      <c r="C6163" s="1" t="str">
        <f ca="1">IFERROR(__xludf.DUMMYFUNCTION("GOOGLETRANSLATE(B6244,""en"",""ja"")"),"注釈")</f>
        <v>注釈</v>
      </c>
    </row>
    <row r="6164" spans="1:3" ht="18" customHeight="1" x14ac:dyDescent="0.3">
      <c r="A6164" s="1">
        <v>4</v>
      </c>
      <c r="B6164" s="1" t="s">
        <v>5031</v>
      </c>
      <c r="C6164" s="1" t="str">
        <f ca="1">IFERROR(__xludf.DUMMYFUNCTION("GOOGLETRANSLATE(B6245,""en"",""ja"")"),"コメント")</f>
        <v>コメント</v>
      </c>
    </row>
    <row r="6165" spans="1:3" ht="18" customHeight="1" x14ac:dyDescent="0.3">
      <c r="A6165" s="1">
        <v>4</v>
      </c>
      <c r="B6165" s="1" t="s">
        <v>5032</v>
      </c>
      <c r="C6165" s="1" t="str">
        <f ca="1">IFERROR(__xludf.DUMMYFUNCTION("GOOGLETRANSLATE(B6246,""en"",""ja"")"),"燃焼")</f>
        <v>燃焼</v>
      </c>
    </row>
    <row r="6166" spans="1:3" ht="18" customHeight="1" x14ac:dyDescent="0.3">
      <c r="A6166" s="1">
        <v>4</v>
      </c>
      <c r="B6166" s="1" t="s">
        <v>5033</v>
      </c>
      <c r="C6166" s="1" t="str">
        <f ca="1">IFERROR(__xludf.DUMMYFUNCTION("GOOGLETRANSLATE(B6247,""en"",""ja"")"),"コロンビア")</f>
        <v>コロンビア</v>
      </c>
    </row>
    <row r="6167" spans="1:3" ht="18" customHeight="1" x14ac:dyDescent="0.3">
      <c r="A6167" s="1">
        <v>4</v>
      </c>
      <c r="B6167" s="1" t="s">
        <v>5034</v>
      </c>
      <c r="C6167" s="1" t="str">
        <f ca="1">IFERROR(__xludf.DUMMYFUNCTION("GOOGLETRANSLATE(B6248,""en"",""ja"")"),"植民地主義")</f>
        <v>植民地主義</v>
      </c>
    </row>
    <row r="6168" spans="1:3" ht="18" customHeight="1" x14ac:dyDescent="0.3">
      <c r="A6168" s="1">
        <v>4</v>
      </c>
      <c r="B6168" s="1" t="s">
        <v>5035</v>
      </c>
      <c r="C6168" s="1" t="str">
        <f ca="1">IFERROR(__xludf.DUMMYFUNCTION("GOOGLETRANSLATE(B6249,""en"",""ja"")"),"ひとまとめに")</f>
        <v>ひとまとめに</v>
      </c>
    </row>
    <row r="6169" spans="1:3" ht="18" customHeight="1" x14ac:dyDescent="0.3">
      <c r="A6169" s="1">
        <v>4</v>
      </c>
      <c r="B6169" s="1" t="s">
        <v>5036</v>
      </c>
      <c r="C6169" s="1" t="str">
        <f ca="1">IFERROR(__xludf.DUMMYFUNCTION("GOOGLETRANSLATE(B6250,""en"",""ja"")"),"収集")</f>
        <v>収集</v>
      </c>
    </row>
    <row r="6170" spans="1:3" ht="18" customHeight="1" x14ac:dyDescent="0.3">
      <c r="A6170" s="1">
        <v>4</v>
      </c>
      <c r="B6170" s="1" t="s">
        <v>5037</v>
      </c>
      <c r="C6170" s="1" t="str">
        <f ca="1">IFERROR(__xludf.DUMMYFUNCTION("GOOGLETRANSLATE(B6251,""en"",""ja"")"),"崩壊")</f>
        <v>崩壊</v>
      </c>
    </row>
    <row r="6171" spans="1:3" ht="18" customHeight="1" x14ac:dyDescent="0.3">
      <c r="A6171" s="1">
        <v>4</v>
      </c>
      <c r="B6171" s="1" t="s">
        <v>4152</v>
      </c>
      <c r="C6171" s="1" t="str">
        <f ca="1">IFERROR(__xludf.DUMMYFUNCTION("GOOGLETRANSLATE(B6252,""en"",""ja"")"),"コラボレーション")</f>
        <v>コラボレーション</v>
      </c>
    </row>
    <row r="6172" spans="1:3" ht="18" customHeight="1" x14ac:dyDescent="0.3">
      <c r="A6172" s="1">
        <v>4</v>
      </c>
      <c r="B6172" s="1" t="s">
        <v>5038</v>
      </c>
      <c r="C6172" s="1" t="str">
        <f ca="1">IFERROR(__xludf.DUMMYFUNCTION("GOOGLETRANSLATE(B6253,""en"",""ja"")"),"寒さ")</f>
        <v>寒さ</v>
      </c>
    </row>
    <row r="6173" spans="1:3" ht="18" customHeight="1" x14ac:dyDescent="0.3">
      <c r="A6173" s="1">
        <v>4</v>
      </c>
      <c r="B6173" s="1" t="s">
        <v>5039</v>
      </c>
      <c r="C6173" s="1" t="str">
        <f ca="1">IFERROR(__xludf.DUMMYFUNCTION("GOOGLETRANSLATE(B6254,""en"",""ja"")"),"コル")</f>
        <v>コル</v>
      </c>
    </row>
    <row r="6174" spans="1:3" ht="18" customHeight="1" x14ac:dyDescent="0.3">
      <c r="A6174" s="1">
        <v>4</v>
      </c>
      <c r="B6174" s="1" t="s">
        <v>5040</v>
      </c>
      <c r="C6174" s="1" t="str">
        <f ca="1">IFERROR(__xludf.DUMMYFUNCTION("GOOGLETRANSLATE(B6255,""en"",""ja"")"),"貨幣")</f>
        <v>貨幣</v>
      </c>
    </row>
    <row r="6175" spans="1:3" ht="18" customHeight="1" x14ac:dyDescent="0.3">
      <c r="A6175" s="1">
        <v>4</v>
      </c>
      <c r="B6175" s="1" t="s">
        <v>5041</v>
      </c>
      <c r="C6175" s="1" t="str">
        <f ca="1">IFERROR(__xludf.DUMMYFUNCTION("GOOGLETRANSLATE(B6256,""en"",""ja"")"),"凝集")</f>
        <v>凝集</v>
      </c>
    </row>
    <row r="6176" spans="1:3" ht="18" customHeight="1" x14ac:dyDescent="0.3">
      <c r="A6176" s="1">
        <v>4</v>
      </c>
      <c r="B6176" s="1" t="s">
        <v>5042</v>
      </c>
      <c r="C6176" s="1" t="str">
        <f ca="1">IFERROR(__xludf.DUMMYFUNCTION("GOOGLETRANSLATE(B6257,""en"",""ja"")"),"両立")</f>
        <v>両立</v>
      </c>
    </row>
    <row r="6177" spans="1:3" ht="18" customHeight="1" x14ac:dyDescent="0.3">
      <c r="A6177" s="1">
        <v>4</v>
      </c>
      <c r="B6177" s="1" t="s">
        <v>5043</v>
      </c>
      <c r="C6177" s="1" t="str">
        <f ca="1">IFERROR(__xludf.DUMMYFUNCTION("GOOGLETRANSLATE(B6258,""en"",""ja"")"),"海岸")</f>
        <v>海岸</v>
      </c>
    </row>
    <row r="6178" spans="1:3" ht="18" customHeight="1" x14ac:dyDescent="0.3">
      <c r="A6178" s="1">
        <v>4</v>
      </c>
      <c r="B6178" s="1" t="s">
        <v>5044</v>
      </c>
      <c r="C6178" s="1" t="str">
        <f ca="1">IFERROR(__xludf.DUMMYFUNCTION("GOOGLETRANSLATE(B6259,""en"",""ja"")"),"ぎこちなさ")</f>
        <v>ぎこちなさ</v>
      </c>
    </row>
    <row r="6179" spans="1:3" ht="18" customHeight="1" x14ac:dyDescent="0.3">
      <c r="A6179" s="1">
        <v>4</v>
      </c>
      <c r="B6179" s="1" t="s">
        <v>5045</v>
      </c>
      <c r="C6179" s="1" t="str">
        <f ca="1">IFERROR(__xludf.DUMMYFUNCTION("GOOGLETRANSLATE(B6260,""en"",""ja"")"),"衣類")</f>
        <v>衣類</v>
      </c>
    </row>
    <row r="6180" spans="1:3" ht="18" customHeight="1" x14ac:dyDescent="0.3">
      <c r="A6180" s="1">
        <v>4</v>
      </c>
      <c r="B6180" s="1" t="s">
        <v>3108</v>
      </c>
      <c r="C6180" s="1" t="str">
        <f ca="1">IFERROR(__xludf.DUMMYFUNCTION("GOOGLETRANSLATE(B6261,""en"",""ja"")"),"時計")</f>
        <v>時計</v>
      </c>
    </row>
    <row r="6181" spans="1:3" ht="18" customHeight="1" x14ac:dyDescent="0.3">
      <c r="A6181" s="1">
        <v>4</v>
      </c>
      <c r="B6181" s="1" t="s">
        <v>5046</v>
      </c>
      <c r="C6181" s="1" t="str">
        <f ca="1">IFERROR(__xludf.DUMMYFUNCTION("GOOGLETRANSLATE(B6262,""en"",""ja"")"),"しがみつく")</f>
        <v>しがみつく</v>
      </c>
    </row>
    <row r="6182" spans="1:3" ht="18" customHeight="1" x14ac:dyDescent="0.3">
      <c r="A6182" s="1">
        <v>4</v>
      </c>
      <c r="B6182" s="1" t="s">
        <v>5047</v>
      </c>
      <c r="C6182" s="1" t="str">
        <f ca="1">IFERROR(__xludf.DUMMYFUNCTION("GOOGLETRANSLATE(B6263,""en"",""ja"")"),"賢いです")</f>
        <v>賢いです</v>
      </c>
    </row>
    <row r="6183" spans="1:3" ht="18" customHeight="1" x14ac:dyDescent="0.3">
      <c r="A6183" s="1">
        <v>4</v>
      </c>
      <c r="B6183" s="1" t="s">
        <v>682</v>
      </c>
      <c r="C6183" s="1" t="str">
        <f ca="1">IFERROR(__xludf.DUMMYFUNCTION("GOOGLETRANSLATE(B6264,""en"",""ja"")"),"はっきり")</f>
        <v>はっきり</v>
      </c>
    </row>
    <row r="6184" spans="1:3" ht="18" customHeight="1" x14ac:dyDescent="0.3">
      <c r="A6184" s="1">
        <v>4</v>
      </c>
      <c r="B6184" s="1" t="s">
        <v>5048</v>
      </c>
      <c r="C6184" s="1" t="str">
        <f ca="1">IFERROR(__xludf.DUMMYFUNCTION("GOOGLETRANSLATE(B6265,""en"",""ja"")"),"より明確に")</f>
        <v>より明確に</v>
      </c>
    </row>
    <row r="6185" spans="1:3" ht="18" customHeight="1" x14ac:dyDescent="0.3">
      <c r="A6185" s="1">
        <v>4</v>
      </c>
      <c r="B6185" s="1" t="s">
        <v>5049</v>
      </c>
      <c r="C6185" s="1" t="str">
        <f ca="1">IFERROR(__xludf.DUMMYFUNCTION("GOOGLETRANSLATE(B6266,""en"",""ja"")"),"粘土")</f>
        <v>粘土</v>
      </c>
    </row>
    <row r="6186" spans="1:3" ht="18" customHeight="1" x14ac:dyDescent="0.3">
      <c r="A6186" s="1">
        <v>4</v>
      </c>
      <c r="B6186" s="1" t="s">
        <v>5050</v>
      </c>
      <c r="C6186" s="1" t="str">
        <f ca="1">IFERROR(__xludf.DUMMYFUNCTION("GOOGLETRANSLATE(B6267,""en"",""ja"")"),"クラシファイド")</f>
        <v>クラシファイド</v>
      </c>
    </row>
    <row r="6187" spans="1:3" ht="18" customHeight="1" x14ac:dyDescent="0.3">
      <c r="A6187" s="1">
        <v>4</v>
      </c>
      <c r="B6187" s="1" t="s">
        <v>5051</v>
      </c>
      <c r="C6187" s="1" t="str">
        <f ca="1">IFERROR(__xludf.DUMMYFUNCTION("GOOGLETRANSLATE(B6268,""en"",""ja"")"),"明らかにする")</f>
        <v>明らかにする</v>
      </c>
    </row>
    <row r="6188" spans="1:3" ht="18" customHeight="1" x14ac:dyDescent="0.3">
      <c r="A6188" s="1">
        <v>4</v>
      </c>
      <c r="B6188" s="1" t="s">
        <v>5052</v>
      </c>
      <c r="C6188" s="1" t="str">
        <f ca="1">IFERROR(__xludf.DUMMYFUNCTION("GOOGLETRANSLATE(B6269,""en"",""ja"")"),"叫び")</f>
        <v>叫び</v>
      </c>
    </row>
    <row r="6189" spans="1:3" ht="18" customHeight="1" x14ac:dyDescent="0.3">
      <c r="A6189" s="1">
        <v>4</v>
      </c>
      <c r="B6189" s="1" t="s">
        <v>5053</v>
      </c>
      <c r="C6189" s="1" t="str">
        <f ca="1">IFERROR(__xludf.DUMMYFUNCTION("GOOGLETRANSLATE(B6270,""en"",""ja"")"),"教化します")</f>
        <v>教化します</v>
      </c>
    </row>
    <row r="6190" spans="1:3" ht="18" customHeight="1" x14ac:dyDescent="0.3">
      <c r="A6190" s="1">
        <v>4</v>
      </c>
      <c r="B6190" s="1" t="s">
        <v>2456</v>
      </c>
      <c r="C6190" s="1" t="str">
        <f ca="1">IFERROR(__xludf.DUMMYFUNCTION("GOOGLETRANSLATE(B6271,""en"",""ja"")"),"文明")</f>
        <v>文明</v>
      </c>
    </row>
    <row r="6191" spans="1:3" ht="18" customHeight="1" x14ac:dyDescent="0.3">
      <c r="A6191" s="1">
        <v>4</v>
      </c>
      <c r="B6191" s="1" t="s">
        <v>5054</v>
      </c>
      <c r="C6191" s="1" t="str">
        <f ca="1">IFERROR(__xludf.DUMMYFUNCTION("GOOGLETRANSLATE(B6272,""en"",""ja"")"),"循環")</f>
        <v>循環</v>
      </c>
    </row>
    <row r="6192" spans="1:3" ht="18" customHeight="1" x14ac:dyDescent="0.3">
      <c r="A6192" s="1">
        <v>4</v>
      </c>
      <c r="B6192" s="1" t="s">
        <v>5055</v>
      </c>
      <c r="C6192" s="1" t="str">
        <f ca="1">IFERROR(__xludf.DUMMYFUNCTION("GOOGLETRANSLATE(B6273,""en"",""ja"")"),"クリスマス")</f>
        <v>クリスマス</v>
      </c>
    </row>
    <row r="6193" spans="1:3" ht="18" customHeight="1" x14ac:dyDescent="0.3">
      <c r="A6193" s="1">
        <v>4</v>
      </c>
      <c r="B6193" s="1" t="s">
        <v>5056</v>
      </c>
      <c r="C6193" s="1" t="str">
        <f ca="1">IFERROR(__xludf.DUMMYFUNCTION("GOOGLETRANSLATE(B6274,""en"",""ja"")"),"キリスト")</f>
        <v>キリスト</v>
      </c>
    </row>
    <row r="6194" spans="1:3" ht="18" customHeight="1" x14ac:dyDescent="0.3">
      <c r="A6194" s="1">
        <v>4</v>
      </c>
      <c r="B6194" s="1" t="s">
        <v>5057</v>
      </c>
      <c r="C6194" s="1" t="str">
        <f ca="1">IFERROR(__xludf.DUMMYFUNCTION("GOOGLETRANSLATE(B6275,""en"",""ja"")"),"選ばれました")</f>
        <v>選ばれました</v>
      </c>
    </row>
    <row r="6195" spans="1:3" ht="18" customHeight="1" x14ac:dyDescent="0.3">
      <c r="A6195" s="1">
        <v>4</v>
      </c>
      <c r="B6195" s="1" t="s">
        <v>5058</v>
      </c>
      <c r="C6195" s="1" t="str">
        <f ca="1">IFERROR(__xludf.DUMMYFUNCTION("GOOGLETRANSLATE(B6276,""en"",""ja"")"),"途切れ途切れ")</f>
        <v>途切れ途切れ</v>
      </c>
    </row>
    <row r="6196" spans="1:3" ht="18" customHeight="1" x14ac:dyDescent="0.3">
      <c r="A6196" s="1">
        <v>4</v>
      </c>
      <c r="B6196" s="1" t="s">
        <v>5059</v>
      </c>
      <c r="C6196" s="1" t="str">
        <f ca="1">IFERROR(__xludf.DUMMYFUNCTION("GOOGLETRANSLATE(B6277,""en"",""ja"")"),"中国の")</f>
        <v>中国の</v>
      </c>
    </row>
    <row r="6197" spans="1:3" ht="18" customHeight="1" x14ac:dyDescent="0.3">
      <c r="A6197" s="1">
        <v>4</v>
      </c>
      <c r="B6197" s="1" t="s">
        <v>5060</v>
      </c>
      <c r="C6197" s="1" t="str">
        <f ca="1">IFERROR(__xludf.DUMMYFUNCTION("GOOGLETRANSLATE(B6279,""en"",""ja"")"),"子供時代")</f>
        <v>子供時代</v>
      </c>
    </row>
    <row r="6198" spans="1:3" ht="18" customHeight="1" x14ac:dyDescent="0.3">
      <c r="A6198" s="1">
        <v>4</v>
      </c>
      <c r="B6198" s="1" t="s">
        <v>5061</v>
      </c>
      <c r="C6198" s="1" t="str">
        <f ca="1">IFERROR(__xludf.DUMMYFUNCTION("GOOGLETRANSLATE(B6280,""en"",""ja"")"),"チキン")</f>
        <v>チキン</v>
      </c>
    </row>
    <row r="6199" spans="1:3" ht="18" customHeight="1" x14ac:dyDescent="0.3">
      <c r="A6199" s="1">
        <v>4</v>
      </c>
      <c r="B6199" s="1" t="s">
        <v>5062</v>
      </c>
      <c r="C6199" s="1" t="str">
        <f ca="1">IFERROR(__xludf.DUMMYFUNCTION("GOOGLETRANSLATE(B6281,""en"",""ja"")"),"ひよこ")</f>
        <v>ひよこ</v>
      </c>
    </row>
    <row r="6200" spans="1:3" ht="18" customHeight="1" x14ac:dyDescent="0.3">
      <c r="A6200" s="1">
        <v>4</v>
      </c>
      <c r="B6200" s="1" t="s">
        <v>5063</v>
      </c>
      <c r="C6200" s="1" t="str">
        <f ca="1">IFERROR(__xludf.DUMMYFUNCTION("GOOGLETRANSLATE(B6282,""en"",""ja"")"),"シカゴ")</f>
        <v>シカゴ</v>
      </c>
    </row>
    <row r="6201" spans="1:3" ht="18" customHeight="1" x14ac:dyDescent="0.3">
      <c r="A6201" s="1">
        <v>4</v>
      </c>
      <c r="B6201" s="1" t="s">
        <v>5064</v>
      </c>
      <c r="C6201" s="1" t="str">
        <f ca="1">IFERROR(__xludf.DUMMYFUNCTION("GOOGLETRANSLATE(B6283,""en"",""ja"")"),"チーター")</f>
        <v>チーター</v>
      </c>
    </row>
    <row r="6202" spans="1:3" ht="18" customHeight="1" x14ac:dyDescent="0.3">
      <c r="A6202" s="1">
        <v>4</v>
      </c>
      <c r="B6202" s="1" t="s">
        <v>5065</v>
      </c>
      <c r="C6202" s="1" t="str">
        <f ca="1">IFERROR(__xludf.DUMMYFUNCTION("GOOGLETRANSLATE(B6284,""en"",""ja"")"),"慈善の")</f>
        <v>慈善の</v>
      </c>
    </row>
    <row r="6203" spans="1:3" ht="18" customHeight="1" x14ac:dyDescent="0.3">
      <c r="A6203" s="1">
        <v>4</v>
      </c>
      <c r="B6203" s="1" t="s">
        <v>2798</v>
      </c>
      <c r="C6203" s="1" t="str">
        <f ca="1">IFERROR(__xludf.DUMMYFUNCTION("GOOGLETRANSLATE(B6285,""en"",""ja"")"),"カリスマ")</f>
        <v>カリスマ</v>
      </c>
    </row>
    <row r="6204" spans="1:3" ht="18" customHeight="1" x14ac:dyDescent="0.3">
      <c r="A6204" s="1">
        <v>4</v>
      </c>
      <c r="B6204" s="1" t="s">
        <v>971</v>
      </c>
      <c r="C6204" s="1" t="str">
        <f ca="1">IFERROR(__xludf.DUMMYFUNCTION("GOOGLETRANSLATE(B6286,""en"",""ja"")"),"特性")</f>
        <v>特性</v>
      </c>
    </row>
    <row r="6205" spans="1:3" ht="18" customHeight="1" x14ac:dyDescent="0.3">
      <c r="A6205" s="1">
        <v>4</v>
      </c>
      <c r="B6205" s="1" t="s">
        <v>5066</v>
      </c>
      <c r="C6205" s="1" t="str">
        <f ca="1">IFERROR(__xludf.DUMMYFUNCTION("GOOGLETRANSLATE(B6287,""en"",""ja"")"),"混沌としました")</f>
        <v>混沌としました</v>
      </c>
    </row>
    <row r="6206" spans="1:3" ht="18" customHeight="1" x14ac:dyDescent="0.3">
      <c r="A6206" s="1">
        <v>4</v>
      </c>
      <c r="B6206" s="1" t="s">
        <v>5067</v>
      </c>
      <c r="C6206" s="1" t="str">
        <f ca="1">IFERROR(__xludf.DUMMYFUNCTION("GOOGLETRANSLATE(B6288,""en"",""ja"")"),"チャネリング")</f>
        <v>チャネリング</v>
      </c>
    </row>
    <row r="6207" spans="1:3" ht="18" customHeight="1" x14ac:dyDescent="0.3">
      <c r="A6207" s="1">
        <v>4</v>
      </c>
      <c r="B6207" s="1" t="s">
        <v>2221</v>
      </c>
      <c r="C6207" s="1" t="str">
        <f ca="1">IFERROR(__xludf.DUMMYFUNCTION("GOOGLETRANSLATE(B6289,""en"",""ja"")"),"チャネル")</f>
        <v>チャネル</v>
      </c>
    </row>
    <row r="6208" spans="1:3" ht="18" customHeight="1" x14ac:dyDescent="0.3">
      <c r="A6208" s="1">
        <v>4</v>
      </c>
      <c r="B6208" s="1" t="s">
        <v>5068</v>
      </c>
      <c r="C6208" s="1" t="str">
        <f ca="1">IFERROR(__xludf.DUMMYFUNCTION("GOOGLETRANSLATE(B6290,""en"",""ja"")"),"もちろん")</f>
        <v>もちろん</v>
      </c>
    </row>
    <row r="6209" spans="1:3" ht="18" customHeight="1" x14ac:dyDescent="0.3">
      <c r="A6209" s="1">
        <v>4</v>
      </c>
      <c r="B6209" s="1" t="s">
        <v>5069</v>
      </c>
      <c r="C6209" s="1" t="str">
        <f ca="1">IFERROR(__xludf.DUMMYFUNCTION("GOOGLETRANSLATE(B6291,""en"",""ja"")"),"キャッチ")</f>
        <v>キャッチ</v>
      </c>
    </row>
    <row r="6210" spans="1:3" ht="18" customHeight="1" x14ac:dyDescent="0.3">
      <c r="A6210" s="1">
        <v>4</v>
      </c>
      <c r="B6210" s="1" t="s">
        <v>5070</v>
      </c>
      <c r="C6210" s="1" t="str">
        <f ca="1">IFERROR(__xludf.DUMMYFUNCTION("GOOGLETRANSLATE(B6292,""en"",""ja"")"),"分類")</f>
        <v>分類</v>
      </c>
    </row>
    <row r="6211" spans="1:3" ht="18" customHeight="1" x14ac:dyDescent="0.3">
      <c r="A6211" s="1">
        <v>4</v>
      </c>
      <c r="B6211" s="1" t="s">
        <v>5071</v>
      </c>
      <c r="C6211" s="1" t="str">
        <f ca="1">IFERROR(__xludf.DUMMYFUNCTION("GOOGLETRANSLATE(B6293,""en"",""ja"")"),"キャリア")</f>
        <v>キャリア</v>
      </c>
    </row>
    <row r="6212" spans="1:3" ht="18" customHeight="1" x14ac:dyDescent="0.3">
      <c r="A6212" s="1">
        <v>4</v>
      </c>
      <c r="B6212" s="1" t="s">
        <v>5072</v>
      </c>
      <c r="C6212" s="1" t="str">
        <f ca="1">IFERROR(__xludf.DUMMYFUNCTION("GOOGLETRANSLATE(B6294,""en"",""ja"")"),"キャプチャ")</f>
        <v>キャプチャ</v>
      </c>
    </row>
    <row r="6213" spans="1:3" ht="18" customHeight="1" x14ac:dyDescent="0.3">
      <c r="A6213" s="1">
        <v>4</v>
      </c>
      <c r="B6213" s="1" t="s">
        <v>3694</v>
      </c>
      <c r="C6213" s="1" t="str">
        <f ca="1">IFERROR(__xludf.DUMMYFUNCTION("GOOGLETRANSLATE(B6295,""en"",""ja"")"),"資本主義")</f>
        <v>資本主義</v>
      </c>
    </row>
    <row r="6214" spans="1:3" ht="18" customHeight="1" x14ac:dyDescent="0.3">
      <c r="A6214" s="1">
        <v>4</v>
      </c>
      <c r="B6214" s="1" t="s">
        <v>5073</v>
      </c>
      <c r="C6214" s="1" t="str">
        <f ca="1">IFERROR(__xludf.DUMMYFUNCTION("GOOGLETRANSLATE(B6296,""en"",""ja"")"),"取り消し")</f>
        <v>取り消し</v>
      </c>
    </row>
    <row r="6215" spans="1:3" ht="18" customHeight="1" x14ac:dyDescent="0.3">
      <c r="A6215" s="1">
        <v>4</v>
      </c>
      <c r="B6215" s="1" t="s">
        <v>5074</v>
      </c>
      <c r="C6215" s="1" t="str">
        <f ca="1">IFERROR(__xludf.DUMMYFUNCTION("GOOGLETRANSLATE(B6297,""en"",""ja"")"),"できません")</f>
        <v>できません</v>
      </c>
    </row>
    <row r="6216" spans="1:3" ht="18" customHeight="1" x14ac:dyDescent="0.3">
      <c r="A6216" s="1">
        <v>4</v>
      </c>
      <c r="B6216" s="1" t="s">
        <v>5075</v>
      </c>
      <c r="C6216" s="1" t="str">
        <f ca="1">IFERROR(__xludf.DUMMYFUNCTION("GOOGLETRANSLATE(B6298,""en"",""ja"")"),"ビデオカメラ")</f>
        <v>ビデオカメラ</v>
      </c>
    </row>
    <row r="6217" spans="1:3" ht="18" customHeight="1" x14ac:dyDescent="0.3">
      <c r="A6217" s="1">
        <v>4</v>
      </c>
      <c r="B6217" s="1" t="s">
        <v>5076</v>
      </c>
      <c r="C6217" s="1" t="str">
        <f ca="1">IFERROR(__xludf.DUMMYFUNCTION("GOOGLETRANSLATE(B6299,""en"",""ja"")"),"静けさ")</f>
        <v>静けさ</v>
      </c>
    </row>
    <row r="6218" spans="1:3" ht="18" customHeight="1" x14ac:dyDescent="0.3">
      <c r="A6218" s="1">
        <v>4</v>
      </c>
      <c r="B6218" s="1" t="s">
        <v>5077</v>
      </c>
      <c r="C6218" s="1" t="str">
        <f ca="1">IFERROR(__xludf.DUMMYFUNCTION("GOOGLETRANSLATE(B6300,""en"",""ja"")"),"呼び出し")</f>
        <v>呼び出し</v>
      </c>
    </row>
    <row r="6219" spans="1:3" ht="18" customHeight="1" x14ac:dyDescent="0.3">
      <c r="A6219" s="1">
        <v>4</v>
      </c>
      <c r="B6219" s="1" t="s">
        <v>4168</v>
      </c>
      <c r="C6219" s="1" t="str">
        <f ca="1">IFERROR(__xludf.DUMMYFUNCTION("GOOGLETRANSLATE(B6301,""en"",""ja"")"),"カレンダー")</f>
        <v>カレンダー</v>
      </c>
    </row>
    <row r="6220" spans="1:3" ht="18" customHeight="1" x14ac:dyDescent="0.3">
      <c r="A6220" s="1">
        <v>4</v>
      </c>
      <c r="B6220" s="1" t="s">
        <v>5078</v>
      </c>
      <c r="C6220" s="1" t="str">
        <f ca="1">IFERROR(__xludf.DUMMYFUNCTION("GOOGLETRANSLATE(B6302,""en"",""ja"")"),"カルカッタ")</f>
        <v>カルカッタ</v>
      </c>
    </row>
    <row r="6221" spans="1:3" ht="18" customHeight="1" x14ac:dyDescent="0.3">
      <c r="A6221" s="1">
        <v>4</v>
      </c>
      <c r="B6221" s="1" t="s">
        <v>5079</v>
      </c>
      <c r="C6221" s="1" t="str">
        <f ca="1">IFERROR(__xludf.DUMMYFUNCTION("GOOGLETRANSLATE(B6303,""en"",""ja"")"),"買物")</f>
        <v>買物</v>
      </c>
    </row>
    <row r="6222" spans="1:3" ht="18" customHeight="1" x14ac:dyDescent="0.3">
      <c r="A6222" s="1">
        <v>4</v>
      </c>
      <c r="B6222" s="1" t="s">
        <v>5080</v>
      </c>
      <c r="C6222" s="1" t="str">
        <f ca="1">IFERROR(__xludf.DUMMYFUNCTION("GOOGLETRANSLATE(B6304,""en"",""ja"")"),"ビジネスマン")</f>
        <v>ビジネスマン</v>
      </c>
    </row>
    <row r="6223" spans="1:3" ht="18" customHeight="1" x14ac:dyDescent="0.3">
      <c r="A6223" s="1">
        <v>4</v>
      </c>
      <c r="B6223" s="1" t="s">
        <v>5081</v>
      </c>
      <c r="C6223" s="1" t="str">
        <f ca="1">IFERROR(__xludf.DUMMYFUNCTION("GOOGLETRANSLATE(B6305,""en"",""ja"")"),"バス")</f>
        <v>バス</v>
      </c>
    </row>
    <row r="6224" spans="1:3" ht="18" customHeight="1" x14ac:dyDescent="0.3">
      <c r="A6224" s="1">
        <v>4</v>
      </c>
      <c r="B6224" s="1" t="s">
        <v>5082</v>
      </c>
      <c r="C6224" s="1" t="str">
        <f ca="1">IFERROR(__xludf.DUMMYFUNCTION("GOOGLETRANSLATE(B6306,""en"",""ja"")"),"埋葬")</f>
        <v>埋葬</v>
      </c>
    </row>
    <row r="6225" spans="1:3" ht="18" customHeight="1" x14ac:dyDescent="0.3">
      <c r="A6225" s="1">
        <v>4</v>
      </c>
      <c r="B6225" s="1" t="s">
        <v>5083</v>
      </c>
      <c r="C6225" s="1" t="str">
        <f ca="1">IFERROR(__xludf.DUMMYFUNCTION("GOOGLETRANSLATE(B6307,""en"",""ja"")"),"会報")</f>
        <v>会報</v>
      </c>
    </row>
    <row r="6226" spans="1:3" ht="18" customHeight="1" x14ac:dyDescent="0.3">
      <c r="A6226" s="1">
        <v>4</v>
      </c>
      <c r="B6226" s="1" t="s">
        <v>5084</v>
      </c>
      <c r="C6226" s="1" t="str">
        <f ca="1">IFERROR(__xludf.DUMMYFUNCTION("GOOGLETRANSLATE(B6308,""en"",""ja"")"),"予算")</f>
        <v>予算</v>
      </c>
    </row>
    <row r="6227" spans="1:3" ht="18" customHeight="1" x14ac:dyDescent="0.3">
      <c r="A6227" s="1">
        <v>4</v>
      </c>
      <c r="B6227" s="1" t="s">
        <v>5085</v>
      </c>
      <c r="C6227" s="1" t="str">
        <f ca="1">IFERROR(__xludf.DUMMYFUNCTION("GOOGLETRANSLATE(B6309,""en"",""ja"")"),"brynjolfsson")</f>
        <v>brynjolfsson</v>
      </c>
    </row>
    <row r="6228" spans="1:3" ht="18" customHeight="1" x14ac:dyDescent="0.3">
      <c r="A6228" s="1">
        <v>4</v>
      </c>
      <c r="B6228" s="1" t="s">
        <v>1304</v>
      </c>
      <c r="C6228" s="1" t="str">
        <f ca="1">IFERROR(__xludf.DUMMYFUNCTION("GOOGLETRANSLATE(B6310,""en"",""ja"")"),"凶悪な")</f>
        <v>凶悪な</v>
      </c>
    </row>
    <row r="6229" spans="1:3" ht="18" customHeight="1" x14ac:dyDescent="0.3">
      <c r="A6229" s="1">
        <v>4</v>
      </c>
      <c r="B6229" s="1" t="s">
        <v>5086</v>
      </c>
      <c r="C6229" s="1" t="str">
        <f ca="1">IFERROR(__xludf.DUMMYFUNCTION("GOOGLETRANSLATE(B6311,""en"",""ja"")"),"兄弟愛")</f>
        <v>兄弟愛</v>
      </c>
    </row>
    <row r="6230" spans="1:3" ht="18" customHeight="1" x14ac:dyDescent="0.3">
      <c r="A6230" s="1">
        <v>4</v>
      </c>
      <c r="B6230" s="1" t="s">
        <v>5087</v>
      </c>
      <c r="C6230" s="1" t="str">
        <f ca="1">IFERROR(__xludf.DUMMYFUNCTION("GOOGLETRANSLATE(B6312,""en"",""ja"")"),"考え込みます")</f>
        <v>考え込みます</v>
      </c>
    </row>
    <row r="6231" spans="1:3" ht="18" customHeight="1" x14ac:dyDescent="0.3">
      <c r="A6231" s="1">
        <v>4</v>
      </c>
      <c r="B6231" s="1" t="s">
        <v>5088</v>
      </c>
      <c r="C6231" s="1" t="str">
        <f ca="1">IFERROR(__xludf.DUMMYFUNCTION("GOOGLETRANSLATE(B6313,""en"",""ja"")"),"ブリコラージュ")</f>
        <v>ブリコラージュ</v>
      </c>
    </row>
    <row r="6232" spans="1:3" ht="18" customHeight="1" x14ac:dyDescent="0.3">
      <c r="A6232" s="1">
        <v>4</v>
      </c>
      <c r="B6232" s="1" t="s">
        <v>5089</v>
      </c>
      <c r="C6232" s="1" t="str">
        <f ca="1">IFERROR(__xludf.DUMMYFUNCTION("GOOGLETRANSLATE(B6314,""en"",""ja"")"),"猛烈")</f>
        <v>猛烈</v>
      </c>
    </row>
    <row r="6233" spans="1:3" ht="18" customHeight="1" x14ac:dyDescent="0.3">
      <c r="A6233" s="1">
        <v>4</v>
      </c>
      <c r="B6233" s="1" t="s">
        <v>5090</v>
      </c>
      <c r="C6233" s="1" t="str">
        <f ca="1">IFERROR(__xludf.DUMMYFUNCTION("GOOGLETRANSLATE(B6315,""en"",""ja"")"),"ブレインストーミング")</f>
        <v>ブレインストーミング</v>
      </c>
    </row>
    <row r="6234" spans="1:3" ht="18" customHeight="1" x14ac:dyDescent="0.3">
      <c r="A6234" s="1">
        <v>4</v>
      </c>
      <c r="B6234" s="1" t="s">
        <v>5091</v>
      </c>
      <c r="C6234" s="1" t="str">
        <f ca="1">IFERROR(__xludf.DUMMYFUNCTION("GOOGLETRANSLATE(B6316,""en"",""ja"")"),"弓")</f>
        <v>弓</v>
      </c>
    </row>
    <row r="6235" spans="1:3" ht="18" customHeight="1" x14ac:dyDescent="0.3">
      <c r="A6235" s="1">
        <v>4</v>
      </c>
      <c r="B6235" s="1" t="s">
        <v>5092</v>
      </c>
      <c r="C6235" s="1" t="str">
        <f ca="1">IFERROR(__xludf.DUMMYFUNCTION("GOOGLETRANSLATE(B6317,""en"",""ja"")"),"借りた")</f>
        <v>借りた</v>
      </c>
    </row>
    <row r="6236" spans="1:3" ht="18" customHeight="1" x14ac:dyDescent="0.3">
      <c r="A6236" s="1">
        <v>4</v>
      </c>
      <c r="B6236" s="1" t="s">
        <v>5093</v>
      </c>
      <c r="C6236" s="1" t="str">
        <f ca="1">IFERROR(__xludf.DUMMYFUNCTION("GOOGLETRANSLATE(B6318,""en"",""ja"")"),"前兆となります")</f>
        <v>前兆となります</v>
      </c>
    </row>
    <row r="6237" spans="1:3" ht="18" customHeight="1" x14ac:dyDescent="0.3">
      <c r="A6237" s="1">
        <v>4</v>
      </c>
      <c r="B6237" s="1" t="s">
        <v>5094</v>
      </c>
      <c r="C6237" s="1" t="str">
        <f ca="1">IFERROR(__xludf.DUMMYFUNCTION("GOOGLETRANSLATE(B6319,""en"",""ja"")"),"ブロー")</f>
        <v>ブロー</v>
      </c>
    </row>
    <row r="6238" spans="1:3" ht="18" customHeight="1" x14ac:dyDescent="0.3">
      <c r="A6238" s="1">
        <v>4</v>
      </c>
      <c r="B6238" s="1" t="s">
        <v>5095</v>
      </c>
      <c r="C6238" s="1" t="str">
        <f ca="1">IFERROR(__xludf.DUMMYFUNCTION("GOOGLETRANSLATE(B6320,""en"",""ja"")"),"血液")</f>
        <v>血液</v>
      </c>
    </row>
    <row r="6239" spans="1:3" ht="18" customHeight="1" x14ac:dyDescent="0.3">
      <c r="A6239" s="1">
        <v>4</v>
      </c>
      <c r="B6239" s="1" t="s">
        <v>5096</v>
      </c>
      <c r="C6239" s="1" t="str">
        <f ca="1">IFERROR(__xludf.DUMMYFUNCTION("GOOGLETRANSLATE(B6321,""en"",""ja"")"),"水膨れ")</f>
        <v>水膨れ</v>
      </c>
    </row>
    <row r="6240" spans="1:3" ht="18" customHeight="1" x14ac:dyDescent="0.3">
      <c r="A6240" s="1">
        <v>4</v>
      </c>
      <c r="B6240" s="1" t="s">
        <v>4183</v>
      </c>
      <c r="C6240" s="1" t="str">
        <f ca="1">IFERROR(__xludf.DUMMYFUNCTION("GOOGLETRANSLATE(B6322,""en"",""ja"")"),"ブラインド")</f>
        <v>ブラインド</v>
      </c>
    </row>
    <row r="6241" spans="1:3" ht="18" customHeight="1" x14ac:dyDescent="0.3">
      <c r="A6241" s="1">
        <v>4</v>
      </c>
      <c r="B6241" s="1" t="s">
        <v>5097</v>
      </c>
      <c r="C6241" s="1" t="str">
        <f ca="1">IFERROR(__xludf.DUMMYFUNCTION("GOOGLETRANSLATE(B6323,""en"",""ja"")"),"荒涼")</f>
        <v>荒涼</v>
      </c>
    </row>
    <row r="6242" spans="1:3" ht="18" customHeight="1" x14ac:dyDescent="0.3">
      <c r="A6242" s="1">
        <v>4</v>
      </c>
      <c r="B6242" s="1" t="s">
        <v>5098</v>
      </c>
      <c r="C6242" s="1" t="str">
        <f ca="1">IFERROR(__xludf.DUMMYFUNCTION("GOOGLETRANSLATE(B6324,""en"",""ja"")"),"黒人")</f>
        <v>黒人</v>
      </c>
    </row>
    <row r="6243" spans="1:3" ht="18" customHeight="1" x14ac:dyDescent="0.3">
      <c r="A6243" s="1">
        <v>4</v>
      </c>
      <c r="B6243" s="1" t="s">
        <v>4185</v>
      </c>
      <c r="C6243" s="1" t="str">
        <f ca="1">IFERROR(__xludf.DUMMYFUNCTION("GOOGLETRANSLATE(B6325,""en"",""ja"")"),"黒")</f>
        <v>黒</v>
      </c>
    </row>
    <row r="6244" spans="1:3" ht="18" customHeight="1" x14ac:dyDescent="0.3">
      <c r="A6244" s="1">
        <v>4</v>
      </c>
      <c r="B6244" s="1" t="s">
        <v>5099</v>
      </c>
      <c r="C6244" s="1" t="str">
        <f ca="1">IFERROR(__xludf.DUMMYFUNCTION("GOOGLETRANSLATE(B6326,""en"",""ja"")"),"ビット")</f>
        <v>ビット</v>
      </c>
    </row>
    <row r="6245" spans="1:3" ht="18" customHeight="1" x14ac:dyDescent="0.3">
      <c r="A6245" s="1">
        <v>4</v>
      </c>
      <c r="B6245" s="1" t="s">
        <v>5100</v>
      </c>
      <c r="C6245" s="1" t="str">
        <f ca="1">IFERROR(__xludf.DUMMYFUNCTION("GOOGLETRANSLATE(B6327,""en"",""ja"")"),"お誕生日")</f>
        <v>お誕生日</v>
      </c>
    </row>
    <row r="6246" spans="1:3" ht="18" customHeight="1" x14ac:dyDescent="0.3">
      <c r="A6246" s="1">
        <v>4</v>
      </c>
      <c r="B6246" s="1" t="s">
        <v>3712</v>
      </c>
      <c r="C6246" s="1" t="str">
        <f ca="1">IFERROR(__xludf.DUMMYFUNCTION("GOOGLETRANSLATE(B6328,""en"",""ja"")"),"生物学者")</f>
        <v>生物学者</v>
      </c>
    </row>
    <row r="6247" spans="1:3" ht="18" customHeight="1" x14ac:dyDescent="0.3">
      <c r="A6247" s="1">
        <v>4</v>
      </c>
      <c r="B6247" s="1" t="s">
        <v>5101</v>
      </c>
      <c r="C6247" s="1" t="str">
        <f ca="1">IFERROR(__xludf.DUMMYFUNCTION("GOOGLETRANSLATE(B6329,""en"",""ja"")"),"ビニング")</f>
        <v>ビニング</v>
      </c>
    </row>
    <row r="6248" spans="1:3" ht="18" customHeight="1" x14ac:dyDescent="0.3">
      <c r="A6248" s="1">
        <v>4</v>
      </c>
      <c r="B6248" s="1" t="s">
        <v>5102</v>
      </c>
      <c r="C6248" s="1" t="str">
        <f ca="1">IFERROR(__xludf.DUMMYFUNCTION("GOOGLETRANSLATE(B6330,""en"",""ja"")"),"バインディング")</f>
        <v>バインディング</v>
      </c>
    </row>
    <row r="6249" spans="1:3" ht="18" customHeight="1" x14ac:dyDescent="0.3">
      <c r="A6249" s="1">
        <v>4</v>
      </c>
      <c r="B6249" s="1" t="s">
        <v>563</v>
      </c>
      <c r="C6249" s="1" t="str">
        <f ca="1">IFERROR(__xludf.DUMMYFUNCTION("GOOGLETRANSLATE(B6331,""en"",""ja"")"),"十億")</f>
        <v>十億</v>
      </c>
    </row>
    <row r="6250" spans="1:3" ht="18" customHeight="1" x14ac:dyDescent="0.3">
      <c r="A6250" s="1">
        <v>4</v>
      </c>
      <c r="B6250" s="1" t="s">
        <v>5103</v>
      </c>
      <c r="C6250" s="1" t="str">
        <f ca="1">IFERROR(__xludf.DUMMYFUNCTION("GOOGLETRANSLATE(B6332,""en"",""ja"")"),"ビルボード")</f>
        <v>ビルボード</v>
      </c>
    </row>
    <row r="6251" spans="1:3" ht="18" customHeight="1" x14ac:dyDescent="0.3">
      <c r="A6251" s="1">
        <v>4</v>
      </c>
      <c r="B6251" s="1" t="s">
        <v>5104</v>
      </c>
      <c r="C6251" s="1" t="str">
        <f ca="1">IFERROR(__xludf.DUMMYFUNCTION("GOOGLETRANSLATE(B6333,""en"",""ja"")"),"より大きい")</f>
        <v>より大きい</v>
      </c>
    </row>
    <row r="6252" spans="1:3" ht="18" customHeight="1" x14ac:dyDescent="0.3">
      <c r="A6252" s="1">
        <v>4</v>
      </c>
      <c r="B6252" s="1" t="s">
        <v>5105</v>
      </c>
      <c r="C6252" s="1" t="str">
        <f ca="1">IFERROR(__xludf.DUMMYFUNCTION("GOOGLETRANSLATE(B6334,""en"",""ja"")"),"な振舞い")</f>
        <v>な振舞い</v>
      </c>
    </row>
    <row r="6253" spans="1:3" ht="18" customHeight="1" x14ac:dyDescent="0.3">
      <c r="A6253" s="1">
        <v>4</v>
      </c>
      <c r="B6253" s="1" t="s">
        <v>5106</v>
      </c>
      <c r="C6253" s="1" t="str">
        <f ca="1">IFERROR(__xludf.DUMMYFUNCTION("GOOGLETRANSLATE(B6335,""en"",""ja"")"),"ベッカー")</f>
        <v>ベッカー</v>
      </c>
    </row>
    <row r="6254" spans="1:3" ht="18" customHeight="1" x14ac:dyDescent="0.3">
      <c r="A6254" s="1">
        <v>4</v>
      </c>
      <c r="B6254" s="1" t="s">
        <v>5107</v>
      </c>
      <c r="C6254" s="1" t="str">
        <f ca="1">IFERROR(__xludf.DUMMYFUNCTION("GOOGLETRANSLATE(B6336,""en"",""ja"")"),"美しさ")</f>
        <v>美しさ</v>
      </c>
    </row>
    <row r="6255" spans="1:3" ht="18" customHeight="1" x14ac:dyDescent="0.3">
      <c r="A6255" s="1">
        <v>4</v>
      </c>
      <c r="B6255" s="1" t="s">
        <v>5108</v>
      </c>
      <c r="C6255" s="1" t="str">
        <f ca="1">IFERROR(__xludf.DUMMYFUNCTION("GOOGLETRANSLATE(B6337,""en"",""ja"")"),"ビートルズ")</f>
        <v>ビートルズ</v>
      </c>
    </row>
    <row r="6256" spans="1:3" ht="18" customHeight="1" x14ac:dyDescent="0.3">
      <c r="A6256" s="1">
        <v>4</v>
      </c>
      <c r="B6256" s="1" t="s">
        <v>3719</v>
      </c>
      <c r="C6256" s="1" t="str">
        <f ca="1">IFERROR(__xludf.DUMMYFUNCTION("GOOGLETRANSLATE(B6338,""en"",""ja"")"),"くま")</f>
        <v>くま</v>
      </c>
    </row>
    <row r="6257" spans="1:3" ht="18" customHeight="1" x14ac:dyDescent="0.3">
      <c r="A6257" s="1">
        <v>4</v>
      </c>
      <c r="B6257" s="1" t="s">
        <v>5109</v>
      </c>
      <c r="C6257" s="1" t="str">
        <f ca="1">IFERROR(__xludf.DUMMYFUNCTION("GOOGLETRANSLATE(B6339,""en"",""ja"")"),"バスケット")</f>
        <v>バスケット</v>
      </c>
    </row>
    <row r="6258" spans="1:3" ht="18" customHeight="1" x14ac:dyDescent="0.3">
      <c r="A6258" s="1">
        <v>4</v>
      </c>
      <c r="B6258" s="1" t="s">
        <v>3721</v>
      </c>
      <c r="C6258" s="1" t="str">
        <f ca="1">IFERROR(__xludf.DUMMYFUNCTION("GOOGLETRANSLATE(B6340,""en"",""ja"")"),"バンク")</f>
        <v>バンク</v>
      </c>
    </row>
    <row r="6259" spans="1:3" ht="18" customHeight="1" x14ac:dyDescent="0.3">
      <c r="A6259" s="1">
        <v>4</v>
      </c>
      <c r="B6259" s="1" t="s">
        <v>5110</v>
      </c>
      <c r="C6259" s="1" t="str">
        <f ca="1">IFERROR(__xludf.DUMMYFUNCTION("GOOGLETRANSLATE(B6341,""en"",""ja"")"),"バングラデシュ")</f>
        <v>バングラデシュ</v>
      </c>
    </row>
    <row r="6260" spans="1:3" ht="18" customHeight="1" x14ac:dyDescent="0.3">
      <c r="A6260" s="1">
        <v>4</v>
      </c>
      <c r="B6260" s="1" t="s">
        <v>5111</v>
      </c>
      <c r="C6260" s="1" t="str">
        <f ca="1">IFERROR(__xludf.DUMMYFUNCTION("GOOGLETRANSLATE(B6342,""en"",""ja"")"),"バンド")</f>
        <v>バンド</v>
      </c>
    </row>
    <row r="6261" spans="1:3" ht="18" customHeight="1" x14ac:dyDescent="0.3">
      <c r="A6261" s="1">
        <v>4</v>
      </c>
      <c r="B6261" s="1" t="s">
        <v>2230</v>
      </c>
      <c r="C6261" s="1" t="str">
        <f ca="1">IFERROR(__xludf.DUMMYFUNCTION("GOOGLETRANSLATE(B6343,""en"",""ja"")"),"ベーコン")</f>
        <v>ベーコン</v>
      </c>
    </row>
    <row r="6262" spans="1:3" ht="18" customHeight="1" x14ac:dyDescent="0.3">
      <c r="A6262" s="1">
        <v>4</v>
      </c>
      <c r="B6262" s="1" t="s">
        <v>5112</v>
      </c>
      <c r="C6262" s="1" t="str">
        <f ca="1">IFERROR(__xludf.DUMMYFUNCTION("GOOGLETRANSLATE(B6344,""en"",""ja"")"),"担保")</f>
        <v>担保</v>
      </c>
    </row>
    <row r="6263" spans="1:3" ht="18" customHeight="1" x14ac:dyDescent="0.3">
      <c r="A6263" s="1">
        <v>4</v>
      </c>
      <c r="B6263" s="1" t="s">
        <v>5113</v>
      </c>
      <c r="C6263" s="1" t="str">
        <f ca="1">IFERROR(__xludf.DUMMYFUNCTION("GOOGLETRANSLATE(B6345,""en"",""ja"")"),"千枚通し")</f>
        <v>千枚通し</v>
      </c>
    </row>
    <row r="6264" spans="1:3" ht="18" customHeight="1" x14ac:dyDescent="0.3">
      <c r="A6264" s="1">
        <v>4</v>
      </c>
      <c r="B6264" s="1" t="s">
        <v>1155</v>
      </c>
      <c r="C6264" s="1" t="str">
        <f ca="1">IFERROR(__xludf.DUMMYFUNCTION("GOOGLETRANSLATE(B6346,""en"",""ja"")"),"気がついて")</f>
        <v>気がついて</v>
      </c>
    </row>
    <row r="6265" spans="1:3" ht="18" customHeight="1" x14ac:dyDescent="0.3">
      <c r="A6265" s="1">
        <v>4</v>
      </c>
      <c r="B6265" s="1" t="s">
        <v>5114</v>
      </c>
      <c r="C6265" s="1" t="str">
        <f ca="1">IFERROR(__xludf.DUMMYFUNCTION("GOOGLETRANSLATE(B6347,""en"",""ja"")"),"避けられます")</f>
        <v>避けられます</v>
      </c>
    </row>
    <row r="6266" spans="1:3" ht="18" customHeight="1" x14ac:dyDescent="0.3">
      <c r="A6266" s="1">
        <v>4</v>
      </c>
      <c r="B6266" s="1" t="s">
        <v>5115</v>
      </c>
      <c r="C6266" s="1" t="str">
        <f ca="1">IFERROR(__xludf.DUMMYFUNCTION("GOOGLETRANSLATE(B6348,""en"",""ja"")"),"航空")</f>
        <v>航空</v>
      </c>
    </row>
    <row r="6267" spans="1:3" ht="18" customHeight="1" x14ac:dyDescent="0.3">
      <c r="A6267" s="1">
        <v>4</v>
      </c>
      <c r="B6267" s="1" t="s">
        <v>5116</v>
      </c>
      <c r="C6267" s="1" t="str">
        <f ca="1">IFERROR(__xludf.DUMMYFUNCTION("GOOGLETRANSLATE(B6349,""en"",""ja"")"),"自治")</f>
        <v>自治</v>
      </c>
    </row>
    <row r="6268" spans="1:3" ht="18" customHeight="1" x14ac:dyDescent="0.3">
      <c r="A6268" s="1">
        <v>4</v>
      </c>
      <c r="B6268" s="1" t="s">
        <v>5117</v>
      </c>
      <c r="C6268" s="1" t="str">
        <f ca="1">IFERROR(__xludf.DUMMYFUNCTION("GOOGLETRANSLATE(B6350,""en"",""ja"")"),"オートマチック")</f>
        <v>オートマチック</v>
      </c>
    </row>
    <row r="6269" spans="1:3" ht="18" customHeight="1" x14ac:dyDescent="0.3">
      <c r="A6269" s="1">
        <v>4</v>
      </c>
      <c r="B6269" s="1" t="s">
        <v>5118</v>
      </c>
      <c r="C6269" s="1" t="str">
        <f ca="1">IFERROR(__xludf.DUMMYFUNCTION("GOOGLETRANSLATE(B6351,""en"",""ja"")"),"AUTHORIZE")</f>
        <v>AUTHORIZE</v>
      </c>
    </row>
    <row r="6270" spans="1:3" ht="18" customHeight="1" x14ac:dyDescent="0.3">
      <c r="A6270" s="1">
        <v>4</v>
      </c>
      <c r="B6270" s="1" t="s">
        <v>5119</v>
      </c>
      <c r="C6270" s="1" t="str">
        <f ca="1">IFERROR(__xludf.DUMMYFUNCTION("GOOGLETRANSLATE(B6352,""en"",""ja"")"),"当局")</f>
        <v>当局</v>
      </c>
    </row>
    <row r="6271" spans="1:3" ht="18" customHeight="1" x14ac:dyDescent="0.3">
      <c r="A6271" s="1">
        <v>4</v>
      </c>
      <c r="B6271" s="1" t="s">
        <v>5120</v>
      </c>
      <c r="C6271" s="1" t="str">
        <f ca="1">IFERROR(__xludf.DUMMYFUNCTION("GOOGLETRANSLATE(B6353,""en"",""ja"")"),"権威主義")</f>
        <v>権威主義</v>
      </c>
    </row>
    <row r="6272" spans="1:3" ht="18" customHeight="1" x14ac:dyDescent="0.3">
      <c r="A6272" s="1">
        <v>4</v>
      </c>
      <c r="B6272" s="1" t="s">
        <v>5121</v>
      </c>
      <c r="C6272" s="1" t="str">
        <f ca="1">IFERROR(__xludf.DUMMYFUNCTION("GOOGLETRANSLATE(B6354,""en"",""ja"")"),"信憑性")</f>
        <v>信憑性</v>
      </c>
    </row>
    <row r="6273" spans="1:3" ht="18" customHeight="1" x14ac:dyDescent="0.3">
      <c r="A6273" s="1">
        <v>4</v>
      </c>
      <c r="B6273" s="1" t="s">
        <v>4197</v>
      </c>
      <c r="C6273" s="1" t="str">
        <f ca="1">IFERROR(__xludf.DUMMYFUNCTION("GOOGLETRANSLATE(B6355,""en"",""ja"")"),"オーディオ")</f>
        <v>オーディオ</v>
      </c>
    </row>
    <row r="6274" spans="1:3" ht="18" customHeight="1" x14ac:dyDescent="0.3">
      <c r="A6274" s="1">
        <v>4</v>
      </c>
      <c r="B6274" s="1" t="s">
        <v>5122</v>
      </c>
      <c r="C6274" s="1" t="str">
        <f ca="1">IFERROR(__xludf.DUMMYFUNCTION("GOOGLETRANSLATE(B6356,""en"",""ja"")"),"敏感")</f>
        <v>敏感</v>
      </c>
    </row>
    <row r="6275" spans="1:3" ht="18" customHeight="1" x14ac:dyDescent="0.3">
      <c r="A6275" s="1">
        <v>4</v>
      </c>
      <c r="B6275" s="1" t="s">
        <v>5123</v>
      </c>
      <c r="C6275" s="1" t="str">
        <f ca="1">IFERROR(__xludf.DUMMYFUNCTION("GOOGLETRANSLATE(B6357,""en"",""ja"")"),"帰属")</f>
        <v>帰属</v>
      </c>
    </row>
    <row r="6276" spans="1:3" ht="18" customHeight="1" x14ac:dyDescent="0.3">
      <c r="A6276" s="1">
        <v>4</v>
      </c>
      <c r="B6276" s="1" t="s">
        <v>5124</v>
      </c>
      <c r="C6276" s="1" t="str">
        <f ca="1">IFERROR(__xludf.DUMMYFUNCTION("GOOGLETRANSLATE(B6358,""en"",""ja"")"),"帰属")</f>
        <v>帰属</v>
      </c>
    </row>
    <row r="6277" spans="1:3" ht="18" customHeight="1" x14ac:dyDescent="0.3">
      <c r="A6277" s="1">
        <v>4</v>
      </c>
      <c r="B6277" s="1" t="s">
        <v>5125</v>
      </c>
      <c r="C6277" s="1" t="str">
        <f ca="1">IFERROR(__xludf.DUMMYFUNCTION("GOOGLETRANSLATE(B6359,""en"",""ja"")"),"魅力的")</f>
        <v>魅力的</v>
      </c>
    </row>
    <row r="6278" spans="1:3" ht="18" customHeight="1" x14ac:dyDescent="0.3">
      <c r="A6278" s="1">
        <v>4</v>
      </c>
      <c r="B6278" s="1" t="s">
        <v>5126</v>
      </c>
      <c r="C6278" s="1" t="str">
        <f ca="1">IFERROR(__xludf.DUMMYFUNCTION("GOOGLETRANSLATE(B6360,""en"",""ja"")"),"魅力")</f>
        <v>魅力</v>
      </c>
    </row>
    <row r="6279" spans="1:3" ht="18" customHeight="1" x14ac:dyDescent="0.3">
      <c r="A6279" s="1">
        <v>4</v>
      </c>
      <c r="B6279" s="1" t="s">
        <v>1603</v>
      </c>
      <c r="C6279" s="1" t="str">
        <f ca="1">IFERROR(__xludf.DUMMYFUNCTION("GOOGLETRANSLATE(B6361,""en"",""ja"")"),"注意")</f>
        <v>注意</v>
      </c>
    </row>
    <row r="6280" spans="1:3" ht="18" customHeight="1" x14ac:dyDescent="0.3">
      <c r="A6280" s="1">
        <v>4</v>
      </c>
      <c r="B6280" s="1" t="s">
        <v>2817</v>
      </c>
      <c r="C6280" s="1" t="str">
        <f ca="1">IFERROR(__xludf.DUMMYFUNCTION("GOOGLETRANSLATE(B6362,""en"",""ja"")"),"攻撃")</f>
        <v>攻撃</v>
      </c>
    </row>
    <row r="6281" spans="1:3" ht="18" customHeight="1" x14ac:dyDescent="0.3">
      <c r="A6281" s="1">
        <v>4</v>
      </c>
      <c r="B6281" s="1" t="s">
        <v>5127</v>
      </c>
      <c r="C6281" s="1" t="str">
        <f ca="1">IFERROR(__xludf.DUMMYFUNCTION("GOOGLETRANSLATE(B6363,""en"",""ja"")"),"大西洋の")</f>
        <v>大西洋の</v>
      </c>
    </row>
    <row r="6282" spans="1:3" ht="18" customHeight="1" x14ac:dyDescent="0.3">
      <c r="A6282" s="1">
        <v>4</v>
      </c>
      <c r="B6282" s="1" t="s">
        <v>10</v>
      </c>
      <c r="C6282" s="1" t="str">
        <f ca="1">IFERROR(__xludf.DUMMYFUNCTION("GOOGLETRANSLATE(B6364,""en"",""ja"")"),"なので")</f>
        <v>なので</v>
      </c>
    </row>
    <row r="6283" spans="1:3" ht="18" customHeight="1" x14ac:dyDescent="0.3">
      <c r="A6283" s="1">
        <v>4</v>
      </c>
      <c r="B6283" s="1" t="s">
        <v>5128</v>
      </c>
      <c r="C6283" s="1" t="str">
        <f ca="1">IFERROR(__xludf.DUMMYFUNCTION("GOOGLETRANSLATE(B6365,""en"",""ja"")"),"抜け目のありません")</f>
        <v>抜け目のありません</v>
      </c>
    </row>
    <row r="6284" spans="1:3" ht="18" customHeight="1" x14ac:dyDescent="0.3">
      <c r="A6284" s="1">
        <v>4</v>
      </c>
      <c r="B6284" s="1" t="s">
        <v>5129</v>
      </c>
      <c r="C6284" s="1" t="str">
        <f ca="1">IFERROR(__xludf.DUMMYFUNCTION("GOOGLETRANSLATE(B6366,""en"",""ja"")"),"宇宙飛行士")</f>
        <v>宇宙飛行士</v>
      </c>
    </row>
    <row r="6285" spans="1:3" ht="18" customHeight="1" x14ac:dyDescent="0.3">
      <c r="A6285" s="1">
        <v>4</v>
      </c>
      <c r="B6285" s="1" t="s">
        <v>5130</v>
      </c>
      <c r="C6285" s="1" t="str">
        <f ca="1">IFERROR(__xludf.DUMMYFUNCTION("GOOGLETRANSLATE(B6367,""en"",""ja"")"),"道に迷って")</f>
        <v>道に迷って</v>
      </c>
    </row>
    <row r="6286" spans="1:3" ht="18" customHeight="1" x14ac:dyDescent="0.3">
      <c r="A6286" s="1">
        <v>4</v>
      </c>
      <c r="B6286" s="1" t="s">
        <v>2474</v>
      </c>
      <c r="C6286" s="1" t="str">
        <f ca="1">IFERROR(__xludf.DUMMYFUNCTION("GOOGLETRANSLATE(B6368,""en"",""ja"")"),"割当")</f>
        <v>割当</v>
      </c>
    </row>
    <row r="6287" spans="1:3" ht="18" customHeight="1" x14ac:dyDescent="0.3">
      <c r="A6287" s="1">
        <v>4</v>
      </c>
      <c r="B6287" s="1" t="s">
        <v>5131</v>
      </c>
      <c r="C6287" s="1" t="str">
        <f ca="1">IFERROR(__xludf.DUMMYFUNCTION("GOOGLETRANSLATE(B6369,""en"",""ja"")"),"評価")</f>
        <v>評価</v>
      </c>
    </row>
    <row r="6288" spans="1:3" ht="18" customHeight="1" x14ac:dyDescent="0.3">
      <c r="A6288" s="1">
        <v>4</v>
      </c>
      <c r="B6288" s="1" t="s">
        <v>5132</v>
      </c>
      <c r="C6288" s="1" t="str">
        <f ca="1">IFERROR(__xludf.DUMMYFUNCTION("GOOGLETRANSLATE(B6370,""en"",""ja"")"),"向上心")</f>
        <v>向上心</v>
      </c>
    </row>
    <row r="6289" spans="1:3" ht="18" customHeight="1" x14ac:dyDescent="0.3">
      <c r="A6289" s="1">
        <v>4</v>
      </c>
      <c r="B6289" s="1" t="s">
        <v>5133</v>
      </c>
      <c r="C6289" s="1" t="str">
        <f ca="1">IFERROR(__xludf.DUMMYFUNCTION("GOOGLETRANSLATE(B6371,""en"",""ja"")"),"アーサー")</f>
        <v>アーサー</v>
      </c>
    </row>
    <row r="6290" spans="1:3" ht="18" customHeight="1" x14ac:dyDescent="0.3">
      <c r="A6290" s="1">
        <v>4</v>
      </c>
      <c r="B6290" s="1" t="s">
        <v>5134</v>
      </c>
      <c r="C6290" s="1" t="str">
        <f ca="1">IFERROR(__xludf.DUMMYFUNCTION("GOOGLETRANSLATE(B6372,""en"",""ja"")"),"着きます")</f>
        <v>着きます</v>
      </c>
    </row>
    <row r="6291" spans="1:3" ht="18" customHeight="1" x14ac:dyDescent="0.3">
      <c r="A6291" s="1">
        <v>4</v>
      </c>
      <c r="B6291" s="1" t="s">
        <v>5135</v>
      </c>
      <c r="C6291" s="1" t="str">
        <f ca="1">IFERROR(__xludf.DUMMYFUNCTION("GOOGLETRANSLATE(B6373,""en"",""ja"")"),"アレイ")</f>
        <v>アレイ</v>
      </c>
    </row>
    <row r="6292" spans="1:3" ht="18" customHeight="1" x14ac:dyDescent="0.3">
      <c r="A6292" s="1">
        <v>4</v>
      </c>
      <c r="B6292" s="1" t="s">
        <v>5136</v>
      </c>
      <c r="C6292" s="1" t="str">
        <f ca="1">IFERROR(__xludf.DUMMYFUNCTION("GOOGLETRANSLATE(B6374,""en"",""ja"")"),"アレンジ")</f>
        <v>アレンジ</v>
      </c>
    </row>
    <row r="6293" spans="1:3" ht="18" customHeight="1" x14ac:dyDescent="0.3">
      <c r="A6293" s="1">
        <v>4</v>
      </c>
      <c r="B6293" s="1" t="s">
        <v>5137</v>
      </c>
      <c r="C6293" s="1" t="str">
        <f ca="1">IFERROR(__xludf.DUMMYFUNCTION("GOOGLETRANSLATE(B6375,""en"",""ja"")"),"そそります")</f>
        <v>そそります</v>
      </c>
    </row>
    <row r="6294" spans="1:3" ht="18" customHeight="1" x14ac:dyDescent="0.3">
      <c r="A6294" s="1">
        <v>4</v>
      </c>
      <c r="B6294" s="1" t="s">
        <v>5138</v>
      </c>
      <c r="C6294" s="1" t="str">
        <f ca="1">IFERROR(__xludf.DUMMYFUNCTION("GOOGLETRANSLATE(B6376,""en"",""ja"")"),"アリゾナ州")</f>
        <v>アリゾナ州</v>
      </c>
    </row>
    <row r="6295" spans="1:3" ht="18" customHeight="1" x14ac:dyDescent="0.3">
      <c r="A6295" s="1">
        <v>4</v>
      </c>
      <c r="B6295" s="1" t="s">
        <v>5139</v>
      </c>
      <c r="C6295" s="1" t="str">
        <f ca="1">IFERROR(__xludf.DUMMYFUNCTION("GOOGLETRANSLATE(B6377,""en"",""ja"")"),"アリストテレス")</f>
        <v>アリストテレス</v>
      </c>
    </row>
    <row r="6296" spans="1:3" ht="18" customHeight="1" x14ac:dyDescent="0.3">
      <c r="A6296" s="1">
        <v>4</v>
      </c>
      <c r="B6296" s="1" t="s">
        <v>5140</v>
      </c>
      <c r="C6296" s="1" t="str">
        <f ca="1">IFERROR(__xludf.DUMMYFUNCTION("GOOGLETRANSLATE(B6378,""en"",""ja"")"),"貴族")</f>
        <v>貴族</v>
      </c>
    </row>
    <row r="6297" spans="1:3" ht="18" customHeight="1" x14ac:dyDescent="0.3">
      <c r="A6297" s="1">
        <v>4</v>
      </c>
      <c r="B6297" s="1" t="s">
        <v>5141</v>
      </c>
      <c r="C6297" s="1" t="str">
        <f ca="1">IFERROR(__xludf.DUMMYFUNCTION("GOOGLETRANSLATE(B6379,""en"",""ja"")"),"間違いなく")</f>
        <v>間違いなく</v>
      </c>
    </row>
    <row r="6298" spans="1:3" ht="18" customHeight="1" x14ac:dyDescent="0.3">
      <c r="A6298" s="1">
        <v>4</v>
      </c>
      <c r="B6298" s="1" t="s">
        <v>5142</v>
      </c>
      <c r="C6298" s="1" t="str">
        <f ca="1">IFERROR(__xludf.DUMMYFUNCTION("GOOGLETRANSLATE(B6380,""en"",""ja"")"),"ARGE")</f>
        <v>ARGE</v>
      </c>
    </row>
    <row r="6299" spans="1:3" ht="18" customHeight="1" x14ac:dyDescent="0.3">
      <c r="A6299" s="1">
        <v>4</v>
      </c>
      <c r="B6299" s="1" t="s">
        <v>5143</v>
      </c>
      <c r="C6299" s="1" t="str">
        <f ca="1">IFERROR(__xludf.DUMMYFUNCTION("GOOGLETRANSLATE(B6381,""en"",""ja"")"),"建築")</f>
        <v>建築</v>
      </c>
    </row>
    <row r="6300" spans="1:3" ht="18" customHeight="1" x14ac:dyDescent="0.3">
      <c r="A6300" s="1">
        <v>4</v>
      </c>
      <c r="B6300" s="1" t="s">
        <v>5144</v>
      </c>
      <c r="C6300" s="1" t="str">
        <f ca="1">IFERROR(__xludf.DUMMYFUNCTION("GOOGLETRANSLATE(B6382,""en"",""ja"")"),"考古学の")</f>
        <v>考古学の</v>
      </c>
    </row>
    <row r="6301" spans="1:3" ht="18" customHeight="1" x14ac:dyDescent="0.3">
      <c r="A6301" s="1">
        <v>4</v>
      </c>
      <c r="B6301" s="1" t="s">
        <v>5145</v>
      </c>
      <c r="C6301" s="1" t="str">
        <f ca="1">IFERROR(__xludf.DUMMYFUNCTION("GOOGLETRANSLATE(B6383,""en"",""ja"")"),"任意に")</f>
        <v>任意に</v>
      </c>
    </row>
    <row r="6302" spans="1:3" ht="18" customHeight="1" x14ac:dyDescent="0.3">
      <c r="A6302" s="1">
        <v>4</v>
      </c>
      <c r="B6302" s="1" t="s">
        <v>5146</v>
      </c>
      <c r="C6302" s="1" t="str">
        <f ca="1">IFERROR(__xludf.DUMMYFUNCTION("GOOGLETRANSLATE(B6384,""en"",""ja"")"),"承認")</f>
        <v>承認</v>
      </c>
    </row>
    <row r="6303" spans="1:3" ht="18" customHeight="1" x14ac:dyDescent="0.3">
      <c r="A6303" s="1">
        <v>4</v>
      </c>
      <c r="B6303" s="1" t="s">
        <v>5147</v>
      </c>
      <c r="C6303" s="1" t="str">
        <f ca="1">IFERROR(__xludf.DUMMYFUNCTION("GOOGLETRANSLATE(B6385,""en"",""ja"")"),"適当に")</f>
        <v>適当に</v>
      </c>
    </row>
    <row r="6304" spans="1:3" ht="18" customHeight="1" x14ac:dyDescent="0.3">
      <c r="A6304" s="1">
        <v>4</v>
      </c>
      <c r="B6304" s="1" t="s">
        <v>5148</v>
      </c>
      <c r="C6304" s="1" t="str">
        <f ca="1">IFERROR(__xludf.DUMMYFUNCTION("GOOGLETRANSLATE(B6386,""en"",""ja"")"),"適用されます")</f>
        <v>適用されます</v>
      </c>
    </row>
    <row r="6305" spans="1:3" ht="18" customHeight="1" x14ac:dyDescent="0.3">
      <c r="A6305" s="1">
        <v>4</v>
      </c>
      <c r="B6305" s="1" t="s">
        <v>3747</v>
      </c>
      <c r="C6305" s="1" t="str">
        <f ca="1">IFERROR(__xludf.DUMMYFUNCTION("GOOGLETRANSLATE(B6387,""en"",""ja"")"),"なだめる")</f>
        <v>なだめる</v>
      </c>
    </row>
    <row r="6306" spans="1:3" ht="18" customHeight="1" x14ac:dyDescent="0.3">
      <c r="A6306" s="1">
        <v>4</v>
      </c>
      <c r="B6306" s="1" t="s">
        <v>5149</v>
      </c>
      <c r="C6306" s="1" t="str">
        <f ca="1">IFERROR(__xludf.DUMMYFUNCTION("GOOGLETRANSLATE(B6388,""en"",""ja"")"),"装置")</f>
        <v>装置</v>
      </c>
    </row>
    <row r="6307" spans="1:3" ht="18" customHeight="1" x14ac:dyDescent="0.3">
      <c r="A6307" s="1">
        <v>4</v>
      </c>
      <c r="B6307" s="1" t="s">
        <v>3749</v>
      </c>
      <c r="C6307" s="1" t="str">
        <f ca="1">IFERROR(__xludf.DUMMYFUNCTION("GOOGLETRANSLATE(B6389,""en"",""ja"")"),"不安")</f>
        <v>不安</v>
      </c>
    </row>
    <row r="6308" spans="1:3" ht="18" customHeight="1" x14ac:dyDescent="0.3">
      <c r="A6308" s="1">
        <v>4</v>
      </c>
      <c r="B6308" s="1" t="s">
        <v>5150</v>
      </c>
      <c r="C6308" s="1" t="str">
        <f ca="1">IFERROR(__xludf.DUMMYFUNCTION("GOOGLETRANSLATE(B6390,""en"",""ja"")"),"アンチテーゼ")</f>
        <v>アンチテーゼ</v>
      </c>
    </row>
    <row r="6309" spans="1:3" ht="18" customHeight="1" x14ac:dyDescent="0.3">
      <c r="A6309" s="1">
        <v>4</v>
      </c>
      <c r="B6309" s="1" t="s">
        <v>5151</v>
      </c>
      <c r="C6309" s="1" t="str">
        <f ca="1">IFERROR(__xludf.DUMMYFUNCTION("GOOGLETRANSLATE(B6391,""en"",""ja"")"),"反社会的")</f>
        <v>反社会的</v>
      </c>
    </row>
    <row r="6310" spans="1:3" ht="18" customHeight="1" x14ac:dyDescent="0.3">
      <c r="A6310" s="1">
        <v>4</v>
      </c>
      <c r="B6310" s="1" t="s">
        <v>5152</v>
      </c>
      <c r="C6310" s="1" t="str">
        <f ca="1">IFERROR(__xludf.DUMMYFUNCTION("GOOGLETRANSLATE(B6392,""en"",""ja"")"),"期待")</f>
        <v>期待</v>
      </c>
    </row>
    <row r="6311" spans="1:3" ht="18" customHeight="1" x14ac:dyDescent="0.3">
      <c r="A6311" s="1">
        <v>4</v>
      </c>
      <c r="B6311" s="1" t="s">
        <v>5153</v>
      </c>
      <c r="C6311" s="1" t="str">
        <f ca="1">IFERROR(__xludf.DUMMYFUNCTION("GOOGLETRANSLATE(B6393,""en"",""ja"")"),"アンソニー")</f>
        <v>アンソニー</v>
      </c>
    </row>
    <row r="6312" spans="1:3" ht="18" customHeight="1" x14ac:dyDescent="0.3">
      <c r="A6312" s="1">
        <v>4</v>
      </c>
      <c r="B6312" s="1" t="s">
        <v>5154</v>
      </c>
      <c r="C6312" s="1" t="str">
        <f ca="1">IFERROR(__xludf.DUMMYFUNCTION("GOOGLETRANSLATE(B6394,""en"",""ja"")"),"留守番")</f>
        <v>留守番</v>
      </c>
    </row>
    <row r="6313" spans="1:3" ht="18" customHeight="1" x14ac:dyDescent="0.3">
      <c r="A6313" s="1">
        <v>4</v>
      </c>
      <c r="B6313" s="1" t="s">
        <v>5155</v>
      </c>
      <c r="C6313" s="1" t="str">
        <f ca="1">IFERROR(__xludf.DUMMYFUNCTION("GOOGLETRANSLATE(B6395,""en"",""ja"")"),"嗅覚消失")</f>
        <v>嗅覚消失</v>
      </c>
    </row>
    <row r="6314" spans="1:3" ht="18" customHeight="1" x14ac:dyDescent="0.3">
      <c r="A6314" s="1">
        <v>4</v>
      </c>
      <c r="B6314" s="1" t="s">
        <v>5156</v>
      </c>
      <c r="C6314" s="1" t="str">
        <f ca="1">IFERROR(__xludf.DUMMYFUNCTION("GOOGLETRANSLATE(B6396,""en"",""ja"")"),"アニメーション")</f>
        <v>アニメーション</v>
      </c>
    </row>
    <row r="6315" spans="1:3" ht="18" customHeight="1" x14ac:dyDescent="0.3">
      <c r="A6315" s="1">
        <v>4</v>
      </c>
      <c r="B6315" s="1" t="s">
        <v>3750</v>
      </c>
      <c r="C6315" s="1" t="str">
        <f ca="1">IFERROR(__xludf.DUMMYFUNCTION("GOOGLETRANSLATE(B6397,""en"",""ja"")"),"怒り")</f>
        <v>怒り</v>
      </c>
    </row>
    <row r="6316" spans="1:3" ht="18" customHeight="1" x14ac:dyDescent="0.3">
      <c r="A6316" s="1">
        <v>4</v>
      </c>
      <c r="B6316" s="1" t="s">
        <v>5157</v>
      </c>
      <c r="C6316" s="1" t="str">
        <f ca="1">IFERROR(__xludf.DUMMYFUNCTION("GOOGLETRANSLATE(B6398,""en"",""ja"")"),"アナライザー")</f>
        <v>アナライザー</v>
      </c>
    </row>
    <row r="6317" spans="1:3" ht="18" customHeight="1" x14ac:dyDescent="0.3">
      <c r="A6317" s="1">
        <v>4</v>
      </c>
      <c r="B6317" s="1" t="s">
        <v>5158</v>
      </c>
      <c r="C6317" s="1" t="str">
        <f ca="1">IFERROR(__xludf.DUMMYFUNCTION("GOOGLETRANSLATE(B6399,""en"",""ja"")"),"十分な")</f>
        <v>十分な</v>
      </c>
    </row>
    <row r="6318" spans="1:3" ht="18" customHeight="1" x14ac:dyDescent="0.3">
      <c r="A6318" s="1">
        <v>4</v>
      </c>
      <c r="B6318" s="1" t="s">
        <v>564</v>
      </c>
      <c r="C6318" s="1" t="str">
        <f ca="1">IFERROR(__xludf.DUMMYFUNCTION("GOOGLETRANSLATE(B6400,""en"",""ja"")"),"量")</f>
        <v>量</v>
      </c>
    </row>
    <row r="6319" spans="1:3" ht="18" customHeight="1" x14ac:dyDescent="0.3">
      <c r="A6319" s="1">
        <v>4</v>
      </c>
      <c r="B6319" s="1" t="s">
        <v>5159</v>
      </c>
      <c r="C6319" s="1" t="str">
        <f ca="1">IFERROR(__xludf.DUMMYFUNCTION("GOOGLETRANSLATE(B6401,""en"",""ja"")"),"アメーバ")</f>
        <v>アメーバ</v>
      </c>
    </row>
    <row r="6320" spans="1:3" ht="18" customHeight="1" x14ac:dyDescent="0.3">
      <c r="A6320" s="1">
        <v>4</v>
      </c>
      <c r="B6320" s="1" t="s">
        <v>5160</v>
      </c>
      <c r="C6320" s="1" t="str">
        <f ca="1">IFERROR(__xludf.DUMMYFUNCTION("GOOGLETRANSLATE(B6403,""en"",""ja"")"),"アメリカ")</f>
        <v>アメリカ</v>
      </c>
    </row>
    <row r="6321" spans="1:3" ht="18" customHeight="1" x14ac:dyDescent="0.3">
      <c r="A6321" s="1">
        <v>4</v>
      </c>
      <c r="B6321" s="1" t="s">
        <v>5161</v>
      </c>
      <c r="C6321" s="1" t="str">
        <f ca="1">IFERROR(__xludf.DUMMYFUNCTION("GOOGLETRANSLATE(B6404,""en"",""ja"")"),"アメニティ")</f>
        <v>アメニティ</v>
      </c>
    </row>
    <row r="6322" spans="1:3" ht="18" customHeight="1" x14ac:dyDescent="0.3">
      <c r="A6322" s="1">
        <v>4</v>
      </c>
      <c r="B6322" s="1" t="s">
        <v>5162</v>
      </c>
      <c r="C6322" s="1" t="str">
        <f ca="1">IFERROR(__xludf.DUMMYFUNCTION("GOOGLETRANSLATE(B6405,""en"",""ja"")"),"野心的な")</f>
        <v>野心的な</v>
      </c>
    </row>
    <row r="6323" spans="1:3" ht="18" customHeight="1" x14ac:dyDescent="0.3">
      <c r="A6323" s="1">
        <v>4</v>
      </c>
      <c r="B6323" s="1" t="s">
        <v>5163</v>
      </c>
      <c r="C6323" s="1" t="str">
        <f ca="1">IFERROR(__xludf.DUMMYFUNCTION("GOOGLETRANSLATE(B6406,""en"",""ja"")"),"あいまいさ")</f>
        <v>あいまいさ</v>
      </c>
    </row>
    <row r="6324" spans="1:3" ht="18" customHeight="1" x14ac:dyDescent="0.3">
      <c r="A6324" s="1">
        <v>4</v>
      </c>
      <c r="B6324" s="1" t="s">
        <v>5164</v>
      </c>
      <c r="C6324" s="1" t="str">
        <f ca="1">IFERROR(__xludf.DUMMYFUNCTION("GOOGLETRANSLATE(B6407,""en"",""ja"")"),"全く")</f>
        <v>全く</v>
      </c>
    </row>
    <row r="6325" spans="1:3" ht="18" customHeight="1" x14ac:dyDescent="0.3">
      <c r="A6325" s="1">
        <v>4</v>
      </c>
      <c r="B6325" s="1" t="s">
        <v>1491</v>
      </c>
      <c r="C6325" s="1" t="str">
        <f ca="1">IFERROR(__xludf.DUMMYFUNCTION("GOOGLETRANSLATE(B6408,""en"",""ja"")"),"選択肢")</f>
        <v>選択肢</v>
      </c>
    </row>
    <row r="6326" spans="1:3" ht="18" customHeight="1" x14ac:dyDescent="0.3">
      <c r="A6326" s="1">
        <v>4</v>
      </c>
      <c r="B6326" s="1" t="s">
        <v>689</v>
      </c>
      <c r="C6326" s="1" t="str">
        <f ca="1">IFERROR(__xludf.DUMMYFUNCTION("GOOGLETRANSLATE(B6409,""en"",""ja"")"),"許します")</f>
        <v>許します</v>
      </c>
    </row>
    <row r="6327" spans="1:3" ht="18" customHeight="1" x14ac:dyDescent="0.3">
      <c r="A6327" s="1">
        <v>4</v>
      </c>
      <c r="B6327" s="1" t="s">
        <v>5165</v>
      </c>
      <c r="C6327" s="1" t="str">
        <f ca="1">IFERROR(__xludf.DUMMYFUNCTION("GOOGLETRANSLATE(B6410,""en"",""ja"")"),"アルコール依存症")</f>
        <v>アルコール依存症</v>
      </c>
    </row>
    <row r="6328" spans="1:3" ht="18" customHeight="1" x14ac:dyDescent="0.3">
      <c r="A6328" s="1">
        <v>4</v>
      </c>
      <c r="B6328" s="1" t="s">
        <v>5166</v>
      </c>
      <c r="C6328" s="1" t="str">
        <f ca="1">IFERROR(__xludf.DUMMYFUNCTION("GOOGLETRANSLATE(B6411,""en"",""ja"")"),"警報")</f>
        <v>警報</v>
      </c>
    </row>
    <row r="6329" spans="1:3" ht="18" customHeight="1" x14ac:dyDescent="0.3">
      <c r="A6329" s="1">
        <v>4</v>
      </c>
      <c r="B6329" s="1" t="s">
        <v>5167</v>
      </c>
      <c r="C6329" s="1" t="str">
        <f ca="1">IFERROR(__xludf.DUMMYFUNCTION("GOOGLETRANSLATE(B6413,""en"",""ja"")"),"側近")</f>
        <v>側近</v>
      </c>
    </row>
    <row r="6330" spans="1:3" ht="18" customHeight="1" x14ac:dyDescent="0.3">
      <c r="A6330" s="1">
        <v>4</v>
      </c>
      <c r="B6330" s="1" t="s">
        <v>5168</v>
      </c>
      <c r="C6330" s="1" t="str">
        <f ca="1">IFERROR(__xludf.DUMMYFUNCTION("GOOGLETRANSLATE(B6414,""en"",""ja"")"),"契約")</f>
        <v>契約</v>
      </c>
    </row>
    <row r="6331" spans="1:3" ht="18" customHeight="1" x14ac:dyDescent="0.3">
      <c r="A6331" s="1">
        <v>4</v>
      </c>
      <c r="B6331" s="1" t="s">
        <v>5169</v>
      </c>
      <c r="C6331" s="1" t="str">
        <f ca="1">IFERROR(__xludf.DUMMYFUNCTION("GOOGLETRANSLATE(B6415,""en"",""ja"")"),"攻撃性")</f>
        <v>攻撃性</v>
      </c>
    </row>
    <row r="6332" spans="1:3" ht="18" customHeight="1" x14ac:dyDescent="0.3">
      <c r="A6332" s="1">
        <v>4</v>
      </c>
      <c r="B6332" s="1" t="s">
        <v>5170</v>
      </c>
      <c r="C6332" s="1" t="str">
        <f ca="1">IFERROR(__xludf.DUMMYFUNCTION("GOOGLETRANSLATE(B6416,""en"",""ja"")"),"エージェント")</f>
        <v>エージェント</v>
      </c>
    </row>
    <row r="6333" spans="1:3" ht="18" customHeight="1" x14ac:dyDescent="0.3">
      <c r="A6333" s="1">
        <v>4</v>
      </c>
      <c r="B6333" s="1" t="s">
        <v>1395</v>
      </c>
      <c r="C6333" s="1" t="str">
        <f ca="1">IFERROR(__xludf.DUMMYFUNCTION("GOOGLETRANSLATE(B6417,""en"",""ja"")"),"与えます")</f>
        <v>与えます</v>
      </c>
    </row>
    <row r="6334" spans="1:3" ht="18" customHeight="1" x14ac:dyDescent="0.3">
      <c r="A6334" s="1">
        <v>4</v>
      </c>
      <c r="B6334" s="1" t="s">
        <v>5171</v>
      </c>
      <c r="C6334" s="1" t="str">
        <f ca="1">IFERROR(__xludf.DUMMYFUNCTION("GOOGLETRANSLATE(B6418,""en"",""ja"")"),"断言")</f>
        <v>断言</v>
      </c>
    </row>
    <row r="6335" spans="1:3" ht="18" customHeight="1" x14ac:dyDescent="0.3">
      <c r="A6335" s="1">
        <v>4</v>
      </c>
      <c r="B6335" s="1" t="s">
        <v>3148</v>
      </c>
      <c r="C6335" s="1" t="str">
        <f ca="1">IFERROR(__xludf.DUMMYFUNCTION("GOOGLETRANSLATE(B6419,""en"",""ja"")"),"愛情")</f>
        <v>愛情</v>
      </c>
    </row>
    <row r="6336" spans="1:3" ht="18" customHeight="1" x14ac:dyDescent="0.3">
      <c r="A6336" s="1">
        <v>4</v>
      </c>
      <c r="B6336" s="1" t="s">
        <v>5172</v>
      </c>
      <c r="C6336" s="1" t="str">
        <f ca="1">IFERROR(__xludf.DUMMYFUNCTION("GOOGLETRANSLATE(B6420,""en"",""ja"")"),"事件、出来事")</f>
        <v>事件、出来事</v>
      </c>
    </row>
    <row r="6337" spans="1:3" ht="18" customHeight="1" x14ac:dyDescent="0.3">
      <c r="A6337" s="1">
        <v>4</v>
      </c>
      <c r="B6337" s="1" t="s">
        <v>5173</v>
      </c>
      <c r="C6337" s="1" t="str">
        <f ca="1">IFERROR(__xludf.DUMMYFUNCTION("GOOGLETRANSLATE(B6421,""en"",""ja"")"),"広告")</f>
        <v>広告</v>
      </c>
    </row>
    <row r="6338" spans="1:3" ht="18" customHeight="1" x14ac:dyDescent="0.3">
      <c r="A6338" s="1">
        <v>4</v>
      </c>
      <c r="B6338" s="1" t="s">
        <v>5174</v>
      </c>
      <c r="C6338" s="1" t="str">
        <f ca="1">IFERROR(__xludf.DUMMYFUNCTION("GOOGLETRANSLATE(B6422,""en"",""ja"")"),"広告主")</f>
        <v>広告主</v>
      </c>
    </row>
    <row r="6339" spans="1:3" ht="18" customHeight="1" x14ac:dyDescent="0.3">
      <c r="A6339" s="1">
        <v>4</v>
      </c>
      <c r="B6339" s="1" t="s">
        <v>5175</v>
      </c>
      <c r="C6339" s="1" t="str">
        <f ca="1">IFERROR(__xludf.DUMMYFUNCTION("GOOGLETRANSLATE(B6423,""en"",""ja"")"),"管理者")</f>
        <v>管理者</v>
      </c>
    </row>
    <row r="6340" spans="1:3" ht="18" customHeight="1" x14ac:dyDescent="0.3">
      <c r="A6340" s="1">
        <v>4</v>
      </c>
      <c r="B6340" s="1" t="s">
        <v>5176</v>
      </c>
      <c r="C6340" s="1" t="str">
        <f ca="1">IFERROR(__xludf.DUMMYFUNCTION("GOOGLETRANSLATE(B6424,""en"",""ja"")"),"行政")</f>
        <v>行政</v>
      </c>
    </row>
    <row r="6341" spans="1:3" ht="18" customHeight="1" x14ac:dyDescent="0.3">
      <c r="A6341" s="1">
        <v>4</v>
      </c>
      <c r="B6341" s="1" t="s">
        <v>5177</v>
      </c>
      <c r="C6341" s="1" t="str">
        <f ca="1">IFERROR(__xludf.DUMMYFUNCTION("GOOGLETRANSLATE(B6425,""en"",""ja"")"),"投与し")</f>
        <v>投与し</v>
      </c>
    </row>
    <row r="6342" spans="1:3" ht="18" customHeight="1" x14ac:dyDescent="0.3">
      <c r="A6342" s="1">
        <v>4</v>
      </c>
      <c r="B6342" s="1" t="s">
        <v>5178</v>
      </c>
      <c r="C6342" s="1" t="str">
        <f ca="1">IFERROR(__xludf.DUMMYFUNCTION("GOOGLETRANSLATE(B6426,""en"",""ja"")"),"調整")</f>
        <v>調整</v>
      </c>
    </row>
    <row r="6343" spans="1:3" ht="18" customHeight="1" x14ac:dyDescent="0.3">
      <c r="A6343" s="1">
        <v>4</v>
      </c>
      <c r="B6343" s="1" t="s">
        <v>5179</v>
      </c>
      <c r="C6343" s="1" t="str">
        <f ca="1">IFERROR(__xludf.DUMMYFUNCTION("GOOGLETRANSLATE(B6427,""en"",""ja"")"),"追加")</f>
        <v>追加</v>
      </c>
    </row>
    <row r="6344" spans="1:3" ht="18" customHeight="1" x14ac:dyDescent="0.3">
      <c r="A6344" s="1">
        <v>4</v>
      </c>
      <c r="B6344" s="1" t="s">
        <v>5180</v>
      </c>
      <c r="C6344" s="1" t="str">
        <f ca="1">IFERROR(__xludf.DUMMYFUNCTION("GOOGLETRANSLATE(B6428,""en"",""ja"")"),"追加")</f>
        <v>追加</v>
      </c>
    </row>
    <row r="6345" spans="1:3" ht="18" customHeight="1" x14ac:dyDescent="0.3">
      <c r="A6345" s="1">
        <v>4</v>
      </c>
      <c r="B6345" s="1" t="s">
        <v>5181</v>
      </c>
      <c r="C6345" s="1" t="str">
        <f ca="1">IFERROR(__xludf.DUMMYFUNCTION("GOOGLETRANSLATE(B6429,""en"",""ja"")"),"適合")</f>
        <v>適合</v>
      </c>
    </row>
    <row r="6346" spans="1:3" ht="18" customHeight="1" x14ac:dyDescent="0.3">
      <c r="A6346" s="1">
        <v>4</v>
      </c>
      <c r="B6346" s="1" t="s">
        <v>5182</v>
      </c>
      <c r="C6346" s="1" t="str">
        <f ca="1">IFERROR(__xludf.DUMMYFUNCTION("GOOGLETRANSLATE(B6430,""en"",""ja"")"),"アダムソン")</f>
        <v>アダムソン</v>
      </c>
    </row>
    <row r="6347" spans="1:3" ht="18" customHeight="1" x14ac:dyDescent="0.3">
      <c r="A6347" s="1">
        <v>4</v>
      </c>
      <c r="B6347" s="1" t="s">
        <v>3150</v>
      </c>
      <c r="C6347" s="1" t="str">
        <f ca="1">IFERROR(__xludf.DUMMYFUNCTION("GOOGLETRANSLATE(B6431,""en"",""ja"")"),"訴えます")</f>
        <v>訴えます</v>
      </c>
    </row>
    <row r="6348" spans="1:3" ht="18" customHeight="1" x14ac:dyDescent="0.3">
      <c r="A6348" s="1">
        <v>4</v>
      </c>
      <c r="B6348" s="1" t="s">
        <v>5183</v>
      </c>
      <c r="C6348" s="1" t="str">
        <f ca="1">IFERROR(__xludf.DUMMYFUNCTION("GOOGLETRANSLATE(B6432,""en"",""ja"")"),"アカウント")</f>
        <v>アカウント</v>
      </c>
    </row>
    <row r="6349" spans="1:3" ht="18" customHeight="1" x14ac:dyDescent="0.3">
      <c r="A6349" s="1">
        <v>4</v>
      </c>
      <c r="B6349" s="1" t="s">
        <v>5184</v>
      </c>
      <c r="C6349" s="1" t="str">
        <f ca="1">IFERROR(__xludf.DUMMYFUNCTION("GOOGLETRANSLATE(B6433,""en"",""ja"")"),"添えます")</f>
        <v>添えます</v>
      </c>
    </row>
    <row r="6350" spans="1:3" ht="18" customHeight="1" x14ac:dyDescent="0.3">
      <c r="A6350" s="1">
        <v>4</v>
      </c>
      <c r="B6350" s="1" t="s">
        <v>5185</v>
      </c>
      <c r="C6350" s="1" t="str">
        <f ca="1">IFERROR(__xludf.DUMMYFUNCTION("GOOGLETRANSLATE(B6434,""en"",""ja"")"),"同行")</f>
        <v>同行</v>
      </c>
    </row>
    <row r="6351" spans="1:3" ht="18" customHeight="1" x14ac:dyDescent="0.3">
      <c r="A6351" s="1">
        <v>4</v>
      </c>
      <c r="B6351" s="1" t="s">
        <v>1158</v>
      </c>
      <c r="C6351" s="1" t="str">
        <f ca="1">IFERROR(__xludf.DUMMYFUNCTION("GOOGLETRANSLATE(B6435,""en"",""ja"")"),"受け入れます")</f>
        <v>受け入れます</v>
      </c>
    </row>
    <row r="6352" spans="1:3" ht="18" customHeight="1" x14ac:dyDescent="0.3">
      <c r="A6352" s="1">
        <v>4</v>
      </c>
      <c r="B6352" s="1" t="s">
        <v>5186</v>
      </c>
      <c r="C6352" s="1" t="str">
        <f ca="1">IFERROR(__xludf.DUMMYFUNCTION("GOOGLETRANSLATE(B6436,""en"",""ja"")"),"口汚いです")</f>
        <v>口汚いです</v>
      </c>
    </row>
    <row r="6353" spans="1:3" ht="18" customHeight="1" x14ac:dyDescent="0.3">
      <c r="A6353" s="1">
        <v>4</v>
      </c>
      <c r="B6353" s="1" t="s">
        <v>5187</v>
      </c>
      <c r="C6353" s="1" t="str">
        <f ca="1">IFERROR(__xludf.DUMMYFUNCTION("GOOGLETRANSLATE(B6437,""en"",""ja"")"),"不在")</f>
        <v>不在</v>
      </c>
    </row>
    <row r="6354" spans="1:3" ht="18" customHeight="1" x14ac:dyDescent="0.3">
      <c r="A6354" s="1">
        <v>4</v>
      </c>
      <c r="B6354" s="1" t="s">
        <v>5188</v>
      </c>
      <c r="C6354" s="1" t="str">
        <f ca="1">IFERROR(__xludf.DUMMYFUNCTION("GOOGLETRANSLATE(B6438,""en"",""ja"")"),"異常な")</f>
        <v>異常な</v>
      </c>
    </row>
    <row r="6355" spans="1:3" ht="18" customHeight="1" x14ac:dyDescent="0.3">
      <c r="A6355" s="1">
        <v>3</v>
      </c>
      <c r="B6355" s="1" t="s">
        <v>5189</v>
      </c>
      <c r="C6355" s="1" t="str">
        <f ca="1">IFERROR(__xludf.DUMMYFUNCTION("GOOGLETRANSLATE(B6439,""en"",""ja"")"),"ザッカーバーグ")</f>
        <v>ザッカーバーグ</v>
      </c>
    </row>
    <row r="6356" spans="1:3" ht="18" customHeight="1" x14ac:dyDescent="0.3">
      <c r="A6356" s="1">
        <v>3</v>
      </c>
      <c r="B6356" s="1" t="s">
        <v>4231</v>
      </c>
      <c r="C6356" s="1" t="str">
        <f ca="1">IFERROR(__xludf.DUMMYFUNCTION("GOOGLETRANSLATE(B6440,""en"",""ja"")"),"ゾーン")</f>
        <v>ゾーン</v>
      </c>
    </row>
    <row r="6357" spans="1:3" ht="18" customHeight="1" x14ac:dyDescent="0.3">
      <c r="A6357" s="1">
        <v>3</v>
      </c>
      <c r="B6357" s="1" t="s">
        <v>5190</v>
      </c>
      <c r="C6357" s="1" t="str">
        <f ca="1">IFERROR(__xludf.DUMMYFUNCTION("GOOGLETRANSLATE(B6441,""en"",""ja"")"),"yuns")</f>
        <v>yuns</v>
      </c>
    </row>
    <row r="6358" spans="1:3" ht="18" customHeight="1" x14ac:dyDescent="0.3">
      <c r="A6358" s="1">
        <v>3</v>
      </c>
      <c r="B6358" s="1" t="s">
        <v>5191</v>
      </c>
      <c r="C6358" s="1" t="str">
        <f ca="1">IFERROR(__xludf.DUMMYFUNCTION("GOOGLETRANSLATE(B6442,""en"",""ja"")"),"ユーチューブ")</f>
        <v>ユーチューブ</v>
      </c>
    </row>
    <row r="6359" spans="1:3" ht="18" customHeight="1" x14ac:dyDescent="0.3">
      <c r="A6359" s="1">
        <v>3</v>
      </c>
      <c r="B6359" s="1" t="s">
        <v>115</v>
      </c>
      <c r="C6359" s="1" t="str">
        <f ca="1">IFERROR(__xludf.DUMMYFUNCTION("GOOGLETRANSLATE(B6443,""en"",""ja"")"),"君の")</f>
        <v>君の</v>
      </c>
    </row>
    <row r="6360" spans="1:3" ht="18" customHeight="1" x14ac:dyDescent="0.3">
      <c r="A6360" s="1">
        <v>3</v>
      </c>
      <c r="B6360" s="1" t="s">
        <v>5192</v>
      </c>
      <c r="C6360" s="1" t="str">
        <f ca="1">IFERROR(__xludf.DUMMYFUNCTION("GOOGLETRANSLATE(B6444,""en"",""ja"")"),"若造")</f>
        <v>若造</v>
      </c>
    </row>
    <row r="6361" spans="1:3" ht="18" customHeight="1" x14ac:dyDescent="0.3">
      <c r="A6361" s="1">
        <v>3</v>
      </c>
      <c r="B6361" s="1" t="s">
        <v>5193</v>
      </c>
      <c r="C6361" s="1" t="str">
        <f ca="1">IFERROR(__xludf.DUMMYFUNCTION("GOOGLETRANSLATE(B6445,""en"",""ja"")"),"ヨーク")</f>
        <v>ヨーク</v>
      </c>
    </row>
    <row r="6362" spans="1:3" ht="18" customHeight="1" x14ac:dyDescent="0.3">
      <c r="A6362" s="1">
        <v>3</v>
      </c>
      <c r="B6362" s="1" t="s">
        <v>5194</v>
      </c>
      <c r="C6362" s="1" t="str">
        <f ca="1">IFERROR(__xludf.DUMMYFUNCTION("GOOGLETRANSLATE(B6446,""en"",""ja"")"),"往年")</f>
        <v>往年</v>
      </c>
    </row>
    <row r="6363" spans="1:3" ht="18" customHeight="1" x14ac:dyDescent="0.3">
      <c r="A6363" s="1">
        <v>3</v>
      </c>
      <c r="B6363" s="1" t="s">
        <v>5195</v>
      </c>
      <c r="C6363" s="1" t="str">
        <f ca="1">IFERROR(__xludf.DUMMYFUNCTION("GOOGLETRANSLATE(B6447,""en"",""ja"")"),"黄")</f>
        <v>黄</v>
      </c>
    </row>
    <row r="6364" spans="1:3" ht="18" customHeight="1" x14ac:dyDescent="0.3">
      <c r="A6364" s="1">
        <v>3</v>
      </c>
      <c r="B6364" s="1" t="s">
        <v>5196</v>
      </c>
      <c r="C6364" s="1" t="str">
        <f ca="1">IFERROR(__xludf.DUMMYFUNCTION("GOOGLETRANSLATE(B6448,""en"",""ja"")"),"酵母")</f>
        <v>酵母</v>
      </c>
    </row>
    <row r="6365" spans="1:3" ht="18" customHeight="1" x14ac:dyDescent="0.3">
      <c r="A6365" s="1">
        <v>3</v>
      </c>
      <c r="B6365" s="1" t="s">
        <v>5197</v>
      </c>
      <c r="C6365" s="1" t="str">
        <f ca="1">IFERROR(__xludf.DUMMYFUNCTION("GOOGLETRANSLATE(B6449,""en"",""ja"")"),"いや")</f>
        <v>いや</v>
      </c>
    </row>
    <row r="6366" spans="1:3" ht="18" customHeight="1" x14ac:dyDescent="0.3">
      <c r="A6366" s="1">
        <v>3</v>
      </c>
      <c r="B6366" s="1" t="s">
        <v>5198</v>
      </c>
      <c r="C6366" s="1" t="str">
        <f ca="1">IFERROR(__xludf.DUMMYFUNCTION("GOOGLETRANSLATE(B6450,""en"",""ja"")"),"エール")</f>
        <v>エール</v>
      </c>
    </row>
    <row r="6367" spans="1:3" ht="18" customHeight="1" x14ac:dyDescent="0.3">
      <c r="A6367" s="1">
        <v>3</v>
      </c>
      <c r="B6367" s="1" t="s">
        <v>5199</v>
      </c>
      <c r="C6367" s="1" t="str">
        <f ca="1">IFERROR(__xludf.DUMMYFUNCTION("GOOGLETRANSLATE(B6451,""en"",""ja"")"),"バツ")</f>
        <v>バツ</v>
      </c>
    </row>
    <row r="6368" spans="1:3" ht="18" customHeight="1" x14ac:dyDescent="0.3">
      <c r="A6368" s="1">
        <v>3</v>
      </c>
      <c r="B6368" s="1" t="s">
        <v>5200</v>
      </c>
      <c r="C6368" s="1" t="str">
        <f ca="1">IFERROR(__xludf.DUMMYFUNCTION("GOOGLETRANSLATE(B6452,""en"",""ja"")"),"wrests")</f>
        <v>wrests</v>
      </c>
    </row>
    <row r="6369" spans="1:3" ht="18" customHeight="1" x14ac:dyDescent="0.3">
      <c r="A6369" s="1">
        <v>3</v>
      </c>
      <c r="B6369" s="1" t="s">
        <v>5201</v>
      </c>
      <c r="C6369" s="1" t="str">
        <f ca="1">IFERROR(__xludf.DUMMYFUNCTION("GOOGLETRANSLATE(B6453,""en"",""ja"")"),"創傷")</f>
        <v>創傷</v>
      </c>
    </row>
    <row r="6370" spans="1:3" ht="18" customHeight="1" x14ac:dyDescent="0.3">
      <c r="A6370" s="1">
        <v>3</v>
      </c>
      <c r="B6370" s="1" t="s">
        <v>5202</v>
      </c>
      <c r="C6370" s="1" t="str">
        <f ca="1">IFERROR(__xludf.DUMMYFUNCTION("GOOGLETRANSLATE(B6454,""en"",""ja"")"),"ではないだろう")</f>
        <v>ではないだろう</v>
      </c>
    </row>
    <row r="6371" spans="1:3" ht="18" customHeight="1" x14ac:dyDescent="0.3">
      <c r="A6371" s="1">
        <v>3</v>
      </c>
      <c r="B6371" s="1" t="s">
        <v>5203</v>
      </c>
      <c r="C6371" s="1" t="str">
        <f ca="1">IFERROR(__xludf.DUMMYFUNCTION("GOOGLETRANSLATE(B6455,""en"",""ja"")"),"働き")</f>
        <v>働き</v>
      </c>
    </row>
    <row r="6372" spans="1:3" ht="18" customHeight="1" x14ac:dyDescent="0.3">
      <c r="A6372" s="1">
        <v>3</v>
      </c>
      <c r="B6372" s="1" t="s">
        <v>5204</v>
      </c>
      <c r="C6372" s="1" t="str">
        <f ca="1">IFERROR(__xludf.DUMMYFUNCTION("GOOGLETRANSLATE(B6456,""en"",""ja"")"),"実行可能")</f>
        <v>実行可能</v>
      </c>
    </row>
    <row r="6373" spans="1:3" ht="18" customHeight="1" x14ac:dyDescent="0.3">
      <c r="A6373" s="1">
        <v>3</v>
      </c>
      <c r="B6373" s="1" t="s">
        <v>5205</v>
      </c>
      <c r="C6373" s="1" t="str">
        <f ca="1">IFERROR(__xludf.DUMMYFUNCTION("GOOGLETRANSLATE(B6457,""en"",""ja"")"),"木材")</f>
        <v>木材</v>
      </c>
    </row>
    <row r="6374" spans="1:3" ht="18" customHeight="1" x14ac:dyDescent="0.3">
      <c r="A6374" s="1">
        <v>3</v>
      </c>
      <c r="B6374" s="1" t="s">
        <v>2835</v>
      </c>
      <c r="C6374" s="1" t="str">
        <f ca="1">IFERROR(__xludf.DUMMYFUNCTION("GOOGLETRANSLATE(B6458,""en"",""ja"")"),"ワンダー")</f>
        <v>ワンダー</v>
      </c>
    </row>
    <row r="6375" spans="1:3" ht="18" customHeight="1" x14ac:dyDescent="0.3">
      <c r="A6375" s="1">
        <v>3</v>
      </c>
      <c r="B6375" s="1" t="s">
        <v>5206</v>
      </c>
      <c r="C6375" s="1" t="str">
        <f ca="1">IFERROR(__xludf.DUMMYFUNCTION("GOOGLETRANSLATE(B6459,""en"",""ja"")"),"目が覚めました")</f>
        <v>目が覚めました</v>
      </c>
    </row>
    <row r="6376" spans="1:3" ht="18" customHeight="1" x14ac:dyDescent="0.3">
      <c r="A6376" s="1">
        <v>3</v>
      </c>
      <c r="B6376" s="1" t="s">
        <v>5207</v>
      </c>
      <c r="C6376" s="1" t="str">
        <f ca="1">IFERROR(__xludf.DUMMYFUNCTION("GOOGLETRANSLATE(B6460,""en"",""ja"")"),"グラグラ")</f>
        <v>グラグラ</v>
      </c>
    </row>
    <row r="6377" spans="1:3" ht="18" customHeight="1" x14ac:dyDescent="0.3">
      <c r="A6377" s="1">
        <v>3</v>
      </c>
      <c r="B6377" s="1" t="s">
        <v>5208</v>
      </c>
      <c r="C6377" s="1" t="str">
        <f ca="1">IFERROR(__xludf.DUMMYFUNCTION("GOOGLETRANSLATE(B6461,""en"",""ja"")"),"ウィザード")</f>
        <v>ウィザード</v>
      </c>
    </row>
    <row r="6378" spans="1:3" ht="18" customHeight="1" x14ac:dyDescent="0.3">
      <c r="A6378" s="1">
        <v>3</v>
      </c>
      <c r="B6378" s="1" t="s">
        <v>256</v>
      </c>
      <c r="C6378" s="1" t="str">
        <f ca="1">IFERROR(__xludf.DUMMYFUNCTION("GOOGLETRANSLATE(B6462,""en"",""ja"")"),"無し")</f>
        <v>無し</v>
      </c>
    </row>
    <row r="6379" spans="1:3" ht="18" customHeight="1" x14ac:dyDescent="0.3">
      <c r="A6379" s="1">
        <v>3</v>
      </c>
      <c r="B6379" s="1" t="s">
        <v>5209</v>
      </c>
      <c r="C6379" s="1" t="str">
        <f ca="1">IFERROR(__xludf.DUMMYFUNCTION("GOOGLETRANSLATE(B6463,""en"",""ja"")"),"機転")</f>
        <v>機転</v>
      </c>
    </row>
    <row r="6380" spans="1:3" ht="18" customHeight="1" x14ac:dyDescent="0.3">
      <c r="A6380" s="1">
        <v>3</v>
      </c>
      <c r="B6380" s="1" t="s">
        <v>5210</v>
      </c>
      <c r="C6380" s="1" t="str">
        <f ca="1">IFERROR(__xludf.DUMMYFUNCTION("GOOGLETRANSLATE(B6464,""en"",""ja"")"),"勝者")</f>
        <v>勝者</v>
      </c>
    </row>
    <row r="6381" spans="1:3" ht="18" customHeight="1" x14ac:dyDescent="0.3">
      <c r="A6381" s="1">
        <v>3</v>
      </c>
      <c r="B6381" s="1" t="s">
        <v>5211</v>
      </c>
      <c r="C6381" s="1" t="str">
        <f ca="1">IFERROR(__xludf.DUMMYFUNCTION("GOOGLETRANSLATE(B6465,""en"",""ja"")"),"ウィキペディア")</f>
        <v>ウィキペディア</v>
      </c>
    </row>
    <row r="6382" spans="1:3" ht="18" customHeight="1" x14ac:dyDescent="0.3">
      <c r="A6382" s="1">
        <v>3</v>
      </c>
      <c r="B6382" s="1" t="s">
        <v>5212</v>
      </c>
      <c r="C6382" s="1" t="str">
        <f ca="1">IFERROR(__xludf.DUMMYFUNCTION("GOOGLETRANSLATE(B6466,""en"",""ja"")"),"広いです")</f>
        <v>広いです</v>
      </c>
    </row>
    <row r="6383" spans="1:3" ht="18" customHeight="1" x14ac:dyDescent="0.3">
      <c r="A6383" s="1">
        <v>3</v>
      </c>
      <c r="B6383" s="1" t="s">
        <v>1034</v>
      </c>
      <c r="C6383" s="1" t="str">
        <f ca="1">IFERROR(__xludf.DUMMYFUNCTION("GOOGLETRANSLATE(B6467,""en"",""ja"")"),"ワイド")</f>
        <v>ワイド</v>
      </c>
    </row>
    <row r="6384" spans="1:3" ht="18" customHeight="1" x14ac:dyDescent="0.3">
      <c r="A6384" s="1">
        <v>3</v>
      </c>
      <c r="B6384" s="1" t="s">
        <v>5213</v>
      </c>
      <c r="C6384" s="1" t="str">
        <f ca="1">IFERROR(__xludf.DUMMYFUNCTION("GOOGLETRANSLATE(B6468,""en"",""ja"")"),"籐")</f>
        <v>籐</v>
      </c>
    </row>
    <row r="6385" spans="1:3" ht="18" customHeight="1" x14ac:dyDescent="0.3">
      <c r="A6385" s="1">
        <v>3</v>
      </c>
      <c r="B6385" s="1" t="s">
        <v>5214</v>
      </c>
      <c r="C6385" s="1" t="str">
        <f ca="1">IFERROR(__xludf.DUMMYFUNCTION("GOOGLETRANSLATE(B6469,""en"",""ja"")"),"これにより")</f>
        <v>これにより</v>
      </c>
    </row>
    <row r="6386" spans="1:3" ht="18" customHeight="1" x14ac:dyDescent="0.3">
      <c r="A6386" s="1">
        <v>3</v>
      </c>
      <c r="B6386" s="1" t="s">
        <v>5215</v>
      </c>
      <c r="C6386" s="1" t="str">
        <f ca="1">IFERROR(__xludf.DUMMYFUNCTION("GOOGLETRANSLATE(B6470,""en"",""ja"")"),"車椅子")</f>
        <v>車椅子</v>
      </c>
    </row>
    <row r="6387" spans="1:3" ht="18" customHeight="1" x14ac:dyDescent="0.3">
      <c r="A6387" s="1">
        <v>3</v>
      </c>
      <c r="B6387" s="1" t="s">
        <v>5216</v>
      </c>
      <c r="C6387" s="1" t="str">
        <f ca="1">IFERROR(__xludf.DUMMYFUNCTION("GOOGLETRANSLATE(B6471,""en"",""ja"")"),"ホイール")</f>
        <v>ホイール</v>
      </c>
    </row>
    <row r="6388" spans="1:3" ht="18" customHeight="1" x14ac:dyDescent="0.3">
      <c r="A6388" s="1">
        <v>3</v>
      </c>
      <c r="B6388" s="1" t="s">
        <v>5217</v>
      </c>
      <c r="C6388" s="1" t="str">
        <f ca="1">IFERROR(__xludf.DUMMYFUNCTION("GOOGLETRANSLATE(B6472,""en"",""ja"")"),"湿原")</f>
        <v>湿原</v>
      </c>
    </row>
    <row r="6389" spans="1:3" ht="18" customHeight="1" x14ac:dyDescent="0.3">
      <c r="A6389" s="1">
        <v>3</v>
      </c>
      <c r="B6389" s="1" t="s">
        <v>5218</v>
      </c>
      <c r="C6389" s="1" t="str">
        <f ca="1">IFERROR(__xludf.DUMMYFUNCTION("GOOGLETRANSLATE(B6473,""en"",""ja"")"),"ウェストン")</f>
        <v>ウェストン</v>
      </c>
    </row>
    <row r="6390" spans="1:3" ht="18" customHeight="1" x14ac:dyDescent="0.3">
      <c r="A6390" s="1">
        <v>3</v>
      </c>
      <c r="B6390" s="1" t="s">
        <v>5219</v>
      </c>
      <c r="C6390" s="1" t="str">
        <f ca="1">IFERROR(__xludf.DUMMYFUNCTION("GOOGLETRANSLATE(B6474,""en"",""ja"")"),"ありませんでした")</f>
        <v>ありませんでした</v>
      </c>
    </row>
    <row r="6391" spans="1:3" ht="18" customHeight="1" x14ac:dyDescent="0.3">
      <c r="A6391" s="1">
        <v>3</v>
      </c>
      <c r="B6391" s="1" t="s">
        <v>5220</v>
      </c>
      <c r="C6391" s="1" t="str">
        <f ca="1">IFERROR(__xludf.DUMMYFUNCTION("GOOGLETRANSLATE(B6475,""en"",""ja"")"),"ウィークリー")</f>
        <v>ウィークリー</v>
      </c>
    </row>
    <row r="6392" spans="1:3" ht="18" customHeight="1" x14ac:dyDescent="0.3">
      <c r="A6392" s="1">
        <v>3</v>
      </c>
      <c r="B6392" s="1" t="s">
        <v>5221</v>
      </c>
      <c r="C6392" s="1" t="str">
        <f ca="1">IFERROR(__xludf.DUMMYFUNCTION("GOOGLETRANSLATE(B6476,""en"",""ja"")"),"淘汰")</f>
        <v>淘汰</v>
      </c>
    </row>
    <row r="6393" spans="1:3" ht="18" customHeight="1" x14ac:dyDescent="0.3">
      <c r="A6393" s="1">
        <v>3</v>
      </c>
      <c r="B6393" s="1" t="s">
        <v>5222</v>
      </c>
      <c r="C6393" s="1" t="str">
        <f ca="1">IFERROR(__xludf.DUMMYFUNCTION("GOOGLETRANSLATE(B6477,""en"",""ja"")"),"ウェッジ")</f>
        <v>ウェッジ</v>
      </c>
    </row>
    <row r="6394" spans="1:3" ht="18" customHeight="1" x14ac:dyDescent="0.3">
      <c r="A6394" s="1">
        <v>3</v>
      </c>
      <c r="B6394" s="1" t="s">
        <v>5223</v>
      </c>
      <c r="C6394" s="1" t="str">
        <f ca="1">IFERROR(__xludf.DUMMYFUNCTION("GOOGLETRANSLATE(B6478,""en"",""ja"")"),"身に着けています")</f>
        <v>身に着けています</v>
      </c>
    </row>
    <row r="6395" spans="1:3" ht="18" customHeight="1" x14ac:dyDescent="0.3">
      <c r="A6395" s="1">
        <v>3</v>
      </c>
      <c r="B6395" s="1" t="s">
        <v>5224</v>
      </c>
      <c r="C6395" s="1" t="str">
        <f ca="1">IFERROR(__xludf.DUMMYFUNCTION("GOOGLETRANSLATE(B6479,""en"",""ja"")"),"うんざり")</f>
        <v>うんざり</v>
      </c>
    </row>
    <row r="6396" spans="1:3" ht="18" customHeight="1" x14ac:dyDescent="0.3">
      <c r="A6396" s="1">
        <v>3</v>
      </c>
      <c r="B6396" s="1" t="s">
        <v>5225</v>
      </c>
      <c r="C6396" s="1" t="str">
        <f ca="1">IFERROR(__xludf.DUMMYFUNCTION("GOOGLETRANSLATE(B6480,""en"",""ja"")"),"豊か")</f>
        <v>豊か</v>
      </c>
    </row>
    <row r="6397" spans="1:3" ht="18" customHeight="1" x14ac:dyDescent="0.3">
      <c r="A6397" s="1">
        <v>3</v>
      </c>
      <c r="B6397" s="1" t="s">
        <v>5226</v>
      </c>
      <c r="C6397" s="1" t="str">
        <f ca="1">IFERROR(__xludf.DUMMYFUNCTION("GOOGLETRANSLATE(B6481,""en"",""ja"")"),"裕福な")</f>
        <v>裕福な</v>
      </c>
    </row>
    <row r="6398" spans="1:3" ht="18" customHeight="1" x14ac:dyDescent="0.3">
      <c r="A6398" s="1">
        <v>3</v>
      </c>
      <c r="B6398" s="1" t="s">
        <v>5227</v>
      </c>
      <c r="C6398" s="1" t="str">
        <f ca="1">IFERROR(__xludf.DUMMYFUNCTION("GOOGLETRANSLATE(B6482,""en"",""ja"")"),"弱いです")</f>
        <v>弱いです</v>
      </c>
    </row>
    <row r="6399" spans="1:3" ht="18" customHeight="1" x14ac:dyDescent="0.3">
      <c r="A6399" s="1">
        <v>3</v>
      </c>
      <c r="B6399" s="1" t="s">
        <v>5228</v>
      </c>
      <c r="C6399" s="1" t="str">
        <f ca="1">IFERROR(__xludf.DUMMYFUNCTION("GOOGLETRANSLATE(B6483,""en"",""ja"")"),"結婚した")</f>
        <v>結婚した</v>
      </c>
    </row>
    <row r="6400" spans="1:3" ht="18" customHeight="1" x14ac:dyDescent="0.3">
      <c r="A6400" s="1">
        <v>3</v>
      </c>
      <c r="B6400" s="1" t="s">
        <v>5229</v>
      </c>
      <c r="C6400" s="1" t="str">
        <f ca="1">IFERROR(__xludf.DUMMYFUNCTION("GOOGLETRANSLATE(B6484,""en"",""ja"")"),"消耗")</f>
        <v>消耗</v>
      </c>
    </row>
    <row r="6401" spans="1:3" ht="18" customHeight="1" x14ac:dyDescent="0.3">
      <c r="A6401" s="1">
        <v>3</v>
      </c>
      <c r="B6401" s="1" t="s">
        <v>5230</v>
      </c>
      <c r="C6401" s="1" t="str">
        <f ca="1">IFERROR(__xludf.DUMMYFUNCTION("GOOGLETRANSLATE(B6485,""en"",""ja"")"),"無駄な")</f>
        <v>無駄な</v>
      </c>
    </row>
    <row r="6402" spans="1:3" ht="18" customHeight="1" x14ac:dyDescent="0.3">
      <c r="A6402" s="1">
        <v>3</v>
      </c>
      <c r="B6402" s="1" t="s">
        <v>5231</v>
      </c>
      <c r="C6402" s="1" t="str">
        <f ca="1">IFERROR(__xludf.DUMMYFUNCTION("GOOGLETRANSLATE(B6486,""en"",""ja"")"),"無駄")</f>
        <v>無駄</v>
      </c>
    </row>
    <row r="6403" spans="1:3" ht="18" customHeight="1" x14ac:dyDescent="0.3">
      <c r="A6403" s="1">
        <v>3</v>
      </c>
      <c r="B6403" s="1" t="s">
        <v>5232</v>
      </c>
      <c r="C6403" s="1" t="str">
        <f ca="1">IFERROR(__xludf.DUMMYFUNCTION("GOOGLETRANSLATE(B6487,""en"",""ja"")"),"洗浄")</f>
        <v>洗浄</v>
      </c>
    </row>
    <row r="6404" spans="1:3" ht="18" customHeight="1" x14ac:dyDescent="0.3">
      <c r="A6404" s="1">
        <v>3</v>
      </c>
      <c r="B6404" s="1" t="s">
        <v>5233</v>
      </c>
      <c r="C6404" s="1" t="str">
        <f ca="1">IFERROR(__xludf.DUMMYFUNCTION("GOOGLETRANSLATE(B6488,""en"",""ja"")"),"警告")</f>
        <v>警告</v>
      </c>
    </row>
    <row r="6405" spans="1:3" ht="18" customHeight="1" x14ac:dyDescent="0.3">
      <c r="A6405" s="1">
        <v>3</v>
      </c>
      <c r="B6405" s="1" t="s">
        <v>4257</v>
      </c>
      <c r="C6405" s="1" t="str">
        <f ca="1">IFERROR(__xludf.DUMMYFUNCTION("GOOGLETRANSLATE(B6489,""en"",""ja"")"),"警告します")</f>
        <v>警告します</v>
      </c>
    </row>
    <row r="6406" spans="1:3" ht="18" customHeight="1" x14ac:dyDescent="0.3">
      <c r="A6406" s="1">
        <v>3</v>
      </c>
      <c r="B6406" s="1" t="s">
        <v>5234</v>
      </c>
      <c r="C6406" s="1" t="str">
        <f ca="1">IFERROR(__xludf.DUMMYFUNCTION("GOOGLETRANSLATE(B6490,""en"",""ja"")"),"暖かさ")</f>
        <v>暖かさ</v>
      </c>
    </row>
    <row r="6407" spans="1:3" ht="18" customHeight="1" x14ac:dyDescent="0.3">
      <c r="A6407" s="1">
        <v>3</v>
      </c>
      <c r="B6407" s="1" t="s">
        <v>5235</v>
      </c>
      <c r="C6407" s="1" t="str">
        <f ca="1">IFERROR(__xludf.DUMMYFUNCTION("GOOGLETRANSLATE(B6491,""en"",""ja"")"),"望みます")</f>
        <v>望みます</v>
      </c>
    </row>
    <row r="6408" spans="1:3" ht="18" customHeight="1" x14ac:dyDescent="0.3">
      <c r="A6408" s="1">
        <v>3</v>
      </c>
      <c r="B6408" s="1" t="s">
        <v>5236</v>
      </c>
      <c r="C6408" s="1" t="str">
        <f ca="1">IFERROR(__xludf.DUMMYFUNCTION("GOOGLETRANSLATE(B6492,""en"",""ja"")"),"さまよっ")</f>
        <v>さまよっ</v>
      </c>
    </row>
    <row r="6409" spans="1:3" ht="18" customHeight="1" x14ac:dyDescent="0.3">
      <c r="A6409" s="1">
        <v>3</v>
      </c>
      <c r="B6409" s="1" t="s">
        <v>1871</v>
      </c>
      <c r="C6409" s="1" t="str">
        <f ca="1">IFERROR(__xludf.DUMMYFUNCTION("GOOGLETRANSLATE(B6493,""en"",""ja"")"),"歩く")</f>
        <v>歩く</v>
      </c>
    </row>
    <row r="6410" spans="1:3" ht="18" customHeight="1" x14ac:dyDescent="0.3">
      <c r="A6410" s="1">
        <v>3</v>
      </c>
      <c r="B6410" s="1" t="s">
        <v>5237</v>
      </c>
      <c r="C6410" s="1" t="str">
        <f ca="1">IFERROR(__xludf.DUMMYFUNCTION("GOOGLETRANSLATE(B6494,""en"",""ja"")"),"待つ")</f>
        <v>待つ</v>
      </c>
    </row>
    <row r="6411" spans="1:3" ht="18" customHeight="1" x14ac:dyDescent="0.3">
      <c r="A6411" s="1">
        <v>3</v>
      </c>
      <c r="B6411" s="1" t="s">
        <v>5238</v>
      </c>
      <c r="C6411" s="1" t="str">
        <f ca="1">IFERROR(__xludf.DUMMYFUNCTION("GOOGLETRANSLATE(B6495,""en"",""ja"")"),"ハゲタカ")</f>
        <v>ハゲタカ</v>
      </c>
    </row>
    <row r="6412" spans="1:3" ht="18" customHeight="1" x14ac:dyDescent="0.3">
      <c r="A6412" s="1">
        <v>3</v>
      </c>
      <c r="B6412" s="1" t="s">
        <v>5239</v>
      </c>
      <c r="C6412" s="1" t="str">
        <f ca="1">IFERROR(__xludf.DUMMYFUNCTION("GOOGLETRANSLATE(B6496,""en"",""ja"")"),"脆弱")</f>
        <v>脆弱</v>
      </c>
    </row>
    <row r="6413" spans="1:3" ht="18" customHeight="1" x14ac:dyDescent="0.3">
      <c r="A6413" s="1">
        <v>3</v>
      </c>
      <c r="B6413" s="1" t="s">
        <v>5240</v>
      </c>
      <c r="C6413" s="1" t="str">
        <f ca="1">IFERROR(__xludf.DUMMYFUNCTION("GOOGLETRANSLATE(B6497,""en"",""ja"")"),"脆弱性")</f>
        <v>脆弱性</v>
      </c>
    </row>
    <row r="6414" spans="1:3" ht="18" customHeight="1" x14ac:dyDescent="0.3">
      <c r="A6414" s="1">
        <v>3</v>
      </c>
      <c r="B6414" s="1" t="s">
        <v>5241</v>
      </c>
      <c r="C6414" s="1" t="str">
        <f ca="1">IFERROR(__xludf.DUMMYFUNCTION("GOOGLETRANSLATE(B6498,""en"",""ja"")"),"自発的に")</f>
        <v>自発的に</v>
      </c>
    </row>
    <row r="6415" spans="1:3" ht="18" customHeight="1" x14ac:dyDescent="0.3">
      <c r="A6415" s="1">
        <v>3</v>
      </c>
      <c r="B6415" s="1" t="s">
        <v>5242</v>
      </c>
      <c r="C6415" s="1" t="str">
        <f ca="1">IFERROR(__xludf.DUMMYFUNCTION("GOOGLETRANSLATE(B6499,""en"",""ja"")"),"単語")</f>
        <v>単語</v>
      </c>
    </row>
    <row r="6416" spans="1:3" ht="18" customHeight="1" x14ac:dyDescent="0.3">
      <c r="A6416" s="1">
        <v>3</v>
      </c>
      <c r="B6416" s="1" t="s">
        <v>5243</v>
      </c>
      <c r="C6416" s="1" t="str">
        <f ca="1">IFERROR(__xludf.DUMMYFUNCTION("GOOGLETRANSLATE(B6500,""en"",""ja"")"),"vitascope")</f>
        <v>vitascope</v>
      </c>
    </row>
    <row r="6417" spans="1:3" ht="18" customHeight="1" x14ac:dyDescent="0.3">
      <c r="A6417" s="1">
        <v>3</v>
      </c>
      <c r="B6417" s="1" t="s">
        <v>1872</v>
      </c>
      <c r="C6417" s="1" t="str">
        <f ca="1">IFERROR(__xludf.DUMMYFUNCTION("GOOGLETRANSLATE(B6501,""en"",""ja"")"),"活力")</f>
        <v>活力</v>
      </c>
    </row>
    <row r="6418" spans="1:3" ht="18" customHeight="1" x14ac:dyDescent="0.3">
      <c r="A6418" s="1">
        <v>3</v>
      </c>
      <c r="B6418" s="1" t="s">
        <v>5244</v>
      </c>
      <c r="C6418" s="1" t="str">
        <f ca="1">IFERROR(__xludf.DUMMYFUNCTION("GOOGLETRANSLATE(B6502,""en"",""ja"")"),"訪問者")</f>
        <v>訪問者</v>
      </c>
    </row>
    <row r="6419" spans="1:3" ht="18" customHeight="1" x14ac:dyDescent="0.3">
      <c r="A6419" s="1">
        <v>3</v>
      </c>
      <c r="B6419" s="1" t="s">
        <v>5245</v>
      </c>
      <c r="C6419" s="1" t="str">
        <f ca="1">IFERROR(__xludf.DUMMYFUNCTION("GOOGLETRANSLATE(B6503,""en"",""ja"")"),"訪問")</f>
        <v>訪問</v>
      </c>
    </row>
    <row r="6420" spans="1:3" ht="18" customHeight="1" x14ac:dyDescent="0.3">
      <c r="A6420" s="1">
        <v>3</v>
      </c>
      <c r="B6420" s="1" t="s">
        <v>5246</v>
      </c>
      <c r="C6420" s="1" t="str">
        <f ca="1">IFERROR(__xludf.DUMMYFUNCTION("GOOGLETRANSLATE(B6504,""en"",""ja"")"),"ウイルス")</f>
        <v>ウイルス</v>
      </c>
    </row>
    <row r="6421" spans="1:3" ht="18" customHeight="1" x14ac:dyDescent="0.3">
      <c r="A6421" s="1">
        <v>3</v>
      </c>
      <c r="B6421" s="1" t="s">
        <v>5247</v>
      </c>
      <c r="C6421" s="1" t="str">
        <f ca="1">IFERROR(__xludf.DUMMYFUNCTION("GOOGLETRANSLATE(B6505,""en"",""ja"")"),"バイオリン")</f>
        <v>バイオリン</v>
      </c>
    </row>
    <row r="6422" spans="1:3" ht="18" customHeight="1" x14ac:dyDescent="0.3">
      <c r="A6422" s="1">
        <v>3</v>
      </c>
      <c r="B6422" s="1" t="s">
        <v>1404</v>
      </c>
      <c r="C6422" s="1" t="str">
        <f ca="1">IFERROR(__xludf.DUMMYFUNCTION("GOOGLETRANSLATE(B6506,""en"",""ja"")"),"激しいです")</f>
        <v>激しいです</v>
      </c>
    </row>
    <row r="6423" spans="1:3" ht="18" customHeight="1" x14ac:dyDescent="0.3">
      <c r="A6423" s="1">
        <v>3</v>
      </c>
      <c r="B6423" s="1" t="s">
        <v>5248</v>
      </c>
      <c r="C6423" s="1" t="str">
        <f ca="1">IFERROR(__xludf.DUMMYFUNCTION("GOOGLETRANSLATE(B6507,""en"",""ja"")"),"暴力")</f>
        <v>暴力</v>
      </c>
    </row>
    <row r="6424" spans="1:3" ht="18" customHeight="1" x14ac:dyDescent="0.3">
      <c r="A6424" s="1">
        <v>3</v>
      </c>
      <c r="B6424" s="1" t="s">
        <v>5249</v>
      </c>
      <c r="C6424" s="1" t="str">
        <f ca="1">IFERROR(__xludf.DUMMYFUNCTION("GOOGLETRANSLATE(B6508,""en"",""ja"")"),"強")</f>
        <v>強</v>
      </c>
    </row>
    <row r="6425" spans="1:3" ht="18" customHeight="1" x14ac:dyDescent="0.3">
      <c r="A6425" s="1">
        <v>3</v>
      </c>
      <c r="B6425" s="1" t="s">
        <v>5250</v>
      </c>
      <c r="C6425" s="1" t="str">
        <f ca="1">IFERROR(__xludf.DUMMYFUNCTION("GOOGLETRANSLATE(B6509,""en"",""ja"")"),"視聴者")</f>
        <v>視聴者</v>
      </c>
    </row>
    <row r="6426" spans="1:3" ht="18" customHeight="1" x14ac:dyDescent="0.3">
      <c r="A6426" s="1">
        <v>3</v>
      </c>
      <c r="B6426" s="1" t="s">
        <v>5251</v>
      </c>
      <c r="C6426" s="1" t="str">
        <f ca="1">IFERROR(__xludf.DUMMYFUNCTION("GOOGLETRANSLATE(B6510,""en"",""ja"")"),"ビューア")</f>
        <v>ビューア</v>
      </c>
    </row>
    <row r="6427" spans="1:3" ht="18" customHeight="1" x14ac:dyDescent="0.3">
      <c r="A6427" s="1">
        <v>3</v>
      </c>
      <c r="B6427" s="1" t="s">
        <v>5252</v>
      </c>
      <c r="C6427" s="1" t="str">
        <f ca="1">IFERROR(__xludf.DUMMYFUNCTION("GOOGLETRANSLATE(B6511,""en"",""ja"")"),"ベトナム語")</f>
        <v>ベトナム語</v>
      </c>
    </row>
    <row r="6428" spans="1:3" ht="18" customHeight="1" x14ac:dyDescent="0.3">
      <c r="A6428" s="1">
        <v>3</v>
      </c>
      <c r="B6428" s="1" t="s">
        <v>5253</v>
      </c>
      <c r="C6428" s="1" t="str">
        <f ca="1">IFERROR(__xludf.DUMMYFUNCTION("GOOGLETRANSLATE(B6512,""en"",""ja"")"),"ベトナム")</f>
        <v>ベトナム</v>
      </c>
    </row>
    <row r="6429" spans="1:3" ht="18" customHeight="1" x14ac:dyDescent="0.3">
      <c r="A6429" s="1">
        <v>3</v>
      </c>
      <c r="B6429" s="1" t="s">
        <v>3782</v>
      </c>
      <c r="C6429" s="1" t="str">
        <f ca="1">IFERROR(__xludf.DUMMYFUNCTION("GOOGLETRANSLATE(B6513,""en"",""ja"")"),"勝利")</f>
        <v>勝利</v>
      </c>
    </row>
    <row r="6430" spans="1:3" ht="18" customHeight="1" x14ac:dyDescent="0.3">
      <c r="A6430" s="1">
        <v>3</v>
      </c>
      <c r="B6430" s="1" t="s">
        <v>5254</v>
      </c>
      <c r="C6430" s="1" t="str">
        <f ca="1">IFERROR(__xludf.DUMMYFUNCTION("GOOGLETRANSLATE(B6514,""en"",""ja"")"),"勝利")</f>
        <v>勝利</v>
      </c>
    </row>
    <row r="6431" spans="1:3" ht="18" customHeight="1" x14ac:dyDescent="0.3">
      <c r="A6431" s="1">
        <v>3</v>
      </c>
      <c r="B6431" s="1" t="s">
        <v>3166</v>
      </c>
      <c r="C6431" s="1" t="str">
        <f ca="1">IFERROR(__xludf.DUMMYFUNCTION("GOOGLETRANSLATE(B6515,""en"",""ja"")"),"実行可能な")</f>
        <v>実行可能な</v>
      </c>
    </row>
    <row r="6432" spans="1:3" ht="18" customHeight="1" x14ac:dyDescent="0.3">
      <c r="A6432" s="1">
        <v>3</v>
      </c>
      <c r="B6432" s="1" t="s">
        <v>983</v>
      </c>
      <c r="C6432" s="1" t="str">
        <f ca="1">IFERROR(__xludf.DUMMYFUNCTION("GOOGLETRANSLATE(B6516,""en"",""ja"")"),"バージョン")</f>
        <v>バージョン</v>
      </c>
    </row>
    <row r="6433" spans="1:3" ht="18" customHeight="1" x14ac:dyDescent="0.3">
      <c r="A6433" s="1">
        <v>3</v>
      </c>
      <c r="B6433" s="1" t="s">
        <v>5255</v>
      </c>
      <c r="C6433" s="1" t="str">
        <f ca="1">IFERROR(__xludf.DUMMYFUNCTION("GOOGLETRANSLATE(B6517,""en"",""ja"")"),"多目的")</f>
        <v>多目的</v>
      </c>
    </row>
    <row r="6434" spans="1:3" ht="18" customHeight="1" x14ac:dyDescent="0.3">
      <c r="A6434" s="1">
        <v>3</v>
      </c>
      <c r="B6434" s="1" t="s">
        <v>5256</v>
      </c>
      <c r="C6434" s="1" t="str">
        <f ca="1">IFERROR(__xludf.DUMMYFUNCTION("GOOGLETRANSLATE(B6518,""en"",""ja"")"),"確認")</f>
        <v>確認</v>
      </c>
    </row>
    <row r="6435" spans="1:3" ht="18" customHeight="1" x14ac:dyDescent="0.3">
      <c r="A6435" s="1">
        <v>3</v>
      </c>
      <c r="B6435" s="1" t="s">
        <v>5257</v>
      </c>
      <c r="C6435" s="1" t="str">
        <f ca="1">IFERROR(__xludf.DUMMYFUNCTION("GOOGLETRANSLATE(B6519,""en"",""ja"")"),"へり")</f>
        <v>へり</v>
      </c>
    </row>
    <row r="6436" spans="1:3" ht="18" customHeight="1" x14ac:dyDescent="0.3">
      <c r="A6436" s="1">
        <v>3</v>
      </c>
      <c r="B6436" s="1" t="s">
        <v>5258</v>
      </c>
      <c r="C6436" s="1" t="str">
        <f ca="1">IFERROR(__xludf.DUMMYFUNCTION("GOOGLETRANSLATE(B6520,""en"",""ja"")"),"口頭")</f>
        <v>口頭</v>
      </c>
    </row>
    <row r="6437" spans="1:3" ht="18" customHeight="1" x14ac:dyDescent="0.3">
      <c r="A6437" s="1">
        <v>3</v>
      </c>
      <c r="B6437" s="1" t="s">
        <v>5259</v>
      </c>
      <c r="C6437" s="1" t="str">
        <f ca="1">IFERROR(__xludf.DUMMYFUNCTION("GOOGLETRANSLATE(B6521,""en"",""ja"")"),"草木")</f>
        <v>草木</v>
      </c>
    </row>
    <row r="6438" spans="1:3" ht="18" customHeight="1" x14ac:dyDescent="0.3">
      <c r="A6438" s="1">
        <v>3</v>
      </c>
      <c r="B6438" s="1" t="s">
        <v>5260</v>
      </c>
      <c r="C6438" s="1" t="str">
        <f ca="1">IFERROR(__xludf.DUMMYFUNCTION("GOOGLETRANSLATE(B6522,""en"",""ja"")"),"品種")</f>
        <v>品種</v>
      </c>
    </row>
    <row r="6439" spans="1:3" ht="18" customHeight="1" x14ac:dyDescent="0.3">
      <c r="A6439" s="1">
        <v>3</v>
      </c>
      <c r="B6439" s="1" t="s">
        <v>5261</v>
      </c>
      <c r="C6439" s="1" t="str">
        <f ca="1">IFERROR(__xludf.DUMMYFUNCTION("GOOGLETRANSLATE(B6523,""en"",""ja"")"),"ワニス")</f>
        <v>ワニス</v>
      </c>
    </row>
    <row r="6440" spans="1:3" ht="18" customHeight="1" x14ac:dyDescent="0.3">
      <c r="A6440" s="1">
        <v>3</v>
      </c>
      <c r="B6440" s="1" t="s">
        <v>2842</v>
      </c>
      <c r="C6440" s="1" t="str">
        <f ca="1">IFERROR(__xludf.DUMMYFUNCTION("GOOGLETRANSLATE(B6524,""en"",""ja"")"),"バルブ")</f>
        <v>バルブ</v>
      </c>
    </row>
    <row r="6441" spans="1:3" ht="18" customHeight="1" x14ac:dyDescent="0.3">
      <c r="A6441" s="1">
        <v>3</v>
      </c>
      <c r="B6441" s="1" t="s">
        <v>5262</v>
      </c>
      <c r="C6441" s="1" t="str">
        <f ca="1">IFERROR(__xludf.DUMMYFUNCTION("GOOGLETRANSLATE(B6525,""en"",""ja"")"),"役に立ちません")</f>
        <v>役に立ちません</v>
      </c>
    </row>
    <row r="6442" spans="1:3" ht="18" customHeight="1" x14ac:dyDescent="0.3">
      <c r="A6442" s="1">
        <v>3</v>
      </c>
      <c r="B6442" s="1" t="s">
        <v>5263</v>
      </c>
      <c r="C6442" s="1" t="str">
        <f ca="1">IFERROR(__xludf.DUMMYFUNCTION("GOOGLETRANSLATE(B6526,""en"",""ja"")"),"上向きに")</f>
        <v>上向きに</v>
      </c>
    </row>
    <row r="6443" spans="1:3" ht="18" customHeight="1" x14ac:dyDescent="0.3">
      <c r="A6443" s="1">
        <v>3</v>
      </c>
      <c r="B6443" s="1" t="s">
        <v>4274</v>
      </c>
      <c r="C6443" s="1" t="str">
        <f ca="1">IFERROR(__xludf.DUMMYFUNCTION("GOOGLETRANSLATE(B6527,""en"",""ja"")"),"上部")</f>
        <v>上部</v>
      </c>
    </row>
    <row r="6444" spans="1:3" ht="18" customHeight="1" x14ac:dyDescent="0.3">
      <c r="A6444" s="1">
        <v>3</v>
      </c>
      <c r="B6444" s="1" t="s">
        <v>5264</v>
      </c>
      <c r="C6444" s="1" t="str">
        <f ca="1">IFERROR(__xludf.DUMMYFUNCTION("GOOGLETRANSLATE(B6528,""en"",""ja"")"),"最上")</f>
        <v>最上</v>
      </c>
    </row>
    <row r="6445" spans="1:3" ht="18" customHeight="1" x14ac:dyDescent="0.3">
      <c r="A6445" s="1">
        <v>3</v>
      </c>
      <c r="B6445" s="1" t="s">
        <v>5265</v>
      </c>
      <c r="C6445" s="1" t="str">
        <f ca="1">IFERROR(__xludf.DUMMYFUNCTION("GOOGLETRANSLATE(B6529,""en"",""ja"")"),"歓迎されません")</f>
        <v>歓迎されません</v>
      </c>
    </row>
    <row r="6446" spans="1:3" ht="18" customHeight="1" x14ac:dyDescent="0.3">
      <c r="A6446" s="1">
        <v>3</v>
      </c>
      <c r="B6446" s="1" t="s">
        <v>5266</v>
      </c>
      <c r="C6446" s="1" t="str">
        <f ca="1">IFERROR(__xludf.DUMMYFUNCTION("GOOGLETRANSLATE(B6530,""en"",""ja"")"),"意想外")</f>
        <v>意想外</v>
      </c>
    </row>
    <row r="6447" spans="1:3" ht="18" customHeight="1" x14ac:dyDescent="0.3">
      <c r="A6447" s="1">
        <v>3</v>
      </c>
      <c r="B6447" s="1" t="s">
        <v>5267</v>
      </c>
      <c r="C6447" s="1" t="str">
        <f ca="1">IFERROR(__xludf.DUMMYFUNCTION("GOOGLETRANSLATE(B6531,""en"",""ja"")"),"不穏")</f>
        <v>不穏</v>
      </c>
    </row>
    <row r="6448" spans="1:3" ht="18" customHeight="1" x14ac:dyDescent="0.3">
      <c r="A6448" s="1">
        <v>3</v>
      </c>
      <c r="B6448" s="1" t="s">
        <v>5268</v>
      </c>
      <c r="C6448" s="1" t="str">
        <f ca="1">IFERROR(__xludf.DUMMYFUNCTION("GOOGLETRANSLATE(B6532,""en"",""ja"")"),"応答しません")</f>
        <v>応答しません</v>
      </c>
    </row>
    <row r="6449" spans="1:3" ht="18" customHeight="1" x14ac:dyDescent="0.3">
      <c r="A6449" s="1">
        <v>3</v>
      </c>
      <c r="B6449" s="1" t="s">
        <v>5269</v>
      </c>
      <c r="C6449" s="1" t="str">
        <f ca="1">IFERROR(__xludf.DUMMYFUNCTION("GOOGLETRANSLATE(B6533,""en"",""ja"")"),"未解決")</f>
        <v>未解決</v>
      </c>
    </row>
    <row r="6450" spans="1:3" ht="18" customHeight="1" x14ac:dyDescent="0.3">
      <c r="A6450" s="1">
        <v>3</v>
      </c>
      <c r="B6450" s="1" t="s">
        <v>5270</v>
      </c>
      <c r="C6450" s="1" t="str">
        <f ca="1">IFERROR(__xludf.DUMMYFUNCTION("GOOGLETRANSLATE(B6534,""en"",""ja"")"),"不確実")</f>
        <v>不確実</v>
      </c>
    </row>
    <row r="6451" spans="1:3" ht="18" customHeight="1" x14ac:dyDescent="0.3">
      <c r="A6451" s="1">
        <v>3</v>
      </c>
      <c r="B6451" s="1" t="s">
        <v>5271</v>
      </c>
      <c r="C6451" s="1" t="str">
        <f ca="1">IFERROR(__xludf.DUMMYFUNCTION("GOOGLETRANSLATE(B6535,""en"",""ja"")"),"無関係")</f>
        <v>無関係</v>
      </c>
    </row>
    <row r="6452" spans="1:3" ht="18" customHeight="1" x14ac:dyDescent="0.3">
      <c r="A6452" s="1">
        <v>3</v>
      </c>
      <c r="B6452" s="1" t="s">
        <v>5272</v>
      </c>
      <c r="C6452" s="1" t="str">
        <f ca="1">IFERROR(__xludf.DUMMYFUNCTION("GOOGLETRANSLATE(B6536,""en"",""ja"")"),"未実現")</f>
        <v>未実現</v>
      </c>
    </row>
    <row r="6453" spans="1:3" ht="18" customHeight="1" x14ac:dyDescent="0.3">
      <c r="A6453" s="1">
        <v>3</v>
      </c>
      <c r="B6453" s="1" t="s">
        <v>5273</v>
      </c>
      <c r="C6453" s="1" t="str">
        <f ca="1">IFERROR(__xludf.DUMMYFUNCTION("GOOGLETRANSLATE(B6537,""en"",""ja"")"),"非現実的")</f>
        <v>非現実的</v>
      </c>
    </row>
    <row r="6454" spans="1:3" ht="18" customHeight="1" x14ac:dyDescent="0.3">
      <c r="A6454" s="1">
        <v>3</v>
      </c>
      <c r="B6454" s="1" t="s">
        <v>2503</v>
      </c>
      <c r="C6454" s="1" t="str">
        <f ca="1">IFERROR(__xludf.DUMMYFUNCTION("GOOGLETRANSLATE(B6538,""en"",""ja"")"),"予測不可能な")</f>
        <v>予測不可能な</v>
      </c>
    </row>
    <row r="6455" spans="1:3" ht="18" customHeight="1" x14ac:dyDescent="0.3">
      <c r="A6455" s="1">
        <v>3</v>
      </c>
      <c r="B6455" s="1" t="s">
        <v>5274</v>
      </c>
      <c r="C6455" s="1" t="str">
        <f ca="1">IFERROR(__xludf.DUMMYFUNCTION("GOOGLETRANSLATE(B6539,""en"",""ja"")"),"未払い")</f>
        <v>未払い</v>
      </c>
    </row>
    <row r="6456" spans="1:3" ht="18" customHeight="1" x14ac:dyDescent="0.3">
      <c r="A6456" s="1">
        <v>3</v>
      </c>
      <c r="B6456" s="1" t="s">
        <v>4285</v>
      </c>
      <c r="C6456" s="1" t="str">
        <f ca="1">IFERROR(__xludf.DUMMYFUNCTION("GOOGLETRANSLATE(B6540,""en"",""ja"")"),"そう")</f>
        <v>そう</v>
      </c>
    </row>
    <row r="6457" spans="1:3" ht="18" customHeight="1" x14ac:dyDescent="0.3">
      <c r="A6457" s="1">
        <v>3</v>
      </c>
      <c r="B6457" s="1" t="s">
        <v>5275</v>
      </c>
      <c r="C6457" s="1" t="str">
        <f ca="1">IFERROR(__xludf.DUMMYFUNCTION("GOOGLETRANSLATE(B6541,""en"",""ja"")"),"大学")</f>
        <v>大学</v>
      </c>
    </row>
    <row r="6458" spans="1:3" ht="18" customHeight="1" x14ac:dyDescent="0.3">
      <c r="A6458" s="1">
        <v>3</v>
      </c>
      <c r="B6458" s="1" t="s">
        <v>5276</v>
      </c>
      <c r="C6458" s="1" t="str">
        <f ca="1">IFERROR(__xludf.DUMMYFUNCTION("GOOGLETRANSLATE(B6542,""en"",""ja"")"),"全般的に")</f>
        <v>全般的に</v>
      </c>
    </row>
    <row r="6459" spans="1:3" ht="18" customHeight="1" x14ac:dyDescent="0.3">
      <c r="A6459" s="1">
        <v>3</v>
      </c>
      <c r="B6459" s="1" t="s">
        <v>158</v>
      </c>
      <c r="C6459" s="1" t="str">
        <f ca="1">IFERROR(__xludf.DUMMYFUNCTION("GOOGLETRANSLATE(B6543,""en"",""ja"")"),"ユニバーサル")</f>
        <v>ユニバーサル</v>
      </c>
    </row>
    <row r="6460" spans="1:3" ht="18" customHeight="1" x14ac:dyDescent="0.3">
      <c r="A6460" s="1">
        <v>3</v>
      </c>
      <c r="B6460" s="1" t="s">
        <v>5277</v>
      </c>
      <c r="C6460" s="1" t="str">
        <f ca="1">IFERROR(__xludf.DUMMYFUNCTION("GOOGLETRANSLATE(B6544,""en"",""ja"")"),"無知")</f>
        <v>無知</v>
      </c>
    </row>
    <row r="6461" spans="1:3" ht="18" customHeight="1" x14ac:dyDescent="0.3">
      <c r="A6461" s="1">
        <v>3</v>
      </c>
      <c r="B6461" s="1" t="s">
        <v>4288</v>
      </c>
      <c r="C6461" s="1" t="str">
        <f ca="1">IFERROR(__xludf.DUMMYFUNCTION("GOOGLETRANSLATE(B6545,""en"",""ja"")"),"想像を絶する")</f>
        <v>想像を絶する</v>
      </c>
    </row>
    <row r="6462" spans="1:3" ht="18" customHeight="1" x14ac:dyDescent="0.3">
      <c r="A6462" s="1">
        <v>3</v>
      </c>
      <c r="B6462" s="1" t="s">
        <v>5278</v>
      </c>
      <c r="C6462" s="1" t="str">
        <f ca="1">IFERROR(__xludf.DUMMYFUNCTION("GOOGLETRANSLATE(B6546,""en"",""ja"")"),"統一")</f>
        <v>統一</v>
      </c>
    </row>
    <row r="6463" spans="1:3" ht="18" customHeight="1" x14ac:dyDescent="0.3">
      <c r="A6463" s="1">
        <v>3</v>
      </c>
      <c r="B6463" s="1" t="s">
        <v>5279</v>
      </c>
      <c r="C6463" s="1" t="str">
        <f ca="1">IFERROR(__xludf.DUMMYFUNCTION("GOOGLETRANSLATE(B6547,""en"",""ja"")"),"制服")</f>
        <v>制服</v>
      </c>
    </row>
    <row r="6464" spans="1:3" ht="18" customHeight="1" x14ac:dyDescent="0.3">
      <c r="A6464" s="1">
        <v>3</v>
      </c>
      <c r="B6464" s="1" t="s">
        <v>5280</v>
      </c>
      <c r="C6464" s="1" t="str">
        <f ca="1">IFERROR(__xludf.DUMMYFUNCTION("GOOGLETRANSLATE(B6548,""en"",""ja"")"),"単細胞")</f>
        <v>単細胞</v>
      </c>
    </row>
    <row r="6465" spans="1:3" ht="18" customHeight="1" x14ac:dyDescent="0.3">
      <c r="A6465" s="1">
        <v>3</v>
      </c>
      <c r="B6465" s="1" t="s">
        <v>5281</v>
      </c>
      <c r="C6465" s="1" t="str">
        <f ca="1">IFERROR(__xludf.DUMMYFUNCTION("GOOGLETRANSLATE(B6549,""en"",""ja"")"),"ユニセフ")</f>
        <v>ユニセフ</v>
      </c>
    </row>
    <row r="6466" spans="1:3" ht="18" customHeight="1" x14ac:dyDescent="0.3">
      <c r="A6466" s="1">
        <v>3</v>
      </c>
      <c r="B6466" s="1" t="s">
        <v>4290</v>
      </c>
      <c r="C6466" s="1" t="str">
        <f ca="1">IFERROR(__xludf.DUMMYFUNCTION("GOOGLETRANSLATE(B6550,""en"",""ja"")"),"不運にも")</f>
        <v>不運にも</v>
      </c>
    </row>
    <row r="6467" spans="1:3" ht="18" customHeight="1" x14ac:dyDescent="0.3">
      <c r="A6467" s="1">
        <v>3</v>
      </c>
      <c r="B6467" s="1" t="s">
        <v>4292</v>
      </c>
      <c r="C6467" s="1" t="str">
        <f ca="1">IFERROR(__xludf.DUMMYFUNCTION("GOOGLETRANSLATE(B6551,""en"",""ja"")"),"見知らぬ")</f>
        <v>見知らぬ</v>
      </c>
    </row>
    <row r="6468" spans="1:3" ht="18" customHeight="1" x14ac:dyDescent="0.3">
      <c r="A6468" s="1">
        <v>3</v>
      </c>
      <c r="B6468" s="1" t="s">
        <v>5282</v>
      </c>
      <c r="C6468" s="1" t="str">
        <f ca="1">IFERROR(__xludf.DUMMYFUNCTION("GOOGLETRANSLATE(B6552,""en"",""ja"")"),"アンフェア")</f>
        <v>アンフェア</v>
      </c>
    </row>
    <row r="6469" spans="1:3" ht="18" customHeight="1" x14ac:dyDescent="0.3">
      <c r="A6469" s="1">
        <v>3</v>
      </c>
      <c r="B6469" s="1" t="s">
        <v>5283</v>
      </c>
      <c r="C6469" s="1" t="str">
        <f ca="1">IFERROR(__xludf.DUMMYFUNCTION("GOOGLETRANSLATE(B6554,""en"",""ja"")"),"ムラ")</f>
        <v>ムラ</v>
      </c>
    </row>
    <row r="6470" spans="1:3" ht="18" customHeight="1" x14ac:dyDescent="0.3">
      <c r="A6470" s="1">
        <v>3</v>
      </c>
      <c r="B6470" s="1" t="s">
        <v>5284</v>
      </c>
      <c r="C6470" s="1" t="str">
        <f ca="1">IFERROR(__xludf.DUMMYFUNCTION("GOOGLETRANSLATE(B6555,""en"",""ja"")"),"不平等")</f>
        <v>不平等</v>
      </c>
    </row>
    <row r="6471" spans="1:3" ht="18" customHeight="1" x14ac:dyDescent="0.3">
      <c r="A6471" s="1">
        <v>3</v>
      </c>
      <c r="B6471" s="1" t="s">
        <v>5285</v>
      </c>
      <c r="C6471" s="1" t="str">
        <f ca="1">IFERROR(__xludf.DUMMYFUNCTION("GOOGLETRANSLATE(B6556,""en"",""ja"")"),"望ましくありません")</f>
        <v>望ましくありません</v>
      </c>
    </row>
    <row r="6472" spans="1:3" ht="18" customHeight="1" x14ac:dyDescent="0.3">
      <c r="A6472" s="1">
        <v>3</v>
      </c>
      <c r="B6472" s="1" t="s">
        <v>5286</v>
      </c>
      <c r="C6472" s="1" t="str">
        <f ca="1">IFERROR(__xludf.DUMMYFUNCTION("GOOGLETRANSLATE(B6557,""en"",""ja"")"),"下地")</f>
        <v>下地</v>
      </c>
    </row>
    <row r="6473" spans="1:3" ht="18" customHeight="1" x14ac:dyDescent="0.3">
      <c r="A6473" s="1">
        <v>3</v>
      </c>
      <c r="B6473" s="1" t="s">
        <v>5287</v>
      </c>
      <c r="C6473" s="1" t="str">
        <f ca="1">IFERROR(__xludf.DUMMYFUNCTION("GOOGLETRANSLATE(B6558,""en"",""ja"")"),"過小評価")</f>
        <v>過小評価</v>
      </c>
    </row>
    <row r="6474" spans="1:3" ht="18" customHeight="1" x14ac:dyDescent="0.3">
      <c r="A6474" s="1">
        <v>3</v>
      </c>
      <c r="B6474" s="1" t="s">
        <v>5288</v>
      </c>
      <c r="C6474" s="1" t="str">
        <f ca="1">IFERROR(__xludf.DUMMYFUNCTION("GOOGLETRANSLATE(B6559,""en"",""ja"")"),"不徹底")</f>
        <v>不徹底</v>
      </c>
    </row>
    <row r="6475" spans="1:3" ht="18" customHeight="1" x14ac:dyDescent="0.3">
      <c r="A6475" s="1">
        <v>3</v>
      </c>
      <c r="B6475" s="1" t="s">
        <v>5289</v>
      </c>
      <c r="C6475" s="1" t="str">
        <f ca="1">IFERROR(__xludf.DUMMYFUNCTION("GOOGLETRANSLATE(B6560,""en"",""ja"")"),"無条件")</f>
        <v>無条件</v>
      </c>
    </row>
    <row r="6476" spans="1:3" ht="18" customHeight="1" x14ac:dyDescent="0.3">
      <c r="A6476" s="1">
        <v>3</v>
      </c>
      <c r="B6476" s="1" t="s">
        <v>5290</v>
      </c>
      <c r="C6476" s="1" t="str">
        <f ca="1">IFERROR(__xludf.DUMMYFUNCTION("GOOGLETRANSLATE(B6561,""en"",""ja"")"),"不快な")</f>
        <v>不快な</v>
      </c>
    </row>
    <row r="6477" spans="1:3" ht="18" customHeight="1" x14ac:dyDescent="0.3">
      <c r="A6477" s="1">
        <v>3</v>
      </c>
      <c r="B6477" s="1" t="s">
        <v>5291</v>
      </c>
      <c r="C6477" s="1" t="str">
        <f ca="1">IFERROR(__xludf.DUMMYFUNCTION("GOOGLETRANSLATE(B6563,""en"",""ja"")"),"不明瞭")</f>
        <v>不明瞭</v>
      </c>
    </row>
    <row r="6478" spans="1:3" ht="18" customHeight="1" x14ac:dyDescent="0.3">
      <c r="A6478" s="1">
        <v>3</v>
      </c>
      <c r="B6478" s="1" t="s">
        <v>5292</v>
      </c>
      <c r="C6478" s="1" t="str">
        <f ca="1">IFERROR(__xludf.DUMMYFUNCTION("GOOGLETRANSLATE(B6564,""en"",""ja"")"),"未知")</f>
        <v>未知</v>
      </c>
    </row>
    <row r="6479" spans="1:3" ht="18" customHeight="1" x14ac:dyDescent="0.3">
      <c r="A6479" s="1">
        <v>3</v>
      </c>
      <c r="B6479" s="1" t="s">
        <v>5293</v>
      </c>
      <c r="C6479" s="1" t="str">
        <f ca="1">IFERROR(__xludf.DUMMYFUNCTION("GOOGLETRANSLATE(B6565,""en"",""ja"")"),"結合していません")</f>
        <v>結合していません</v>
      </c>
    </row>
    <row r="6480" spans="1:3" ht="18" customHeight="1" x14ac:dyDescent="0.3">
      <c r="A6480" s="1">
        <v>3</v>
      </c>
      <c r="B6480" s="1" t="s">
        <v>5294</v>
      </c>
      <c r="C6480" s="1" t="str">
        <f ca="1">IFERROR(__xludf.DUMMYFUNCTION("GOOGLETRANSLATE(B6566,""en"",""ja"")"),"アンバインド")</f>
        <v>アンバインド</v>
      </c>
    </row>
    <row r="6481" spans="1:3" ht="18" customHeight="1" x14ac:dyDescent="0.3">
      <c r="A6481" s="1">
        <v>3</v>
      </c>
      <c r="B6481" s="1" t="s">
        <v>5295</v>
      </c>
      <c r="C6481" s="1" t="str">
        <f ca="1">IFERROR(__xludf.DUMMYFUNCTION("GOOGLETRANSLATE(B6567,""en"",""ja"")"),"unasked")</f>
        <v>unasked</v>
      </c>
    </row>
    <row r="6482" spans="1:3" ht="18" customHeight="1" x14ac:dyDescent="0.3">
      <c r="A6482" s="1">
        <v>3</v>
      </c>
      <c r="B6482" s="1" t="s">
        <v>5296</v>
      </c>
      <c r="C6482" s="1" t="str">
        <f ca="1">IFERROR(__xludf.DUMMYFUNCTION("GOOGLETRANSLATE(B6568,""en"",""ja"")"),"ツイッター")</f>
        <v>ツイッター</v>
      </c>
    </row>
    <row r="6483" spans="1:3" ht="18" customHeight="1" x14ac:dyDescent="0.3">
      <c r="A6483" s="1">
        <v>3</v>
      </c>
      <c r="B6483" s="1" t="s">
        <v>5297</v>
      </c>
      <c r="C6483" s="1" t="str">
        <f ca="1">IFERROR(__xludf.DUMMYFUNCTION("GOOGLETRANSLATE(B6569,""en"",""ja"")"),"ターナー")</f>
        <v>ターナー</v>
      </c>
    </row>
    <row r="6484" spans="1:3" ht="18" customHeight="1" x14ac:dyDescent="0.3">
      <c r="A6484" s="1">
        <v>3</v>
      </c>
      <c r="B6484" s="1" t="s">
        <v>5298</v>
      </c>
      <c r="C6484" s="1" t="str">
        <f ca="1">IFERROR(__xludf.DUMMYFUNCTION("GOOGLETRANSLATE(B6570,""en"",""ja"")"),"熱帯")</f>
        <v>熱帯</v>
      </c>
    </row>
    <row r="6485" spans="1:3" ht="18" customHeight="1" x14ac:dyDescent="0.3">
      <c r="A6485" s="1">
        <v>3</v>
      </c>
      <c r="B6485" s="1" t="s">
        <v>5299</v>
      </c>
      <c r="C6485" s="1" t="str">
        <f ca="1">IFERROR(__xludf.DUMMYFUNCTION("GOOGLETRANSLATE(B6571,""en"",""ja"")"),"勝利")</f>
        <v>勝利</v>
      </c>
    </row>
    <row r="6486" spans="1:3" ht="18" customHeight="1" x14ac:dyDescent="0.3">
      <c r="A6486" s="1">
        <v>3</v>
      </c>
      <c r="B6486" s="1" t="s">
        <v>5300</v>
      </c>
      <c r="C6486" s="1" t="str">
        <f ca="1">IFERROR(__xludf.DUMMYFUNCTION("GOOGLETRANSLATE(B6572,""en"",""ja"")"),"ぺてん")</f>
        <v>ぺてん</v>
      </c>
    </row>
    <row r="6487" spans="1:3" ht="18" customHeight="1" x14ac:dyDescent="0.3">
      <c r="A6487" s="1">
        <v>3</v>
      </c>
      <c r="B6487" s="1" t="s">
        <v>5301</v>
      </c>
      <c r="C6487" s="1" t="str">
        <f ca="1">IFERROR(__xludf.DUMMYFUNCTION("GOOGLETRANSLATE(B6573,""en"",""ja"")"),"トライアル")</f>
        <v>トライアル</v>
      </c>
    </row>
    <row r="6488" spans="1:3" ht="18" customHeight="1" x14ac:dyDescent="0.3">
      <c r="A6488" s="1">
        <v>3</v>
      </c>
      <c r="B6488" s="1" t="s">
        <v>3804</v>
      </c>
      <c r="C6488" s="1" t="str">
        <f ca="1">IFERROR(__xludf.DUMMYFUNCTION("GOOGLETRANSLATE(B6574,""en"",""ja"")"),"傾向")</f>
        <v>傾向</v>
      </c>
    </row>
    <row r="6489" spans="1:3" ht="18" customHeight="1" x14ac:dyDescent="0.3">
      <c r="A6489" s="1">
        <v>3</v>
      </c>
      <c r="B6489" s="1" t="s">
        <v>5302</v>
      </c>
      <c r="C6489" s="1" t="str">
        <f ca="1">IFERROR(__xludf.DUMMYFUNCTION("GOOGLETRANSLATE(B6575,""en"",""ja"")"),"凄まじいです")</f>
        <v>凄まじいです</v>
      </c>
    </row>
    <row r="6490" spans="1:3" ht="18" customHeight="1" x14ac:dyDescent="0.3">
      <c r="A6490" s="1">
        <v>3</v>
      </c>
      <c r="B6490" s="1" t="s">
        <v>5303</v>
      </c>
      <c r="C6490" s="1" t="str">
        <f ca="1">IFERROR(__xludf.DUMMYFUNCTION("GOOGLETRANSLATE(B6576,""en"",""ja"")"),"おやつ")</f>
        <v>おやつ</v>
      </c>
    </row>
    <row r="6491" spans="1:3" ht="18" customHeight="1" x14ac:dyDescent="0.3">
      <c r="A6491" s="1">
        <v>3</v>
      </c>
      <c r="B6491" s="1" t="s">
        <v>5304</v>
      </c>
      <c r="C6491" s="1" t="str">
        <f ca="1">IFERROR(__xludf.DUMMYFUNCTION("GOOGLETRANSLATE(B6577,""en"",""ja"")"),"トリートメント")</f>
        <v>トリートメント</v>
      </c>
    </row>
    <row r="6492" spans="1:3" ht="18" customHeight="1" x14ac:dyDescent="0.3">
      <c r="A6492" s="1">
        <v>3</v>
      </c>
      <c r="B6492" s="1" t="s">
        <v>5305</v>
      </c>
      <c r="C6492" s="1" t="str">
        <f ca="1">IFERROR(__xludf.DUMMYFUNCTION("GOOGLETRANSLATE(B6578,""en"",""ja"")"),"処理")</f>
        <v>処理</v>
      </c>
    </row>
    <row r="6493" spans="1:3" ht="18" customHeight="1" x14ac:dyDescent="0.3">
      <c r="A6493" s="1">
        <v>3</v>
      </c>
      <c r="B6493" s="1" t="s">
        <v>5306</v>
      </c>
      <c r="C6493" s="1" t="str">
        <f ca="1">IFERROR(__xludf.DUMMYFUNCTION("GOOGLETRANSLATE(B6579,""en"",""ja"")"),"ルームランナー")</f>
        <v>ルームランナー</v>
      </c>
    </row>
    <row r="6494" spans="1:3" ht="18" customHeight="1" x14ac:dyDescent="0.3">
      <c r="A6494" s="1">
        <v>3</v>
      </c>
      <c r="B6494" s="1" t="s">
        <v>5307</v>
      </c>
      <c r="C6494" s="1" t="str">
        <f ca="1">IFERROR(__xludf.DUMMYFUNCTION("GOOGLETRANSLATE(B6580,""en"",""ja"")"),"トラウマ")</f>
        <v>トラウマ</v>
      </c>
    </row>
    <row r="6495" spans="1:3" ht="18" customHeight="1" x14ac:dyDescent="0.3">
      <c r="A6495" s="1">
        <v>3</v>
      </c>
      <c r="B6495" s="1" t="s">
        <v>5308</v>
      </c>
      <c r="C6495" s="1" t="str">
        <f ca="1">IFERROR(__xludf.DUMMYFUNCTION("GOOGLETRANSLATE(B6581,""en"",""ja"")"),"ゴミ")</f>
        <v>ゴミ</v>
      </c>
    </row>
    <row r="6496" spans="1:3" ht="18" customHeight="1" x14ac:dyDescent="0.3">
      <c r="A6496" s="1">
        <v>3</v>
      </c>
      <c r="B6496" s="1" t="s">
        <v>2856</v>
      </c>
      <c r="C6496" s="1" t="str">
        <f ca="1">IFERROR(__xludf.DUMMYFUNCTION("GOOGLETRANSLATE(B6582,""en"",""ja"")"),"トランスペアレント")</f>
        <v>トランスペアレント</v>
      </c>
    </row>
    <row r="6497" spans="1:3" ht="18" customHeight="1" x14ac:dyDescent="0.3">
      <c r="A6497" s="1">
        <v>3</v>
      </c>
      <c r="B6497" s="1" t="s">
        <v>5309</v>
      </c>
      <c r="C6497" s="1" t="str">
        <f ca="1">IFERROR(__xludf.DUMMYFUNCTION("GOOGLETRANSLATE(B6583,""en"",""ja"")"),"トランスミッター")</f>
        <v>トランスミッター</v>
      </c>
    </row>
    <row r="6498" spans="1:3" ht="18" customHeight="1" x14ac:dyDescent="0.3">
      <c r="A6498" s="1">
        <v>3</v>
      </c>
      <c r="B6498" s="1" t="s">
        <v>5310</v>
      </c>
      <c r="C6498" s="1" t="str">
        <f ca="1">IFERROR(__xludf.DUMMYFUNCTION("GOOGLETRANSLATE(B6584,""en"",""ja"")"),"トランスミッション")</f>
        <v>トランスミッション</v>
      </c>
    </row>
    <row r="6499" spans="1:3" ht="18" customHeight="1" x14ac:dyDescent="0.3">
      <c r="A6499" s="1">
        <v>3</v>
      </c>
      <c r="B6499" s="1" t="s">
        <v>5311</v>
      </c>
      <c r="C6499" s="1" t="str">
        <f ca="1">IFERROR(__xludf.DUMMYFUNCTION("GOOGLETRANSLATE(B6585,""en"",""ja"")"),"並進")</f>
        <v>並進</v>
      </c>
    </row>
    <row r="6500" spans="1:3" ht="18" customHeight="1" x14ac:dyDescent="0.3">
      <c r="A6500" s="1">
        <v>3</v>
      </c>
      <c r="B6500" s="1" t="s">
        <v>5312</v>
      </c>
      <c r="C6500" s="1" t="str">
        <f ca="1">IFERROR(__xludf.DUMMYFUNCTION("GOOGLETRANSLATE(B6586,""en"",""ja"")"),"トランジット")</f>
        <v>トランジット</v>
      </c>
    </row>
    <row r="6501" spans="1:3" ht="18" customHeight="1" x14ac:dyDescent="0.3">
      <c r="A6501" s="1">
        <v>3</v>
      </c>
      <c r="B6501" s="1" t="s">
        <v>5313</v>
      </c>
      <c r="C6501" s="1" t="str">
        <f ca="1">IFERROR(__xludf.DUMMYFUNCTION("GOOGLETRANSLATE(B6587,""en"",""ja"")"),"背き")</f>
        <v>背き</v>
      </c>
    </row>
    <row r="6502" spans="1:3" ht="18" customHeight="1" x14ac:dyDescent="0.3">
      <c r="A6502" s="1">
        <v>3</v>
      </c>
      <c r="B6502" s="1" t="s">
        <v>5314</v>
      </c>
      <c r="C6502" s="1" t="str">
        <f ca="1">IFERROR(__xludf.DUMMYFUNCTION("GOOGLETRANSLATE(B6588,""en"",""ja"")"),"変換")</f>
        <v>変換</v>
      </c>
    </row>
    <row r="6503" spans="1:3" ht="18" customHeight="1" x14ac:dyDescent="0.3">
      <c r="A6503" s="1">
        <v>3</v>
      </c>
      <c r="B6503" s="1" t="s">
        <v>5315</v>
      </c>
      <c r="C6503" s="1" t="str">
        <f ca="1">IFERROR(__xludf.DUMMYFUNCTION("GOOGLETRANSLATE(B6589,""en"",""ja"")"),"超絶")</f>
        <v>超絶</v>
      </c>
    </row>
    <row r="6504" spans="1:3" ht="18" customHeight="1" x14ac:dyDescent="0.3">
      <c r="A6504" s="1">
        <v>3</v>
      </c>
      <c r="B6504" s="1" t="s">
        <v>5316</v>
      </c>
      <c r="C6504" s="1" t="str">
        <f ca="1">IFERROR(__xludf.DUMMYFUNCTION("GOOGLETRANSLATE(B6590,""en"",""ja"")"),"トランセンド")</f>
        <v>トランセンド</v>
      </c>
    </row>
    <row r="6505" spans="1:3" ht="18" customHeight="1" x14ac:dyDescent="0.3">
      <c r="A6505" s="1">
        <v>3</v>
      </c>
      <c r="B6505" s="1" t="s">
        <v>5317</v>
      </c>
      <c r="C6505" s="1" t="str">
        <f ca="1">IFERROR(__xludf.DUMMYFUNCTION("GOOGLETRANSLATE(B6591,""en"",""ja"")"),"トレイル")</f>
        <v>トレイル</v>
      </c>
    </row>
    <row r="6506" spans="1:3" ht="18" customHeight="1" x14ac:dyDescent="0.3">
      <c r="A6506" s="1">
        <v>3</v>
      </c>
      <c r="B6506" s="1" t="s">
        <v>371</v>
      </c>
      <c r="C6506" s="1" t="str">
        <f ca="1">IFERROR(__xludf.DUMMYFUNCTION("GOOGLETRANSLATE(B6592,""en"",""ja"")"),"伝統的な")</f>
        <v>伝統的な</v>
      </c>
    </row>
    <row r="6507" spans="1:3" ht="18" customHeight="1" x14ac:dyDescent="0.3">
      <c r="A6507" s="1">
        <v>3</v>
      </c>
      <c r="B6507" s="1" t="s">
        <v>5318</v>
      </c>
      <c r="C6507" s="1" t="str">
        <f ca="1">IFERROR(__xludf.DUMMYFUNCTION("GOOGLETRANSLATE(B6593,""en"",""ja"")"),"tradi")</f>
        <v>tradi</v>
      </c>
    </row>
    <row r="6508" spans="1:3" ht="18" customHeight="1" x14ac:dyDescent="0.3">
      <c r="A6508" s="1">
        <v>3</v>
      </c>
      <c r="B6508" s="1" t="s">
        <v>5319</v>
      </c>
      <c r="C6508" s="1" t="str">
        <f ca="1">IFERROR(__xludf.DUMMYFUNCTION("GOOGLETRANSLATE(B6594,""en"",""ja"")"),"トラクト")</f>
        <v>トラクト</v>
      </c>
    </row>
    <row r="6509" spans="1:3" ht="18" customHeight="1" x14ac:dyDescent="0.3">
      <c r="A6509" s="1">
        <v>3</v>
      </c>
      <c r="B6509" s="1" t="s">
        <v>5320</v>
      </c>
      <c r="C6509" s="1" t="str">
        <f ca="1">IFERROR(__xludf.DUMMYFUNCTION("GOOGLETRANSLATE(B6595,""en"",""ja"")"),"おもちゃ")</f>
        <v>おもちゃ</v>
      </c>
    </row>
    <row r="6510" spans="1:3" ht="18" customHeight="1" x14ac:dyDescent="0.3">
      <c r="A6510" s="1">
        <v>3</v>
      </c>
      <c r="B6510" s="1" t="s">
        <v>5321</v>
      </c>
      <c r="C6510" s="1" t="str">
        <f ca="1">IFERROR(__xludf.DUMMYFUNCTION("GOOGLETRANSLATE(B6596,""en"",""ja"")"),"観光客")</f>
        <v>観光客</v>
      </c>
    </row>
    <row r="6511" spans="1:3" ht="18" customHeight="1" x14ac:dyDescent="0.3">
      <c r="A6511" s="1">
        <v>3</v>
      </c>
      <c r="B6511" s="1" t="s">
        <v>816</v>
      </c>
      <c r="C6511" s="1" t="str">
        <f ca="1">IFERROR(__xludf.DUMMYFUNCTION("GOOGLETRANSLATE(B6597,""en"",""ja"")"),"上")</f>
        <v>上</v>
      </c>
    </row>
    <row r="6512" spans="1:3" ht="18" customHeight="1" x14ac:dyDescent="0.3">
      <c r="A6512" s="1">
        <v>3</v>
      </c>
      <c r="B6512" s="1" t="s">
        <v>5322</v>
      </c>
      <c r="C6512" s="1" t="str">
        <f ca="1">IFERROR(__xludf.DUMMYFUNCTION("GOOGLETRANSLATE(B6598,""en"",""ja"")"),"歯付き")</f>
        <v>歯付き</v>
      </c>
    </row>
    <row r="6513" spans="1:3" ht="18" customHeight="1" x14ac:dyDescent="0.3">
      <c r="A6513" s="1">
        <v>3</v>
      </c>
      <c r="B6513" s="1" t="s">
        <v>3200</v>
      </c>
      <c r="C6513" s="1" t="str">
        <f ca="1">IFERROR(__xludf.DUMMYFUNCTION("GOOGLETRANSLATE(B6599,""en"",""ja"")"),"トーン")</f>
        <v>トーン</v>
      </c>
    </row>
    <row r="6514" spans="1:3" ht="18" customHeight="1" x14ac:dyDescent="0.3">
      <c r="A6514" s="1">
        <v>3</v>
      </c>
      <c r="B6514" s="1" t="s">
        <v>5323</v>
      </c>
      <c r="C6514" s="1" t="str">
        <f ca="1">IFERROR(__xludf.DUMMYFUNCTION("GOOGLETRANSLATE(B6600,""en"",""ja"")"),"トーナル")</f>
        <v>トーナル</v>
      </c>
    </row>
    <row r="6515" spans="1:3" ht="18" customHeight="1" x14ac:dyDescent="0.3">
      <c r="A6515" s="1">
        <v>3</v>
      </c>
      <c r="B6515" s="1" t="s">
        <v>5324</v>
      </c>
      <c r="C6515" s="1" t="str">
        <f ca="1">IFERROR(__xludf.DUMMYFUNCTION("GOOGLETRANSLATE(B6601,""en"",""ja"")"),"トレラント")</f>
        <v>トレラント</v>
      </c>
    </row>
    <row r="6516" spans="1:3" ht="18" customHeight="1" x14ac:dyDescent="0.3">
      <c r="A6516" s="1">
        <v>3</v>
      </c>
      <c r="B6516" s="1" t="s">
        <v>5325</v>
      </c>
      <c r="C6516" s="1" t="str">
        <f ca="1">IFERROR(__xludf.DUMMYFUNCTION("GOOGLETRANSLATE(B6602,""en"",""ja"")"),"トークン")</f>
        <v>トークン</v>
      </c>
    </row>
    <row r="6517" spans="1:3" ht="18" customHeight="1" x14ac:dyDescent="0.3">
      <c r="A6517" s="1">
        <v>3</v>
      </c>
      <c r="B6517" s="1" t="s">
        <v>5326</v>
      </c>
      <c r="C6517" s="1" t="str">
        <f ca="1">IFERROR(__xludf.DUMMYFUNCTION("GOOGLETRANSLATE(B6603,""en"",""ja"")"),"トイレ")</f>
        <v>トイレ</v>
      </c>
    </row>
    <row r="6518" spans="1:3" ht="18" customHeight="1" x14ac:dyDescent="0.3">
      <c r="A6518" s="1">
        <v>3</v>
      </c>
      <c r="B6518" s="1" t="s">
        <v>5327</v>
      </c>
      <c r="C6518" s="1" t="str">
        <f ca="1">IFERROR(__xludf.DUMMYFUNCTION("GOOGLETRANSLATE(B6604,""en"",""ja"")"),"連帯")</f>
        <v>連帯</v>
      </c>
    </row>
    <row r="6519" spans="1:3" ht="18" customHeight="1" x14ac:dyDescent="0.3">
      <c r="A6519" s="1">
        <v>3</v>
      </c>
      <c r="B6519" s="1" t="s">
        <v>5328</v>
      </c>
      <c r="C6519" s="1" t="str">
        <f ca="1">IFERROR(__xludf.DUMMYFUNCTION("GOOGLETRANSLATE(B6605,""en"",""ja"")"),"tl1e")</f>
        <v>tl1e</v>
      </c>
    </row>
    <row r="6520" spans="1:3" ht="18" customHeight="1" x14ac:dyDescent="0.3">
      <c r="A6520" s="1">
        <v>3</v>
      </c>
      <c r="B6520" s="1" t="s">
        <v>5329</v>
      </c>
      <c r="C6520" s="1" t="str">
        <f ca="1">IFERROR(__xludf.DUMMYFUNCTION("GOOGLETRANSLATE(B6606,""en"",""ja"")"),"ション")</f>
        <v>ション</v>
      </c>
    </row>
    <row r="6521" spans="1:3" ht="18" customHeight="1" x14ac:dyDescent="0.3">
      <c r="A6521" s="1">
        <v>3</v>
      </c>
      <c r="B6521" s="1" t="s">
        <v>5330</v>
      </c>
      <c r="C6521" s="1" t="str">
        <f ca="1">IFERROR(__xludf.DUMMYFUNCTION("GOOGLETRANSLATE(B6607,""en"",""ja"")"),"TIONAL")</f>
        <v>TIONAL</v>
      </c>
    </row>
    <row r="6522" spans="1:3" ht="18" customHeight="1" x14ac:dyDescent="0.3">
      <c r="A6522" s="1">
        <v>3</v>
      </c>
      <c r="B6522" s="1" t="s">
        <v>5331</v>
      </c>
      <c r="C6522" s="1" t="str">
        <f ca="1">IFERROR(__xludf.DUMMYFUNCTION("GOOGLETRANSLATE(B6608,""en"",""ja"")"),"脅威")</f>
        <v>脅威</v>
      </c>
    </row>
    <row r="6523" spans="1:3" ht="18" customHeight="1" x14ac:dyDescent="0.3">
      <c r="A6523" s="1">
        <v>3</v>
      </c>
      <c r="B6523" s="1" t="s">
        <v>5332</v>
      </c>
      <c r="C6523" s="1" t="str">
        <f ca="1">IFERROR(__xludf.DUMMYFUNCTION("GOOGLETRANSLATE(B6609,""en"",""ja"")"),"脅かします")</f>
        <v>脅かします</v>
      </c>
    </row>
    <row r="6524" spans="1:3" ht="18" customHeight="1" x14ac:dyDescent="0.3">
      <c r="A6524" s="1">
        <v>3</v>
      </c>
      <c r="B6524" s="1" t="s">
        <v>2860</v>
      </c>
      <c r="C6524" s="1" t="str">
        <f ca="1">IFERROR(__xludf.DUMMYFUNCTION("GOOGLETRANSLATE(B6610,""en"",""ja"")"),"脅かす")</f>
        <v>脅かす</v>
      </c>
    </row>
    <row r="6525" spans="1:3" ht="18" customHeight="1" x14ac:dyDescent="0.3">
      <c r="A6525" s="1">
        <v>3</v>
      </c>
      <c r="B6525" s="1" t="s">
        <v>68</v>
      </c>
      <c r="C6525" s="1" t="str">
        <f ca="1">IFERROR(__xludf.DUMMYFUNCTION("GOOGLETRANSLATE(B6611,""en"",""ja"")"),"それら")</f>
        <v>それら</v>
      </c>
    </row>
    <row r="6526" spans="1:3" ht="18" customHeight="1" x14ac:dyDescent="0.3">
      <c r="A6526" s="1">
        <v>3</v>
      </c>
      <c r="B6526" s="1" t="s">
        <v>5333</v>
      </c>
      <c r="C6526" s="1" t="str">
        <f ca="1">IFERROR(__xludf.DUMMYFUNCTION("GOOGLETRANSLATE(B6612,""en"",""ja"")"),"ソロー")</f>
        <v>ソロー</v>
      </c>
    </row>
    <row r="6527" spans="1:3" ht="18" customHeight="1" x14ac:dyDescent="0.3">
      <c r="A6527" s="1">
        <v>3</v>
      </c>
      <c r="B6527" s="1" t="s">
        <v>5334</v>
      </c>
      <c r="C6527" s="1" t="str">
        <f ca="1">IFERROR(__xludf.DUMMYFUNCTION("GOOGLETRANSLATE(B6613,""en"",""ja"")"),"喉が渇いた")</f>
        <v>喉が渇いた</v>
      </c>
    </row>
    <row r="6528" spans="1:3" ht="18" customHeight="1" x14ac:dyDescent="0.3">
      <c r="A6528" s="1">
        <v>3</v>
      </c>
      <c r="B6528" s="1" t="s">
        <v>5335</v>
      </c>
      <c r="C6528" s="1" t="str">
        <f ca="1">IFERROR(__xludf.DUMMYFUNCTION("GOOGLETRANSLATE(B6615,""en"",""ja"")"),"三分の")</f>
        <v>三分の</v>
      </c>
    </row>
    <row r="6529" spans="1:3" ht="18" customHeight="1" x14ac:dyDescent="0.3">
      <c r="A6529" s="1">
        <v>3</v>
      </c>
      <c r="B6529" s="1" t="s">
        <v>5336</v>
      </c>
      <c r="C6529" s="1" t="str">
        <f ca="1">IFERROR(__xludf.DUMMYFUNCTION("GOOGLETRANSLATE(B6616,""en"",""ja"")"),"間伐")</f>
        <v>間伐</v>
      </c>
    </row>
    <row r="6530" spans="1:3" ht="18" customHeight="1" x14ac:dyDescent="0.3">
      <c r="A6530" s="1">
        <v>3</v>
      </c>
      <c r="B6530" s="1" t="s">
        <v>5337</v>
      </c>
      <c r="C6530" s="1" t="str">
        <f ca="1">IFERROR(__xludf.DUMMYFUNCTION("GOOGLETRANSLATE(B6617,""en"",""ja"")"),"その中で")</f>
        <v>その中で</v>
      </c>
    </row>
    <row r="6531" spans="1:3" ht="18" customHeight="1" x14ac:dyDescent="0.3">
      <c r="A6531" s="1">
        <v>3</v>
      </c>
      <c r="B6531" s="1" t="s">
        <v>5338</v>
      </c>
      <c r="C6531" s="1" t="str">
        <f ca="1">IFERROR(__xludf.DUMMYFUNCTION("GOOGLETRANSLATE(B6618,""en"",""ja"")"),"therac")</f>
        <v>therac</v>
      </c>
    </row>
    <row r="6532" spans="1:3" ht="18" customHeight="1" x14ac:dyDescent="0.3">
      <c r="A6532" s="1">
        <v>3</v>
      </c>
      <c r="B6532" s="1" t="s">
        <v>5339</v>
      </c>
      <c r="C6532" s="1" t="str">
        <f ca="1">IFERROR(__xludf.DUMMYFUNCTION("GOOGLETRANSLATE(B6619,""en"",""ja"")"),"理論的な")</f>
        <v>理論的な</v>
      </c>
    </row>
    <row r="6533" spans="1:3" ht="18" customHeight="1" x14ac:dyDescent="0.3">
      <c r="A6533" s="1">
        <v>3</v>
      </c>
      <c r="B6533" s="1" t="s">
        <v>6</v>
      </c>
      <c r="C6533" s="1" t="str">
        <f ca="1">IFERROR(__xludf.DUMMYFUNCTION("GOOGLETRANSLATE(B6620,""en"",""ja"")"),"それ")</f>
        <v>それ</v>
      </c>
    </row>
    <row r="6534" spans="1:3" ht="18" customHeight="1" x14ac:dyDescent="0.3">
      <c r="A6534" s="1">
        <v>3</v>
      </c>
      <c r="B6534" s="1" t="s">
        <v>5340</v>
      </c>
      <c r="C6534" s="1" t="str">
        <f ca="1">IFERROR(__xludf.DUMMYFUNCTION("GOOGLETRANSLATE(B6621,""en"",""ja"")"),"地域")</f>
        <v>地域</v>
      </c>
    </row>
    <row r="6535" spans="1:3" ht="18" customHeight="1" x14ac:dyDescent="0.3">
      <c r="A6535" s="1">
        <v>3</v>
      </c>
      <c r="B6535" s="1" t="s">
        <v>5341</v>
      </c>
      <c r="C6535" s="1" t="str">
        <f ca="1">IFERROR(__xludf.DUMMYFUNCTION("GOOGLETRANSLATE(B6622,""en"",""ja"")"),"第十の")</f>
        <v>第十の</v>
      </c>
    </row>
    <row r="6536" spans="1:3" ht="18" customHeight="1" x14ac:dyDescent="0.3">
      <c r="A6536" s="1">
        <v>3</v>
      </c>
      <c r="B6536" s="1" t="s">
        <v>5342</v>
      </c>
      <c r="C6536" s="1" t="str">
        <f ca="1">IFERROR(__xludf.DUMMYFUNCTION("GOOGLETRANSLATE(B6623,""en"",""ja"")"),"テンション")</f>
        <v>テンション</v>
      </c>
    </row>
    <row r="6537" spans="1:3" ht="18" customHeight="1" x14ac:dyDescent="0.3">
      <c r="A6537" s="1">
        <v>3</v>
      </c>
      <c r="B6537" s="1" t="s">
        <v>5343</v>
      </c>
      <c r="C6537" s="1" t="str">
        <f ca="1">IFERROR(__xludf.DUMMYFUNCTION("GOOGLETRANSLATE(B6624,""en"",""ja"")"),"魅惑的な")</f>
        <v>魅惑的な</v>
      </c>
    </row>
    <row r="6538" spans="1:3" ht="18" customHeight="1" x14ac:dyDescent="0.3">
      <c r="A6538" s="1">
        <v>3</v>
      </c>
      <c r="B6538" s="1" t="s">
        <v>5344</v>
      </c>
      <c r="C6538" s="1" t="str">
        <f ca="1">IFERROR(__xludf.DUMMYFUNCTION("GOOGLETRANSLATE(B6625,""en"",""ja"")"),"一時性")</f>
        <v>一時性</v>
      </c>
    </row>
    <row r="6539" spans="1:3" ht="18" customHeight="1" x14ac:dyDescent="0.3">
      <c r="A6539" s="1">
        <v>3</v>
      </c>
      <c r="B6539" s="1" t="s">
        <v>5345</v>
      </c>
      <c r="C6539" s="1" t="str">
        <f ca="1">IFERROR(__xludf.DUMMYFUNCTION("GOOGLETRANSLATE(B6626,""en"",""ja"")"),"望遠鏡")</f>
        <v>望遠鏡</v>
      </c>
    </row>
    <row r="6540" spans="1:3" ht="18" customHeight="1" x14ac:dyDescent="0.3">
      <c r="A6540" s="1">
        <v>3</v>
      </c>
      <c r="B6540" s="1" t="s">
        <v>5346</v>
      </c>
      <c r="C6540" s="1" t="str">
        <f ca="1">IFERROR(__xludf.DUMMYFUNCTION("GOOGLETRANSLATE(B6627,""en"",""ja"")"),"電信")</f>
        <v>電信</v>
      </c>
    </row>
    <row r="6541" spans="1:3" ht="18" customHeight="1" x14ac:dyDescent="0.3">
      <c r="A6541" s="1">
        <v>3</v>
      </c>
      <c r="B6541" s="1" t="s">
        <v>5347</v>
      </c>
      <c r="C6541" s="1" t="str">
        <f ca="1">IFERROR(__xludf.DUMMYFUNCTION("GOOGLETRANSLATE(B6628,""en"",""ja"")"),"十代の若者たち")</f>
        <v>十代の若者たち</v>
      </c>
    </row>
    <row r="6542" spans="1:3" ht="18" customHeight="1" x14ac:dyDescent="0.3">
      <c r="A6542" s="1">
        <v>3</v>
      </c>
      <c r="B6542" s="1" t="s">
        <v>5348</v>
      </c>
      <c r="C6542" s="1" t="str">
        <f ca="1">IFERROR(__xludf.DUMMYFUNCTION("GOOGLETRANSLATE(B6629,""en"",""ja"")"),"ティーンエイジャーの")</f>
        <v>ティーンエイジャーの</v>
      </c>
    </row>
    <row r="6543" spans="1:3" ht="18" customHeight="1" x14ac:dyDescent="0.3">
      <c r="A6543" s="1">
        <v>3</v>
      </c>
      <c r="B6543" s="1" t="s">
        <v>5349</v>
      </c>
      <c r="C6543" s="1" t="str">
        <f ca="1">IFERROR(__xludf.DUMMYFUNCTION("GOOGLETRANSLATE(B6630,""en"",""ja"")"),"技術的に")</f>
        <v>技術的に</v>
      </c>
    </row>
    <row r="6544" spans="1:3" ht="18" customHeight="1" x14ac:dyDescent="0.3">
      <c r="A6544" s="1">
        <v>3</v>
      </c>
      <c r="B6544" s="1" t="s">
        <v>5350</v>
      </c>
      <c r="C6544" s="1" t="str">
        <f ca="1">IFERROR(__xludf.DUMMYFUNCTION("GOOGLETRANSLATE(B6631,""en"",""ja"")"),"ハイテク")</f>
        <v>ハイテク</v>
      </c>
    </row>
    <row r="6545" spans="1:3" ht="18" customHeight="1" x14ac:dyDescent="0.3">
      <c r="A6545" s="1">
        <v>3</v>
      </c>
      <c r="B6545" s="1" t="s">
        <v>5351</v>
      </c>
      <c r="C6545" s="1" t="str">
        <f ca="1">IFERROR(__xludf.DUMMYFUNCTION("GOOGLETRANSLATE(B6632,""en"",""ja"")"),"teamworkers")</f>
        <v>teamworkers</v>
      </c>
    </row>
    <row r="6546" spans="1:3" ht="18" customHeight="1" x14ac:dyDescent="0.3">
      <c r="A6546" s="1">
        <v>3</v>
      </c>
      <c r="B6546" s="1" t="s">
        <v>5352</v>
      </c>
      <c r="C6546" s="1" t="str">
        <f ca="1">IFERROR(__xludf.DUMMYFUNCTION("GOOGLETRANSLATE(B6633,""en"",""ja"")"),"チーム")</f>
        <v>チーム</v>
      </c>
    </row>
    <row r="6547" spans="1:3" ht="18" customHeight="1" x14ac:dyDescent="0.3">
      <c r="A6547" s="1">
        <v>3</v>
      </c>
      <c r="B6547" s="1" t="s">
        <v>5353</v>
      </c>
      <c r="C6547" s="1" t="str">
        <f ca="1">IFERROR(__xludf.DUMMYFUNCTION("GOOGLETRANSLATE(B6634,""en"",""ja"")"),"ターゲット")</f>
        <v>ターゲット</v>
      </c>
    </row>
    <row r="6548" spans="1:3" ht="18" customHeight="1" x14ac:dyDescent="0.3">
      <c r="A6548" s="1">
        <v>3</v>
      </c>
      <c r="B6548" s="1" t="s">
        <v>5354</v>
      </c>
      <c r="C6548" s="1" t="str">
        <f ca="1">IFERROR(__xludf.DUMMYFUNCTION("GOOGLETRANSLATE(B6635,""en"",""ja"")"),"有形")</f>
        <v>有形</v>
      </c>
    </row>
    <row r="6549" spans="1:3" ht="18" customHeight="1" x14ac:dyDescent="0.3">
      <c r="A6549" s="1">
        <v>3</v>
      </c>
      <c r="B6549" s="1" t="s">
        <v>5355</v>
      </c>
      <c r="C6549" s="1" t="str">
        <f ca="1">IFERROR(__xludf.DUMMYFUNCTION("GOOGLETRANSLATE(B6636,""en"",""ja"")"),"会談")</f>
        <v>会談</v>
      </c>
    </row>
    <row r="6550" spans="1:3" ht="18" customHeight="1" x14ac:dyDescent="0.3">
      <c r="A6550" s="1">
        <v>3</v>
      </c>
      <c r="B6550" s="1" t="s">
        <v>5356</v>
      </c>
      <c r="C6550" s="1" t="str">
        <f ca="1">IFERROR(__xludf.DUMMYFUNCTION("GOOGLETRANSLATE(B6637,""en"",""ja"")"),"話を聞きました")</f>
        <v>話を聞きました</v>
      </c>
    </row>
    <row r="6551" spans="1:3" ht="18" customHeight="1" x14ac:dyDescent="0.3">
      <c r="A6551" s="1">
        <v>3</v>
      </c>
      <c r="B6551" s="1" t="s">
        <v>2522</v>
      </c>
      <c r="C6551" s="1" t="str">
        <f ca="1">IFERROR(__xludf.DUMMYFUNCTION("GOOGLETRANSLATE(B6638,""en"",""ja"")"),"トーク")</f>
        <v>トーク</v>
      </c>
    </row>
    <row r="6552" spans="1:3" ht="18" customHeight="1" x14ac:dyDescent="0.3">
      <c r="A6552" s="1">
        <v>3</v>
      </c>
      <c r="B6552" s="1" t="s">
        <v>5357</v>
      </c>
      <c r="C6552" s="1" t="str">
        <f ca="1">IFERROR(__xludf.DUMMYFUNCTION("GOOGLETRANSLATE(B6639,""en"",""ja"")"),"テイン")</f>
        <v>テイン</v>
      </c>
    </row>
    <row r="6553" spans="1:3" ht="18" customHeight="1" x14ac:dyDescent="0.3">
      <c r="A6553" s="1">
        <v>3</v>
      </c>
      <c r="B6553" s="1" t="s">
        <v>4338</v>
      </c>
      <c r="C6553" s="1" t="str">
        <f ca="1">IFERROR(__xludf.DUMMYFUNCTION("GOOGLETRANSLATE(B6640,""en"",""ja"")"),"タックル")</f>
        <v>タックル</v>
      </c>
    </row>
    <row r="6554" spans="1:3" ht="18" customHeight="1" x14ac:dyDescent="0.3">
      <c r="A6554" s="1">
        <v>3</v>
      </c>
      <c r="B6554" s="1" t="s">
        <v>5358</v>
      </c>
      <c r="C6554" s="1" t="str">
        <f ca="1">IFERROR(__xludf.DUMMYFUNCTION("GOOGLETRANSLATE(B6641,""en"",""ja"")"),"タブー")</f>
        <v>タブー</v>
      </c>
    </row>
    <row r="6555" spans="1:3" ht="18" customHeight="1" x14ac:dyDescent="0.3">
      <c r="A6555" s="1">
        <v>3</v>
      </c>
      <c r="B6555" s="1" t="s">
        <v>144</v>
      </c>
      <c r="C6555" s="1" t="str">
        <f ca="1">IFERROR(__xludf.DUMMYFUNCTION("GOOGLETRANSLATE(B6642,""en"",""ja"")"),"トン")</f>
        <v>トン</v>
      </c>
    </row>
    <row r="6556" spans="1:3" ht="18" customHeight="1" x14ac:dyDescent="0.3">
      <c r="A6556" s="1">
        <v>3</v>
      </c>
      <c r="B6556" s="1" t="s">
        <v>5359</v>
      </c>
      <c r="C6556" s="1" t="str">
        <f ca="1">IFERROR(__xludf.DUMMYFUNCTION("GOOGLETRANSLATE(B6643,""en"",""ja"")"),"刀剣")</f>
        <v>刀剣</v>
      </c>
    </row>
    <row r="6557" spans="1:3" ht="18" customHeight="1" x14ac:dyDescent="0.3">
      <c r="A6557" s="1">
        <v>3</v>
      </c>
      <c r="B6557" s="1" t="s">
        <v>4340</v>
      </c>
      <c r="C6557" s="1" t="str">
        <f ca="1">IFERROR(__xludf.DUMMYFUNCTION("GOOGLETRANSLATE(B6644,""en"",""ja"")"),"剣")</f>
        <v>剣</v>
      </c>
    </row>
    <row r="6558" spans="1:3" ht="18" customHeight="1" x14ac:dyDescent="0.3">
      <c r="A6558" s="1">
        <v>3</v>
      </c>
      <c r="B6558" s="1" t="s">
        <v>5360</v>
      </c>
      <c r="C6558" s="1" t="str">
        <f ca="1">IFERROR(__xludf.DUMMYFUNCTION("GOOGLETRANSLATE(B6645,""en"",""ja"")"),"甘い")</f>
        <v>甘い</v>
      </c>
    </row>
    <row r="6559" spans="1:3" ht="18" customHeight="1" x14ac:dyDescent="0.3">
      <c r="A6559" s="1">
        <v>3</v>
      </c>
      <c r="B6559" s="1" t="s">
        <v>5361</v>
      </c>
      <c r="C6559" s="1" t="str">
        <f ca="1">IFERROR(__xludf.DUMMYFUNCTION("GOOGLETRANSLATE(B6646,""en"",""ja"")"),"掃除")</f>
        <v>掃除</v>
      </c>
    </row>
    <row r="6560" spans="1:3" ht="18" customHeight="1" x14ac:dyDescent="0.3">
      <c r="A6560" s="1">
        <v>3</v>
      </c>
      <c r="B6560" s="1" t="s">
        <v>4345</v>
      </c>
      <c r="C6560" s="1" t="str">
        <f ca="1">IFERROR(__xludf.DUMMYFUNCTION("GOOGLETRANSLATE(B6647,""en"",""ja"")"),"持続可能性")</f>
        <v>持続可能性</v>
      </c>
    </row>
    <row r="6561" spans="1:3" ht="18" customHeight="1" x14ac:dyDescent="0.3">
      <c r="A6561" s="1">
        <v>3</v>
      </c>
      <c r="B6561" s="1" t="s">
        <v>5362</v>
      </c>
      <c r="C6561" s="1" t="str">
        <f ca="1">IFERROR(__xludf.DUMMYFUNCTION("GOOGLETRANSLATE(B6648,""en"",""ja"")"),"疑い")</f>
        <v>疑い</v>
      </c>
    </row>
    <row r="6562" spans="1:3" ht="18" customHeight="1" x14ac:dyDescent="0.3">
      <c r="A6562" s="1">
        <v>3</v>
      </c>
      <c r="B6562" s="1" t="s">
        <v>5363</v>
      </c>
      <c r="C6562" s="1" t="str">
        <f ca="1">IFERROR(__xludf.DUMMYFUNCTION("GOOGLETRANSLATE(B6649,""en"",""ja"")"),"サスペンド")</f>
        <v>サスペンド</v>
      </c>
    </row>
    <row r="6563" spans="1:3" ht="18" customHeight="1" x14ac:dyDescent="0.3">
      <c r="A6563" s="1">
        <v>3</v>
      </c>
      <c r="B6563" s="1" t="s">
        <v>5364</v>
      </c>
      <c r="C6563" s="1" t="str">
        <f ca="1">IFERROR(__xludf.DUMMYFUNCTION("GOOGLETRANSLATE(B6650,""en"",""ja"")"),"容疑者")</f>
        <v>容疑者</v>
      </c>
    </row>
    <row r="6564" spans="1:3" ht="18" customHeight="1" x14ac:dyDescent="0.3">
      <c r="A6564" s="1">
        <v>3</v>
      </c>
      <c r="B6564" s="1" t="s">
        <v>5365</v>
      </c>
      <c r="C6564" s="1" t="str">
        <f ca="1">IFERROR(__xludf.DUMMYFUNCTION("GOOGLETRANSLATE(B6651,""en"",""ja"")"),"疑います")</f>
        <v>疑います</v>
      </c>
    </row>
    <row r="6565" spans="1:3" ht="18" customHeight="1" x14ac:dyDescent="0.3">
      <c r="A6565" s="1">
        <v>3</v>
      </c>
      <c r="B6565" s="1" t="s">
        <v>5366</v>
      </c>
      <c r="C6565" s="1" t="str">
        <f ca="1">IFERROR(__xludf.DUMMYFUNCTION("GOOGLETRANSLATE(B6652,""en"",""ja"")"),"容疑者")</f>
        <v>容疑者</v>
      </c>
    </row>
    <row r="6566" spans="1:3" ht="18" customHeight="1" x14ac:dyDescent="0.3">
      <c r="A6566" s="1">
        <v>3</v>
      </c>
      <c r="B6566" s="1" t="s">
        <v>5367</v>
      </c>
      <c r="C6566" s="1" t="str">
        <f ca="1">IFERROR(__xludf.DUMMYFUNCTION("GOOGLETRANSLATE(B6653,""en"",""ja"")"),"生存者")</f>
        <v>生存者</v>
      </c>
    </row>
    <row r="6567" spans="1:3" ht="18" customHeight="1" x14ac:dyDescent="0.3">
      <c r="A6567" s="1">
        <v>3</v>
      </c>
      <c r="B6567" s="1" t="s">
        <v>5368</v>
      </c>
      <c r="C6567" s="1" t="str">
        <f ca="1">IFERROR(__xludf.DUMMYFUNCTION("GOOGLETRANSLATE(B6654,""en"",""ja"")"),"生き残りました")</f>
        <v>生き残りました</v>
      </c>
    </row>
    <row r="6568" spans="1:3" ht="18" customHeight="1" x14ac:dyDescent="0.3">
      <c r="A6568" s="1">
        <v>3</v>
      </c>
      <c r="B6568" s="1" t="s">
        <v>5369</v>
      </c>
      <c r="C6568" s="1" t="str">
        <f ca="1">IFERROR(__xludf.DUMMYFUNCTION("GOOGLETRANSLATE(B6655,""en"",""ja"")"),"測量")</f>
        <v>測量</v>
      </c>
    </row>
    <row r="6569" spans="1:3" ht="18" customHeight="1" x14ac:dyDescent="0.3">
      <c r="A6569" s="1">
        <v>3</v>
      </c>
      <c r="B6569" s="1" t="s">
        <v>5370</v>
      </c>
      <c r="C6569" s="1" t="str">
        <f ca="1">IFERROR(__xludf.DUMMYFUNCTION("GOOGLETRANSLATE(B6656,""en"",""ja"")"),"surveilling")</f>
        <v>surveilling</v>
      </c>
    </row>
    <row r="6570" spans="1:3" ht="18" customHeight="1" x14ac:dyDescent="0.3">
      <c r="A6570" s="1">
        <v>3</v>
      </c>
      <c r="B6570" s="1" t="s">
        <v>5371</v>
      </c>
      <c r="C6570" s="1" t="str">
        <f ca="1">IFERROR(__xludf.DUMMYFUNCTION("GOOGLETRANSLATE(B6657,""en"",""ja"")"),"surveilled")</f>
        <v>surveilled</v>
      </c>
    </row>
    <row r="6571" spans="1:3" ht="18" customHeight="1" x14ac:dyDescent="0.3">
      <c r="A6571" s="1">
        <v>3</v>
      </c>
      <c r="B6571" s="1" t="s">
        <v>5372</v>
      </c>
      <c r="C6571" s="1" t="str">
        <f ca="1">IFERROR(__xludf.DUMMYFUNCTION("GOOGLETRANSLATE(B6658,""en"",""ja"")"),"スーパースター")</f>
        <v>スーパースター</v>
      </c>
    </row>
    <row r="6572" spans="1:3" ht="18" customHeight="1" x14ac:dyDescent="0.3">
      <c r="A6572" s="1">
        <v>3</v>
      </c>
      <c r="B6572" s="1" t="s">
        <v>5373</v>
      </c>
      <c r="C6572" s="1" t="str">
        <f ca="1">IFERROR(__xludf.DUMMYFUNCTION("GOOGLETRANSLATE(B6659,""en"",""ja"")"),"超自然の")</f>
        <v>超自然の</v>
      </c>
    </row>
    <row r="6573" spans="1:3" ht="18" customHeight="1" x14ac:dyDescent="0.3">
      <c r="A6573" s="1">
        <v>3</v>
      </c>
      <c r="B6573" s="1" t="s">
        <v>5374</v>
      </c>
      <c r="C6573" s="1" t="str">
        <f ca="1">IFERROR(__xludf.DUMMYFUNCTION("GOOGLETRANSLATE(B6660,""en"",""ja"")"),"日曜日")</f>
        <v>日曜日</v>
      </c>
    </row>
    <row r="6574" spans="1:3" ht="18" customHeight="1" x14ac:dyDescent="0.3">
      <c r="A6574" s="1">
        <v>3</v>
      </c>
      <c r="B6574" s="1" t="s">
        <v>5375</v>
      </c>
      <c r="C6574" s="1" t="str">
        <f ca="1">IFERROR(__xludf.DUMMYFUNCTION("GOOGLETRANSLATE(B6661,""en"",""ja"")"),"夏")</f>
        <v>夏</v>
      </c>
    </row>
    <row r="6575" spans="1:3" ht="18" customHeight="1" x14ac:dyDescent="0.3">
      <c r="A6575" s="1">
        <v>3</v>
      </c>
      <c r="B6575" s="1" t="s">
        <v>1322</v>
      </c>
      <c r="C6575" s="1" t="str">
        <f ca="1">IFERROR(__xludf.DUMMYFUNCTION("GOOGLETRANSLATE(B6662,""en"",""ja"")"),"十分")</f>
        <v>十分</v>
      </c>
    </row>
    <row r="6576" spans="1:3" ht="18" customHeight="1" x14ac:dyDescent="0.3">
      <c r="A6576" s="1">
        <v>3</v>
      </c>
      <c r="B6576" s="1" t="s">
        <v>5376</v>
      </c>
      <c r="C6576" s="1" t="str">
        <f ca="1">IFERROR(__xludf.DUMMYFUNCTION("GOOGLETRANSLATE(B6663,""en"",""ja"")"),"破壊")</f>
        <v>破壊</v>
      </c>
    </row>
    <row r="6577" spans="1:3" ht="18" customHeight="1" x14ac:dyDescent="0.3">
      <c r="A6577" s="1">
        <v>3</v>
      </c>
      <c r="B6577" s="1" t="s">
        <v>5377</v>
      </c>
      <c r="C6577" s="1" t="str">
        <f ca="1">IFERROR(__xludf.DUMMYFUNCTION("GOOGLETRANSLATE(B6664,""en"",""ja"")"),"引きます")</f>
        <v>引きます</v>
      </c>
    </row>
    <row r="6578" spans="1:3" ht="18" customHeight="1" x14ac:dyDescent="0.3">
      <c r="A6578" s="1">
        <v>3</v>
      </c>
      <c r="B6578" s="1" t="s">
        <v>5378</v>
      </c>
      <c r="C6578" s="1" t="str">
        <f ca="1">IFERROR(__xludf.DUMMYFUNCTION("GOOGLETRANSLATE(B6665,""en"",""ja"")"),"地下")</f>
        <v>地下</v>
      </c>
    </row>
    <row r="6579" spans="1:3" ht="18" customHeight="1" x14ac:dyDescent="0.3">
      <c r="A6579" s="1">
        <v>3</v>
      </c>
      <c r="B6579" s="1" t="s">
        <v>5379</v>
      </c>
      <c r="C6579" s="1" t="str">
        <f ca="1">IFERROR(__xludf.DUMMYFUNCTION("GOOGLETRANSLATE(B6666,""en"",""ja"")"),"低水準")</f>
        <v>低水準</v>
      </c>
    </row>
    <row r="6580" spans="1:3" ht="18" customHeight="1" x14ac:dyDescent="0.3">
      <c r="A6580" s="1">
        <v>3</v>
      </c>
      <c r="B6580" s="1" t="s">
        <v>5380</v>
      </c>
      <c r="C6580" s="1" t="str">
        <f ca="1">IFERROR(__xludf.DUMMYFUNCTION("GOOGLETRANSLATE(B6667,""en"",""ja"")"),"助成")</f>
        <v>助成</v>
      </c>
    </row>
    <row r="6581" spans="1:3" ht="18" customHeight="1" x14ac:dyDescent="0.3">
      <c r="A6581" s="1">
        <v>3</v>
      </c>
      <c r="B6581" s="1" t="s">
        <v>5381</v>
      </c>
      <c r="C6581" s="1" t="str">
        <f ca="1">IFERROR(__xludf.DUMMYFUNCTION("GOOGLETRANSLATE(B6668,""en"",""ja"")"),"補助金")</f>
        <v>補助金</v>
      </c>
    </row>
    <row r="6582" spans="1:3" ht="18" customHeight="1" x14ac:dyDescent="0.3">
      <c r="A6582" s="1">
        <v>3</v>
      </c>
      <c r="B6582" s="1" t="s">
        <v>5382</v>
      </c>
      <c r="C6582" s="1" t="str">
        <f ca="1">IFERROR(__xludf.DUMMYFUNCTION("GOOGLETRANSLATE(B6669,""en"",""ja"")"),"サブリミナル")</f>
        <v>サブリミナル</v>
      </c>
    </row>
    <row r="6583" spans="1:3" ht="18" customHeight="1" x14ac:dyDescent="0.3">
      <c r="A6583" s="1">
        <v>3</v>
      </c>
      <c r="B6583" s="1" t="s">
        <v>5383</v>
      </c>
      <c r="C6583" s="1" t="str">
        <f ca="1">IFERROR(__xludf.DUMMYFUNCTION("GOOGLETRANSLATE(B6671,""en"",""ja"")"),"スタイル")</f>
        <v>スタイル</v>
      </c>
    </row>
    <row r="6584" spans="1:3" ht="18" customHeight="1" x14ac:dyDescent="0.3">
      <c r="A6584" s="1">
        <v>3</v>
      </c>
      <c r="B6584" s="1" t="s">
        <v>5384</v>
      </c>
      <c r="C6584" s="1" t="str">
        <f ca="1">IFERROR(__xludf.DUMMYFUNCTION("GOOGLETRANSLATE(B6672,""en"",""ja"")"),"唖然")</f>
        <v>唖然</v>
      </c>
    </row>
    <row r="6585" spans="1:3" ht="18" customHeight="1" x14ac:dyDescent="0.3">
      <c r="A6585" s="1">
        <v>3</v>
      </c>
      <c r="B6585" s="1" t="s">
        <v>5385</v>
      </c>
      <c r="C6585" s="1" t="str">
        <f ca="1">IFERROR(__xludf.DUMMYFUNCTION("GOOGLETRANSLATE(B6673,""en"",""ja"")"),"脳卒中")</f>
        <v>脳卒中</v>
      </c>
    </row>
    <row r="6586" spans="1:3" ht="18" customHeight="1" x14ac:dyDescent="0.3">
      <c r="A6586" s="1">
        <v>3</v>
      </c>
      <c r="B6586" s="1" t="s">
        <v>5386</v>
      </c>
      <c r="C6586" s="1" t="str">
        <f ca="1">IFERROR(__xludf.DUMMYFUNCTION("GOOGLETRANSLATE(B6674,""en"",""ja"")"),"strivings")</f>
        <v>strivings</v>
      </c>
    </row>
    <row r="6587" spans="1:3" ht="18" customHeight="1" x14ac:dyDescent="0.3">
      <c r="A6587" s="1">
        <v>3</v>
      </c>
      <c r="B6587" s="1" t="s">
        <v>5387</v>
      </c>
      <c r="C6587" s="1" t="str">
        <f ca="1">IFERROR(__xludf.DUMMYFUNCTION("GOOGLETRANSLATE(B6675,""en"",""ja"")"),"著しく")</f>
        <v>著しく</v>
      </c>
    </row>
    <row r="6588" spans="1:3" ht="18" customHeight="1" x14ac:dyDescent="0.3">
      <c r="A6588" s="1">
        <v>3</v>
      </c>
      <c r="B6588" s="1" t="s">
        <v>5388</v>
      </c>
      <c r="C6588" s="1" t="str">
        <f ca="1">IFERROR(__xludf.DUMMYFUNCTION("GOOGLETRANSLATE(B6676,""en"",""ja"")"),"ストライキ")</f>
        <v>ストライキ</v>
      </c>
    </row>
    <row r="6589" spans="1:3" ht="18" customHeight="1" x14ac:dyDescent="0.3">
      <c r="A6589" s="1">
        <v>3</v>
      </c>
      <c r="B6589" s="1" t="s">
        <v>1514</v>
      </c>
      <c r="C6589" s="1" t="str">
        <f ca="1">IFERROR(__xludf.DUMMYFUNCTION("GOOGLETRANSLATE(B6677,""en"",""ja"")"),"厳密")</f>
        <v>厳密</v>
      </c>
    </row>
    <row r="6590" spans="1:3" ht="18" customHeight="1" x14ac:dyDescent="0.3">
      <c r="A6590" s="1">
        <v>3</v>
      </c>
      <c r="B6590" s="1" t="s">
        <v>5389</v>
      </c>
      <c r="C6590" s="1" t="str">
        <f ca="1">IFERROR(__xludf.DUMMYFUNCTION("GOOGLETRANSLATE(B6678,""en"",""ja"")"),"強調")</f>
        <v>強調</v>
      </c>
    </row>
    <row r="6591" spans="1:3" ht="18" customHeight="1" x14ac:dyDescent="0.3">
      <c r="A6591" s="1">
        <v>3</v>
      </c>
      <c r="B6591" s="1" t="s">
        <v>5390</v>
      </c>
      <c r="C6591" s="1" t="str">
        <f ca="1">IFERROR(__xludf.DUMMYFUNCTION("GOOGLETRANSLATE(B6679,""en"",""ja"")"),"戦略的")</f>
        <v>戦略的</v>
      </c>
    </row>
    <row r="6592" spans="1:3" ht="18" customHeight="1" x14ac:dyDescent="0.3">
      <c r="A6592" s="1">
        <v>3</v>
      </c>
      <c r="B6592" s="1" t="s">
        <v>1885</v>
      </c>
      <c r="C6592" s="1" t="str">
        <f ca="1">IFERROR(__xludf.DUMMYFUNCTION("GOOGLETRANSLATE(B6680,""en"",""ja"")"),"奇妙")</f>
        <v>奇妙</v>
      </c>
    </row>
    <row r="6593" spans="1:3" ht="18" customHeight="1" x14ac:dyDescent="0.3">
      <c r="A6593" s="1">
        <v>3</v>
      </c>
      <c r="B6593" s="1" t="s">
        <v>5391</v>
      </c>
      <c r="C6593" s="1" t="str">
        <f ca="1">IFERROR(__xludf.DUMMYFUNCTION("GOOGLETRANSLATE(B6681,""en"",""ja"")"),"店舗")</f>
        <v>店舗</v>
      </c>
    </row>
    <row r="6594" spans="1:3" ht="18" customHeight="1" x14ac:dyDescent="0.3">
      <c r="A6594" s="1">
        <v>3</v>
      </c>
      <c r="B6594" s="1" t="s">
        <v>2878</v>
      </c>
      <c r="C6594" s="1" t="str">
        <f ca="1">IFERROR(__xludf.DUMMYFUNCTION("GOOGLETRANSLATE(B6682,""en"",""ja"")"),"ストレージ")</f>
        <v>ストレージ</v>
      </c>
    </row>
    <row r="6595" spans="1:3" ht="18" customHeight="1" x14ac:dyDescent="0.3">
      <c r="A6595" s="1">
        <v>3</v>
      </c>
      <c r="B6595" s="1" t="s">
        <v>5392</v>
      </c>
      <c r="C6595" s="1" t="str">
        <f ca="1">IFERROR(__xludf.DUMMYFUNCTION("GOOGLETRANSLATE(B6683,""en"",""ja"")"),"石")</f>
        <v>石</v>
      </c>
    </row>
    <row r="6596" spans="1:3" ht="18" customHeight="1" x14ac:dyDescent="0.3">
      <c r="A6596" s="1">
        <v>3</v>
      </c>
      <c r="B6596" s="1" t="s">
        <v>5393</v>
      </c>
      <c r="C6596" s="1" t="str">
        <f ca="1">IFERROR(__xludf.DUMMYFUNCTION("GOOGLETRANSLATE(B6684,""en"",""ja"")"),"約款")</f>
        <v>約款</v>
      </c>
    </row>
    <row r="6597" spans="1:3" ht="18" customHeight="1" x14ac:dyDescent="0.3">
      <c r="A6597" s="1">
        <v>3</v>
      </c>
      <c r="B6597" s="1" t="s">
        <v>5394</v>
      </c>
      <c r="C6597" s="1" t="str">
        <f ca="1">IFERROR(__xludf.DUMMYFUNCTION("GOOGLETRANSLATE(B6685,""en"",""ja"")"),"悪臭")</f>
        <v>悪臭</v>
      </c>
    </row>
    <row r="6598" spans="1:3" ht="18" customHeight="1" x14ac:dyDescent="0.3">
      <c r="A6598" s="1">
        <v>3</v>
      </c>
      <c r="B6598" s="1" t="s">
        <v>5395</v>
      </c>
      <c r="C6598" s="1" t="str">
        <f ca="1">IFERROR(__xludf.DUMMYFUNCTION("GOOGLETRANSLATE(B6686,""en"",""ja"")"),"スチュワードシップ")</f>
        <v>スチュワードシップ</v>
      </c>
    </row>
    <row r="6599" spans="1:3" ht="18" customHeight="1" x14ac:dyDescent="0.3">
      <c r="A6599" s="1">
        <v>3</v>
      </c>
      <c r="B6599" s="1" t="s">
        <v>1515</v>
      </c>
      <c r="C6599" s="1" t="str">
        <f ca="1">IFERROR(__xludf.DUMMYFUNCTION("GOOGLETRANSLATE(B6687,""en"",""ja"")"),"滞在")</f>
        <v>滞在</v>
      </c>
    </row>
    <row r="6600" spans="1:3" ht="18" customHeight="1" x14ac:dyDescent="0.3">
      <c r="A6600" s="1">
        <v>3</v>
      </c>
      <c r="B6600" s="1" t="s">
        <v>5396</v>
      </c>
      <c r="C6600" s="1" t="str">
        <f ca="1">IFERROR(__xludf.DUMMYFUNCTION("GOOGLETRANSLATE(B6688,""en"",""ja"")"),"譜表")</f>
        <v>譜表</v>
      </c>
    </row>
    <row r="6601" spans="1:3" ht="18" customHeight="1" x14ac:dyDescent="0.3">
      <c r="A6601" s="1">
        <v>3</v>
      </c>
      <c r="B6601" s="1" t="s">
        <v>5397</v>
      </c>
      <c r="C6601" s="1" t="str">
        <f ca="1">IFERROR(__xludf.DUMMYFUNCTION("GOOGLETRANSLATE(B6689,""en"",""ja"")"),"開始")</f>
        <v>開始</v>
      </c>
    </row>
    <row r="6602" spans="1:3" ht="18" customHeight="1" x14ac:dyDescent="0.3">
      <c r="A6602" s="1">
        <v>3</v>
      </c>
      <c r="B6602" s="1" t="s">
        <v>5398</v>
      </c>
      <c r="C6602" s="1" t="str">
        <f ca="1">IFERROR(__xludf.DUMMYFUNCTION("GOOGLETRANSLATE(B6690,""en"",""ja"")"),"スタンド")</f>
        <v>スタンド</v>
      </c>
    </row>
    <row r="6603" spans="1:3" ht="18" customHeight="1" x14ac:dyDescent="0.3">
      <c r="A6603" s="1">
        <v>3</v>
      </c>
      <c r="B6603" s="1" t="s">
        <v>5399</v>
      </c>
      <c r="C6603" s="1" t="str">
        <f ca="1">IFERROR(__xludf.DUMMYFUNCTION("GOOGLETRANSLATE(B6691,""en"",""ja"")"),"停滞")</f>
        <v>停滞</v>
      </c>
    </row>
    <row r="6604" spans="1:3" ht="18" customHeight="1" x14ac:dyDescent="0.3">
      <c r="A6604" s="1">
        <v>3</v>
      </c>
      <c r="B6604" s="1" t="s">
        <v>5400</v>
      </c>
      <c r="C6604" s="1" t="str">
        <f ca="1">IFERROR(__xludf.DUMMYFUNCTION("GOOGLETRANSLATE(B6692,""en"",""ja"")"),"男性だけの")</f>
        <v>男性だけの</v>
      </c>
    </row>
    <row r="6605" spans="1:3" ht="18" customHeight="1" x14ac:dyDescent="0.3">
      <c r="A6605" s="1">
        <v>3</v>
      </c>
      <c r="B6605" s="1" t="s">
        <v>2287</v>
      </c>
      <c r="C6605" s="1" t="str">
        <f ca="1">IFERROR(__xludf.DUMMYFUNCTION("GOOGLETRANSLATE(B6693,""en"",""ja"")"),"安定しました")</f>
        <v>安定しました</v>
      </c>
    </row>
    <row r="6606" spans="1:3" ht="18" customHeight="1" x14ac:dyDescent="0.3">
      <c r="A6606" s="1">
        <v>3</v>
      </c>
      <c r="B6606" s="1" t="s">
        <v>2535</v>
      </c>
      <c r="C6606" s="1" t="str">
        <f ca="1">IFERROR(__xludf.DUMMYFUNCTION("GOOGLETRANSLATE(B6694,""en"",""ja"")"),"平方")</f>
        <v>平方</v>
      </c>
    </row>
    <row r="6607" spans="1:3" ht="18" customHeight="1" x14ac:dyDescent="0.3">
      <c r="A6607" s="1">
        <v>3</v>
      </c>
      <c r="B6607" s="1" t="s">
        <v>5401</v>
      </c>
      <c r="C6607" s="1" t="str">
        <f ca="1">IFERROR(__xludf.DUMMYFUNCTION("GOOGLETRANSLATE(B6695,""en"",""ja"")"),"拍車をかけ")</f>
        <v>拍車をかけ</v>
      </c>
    </row>
    <row r="6608" spans="1:3" ht="18" customHeight="1" x14ac:dyDescent="0.3">
      <c r="A6608" s="1">
        <v>3</v>
      </c>
      <c r="B6608" s="1" t="s">
        <v>5402</v>
      </c>
      <c r="C6608" s="1" t="str">
        <f ca="1">IFERROR(__xludf.DUMMYFUNCTION("GOOGLETRANSLATE(B6696,""en"",""ja"")"),"スプーン")</f>
        <v>スプーン</v>
      </c>
    </row>
    <row r="6609" spans="1:3" ht="18" customHeight="1" x14ac:dyDescent="0.3">
      <c r="A6609" s="1">
        <v>3</v>
      </c>
      <c r="B6609" s="1" t="s">
        <v>5403</v>
      </c>
      <c r="C6609" s="1" t="str">
        <f ca="1">IFERROR(__xludf.DUMMYFUNCTION("GOOGLETRANSLATE(B6697,""en"",""ja"")"),"自発的に")</f>
        <v>自発的に</v>
      </c>
    </row>
    <row r="6610" spans="1:3" ht="18" customHeight="1" x14ac:dyDescent="0.3">
      <c r="A6610" s="1">
        <v>3</v>
      </c>
      <c r="B6610" s="1" t="s">
        <v>5404</v>
      </c>
      <c r="C6610" s="1" t="str">
        <f ca="1">IFERROR(__xludf.DUMMYFUNCTION("GOOGLETRANSLATE(B6698,""en"",""ja"")"),"スプリット")</f>
        <v>スプリット</v>
      </c>
    </row>
    <row r="6611" spans="1:3" ht="18" customHeight="1" x14ac:dyDescent="0.3">
      <c r="A6611" s="1">
        <v>3</v>
      </c>
      <c r="B6611" s="1" t="s">
        <v>2539</v>
      </c>
      <c r="C6611" s="1" t="str">
        <f ca="1">IFERROR(__xludf.DUMMYFUNCTION("GOOGLETRANSLATE(B6699,""en"",""ja"")"),"スピン")</f>
        <v>スピン</v>
      </c>
    </row>
    <row r="6612" spans="1:3" ht="18" customHeight="1" x14ac:dyDescent="0.3">
      <c r="A6612" s="1">
        <v>3</v>
      </c>
      <c r="B6612" s="1" t="s">
        <v>5405</v>
      </c>
      <c r="C6612" s="1" t="str">
        <f ca="1">IFERROR(__xludf.DUMMYFUNCTION("GOOGLETRANSLATE(B6700,""en"",""ja"")"),"球")</f>
        <v>球</v>
      </c>
    </row>
    <row r="6613" spans="1:3" ht="18" customHeight="1" x14ac:dyDescent="0.3">
      <c r="A6613" s="1">
        <v>3</v>
      </c>
      <c r="B6613" s="1" t="s">
        <v>5406</v>
      </c>
      <c r="C6613" s="1" t="str">
        <f ca="1">IFERROR(__xludf.DUMMYFUNCTION("GOOGLETRANSLATE(B6701,""en"",""ja"")"),"支出")</f>
        <v>支出</v>
      </c>
    </row>
    <row r="6614" spans="1:3" ht="18" customHeight="1" x14ac:dyDescent="0.3">
      <c r="A6614" s="1">
        <v>3</v>
      </c>
      <c r="B6614" s="1" t="s">
        <v>5407</v>
      </c>
      <c r="C6614" s="1" t="str">
        <f ca="1">IFERROR(__xludf.DUMMYFUNCTION("GOOGLETRANSLATE(B6702,""en"",""ja"")"),"投機")</f>
        <v>投機</v>
      </c>
    </row>
    <row r="6615" spans="1:3" ht="18" customHeight="1" x14ac:dyDescent="0.3">
      <c r="A6615" s="1">
        <v>3</v>
      </c>
      <c r="B6615" s="1" t="s">
        <v>3241</v>
      </c>
      <c r="C6615" s="1" t="str">
        <f ca="1">IFERROR(__xludf.DUMMYFUNCTION("GOOGLETRANSLATE(B6703,""en"",""ja"")"),"仕様")</f>
        <v>仕様</v>
      </c>
    </row>
    <row r="6616" spans="1:3" ht="18" customHeight="1" x14ac:dyDescent="0.3">
      <c r="A6616" s="1">
        <v>3</v>
      </c>
      <c r="B6616" s="1" t="s">
        <v>1518</v>
      </c>
      <c r="C6616" s="1" t="str">
        <f ca="1">IFERROR(__xludf.DUMMYFUNCTION("GOOGLETRANSLATE(B6704,""en"",""ja"")"),"専門化")</f>
        <v>専門化</v>
      </c>
    </row>
    <row r="6617" spans="1:3" ht="18" customHeight="1" x14ac:dyDescent="0.3">
      <c r="A6617" s="1">
        <v>3</v>
      </c>
      <c r="B6617" s="1" t="s">
        <v>5408</v>
      </c>
      <c r="C6617" s="1" t="str">
        <f ca="1">IFERROR(__xludf.DUMMYFUNCTION("GOOGLETRANSLATE(B6705,""en"",""ja"")"),"話します")</f>
        <v>話します</v>
      </c>
    </row>
    <row r="6618" spans="1:3" ht="18" customHeight="1" x14ac:dyDescent="0.3">
      <c r="A6618" s="1">
        <v>3</v>
      </c>
      <c r="B6618" s="1" t="s">
        <v>5409</v>
      </c>
      <c r="C6618" s="1" t="str">
        <f ca="1">IFERROR(__xludf.DUMMYFUNCTION("GOOGLETRANSLATE(B6706,""en"",""ja"")"),"空間的な")</f>
        <v>空間的な</v>
      </c>
    </row>
    <row r="6619" spans="1:3" ht="18" customHeight="1" x14ac:dyDescent="0.3">
      <c r="A6619" s="1">
        <v>3</v>
      </c>
      <c r="B6619" s="1" t="s">
        <v>5410</v>
      </c>
      <c r="C6619" s="1" t="str">
        <f ca="1">IFERROR(__xludf.DUMMYFUNCTION("GOOGLETRANSLATE(B6707,""en"",""ja"")"),"スズメ")</f>
        <v>スズメ</v>
      </c>
    </row>
    <row r="6620" spans="1:3" ht="18" customHeight="1" x14ac:dyDescent="0.3">
      <c r="A6620" s="1">
        <v>3</v>
      </c>
      <c r="B6620" s="1" t="s">
        <v>5411</v>
      </c>
      <c r="C6620" s="1" t="str">
        <f ca="1">IFERROR(__xludf.DUMMYFUNCTION("GOOGLETRANSLATE(B6708,""en"",""ja"")"),"スパニング")</f>
        <v>スパニング</v>
      </c>
    </row>
    <row r="6621" spans="1:3" ht="18" customHeight="1" x14ac:dyDescent="0.3">
      <c r="A6621" s="1">
        <v>3</v>
      </c>
      <c r="B6621" s="1" t="s">
        <v>5412</v>
      </c>
      <c r="C6621" s="1" t="str">
        <f ca="1">IFERROR(__xludf.DUMMYFUNCTION("GOOGLETRANSLATE(B6709,""en"",""ja"")"),"宇宙船")</f>
        <v>宇宙船</v>
      </c>
    </row>
    <row r="6622" spans="1:3" ht="18" customHeight="1" x14ac:dyDescent="0.3">
      <c r="A6622" s="1">
        <v>3</v>
      </c>
      <c r="B6622" s="1" t="s">
        <v>5413</v>
      </c>
      <c r="C6622" s="1" t="str">
        <f ca="1">IFERROR(__xludf.DUMMYFUNCTION("GOOGLETRANSLATE(B6710,""en"",""ja"")"),"より早く")</f>
        <v>より早く</v>
      </c>
    </row>
    <row r="6623" spans="1:3" ht="18" customHeight="1" x14ac:dyDescent="0.3">
      <c r="A6623" s="1">
        <v>3</v>
      </c>
      <c r="B6623" s="1" t="s">
        <v>624</v>
      </c>
      <c r="C6623" s="1" t="str">
        <f ca="1">IFERROR(__xludf.DUMMYFUNCTION("GOOGLETRANSLATE(B6711,""en"",""ja"")"),"やがて")</f>
        <v>やがて</v>
      </c>
    </row>
    <row r="6624" spans="1:3" ht="18" customHeight="1" x14ac:dyDescent="0.3">
      <c r="A6624" s="1">
        <v>3</v>
      </c>
      <c r="B6624" s="1" t="s">
        <v>5414</v>
      </c>
      <c r="C6624" s="1" t="str">
        <f ca="1">IFERROR(__xludf.DUMMYFUNCTION("GOOGLETRANSLATE(B6712,""en"",""ja"")"),"息子")</f>
        <v>息子</v>
      </c>
    </row>
    <row r="6625" spans="1:3" ht="18" customHeight="1" x14ac:dyDescent="0.3">
      <c r="A6625" s="1">
        <v>3</v>
      </c>
      <c r="B6625" s="1" t="s">
        <v>5415</v>
      </c>
      <c r="C6625" s="1" t="str">
        <f ca="1">IFERROR(__xludf.DUMMYFUNCTION("GOOGLETRANSLATE(B6713,""en"",""ja"")"),"幾分")</f>
        <v>幾分</v>
      </c>
    </row>
    <row r="6626" spans="1:3" ht="18" customHeight="1" x14ac:dyDescent="0.3">
      <c r="A6626" s="1">
        <v>3</v>
      </c>
      <c r="B6626" s="1" t="s">
        <v>5416</v>
      </c>
      <c r="C6626" s="1" t="str">
        <f ca="1">IFERROR(__xludf.DUMMYFUNCTION("GOOGLETRANSLATE(B6714,""en"",""ja"")"),"解決")</f>
        <v>解決</v>
      </c>
    </row>
    <row r="6627" spans="1:3" ht="18" customHeight="1" x14ac:dyDescent="0.3">
      <c r="A6627" s="1">
        <v>3</v>
      </c>
      <c r="B6627" s="1" t="s">
        <v>5417</v>
      </c>
      <c r="C6627" s="1" t="str">
        <f ca="1">IFERROR(__xludf.DUMMYFUNCTION("GOOGLETRANSLATE(B6715,""en"",""ja"")"),"ソル")</f>
        <v>ソル</v>
      </c>
    </row>
    <row r="6628" spans="1:3" ht="18" customHeight="1" x14ac:dyDescent="0.3">
      <c r="A6628" s="1">
        <v>3</v>
      </c>
      <c r="B6628" s="1" t="s">
        <v>5418</v>
      </c>
      <c r="C6628" s="1" t="str">
        <f ca="1">IFERROR(__xludf.DUMMYFUNCTION("GOOGLETRANSLATE(B6716,""en"",""ja"")"),"寂しいです")</f>
        <v>寂しいです</v>
      </c>
    </row>
    <row r="6629" spans="1:3" ht="18" customHeight="1" x14ac:dyDescent="0.3">
      <c r="A6629" s="1">
        <v>3</v>
      </c>
      <c r="B6629" s="1" t="s">
        <v>2885</v>
      </c>
      <c r="C6629" s="1" t="str">
        <f ca="1">IFERROR(__xludf.DUMMYFUNCTION("GOOGLETRANSLATE(B6717,""en"",""ja"")"),"連帯")</f>
        <v>連帯</v>
      </c>
    </row>
    <row r="6630" spans="1:3" ht="18" customHeight="1" x14ac:dyDescent="0.3">
      <c r="A6630" s="1">
        <v>3</v>
      </c>
      <c r="B6630" s="1" t="s">
        <v>5419</v>
      </c>
      <c r="C6630" s="1" t="str">
        <f ca="1">IFERROR(__xludf.DUMMYFUNCTION("GOOGLETRANSLATE(B6718,""en"",""ja"")"),"兵隊")</f>
        <v>兵隊</v>
      </c>
    </row>
    <row r="6631" spans="1:3" ht="18" customHeight="1" x14ac:dyDescent="0.3">
      <c r="A6631" s="1">
        <v>3</v>
      </c>
      <c r="B6631" s="1" t="s">
        <v>1629</v>
      </c>
      <c r="C6631" s="1" t="str">
        <f ca="1">IFERROR(__xludf.DUMMYFUNCTION("GOOGLETRANSLATE(B6719,""en"",""ja"")"),"土")</f>
        <v>土</v>
      </c>
    </row>
    <row r="6632" spans="1:3" ht="18" customHeight="1" x14ac:dyDescent="0.3">
      <c r="A6632" s="1">
        <v>3</v>
      </c>
      <c r="B6632" s="1" t="s">
        <v>5420</v>
      </c>
      <c r="C6632" s="1" t="str">
        <f ca="1">IFERROR(__xludf.DUMMYFUNCTION("GOOGLETRANSLATE(B6720,""en"",""ja"")"),"柔らかい")</f>
        <v>柔らかい</v>
      </c>
    </row>
    <row r="6633" spans="1:3" ht="18" customHeight="1" x14ac:dyDescent="0.3">
      <c r="A6633" s="1">
        <v>3</v>
      </c>
      <c r="B6633" s="1" t="s">
        <v>5421</v>
      </c>
      <c r="C6633" s="1" t="str">
        <f ca="1">IFERROR(__xludf.DUMMYFUNCTION("GOOGLETRANSLATE(B6721,""en"",""ja"")"),"ソファー")</f>
        <v>ソファー</v>
      </c>
    </row>
    <row r="6634" spans="1:3" ht="18" customHeight="1" x14ac:dyDescent="0.3">
      <c r="A6634" s="1">
        <v>3</v>
      </c>
      <c r="B6634" s="1" t="s">
        <v>5422</v>
      </c>
      <c r="C6634" s="1" t="str">
        <f ca="1">IFERROR(__xludf.DUMMYFUNCTION("GOOGLETRANSLATE(B6722,""en"",""ja"")"),"sociated")</f>
        <v>sociated</v>
      </c>
    </row>
    <row r="6635" spans="1:3" ht="18" customHeight="1" x14ac:dyDescent="0.3">
      <c r="A6635" s="1">
        <v>3</v>
      </c>
      <c r="B6635" s="1" t="s">
        <v>5423</v>
      </c>
      <c r="C6635" s="1" t="str">
        <f ca="1">IFERROR(__xludf.DUMMYFUNCTION("GOOGLETRANSLATE(B6723,""en"",""ja"")"),"付き合い")</f>
        <v>付き合い</v>
      </c>
    </row>
    <row r="6636" spans="1:3" ht="18" customHeight="1" x14ac:dyDescent="0.3">
      <c r="A6636" s="1">
        <v>3</v>
      </c>
      <c r="B6636" s="1" t="s">
        <v>2545</v>
      </c>
      <c r="C6636" s="1" t="str">
        <f ca="1">IFERROR(__xludf.DUMMYFUNCTION("GOOGLETRANSLATE(B6724,""en"",""ja"")"),"社会主義")</f>
        <v>社会主義</v>
      </c>
    </row>
    <row r="6637" spans="1:3" ht="18" customHeight="1" x14ac:dyDescent="0.3">
      <c r="A6637" s="1">
        <v>3</v>
      </c>
      <c r="B6637" s="1" t="s">
        <v>3842</v>
      </c>
      <c r="C6637" s="1" t="str">
        <f ca="1">IFERROR(__xludf.DUMMYFUNCTION("GOOGLETRANSLATE(B6725,""en"",""ja"")"),"滑らか")</f>
        <v>滑らか</v>
      </c>
    </row>
    <row r="6638" spans="1:3" ht="18" customHeight="1" x14ac:dyDescent="0.3">
      <c r="A6638" s="1">
        <v>3</v>
      </c>
      <c r="B6638" s="1" t="s">
        <v>4387</v>
      </c>
      <c r="C6638" s="1" t="str">
        <f ca="1">IFERROR(__xludf.DUMMYFUNCTION("GOOGLETRANSLATE(B6726,""en"",""ja"")"),"スマイル")</f>
        <v>スマイル</v>
      </c>
    </row>
    <row r="6639" spans="1:3" ht="18" customHeight="1" x14ac:dyDescent="0.3">
      <c r="A6639" s="1">
        <v>3</v>
      </c>
      <c r="B6639" s="1" t="s">
        <v>1630</v>
      </c>
      <c r="C6639" s="1" t="str">
        <f ca="1">IFERROR(__xludf.DUMMYFUNCTION("GOOGLETRANSLATE(B6727,""en"",""ja"")"),"スロー")</f>
        <v>スロー</v>
      </c>
    </row>
    <row r="6640" spans="1:3" ht="18" customHeight="1" x14ac:dyDescent="0.3">
      <c r="A6640" s="1">
        <v>3</v>
      </c>
      <c r="B6640" s="1" t="s">
        <v>5424</v>
      </c>
      <c r="C6640" s="1" t="str">
        <f ca="1">IFERROR(__xludf.DUMMYFUNCTION("GOOGLETRANSLATE(B6728,""en"",""ja"")"),"だらし")</f>
        <v>だらし</v>
      </c>
    </row>
    <row r="6641" spans="1:3" ht="18" customHeight="1" x14ac:dyDescent="0.3">
      <c r="A6641" s="1">
        <v>3</v>
      </c>
      <c r="B6641" s="1" t="s">
        <v>5425</v>
      </c>
      <c r="C6641" s="1" t="str">
        <f ca="1">IFERROR(__xludf.DUMMYFUNCTION("GOOGLETRANSLATE(B6729,""en"",""ja"")"),"スリップ")</f>
        <v>スリップ</v>
      </c>
    </row>
    <row r="6642" spans="1:3" ht="18" customHeight="1" x14ac:dyDescent="0.3">
      <c r="A6642" s="1">
        <v>3</v>
      </c>
      <c r="B6642" s="1" t="s">
        <v>5426</v>
      </c>
      <c r="C6642" s="1" t="str">
        <f ca="1">IFERROR(__xludf.DUMMYFUNCTION("GOOGLETRANSLATE(B6730,""en"",""ja"")"),"スルー")</f>
        <v>スルー</v>
      </c>
    </row>
    <row r="6643" spans="1:3" ht="18" customHeight="1" x14ac:dyDescent="0.3">
      <c r="A6643" s="1">
        <v>3</v>
      </c>
      <c r="B6643" s="1" t="s">
        <v>5427</v>
      </c>
      <c r="C6643" s="1" t="str">
        <f ca="1">IFERROR(__xludf.DUMMYFUNCTION("GOOGLETRANSLATE(B6731,""en"",""ja"")"),"幅木")</f>
        <v>幅木</v>
      </c>
    </row>
    <row r="6644" spans="1:3" ht="18" customHeight="1" x14ac:dyDescent="0.3">
      <c r="A6644" s="1">
        <v>3</v>
      </c>
      <c r="B6644" s="1" t="s">
        <v>5428</v>
      </c>
      <c r="C6644" s="1" t="str">
        <f ca="1">IFERROR(__xludf.DUMMYFUNCTION("GOOGLETRANSLATE(B6732,""en"",""ja"")"),"スキュー")</f>
        <v>スキュー</v>
      </c>
    </row>
    <row r="6645" spans="1:3" ht="18" customHeight="1" x14ac:dyDescent="0.3">
      <c r="A6645" s="1">
        <v>3</v>
      </c>
      <c r="B6645" s="1" t="s">
        <v>5429</v>
      </c>
      <c r="C6645" s="1" t="str">
        <f ca="1">IFERROR(__xludf.DUMMYFUNCTION("GOOGLETRANSLATE(B6733,""en"",""ja"")"),"スケッチ")</f>
        <v>スケッチ</v>
      </c>
    </row>
    <row r="6646" spans="1:3" ht="18" customHeight="1" x14ac:dyDescent="0.3">
      <c r="A6646" s="1">
        <v>3</v>
      </c>
      <c r="B6646" s="1" t="s">
        <v>5430</v>
      </c>
      <c r="C6646" s="1" t="str">
        <f ca="1">IFERROR(__xludf.DUMMYFUNCTION("GOOGLETRANSLATE(B6734,""en"",""ja"")"),"焼けるように暑いです")</f>
        <v>焼けるように暑いです</v>
      </c>
    </row>
    <row r="6647" spans="1:3" ht="18" customHeight="1" x14ac:dyDescent="0.3">
      <c r="A6647" s="1">
        <v>3</v>
      </c>
      <c r="B6647" s="1" t="s">
        <v>5431</v>
      </c>
      <c r="C6647" s="1" t="str">
        <f ca="1">IFERROR(__xludf.DUMMYFUNCTION("GOOGLETRANSLATE(B6735,""en"",""ja"")"),"六十")</f>
        <v>六十</v>
      </c>
    </row>
    <row r="6648" spans="1:3" ht="18" customHeight="1" x14ac:dyDescent="0.3">
      <c r="A6648" s="1">
        <v>3</v>
      </c>
      <c r="B6648" s="1" t="s">
        <v>5432</v>
      </c>
      <c r="C6648" s="1" t="str">
        <f ca="1">IFERROR(__xludf.DUMMYFUNCTION("GOOGLETRANSLATE(B6736,""en"",""ja"")"),"第六の")</f>
        <v>第六の</v>
      </c>
    </row>
    <row r="6649" spans="1:3" ht="18" customHeight="1" x14ac:dyDescent="0.3">
      <c r="A6649" s="1">
        <v>3</v>
      </c>
      <c r="B6649" s="1" t="s">
        <v>695</v>
      </c>
      <c r="C6649" s="1" t="str">
        <f ca="1">IFERROR(__xludf.DUMMYFUNCTION("GOOGLETRANSLATE(B6737,""en"",""ja"")"),"六")</f>
        <v>六</v>
      </c>
    </row>
    <row r="6650" spans="1:3" ht="18" customHeight="1" x14ac:dyDescent="0.3">
      <c r="A6650" s="1">
        <v>3</v>
      </c>
      <c r="B6650" s="1" t="s">
        <v>5433</v>
      </c>
      <c r="C6650" s="1" t="str">
        <f ca="1">IFERROR(__xludf.DUMMYFUNCTION("GOOGLETRANSLATE(B6738,""en"",""ja"")"),"立地")</f>
        <v>立地</v>
      </c>
    </row>
    <row r="6651" spans="1:3" ht="18" customHeight="1" x14ac:dyDescent="0.3">
      <c r="A6651" s="1">
        <v>3</v>
      </c>
      <c r="B6651" s="1" t="s">
        <v>5434</v>
      </c>
      <c r="C6651" s="1" t="str">
        <f ca="1">IFERROR(__xludf.DUMMYFUNCTION("GOOGLETRANSLATE(B6739,""en"",""ja"")"),"シンガポール")</f>
        <v>シンガポール</v>
      </c>
    </row>
    <row r="6652" spans="1:3" ht="18" customHeight="1" x14ac:dyDescent="0.3">
      <c r="A6652" s="1">
        <v>3</v>
      </c>
      <c r="B6652" s="1" t="s">
        <v>5435</v>
      </c>
      <c r="C6652" s="1" t="str">
        <f ca="1">IFERROR(__xludf.DUMMYFUNCTION("GOOGLETRANSLATE(B6740,""en"",""ja"")"),"歌う")</f>
        <v>歌う</v>
      </c>
    </row>
    <row r="6653" spans="1:3" ht="18" customHeight="1" x14ac:dyDescent="0.3">
      <c r="A6653" s="1">
        <v>3</v>
      </c>
      <c r="B6653" s="1" t="s">
        <v>3848</v>
      </c>
      <c r="C6653" s="1" t="str">
        <f ca="1">IFERROR(__xludf.DUMMYFUNCTION("GOOGLETRANSLATE(B6741,""en"",""ja"")"),"シンクレア")</f>
        <v>シンクレア</v>
      </c>
    </row>
    <row r="6654" spans="1:3" ht="18" customHeight="1" x14ac:dyDescent="0.3">
      <c r="A6654" s="1">
        <v>3</v>
      </c>
      <c r="B6654" s="1" t="s">
        <v>5436</v>
      </c>
      <c r="C6654" s="1" t="str">
        <f ca="1">IFERROR(__xludf.DUMMYFUNCTION("GOOGLETRANSLATE(B6742,""en"",""ja"")"),"最も単純")</f>
        <v>最も単純</v>
      </c>
    </row>
    <row r="6655" spans="1:3" ht="18" customHeight="1" x14ac:dyDescent="0.3">
      <c r="A6655" s="1">
        <v>3</v>
      </c>
      <c r="B6655" s="1" t="s">
        <v>283</v>
      </c>
      <c r="C6655" s="1" t="str">
        <f ca="1">IFERROR(__xludf.DUMMYFUNCTION("GOOGLETRANSLATE(B6743,""en"",""ja"")"),"同様の")</f>
        <v>同様の</v>
      </c>
    </row>
    <row r="6656" spans="1:3" ht="18" customHeight="1" x14ac:dyDescent="0.3">
      <c r="A6656" s="1">
        <v>3</v>
      </c>
      <c r="B6656" s="1" t="s">
        <v>5437</v>
      </c>
      <c r="C6656" s="1" t="str">
        <f ca="1">IFERROR(__xludf.DUMMYFUNCTION("GOOGLETRANSLATE(B6744,""en"",""ja"")"),"病気")</f>
        <v>病気</v>
      </c>
    </row>
    <row r="6657" spans="1:3" ht="18" customHeight="1" x14ac:dyDescent="0.3">
      <c r="A6657" s="1">
        <v>3</v>
      </c>
      <c r="B6657" s="1" t="s">
        <v>5438</v>
      </c>
      <c r="C6657" s="1" t="str">
        <f ca="1">IFERROR(__xludf.DUMMYFUNCTION("GOOGLETRANSLATE(B6745,""en"",""ja"")"),"病気")</f>
        <v>病気</v>
      </c>
    </row>
    <row r="6658" spans="1:3" ht="18" customHeight="1" x14ac:dyDescent="0.3">
      <c r="A6658" s="1">
        <v>3</v>
      </c>
      <c r="B6658" s="1" t="s">
        <v>4397</v>
      </c>
      <c r="C6658" s="1" t="str">
        <f ca="1">IFERROR(__xludf.DUMMYFUNCTION("GOOGLETRANSLATE(B6746,""en"",""ja"")"),"兄弟")</f>
        <v>兄弟</v>
      </c>
    </row>
    <row r="6659" spans="1:3" ht="18" customHeight="1" x14ac:dyDescent="0.3">
      <c r="A6659" s="1">
        <v>3</v>
      </c>
      <c r="B6659" s="1" t="s">
        <v>5439</v>
      </c>
      <c r="C6659" s="1" t="str">
        <f ca="1">IFERROR(__xludf.DUMMYFUNCTION("GOOGLETRANSLATE(B6747,""en"",""ja"")"),"シャット")</f>
        <v>シャット</v>
      </c>
    </row>
    <row r="6660" spans="1:3" ht="18" customHeight="1" x14ac:dyDescent="0.3">
      <c r="A6660" s="1">
        <v>3</v>
      </c>
      <c r="B6660" s="1" t="s">
        <v>5440</v>
      </c>
      <c r="C6660" s="1" t="str">
        <f ca="1">IFERROR(__xludf.DUMMYFUNCTION("GOOGLETRANSLATE(B6748,""en"",""ja"")"),"エビ")</f>
        <v>エビ</v>
      </c>
    </row>
    <row r="6661" spans="1:3" ht="18" customHeight="1" x14ac:dyDescent="0.3">
      <c r="A6661" s="1">
        <v>3</v>
      </c>
      <c r="B6661" s="1" t="s">
        <v>5441</v>
      </c>
      <c r="C6661" s="1" t="str">
        <f ca="1">IFERROR(__xludf.DUMMYFUNCTION("GOOGLETRANSLATE(B6749,""en"",""ja"")"),"上映")</f>
        <v>上映</v>
      </c>
    </row>
    <row r="6662" spans="1:3" ht="18" customHeight="1" x14ac:dyDescent="0.3">
      <c r="A6662" s="1">
        <v>3</v>
      </c>
      <c r="B6662" s="1" t="s">
        <v>5442</v>
      </c>
      <c r="C6662" s="1" t="str">
        <f ca="1">IFERROR(__xludf.DUMMYFUNCTION("GOOGLETRANSLATE(B6750,""en"",""ja"")"),"シャベル")</f>
        <v>シャベル</v>
      </c>
    </row>
    <row r="6663" spans="1:3" ht="18" customHeight="1" x14ac:dyDescent="0.3">
      <c r="A6663" s="1">
        <v>3</v>
      </c>
      <c r="B6663" s="1" t="s">
        <v>5443</v>
      </c>
      <c r="C6663" s="1" t="str">
        <f ca="1">IFERROR(__xludf.DUMMYFUNCTION("GOOGLETRANSLATE(B6751,""en"",""ja"")"),"押し込みました")</f>
        <v>押し込みました</v>
      </c>
    </row>
    <row r="6664" spans="1:3" ht="18" customHeight="1" x14ac:dyDescent="0.3">
      <c r="A6664" s="1">
        <v>3</v>
      </c>
      <c r="B6664" s="1" t="s">
        <v>83</v>
      </c>
      <c r="C6664" s="1" t="str">
        <f ca="1">IFERROR(__xludf.DUMMYFUNCTION("GOOGLETRANSLATE(B6752,""en"",""ja"")"),"SHOULD")</f>
        <v>SHOULD</v>
      </c>
    </row>
    <row r="6665" spans="1:3" ht="18" customHeight="1" x14ac:dyDescent="0.3">
      <c r="A6665" s="1">
        <v>3</v>
      </c>
      <c r="B6665" s="1" t="s">
        <v>5444</v>
      </c>
      <c r="C6665" s="1" t="str">
        <f ca="1">IFERROR(__xludf.DUMMYFUNCTION("GOOGLETRANSLATE(B6753,""en"",""ja"")"),"ショッキング")</f>
        <v>ショッキング</v>
      </c>
    </row>
    <row r="6666" spans="1:3" ht="18" customHeight="1" x14ac:dyDescent="0.3">
      <c r="A6666" s="1">
        <v>3</v>
      </c>
      <c r="B6666" s="1" t="s">
        <v>5445</v>
      </c>
      <c r="C6666" s="1" t="str">
        <f ca="1">IFERROR(__xludf.DUMMYFUNCTION("GOOGLETRANSLATE(B6754,""en"",""ja"")"),"船")</f>
        <v>船</v>
      </c>
    </row>
    <row r="6667" spans="1:3" ht="18" customHeight="1" x14ac:dyDescent="0.3">
      <c r="A6667" s="1">
        <v>3</v>
      </c>
      <c r="B6667" s="1" t="s">
        <v>1520</v>
      </c>
      <c r="C6667" s="1" t="str">
        <f ca="1">IFERROR(__xludf.DUMMYFUNCTION("GOOGLETRANSLATE(B6755,""en"",""ja"")"),"シフト")</f>
        <v>シフト</v>
      </c>
    </row>
    <row r="6668" spans="1:3" ht="18" customHeight="1" x14ac:dyDescent="0.3">
      <c r="A6668" s="1">
        <v>3</v>
      </c>
      <c r="B6668" s="1" t="s">
        <v>5446</v>
      </c>
      <c r="C6668" s="1" t="str">
        <f ca="1">IFERROR(__xludf.DUMMYFUNCTION("GOOGLETRANSLATE(B6756,""en"",""ja"")"),"shelagh")</f>
        <v>shelagh</v>
      </c>
    </row>
    <row r="6669" spans="1:3" ht="18" customHeight="1" x14ac:dyDescent="0.3">
      <c r="A6669" s="1">
        <v>3</v>
      </c>
      <c r="B6669" s="1" t="s">
        <v>5447</v>
      </c>
      <c r="C6669" s="1" t="str">
        <f ca="1">IFERROR(__xludf.DUMMYFUNCTION("GOOGLETRANSLATE(B6757,""en"",""ja"")"),"シャープに")</f>
        <v>シャープに</v>
      </c>
    </row>
    <row r="6670" spans="1:3" ht="18" customHeight="1" x14ac:dyDescent="0.3">
      <c r="A6670" s="1">
        <v>3</v>
      </c>
      <c r="B6670" s="1" t="s">
        <v>5448</v>
      </c>
      <c r="C6670" s="1" t="str">
        <f ca="1">IFERROR(__xludf.DUMMYFUNCTION("GOOGLETRANSLATE(B6758,""en"",""ja"")"),"シャープ")</f>
        <v>シャープ</v>
      </c>
    </row>
    <row r="6671" spans="1:3" ht="18" customHeight="1" x14ac:dyDescent="0.3">
      <c r="A6671" s="1">
        <v>3</v>
      </c>
      <c r="B6671" s="1" t="s">
        <v>5449</v>
      </c>
      <c r="C6671" s="1" t="str">
        <f ca="1">IFERROR(__xludf.DUMMYFUNCTION("GOOGLETRANSLATE(B6759,""en"",""ja"")"),"shaniqua")</f>
        <v>shaniqua</v>
      </c>
    </row>
    <row r="6672" spans="1:3" ht="18" customHeight="1" x14ac:dyDescent="0.3">
      <c r="A6672" s="1">
        <v>3</v>
      </c>
      <c r="B6672" s="1" t="s">
        <v>3258</v>
      </c>
      <c r="C6672" s="1" t="str">
        <f ca="1">IFERROR(__xludf.DUMMYFUNCTION("GOOGLETRANSLATE(B6760,""en"",""ja"")"),"浅い")</f>
        <v>浅い</v>
      </c>
    </row>
    <row r="6673" spans="1:3" ht="18" customHeight="1" x14ac:dyDescent="0.3">
      <c r="A6673" s="1">
        <v>3</v>
      </c>
      <c r="B6673" s="1" t="s">
        <v>5450</v>
      </c>
      <c r="C6673" s="1" t="str">
        <f ca="1">IFERROR(__xludf.DUMMYFUNCTION("GOOGLETRANSLATE(B6761,""en"",""ja"")"),"ぼんやりしました")</f>
        <v>ぼんやりしました</v>
      </c>
    </row>
    <row r="6674" spans="1:3" ht="18" customHeight="1" x14ac:dyDescent="0.3">
      <c r="A6674" s="1">
        <v>3</v>
      </c>
      <c r="B6674" s="1" t="s">
        <v>5451</v>
      </c>
      <c r="C6674" s="1" t="str">
        <f ca="1">IFERROR(__xludf.DUMMYFUNCTION("GOOGLETRANSLATE(B6762,""en"",""ja"")"),"裁縫人")</f>
        <v>裁縫人</v>
      </c>
    </row>
    <row r="6675" spans="1:3" ht="18" customHeight="1" x14ac:dyDescent="0.3">
      <c r="A6675" s="1">
        <v>3</v>
      </c>
      <c r="B6675" s="1" t="s">
        <v>5452</v>
      </c>
      <c r="C6675" s="1" t="str">
        <f ca="1">IFERROR(__xludf.DUMMYFUNCTION("GOOGLETRANSLATE(B6763,""en"",""ja"")"),"第七")</f>
        <v>第七</v>
      </c>
    </row>
    <row r="6676" spans="1:3" ht="18" customHeight="1" x14ac:dyDescent="0.3">
      <c r="A6676" s="1">
        <v>3</v>
      </c>
      <c r="B6676" s="1" t="s">
        <v>3852</v>
      </c>
      <c r="C6676" s="1" t="str">
        <f ca="1">IFERROR(__xludf.DUMMYFUNCTION("GOOGLETRANSLATE(B6764,""en"",""ja"")"),"セブン")</f>
        <v>セブン</v>
      </c>
    </row>
    <row r="6677" spans="1:3" ht="18" customHeight="1" x14ac:dyDescent="0.3">
      <c r="A6677" s="1">
        <v>3</v>
      </c>
      <c r="B6677" s="1" t="s">
        <v>5453</v>
      </c>
      <c r="C6677" s="1" t="str">
        <f ca="1">IFERROR(__xludf.DUMMYFUNCTION("GOOGLETRANSLATE(B6765,""en"",""ja"")"),"セルゲイ")</f>
        <v>セルゲイ</v>
      </c>
    </row>
    <row r="6678" spans="1:3" ht="18" customHeight="1" x14ac:dyDescent="0.3">
      <c r="A6678" s="1">
        <v>3</v>
      </c>
      <c r="B6678" s="1" t="s">
        <v>5454</v>
      </c>
      <c r="C6678" s="1" t="str">
        <f ca="1">IFERROR(__xludf.DUMMYFUNCTION("GOOGLETRANSLATE(B6766,""en"",""ja"")"),"偶然")</f>
        <v>偶然</v>
      </c>
    </row>
    <row r="6679" spans="1:3" ht="18" customHeight="1" x14ac:dyDescent="0.3">
      <c r="A6679" s="1">
        <v>3</v>
      </c>
      <c r="B6679" s="1" t="s">
        <v>5455</v>
      </c>
      <c r="C6679" s="1" t="str">
        <f ca="1">IFERROR(__xludf.DUMMYFUNCTION("GOOGLETRANSLATE(B6767,""en"",""ja"")"),"分離")</f>
        <v>分離</v>
      </c>
    </row>
    <row r="6680" spans="1:3" ht="18" customHeight="1" x14ac:dyDescent="0.3">
      <c r="A6680" s="1">
        <v>3</v>
      </c>
      <c r="B6680" s="1" t="s">
        <v>5456</v>
      </c>
      <c r="C6680" s="1" t="str">
        <f ca="1">IFERROR(__xludf.DUMMYFUNCTION("GOOGLETRANSLATE(B6768,""en"",""ja"")"),"半自動")</f>
        <v>半自動</v>
      </c>
    </row>
    <row r="6681" spans="1:3" ht="18" customHeight="1" x14ac:dyDescent="0.3">
      <c r="A6681" s="1">
        <v>3</v>
      </c>
      <c r="B6681" s="1" t="s">
        <v>5457</v>
      </c>
      <c r="C6681" s="1" t="str">
        <f ca="1">IFERROR(__xludf.DUMMYFUNCTION("GOOGLETRANSLATE(B6769,""en"",""ja"")"),"選択")</f>
        <v>選択</v>
      </c>
    </row>
    <row r="6682" spans="1:3" ht="18" customHeight="1" x14ac:dyDescent="0.3">
      <c r="A6682" s="1">
        <v>3</v>
      </c>
      <c r="B6682" s="1" t="s">
        <v>1169</v>
      </c>
      <c r="C6682" s="1" t="str">
        <f ca="1">IFERROR(__xludf.DUMMYFUNCTION("GOOGLETRANSLATE(B6770,""en"",""ja"")"),"選択する")</f>
        <v>選択する</v>
      </c>
    </row>
    <row r="6683" spans="1:3" ht="18" customHeight="1" x14ac:dyDescent="0.3">
      <c r="A6683" s="1">
        <v>3</v>
      </c>
      <c r="B6683" s="1" t="s">
        <v>5458</v>
      </c>
      <c r="C6683" s="1" t="str">
        <f ca="1">IFERROR(__xludf.DUMMYFUNCTION("GOOGLETRANSLATE(B6771,""en"",""ja"")"),"隔離")</f>
        <v>隔離</v>
      </c>
    </row>
    <row r="6684" spans="1:3" ht="18" customHeight="1" x14ac:dyDescent="0.3">
      <c r="A6684" s="1">
        <v>3</v>
      </c>
      <c r="B6684" s="1" t="s">
        <v>5459</v>
      </c>
      <c r="C6684" s="1" t="str">
        <f ca="1">IFERROR(__xludf.DUMMYFUNCTION("GOOGLETRANSLATE(B6772,""en"",""ja"")"),"播種")</f>
        <v>播種</v>
      </c>
    </row>
    <row r="6685" spans="1:3" ht="18" customHeight="1" x14ac:dyDescent="0.3">
      <c r="A6685" s="1">
        <v>3</v>
      </c>
      <c r="B6685" s="1" t="s">
        <v>2055</v>
      </c>
      <c r="C6685" s="1" t="str">
        <f ca="1">IFERROR(__xludf.DUMMYFUNCTION("GOOGLETRANSLATE(B6773,""en"",""ja"")"),"沈渣")</f>
        <v>沈渣</v>
      </c>
    </row>
    <row r="6686" spans="1:3" ht="18" customHeight="1" x14ac:dyDescent="0.3">
      <c r="A6686" s="1">
        <v>3</v>
      </c>
      <c r="B6686" s="1" t="s">
        <v>5460</v>
      </c>
      <c r="C6686" s="1" t="str">
        <f ca="1">IFERROR(__xludf.DUMMYFUNCTION("GOOGLETRANSLATE(B6774,""en"",""ja"")"),"シート")</f>
        <v>シート</v>
      </c>
    </row>
    <row r="6687" spans="1:3" ht="18" customHeight="1" x14ac:dyDescent="0.3">
      <c r="A6687" s="1">
        <v>3</v>
      </c>
      <c r="B6687" s="1" t="s">
        <v>5461</v>
      </c>
      <c r="C6687" s="1" t="str">
        <f ca="1">IFERROR(__xludf.DUMMYFUNCTION("GOOGLETRANSLATE(B6775,""en"",""ja"")"),"検索")</f>
        <v>検索</v>
      </c>
    </row>
    <row r="6688" spans="1:3" ht="18" customHeight="1" x14ac:dyDescent="0.3">
      <c r="A6688" s="1">
        <v>3</v>
      </c>
      <c r="B6688" s="1" t="s">
        <v>5462</v>
      </c>
      <c r="C6688" s="1" t="str">
        <f ca="1">IFERROR(__xludf.DUMMYFUNCTION("GOOGLETRANSLATE(B6776,""en"",""ja"")"),"筆記")</f>
        <v>筆記</v>
      </c>
    </row>
    <row r="6689" spans="1:3" ht="18" customHeight="1" x14ac:dyDescent="0.3">
      <c r="A6689" s="1">
        <v>3</v>
      </c>
      <c r="B6689" s="1" t="s">
        <v>5463</v>
      </c>
      <c r="C6689" s="1" t="str">
        <f ca="1">IFERROR(__xludf.DUMMYFUNCTION("GOOGLETRANSLATE(B6777,""en"",""ja"")"),"スクラッチ")</f>
        <v>スクラッチ</v>
      </c>
    </row>
    <row r="6690" spans="1:3" ht="18" customHeight="1" x14ac:dyDescent="0.3">
      <c r="A6690" s="1">
        <v>3</v>
      </c>
      <c r="B6690" s="1" t="s">
        <v>5464</v>
      </c>
      <c r="C6690" s="1" t="str">
        <f ca="1">IFERROR(__xludf.DUMMYFUNCTION("GOOGLETRANSLATE(B6778,""en"",""ja"")"),"スクレーパー")</f>
        <v>スクレーパー</v>
      </c>
    </row>
    <row r="6691" spans="1:3" ht="18" customHeight="1" x14ac:dyDescent="0.3">
      <c r="A6691" s="1">
        <v>3</v>
      </c>
      <c r="B6691" s="1" t="s">
        <v>5465</v>
      </c>
      <c r="C6691" s="1" t="str">
        <f ca="1">IFERROR(__xludf.DUMMYFUNCTION("GOOGLETRANSLATE(B6779,""en"",""ja"")"),"スコープ")</f>
        <v>スコープ</v>
      </c>
    </row>
    <row r="6692" spans="1:3" ht="18" customHeight="1" x14ac:dyDescent="0.3">
      <c r="A6692" s="1">
        <v>3</v>
      </c>
      <c r="B6692" s="1" t="s">
        <v>5466</v>
      </c>
      <c r="C6692" s="1" t="str">
        <f ca="1">IFERROR(__xludf.DUMMYFUNCTION("GOOGLETRANSLATE(B6780,""en"",""ja"")"),"範囲")</f>
        <v>範囲</v>
      </c>
    </row>
    <row r="6693" spans="1:3" ht="18" customHeight="1" x14ac:dyDescent="0.3">
      <c r="A6693" s="1">
        <v>3</v>
      </c>
      <c r="B6693" s="1" t="s">
        <v>5467</v>
      </c>
      <c r="C6693" s="1" t="str">
        <f ca="1">IFERROR(__xludf.DUMMYFUNCTION("GOOGLETRANSLATE(B6781,""en"",""ja"")"),"嘲ります")</f>
        <v>嘲ります</v>
      </c>
    </row>
    <row r="6694" spans="1:3" ht="18" customHeight="1" x14ac:dyDescent="0.3">
      <c r="A6694" s="1">
        <v>3</v>
      </c>
      <c r="B6694" s="1" t="s">
        <v>5468</v>
      </c>
      <c r="C6694" s="1" t="str">
        <f ca="1">IFERROR(__xludf.DUMMYFUNCTION("GOOGLETRANSLATE(B6782,""en"",""ja"")"),"シュレジンジャー")</f>
        <v>シュレジンジャー</v>
      </c>
    </row>
    <row r="6695" spans="1:3" ht="18" customHeight="1" x14ac:dyDescent="0.3">
      <c r="A6695" s="1">
        <v>3</v>
      </c>
      <c r="B6695" s="1" t="s">
        <v>5469</v>
      </c>
      <c r="C6695" s="1" t="str">
        <f ca="1">IFERROR(__xludf.DUMMYFUNCTION("GOOGLETRANSLATE(B6783,""en"",""ja"")"),"疑い深いです")</f>
        <v>疑い深いです</v>
      </c>
    </row>
    <row r="6696" spans="1:3" ht="18" customHeight="1" x14ac:dyDescent="0.3">
      <c r="A6696" s="1">
        <v>3</v>
      </c>
      <c r="B6696" s="1" t="s">
        <v>5470</v>
      </c>
      <c r="C6696" s="1" t="str">
        <f ca="1">IFERROR(__xludf.DUMMYFUNCTION("GOOGLETRANSLATE(B6784,""en"",""ja"")"),"シーン")</f>
        <v>シーン</v>
      </c>
    </row>
    <row r="6697" spans="1:3" ht="18" customHeight="1" x14ac:dyDescent="0.3">
      <c r="A6697" s="1">
        <v>3</v>
      </c>
      <c r="B6697" s="1" t="s">
        <v>5471</v>
      </c>
      <c r="C6697" s="1" t="str">
        <f ca="1">IFERROR(__xludf.DUMMYFUNCTION("GOOGLETRANSLATE(B6785,""en"",""ja"")"),"シナリオ")</f>
        <v>シナリオ</v>
      </c>
    </row>
    <row r="6698" spans="1:3" ht="18" customHeight="1" x14ac:dyDescent="0.3">
      <c r="A6698" s="1">
        <v>3</v>
      </c>
      <c r="B6698" s="1" t="s">
        <v>5472</v>
      </c>
      <c r="C6698" s="1" t="str">
        <f ca="1">IFERROR(__xludf.DUMMYFUNCTION("GOOGLETRANSLATE(B6786,""en"",""ja"")"),"飛散")</f>
        <v>飛散</v>
      </c>
    </row>
    <row r="6699" spans="1:3" ht="18" customHeight="1" x14ac:dyDescent="0.3">
      <c r="A6699" s="1">
        <v>3</v>
      </c>
      <c r="B6699" s="1" t="s">
        <v>5473</v>
      </c>
      <c r="C6699" s="1" t="str">
        <f ca="1">IFERROR(__xludf.DUMMYFUNCTION("GOOGLETRANSLATE(B6787,""en"",""ja"")"),"散乱")</f>
        <v>散乱</v>
      </c>
    </row>
    <row r="6700" spans="1:3" ht="18" customHeight="1" x14ac:dyDescent="0.3">
      <c r="A6700" s="1">
        <v>3</v>
      </c>
      <c r="B6700" s="1" t="s">
        <v>5474</v>
      </c>
      <c r="C6700" s="1" t="str">
        <f ca="1">IFERROR(__xludf.DUMMYFUNCTION("GOOGLETRANSLATE(B6788,""en"",""ja"")"),"サバンナ")</f>
        <v>サバンナ</v>
      </c>
    </row>
    <row r="6701" spans="1:3" ht="18" customHeight="1" x14ac:dyDescent="0.3">
      <c r="A6701" s="1">
        <v>3</v>
      </c>
      <c r="B6701" s="1" t="s">
        <v>5475</v>
      </c>
      <c r="C6701" s="1" t="str">
        <f ca="1">IFERROR(__xludf.DUMMYFUNCTION("GOOGLETRANSLATE(B6789,""en"",""ja"")"),"衛星")</f>
        <v>衛星</v>
      </c>
    </row>
    <row r="6702" spans="1:3" ht="18" customHeight="1" x14ac:dyDescent="0.3">
      <c r="A6702" s="1">
        <v>3</v>
      </c>
      <c r="B6702" s="1" t="s">
        <v>5476</v>
      </c>
      <c r="C6702" s="1" t="str">
        <f ca="1">IFERROR(__xludf.DUMMYFUNCTION("GOOGLETRANSLATE(B6790,""en"",""ja"")"),"土")</f>
        <v>土</v>
      </c>
    </row>
    <row r="6703" spans="1:3" ht="18" customHeight="1" x14ac:dyDescent="0.3">
      <c r="A6703" s="1">
        <v>3</v>
      </c>
      <c r="B6703" s="1" t="s">
        <v>1633</v>
      </c>
      <c r="C6703" s="1" t="str">
        <f ca="1">IFERROR(__xludf.DUMMYFUNCTION("GOOGLETRANSLATE(B6791,""en"",""ja"")"),"衛生")</f>
        <v>衛生</v>
      </c>
    </row>
    <row r="6704" spans="1:3" ht="18" customHeight="1" x14ac:dyDescent="0.3">
      <c r="A6704" s="1">
        <v>3</v>
      </c>
      <c r="B6704" s="1" t="s">
        <v>4424</v>
      </c>
      <c r="C6704" s="1" t="str">
        <f ca="1">IFERROR(__xludf.DUMMYFUNCTION("GOOGLETRANSLATE(B6792,""en"",""ja"")"),"砂の")</f>
        <v>砂の</v>
      </c>
    </row>
    <row r="6705" spans="1:3" ht="18" customHeight="1" x14ac:dyDescent="0.3">
      <c r="A6705" s="1">
        <v>3</v>
      </c>
      <c r="B6705" s="1" t="s">
        <v>5477</v>
      </c>
      <c r="C6705" s="1" t="str">
        <f ca="1">IFERROR(__xludf.DUMMYFUNCTION("GOOGLETRANSLATE(B6793,""en"",""ja"")"),"サンデルさん")</f>
        <v>サンデルさん</v>
      </c>
    </row>
    <row r="6706" spans="1:3" ht="18" customHeight="1" x14ac:dyDescent="0.3">
      <c r="A6706" s="1">
        <v>3</v>
      </c>
      <c r="B6706" s="1" t="s">
        <v>5478</v>
      </c>
      <c r="C6706" s="1" t="str">
        <f ca="1">IFERROR(__xludf.DUMMYFUNCTION("GOOGLETRANSLATE(B6794,""en"",""ja"")"),"砂")</f>
        <v>砂</v>
      </c>
    </row>
    <row r="6707" spans="1:3" ht="18" customHeight="1" x14ac:dyDescent="0.3">
      <c r="A6707" s="1">
        <v>3</v>
      </c>
      <c r="B6707" s="1" t="s">
        <v>5479</v>
      </c>
      <c r="C6707" s="1" t="str">
        <f ca="1">IFERROR(__xludf.DUMMYFUNCTION("GOOGLETRANSLATE(B6795,""en"",""ja"")"),"三愛")</f>
        <v>三愛</v>
      </c>
    </row>
    <row r="6708" spans="1:3" ht="18" customHeight="1" x14ac:dyDescent="0.3">
      <c r="A6708" s="1">
        <v>3</v>
      </c>
      <c r="B6708" s="1" t="s">
        <v>5480</v>
      </c>
      <c r="C6708" s="1" t="str">
        <f ca="1">IFERROR(__xludf.DUMMYFUNCTION("GOOGLETRANSLATE(B6796,""en"",""ja"")"),"サンプル")</f>
        <v>サンプル</v>
      </c>
    </row>
    <row r="6709" spans="1:3" ht="18" customHeight="1" x14ac:dyDescent="0.3">
      <c r="A6709" s="1">
        <v>3</v>
      </c>
      <c r="B6709" s="1" t="s">
        <v>5481</v>
      </c>
      <c r="C6709" s="1" t="str">
        <f ca="1">IFERROR(__xludf.DUMMYFUNCTION("GOOGLETRANSLATE(B6797,""en"",""ja"")"),"同一")</f>
        <v>同一</v>
      </c>
    </row>
    <row r="6710" spans="1:3" ht="18" customHeight="1" x14ac:dyDescent="0.3">
      <c r="A6710" s="1">
        <v>3</v>
      </c>
      <c r="B6710" s="1" t="s">
        <v>5482</v>
      </c>
      <c r="C6710" s="1" t="str">
        <f ca="1">IFERROR(__xludf.DUMMYFUNCTION("GOOGLETRANSLATE(B6798,""en"",""ja"")"),"塩分")</f>
        <v>塩分</v>
      </c>
    </row>
    <row r="6711" spans="1:3" ht="18" customHeight="1" x14ac:dyDescent="0.3">
      <c r="A6711" s="1">
        <v>3</v>
      </c>
      <c r="B6711" s="1" t="s">
        <v>3861</v>
      </c>
      <c r="C6711" s="1" t="str">
        <f ca="1">IFERROR(__xludf.DUMMYFUNCTION("GOOGLETRANSLATE(B6799,""en"",""ja"")"),"酒")</f>
        <v>酒</v>
      </c>
    </row>
    <row r="6712" spans="1:3" ht="18" customHeight="1" x14ac:dyDescent="0.3">
      <c r="A6712" s="1">
        <v>3</v>
      </c>
      <c r="B6712" s="1" t="s">
        <v>5483</v>
      </c>
      <c r="C6712" s="1" t="str">
        <f ca="1">IFERROR(__xludf.DUMMYFUNCTION("GOOGLETRANSLATE(B6800,""en"",""ja"")"),"セインツ")</f>
        <v>セインツ</v>
      </c>
    </row>
    <row r="6713" spans="1:3" ht="18" customHeight="1" x14ac:dyDescent="0.3">
      <c r="A6713" s="1">
        <v>3</v>
      </c>
      <c r="B6713" s="1" t="s">
        <v>5484</v>
      </c>
      <c r="C6713" s="1" t="str">
        <f ca="1">IFERROR(__xludf.DUMMYFUNCTION("GOOGLETRANSLATE(B6801,""en"",""ja"")"),"より安全な")</f>
        <v>より安全な</v>
      </c>
    </row>
    <row r="6714" spans="1:3" ht="18" customHeight="1" x14ac:dyDescent="0.3">
      <c r="A6714" s="1">
        <v>3</v>
      </c>
      <c r="B6714" s="1" t="s">
        <v>1248</v>
      </c>
      <c r="C6714" s="1" t="str">
        <f ca="1">IFERROR(__xludf.DUMMYFUNCTION("GOOGLETRANSLATE(B6802,""en"",""ja"")"),"安全")</f>
        <v>安全</v>
      </c>
    </row>
    <row r="6715" spans="1:3" ht="18" customHeight="1" x14ac:dyDescent="0.3">
      <c r="A6715" s="1">
        <v>3</v>
      </c>
      <c r="B6715" s="1" t="s">
        <v>5485</v>
      </c>
      <c r="C6715" s="1" t="str">
        <f ca="1">IFERROR(__xludf.DUMMYFUNCTION("GOOGLETRANSLATE(B6803,""en"",""ja"")"),"犠牲")</f>
        <v>犠牲</v>
      </c>
    </row>
    <row r="6716" spans="1:3" ht="18" customHeight="1" x14ac:dyDescent="0.3">
      <c r="A6716" s="1">
        <v>3</v>
      </c>
      <c r="B6716" s="1" t="s">
        <v>5486</v>
      </c>
      <c r="C6716" s="1" t="str">
        <f ca="1">IFERROR(__xludf.DUMMYFUNCTION("GOOGLETRANSLATE(B6804,""en"",""ja"")"),"サアド")</f>
        <v>サアド</v>
      </c>
    </row>
    <row r="6717" spans="1:3" ht="18" customHeight="1" x14ac:dyDescent="0.3">
      <c r="A6717" s="1">
        <v>3</v>
      </c>
      <c r="B6717" s="1" t="s">
        <v>5487</v>
      </c>
      <c r="C6717" s="1" t="str">
        <f ca="1">IFERROR(__xludf.DUMMYFUNCTION("GOOGLETRANSLATE(B6805,""en"",""ja"")"),"無慈悲")</f>
        <v>無慈悲</v>
      </c>
    </row>
    <row r="6718" spans="1:3" ht="18" customHeight="1" x14ac:dyDescent="0.3">
      <c r="A6718" s="1">
        <v>3</v>
      </c>
      <c r="B6718" s="1" t="s">
        <v>2300</v>
      </c>
      <c r="C6718" s="1" t="str">
        <f ca="1">IFERROR(__xludf.DUMMYFUNCTION("GOOGLETRANSLATE(B6806,""en"",""ja"")"),"冷酷")</f>
        <v>冷酷</v>
      </c>
    </row>
    <row r="6719" spans="1:3" ht="18" customHeight="1" x14ac:dyDescent="0.3">
      <c r="A6719" s="1">
        <v>3</v>
      </c>
      <c r="B6719" s="1" t="s">
        <v>5488</v>
      </c>
      <c r="C6719" s="1" t="str">
        <f ca="1">IFERROR(__xludf.DUMMYFUNCTION("GOOGLETRANSLATE(B6807,""en"",""ja"")"),"ランニング")</f>
        <v>ランニング</v>
      </c>
    </row>
    <row r="6720" spans="1:3" ht="18" customHeight="1" x14ac:dyDescent="0.3">
      <c r="A6720" s="1">
        <v>3</v>
      </c>
      <c r="B6720" s="1" t="s">
        <v>1172</v>
      </c>
      <c r="C6720" s="1" t="str">
        <f ca="1">IFERROR(__xludf.DUMMYFUNCTION("GOOGLETRANSLATE(B6808,""en"",""ja"")"),"ラン")</f>
        <v>ラン</v>
      </c>
    </row>
    <row r="6721" spans="1:3" ht="18" customHeight="1" x14ac:dyDescent="0.3">
      <c r="A6721" s="1">
        <v>3</v>
      </c>
      <c r="B6721" s="1" t="s">
        <v>5489</v>
      </c>
      <c r="C6721" s="1" t="str">
        <f ca="1">IFERROR(__xludf.DUMMYFUNCTION("GOOGLETRANSLATE(B6809,""en"",""ja"")"),"瓦礫")</f>
        <v>瓦礫</v>
      </c>
    </row>
    <row r="6722" spans="1:3" ht="18" customHeight="1" x14ac:dyDescent="0.3">
      <c r="A6722" s="1">
        <v>3</v>
      </c>
      <c r="B6722" s="1" t="s">
        <v>5490</v>
      </c>
      <c r="C6722" s="1" t="str">
        <f ca="1">IFERROR(__xludf.DUMMYFUNCTION("GOOGLETRANSLATE(B6810,""en"",""ja"")"),"皇族")</f>
        <v>皇族</v>
      </c>
    </row>
    <row r="6723" spans="1:3" ht="18" customHeight="1" x14ac:dyDescent="0.3">
      <c r="A6723" s="1">
        <v>3</v>
      </c>
      <c r="B6723" s="1" t="s">
        <v>5491</v>
      </c>
      <c r="C6723" s="1" t="str">
        <f ca="1">IFERROR(__xludf.DUMMYFUNCTION("GOOGLETRANSLATE(B6811,""en"",""ja"")"),"日常")</f>
        <v>日常</v>
      </c>
    </row>
    <row r="6724" spans="1:3" ht="18" customHeight="1" x14ac:dyDescent="0.3">
      <c r="A6724" s="1">
        <v>3</v>
      </c>
      <c r="B6724" s="1" t="s">
        <v>1424</v>
      </c>
      <c r="C6724" s="1" t="str">
        <f ca="1">IFERROR(__xludf.DUMMYFUNCTION("GOOGLETRANSLATE(B6812,""en"",""ja"")"),"おおよそ")</f>
        <v>おおよそ</v>
      </c>
    </row>
    <row r="6725" spans="1:3" ht="18" customHeight="1" x14ac:dyDescent="0.3">
      <c r="A6725" s="1">
        <v>3</v>
      </c>
      <c r="B6725" s="1" t="s">
        <v>5492</v>
      </c>
      <c r="C6725" s="1" t="str">
        <f ca="1">IFERROR(__xludf.DUMMYFUNCTION("GOOGLETRANSLATE(B6813,""en"",""ja"")"),"ロッテルダム")</f>
        <v>ロッテルダム</v>
      </c>
    </row>
    <row r="6726" spans="1:3" ht="18" customHeight="1" x14ac:dyDescent="0.3">
      <c r="A6726" s="1">
        <v>3</v>
      </c>
      <c r="B6726" s="1" t="s">
        <v>5493</v>
      </c>
      <c r="C6726" s="1" t="str">
        <f ca="1">IFERROR(__xludf.DUMMYFUNCTION("GOOGLETRANSLATE(B6814,""en"",""ja"")"),"ロススタイン")</f>
        <v>ロススタイン</v>
      </c>
    </row>
    <row r="6727" spans="1:3" ht="18" customHeight="1" x14ac:dyDescent="0.3">
      <c r="A6727" s="1">
        <v>3</v>
      </c>
      <c r="B6727" s="1" t="s">
        <v>5494</v>
      </c>
      <c r="C6727" s="1" t="str">
        <f ca="1">IFERROR(__xludf.DUMMYFUNCTION("GOOGLETRANSLATE(B6815,""en"",""ja"")"),"ロジェ")</f>
        <v>ロジェ</v>
      </c>
    </row>
    <row r="6728" spans="1:3" ht="18" customHeight="1" x14ac:dyDescent="0.3">
      <c r="A6728" s="1">
        <v>3</v>
      </c>
      <c r="B6728" s="1" t="s">
        <v>5495</v>
      </c>
      <c r="C6728" s="1" t="str">
        <f ca="1">IFERROR(__xludf.DUMMYFUNCTION("GOOGLETRANSLATE(B6816,""en"",""ja"")"),"ルート")</f>
        <v>ルート</v>
      </c>
    </row>
    <row r="6729" spans="1:3" ht="18" customHeight="1" x14ac:dyDescent="0.3">
      <c r="A6729" s="1">
        <v>3</v>
      </c>
      <c r="B6729" s="1" t="s">
        <v>4434</v>
      </c>
      <c r="C6729" s="1" t="str">
        <f ca="1">IFERROR(__xludf.DUMMYFUNCTION("GOOGLETRANSLATE(B6817,""en"",""ja"")"),"ロマンチック")</f>
        <v>ロマンチック</v>
      </c>
    </row>
    <row r="6730" spans="1:3" ht="18" customHeight="1" x14ac:dyDescent="0.3">
      <c r="A6730" s="1">
        <v>3</v>
      </c>
      <c r="B6730" s="1" t="s">
        <v>5496</v>
      </c>
      <c r="C6730" s="1" t="str">
        <f ca="1">IFERROR(__xludf.DUMMYFUNCTION("GOOGLETRANSLATE(B6818,""en"",""ja"")"),"ロマンス")</f>
        <v>ロマンス</v>
      </c>
    </row>
    <row r="6731" spans="1:3" ht="18" customHeight="1" x14ac:dyDescent="0.3">
      <c r="A6731" s="1">
        <v>3</v>
      </c>
      <c r="B6731" s="1" t="s">
        <v>1425</v>
      </c>
      <c r="C6731" s="1" t="str">
        <f ca="1">IFERROR(__xludf.DUMMYFUNCTION("GOOGLETRANSLATE(B6819,""en"",""ja"")"),"ROM")</f>
        <v>ROM</v>
      </c>
    </row>
    <row r="6732" spans="1:3" ht="18" customHeight="1" x14ac:dyDescent="0.3">
      <c r="A6732" s="1">
        <v>3</v>
      </c>
      <c r="B6732" s="1" t="s">
        <v>5497</v>
      </c>
      <c r="C6732" s="1" t="str">
        <f ca="1">IFERROR(__xludf.DUMMYFUNCTION("GOOGLETRANSLATE(B6820,""en"",""ja"")"),"rolds")</f>
        <v>rolds</v>
      </c>
    </row>
    <row r="6733" spans="1:3" ht="18" customHeight="1" x14ac:dyDescent="0.3">
      <c r="A6733" s="1">
        <v>3</v>
      </c>
      <c r="B6733" s="1" t="s">
        <v>5498</v>
      </c>
      <c r="C6733" s="1" t="str">
        <f ca="1">IFERROR(__xludf.DUMMYFUNCTION("GOOGLETRANSLATE(B6821,""en"",""ja"")"),"岩")</f>
        <v>岩</v>
      </c>
    </row>
    <row r="6734" spans="1:3" ht="18" customHeight="1" x14ac:dyDescent="0.3">
      <c r="A6734" s="1">
        <v>3</v>
      </c>
      <c r="B6734" s="1" t="s">
        <v>5499</v>
      </c>
      <c r="C6734" s="1" t="str">
        <f ca="1">IFERROR(__xludf.DUMMYFUNCTION("GOOGLETRANSLATE(B6822,""en"",""ja"")"),"ロボット")</f>
        <v>ロボット</v>
      </c>
    </row>
    <row r="6735" spans="1:3" ht="18" customHeight="1" x14ac:dyDescent="0.3">
      <c r="A6735" s="1">
        <v>3</v>
      </c>
      <c r="B6735" s="1" t="s">
        <v>5500</v>
      </c>
      <c r="C6735" s="1" t="str">
        <f ca="1">IFERROR(__xludf.DUMMYFUNCTION("GOOGLETRANSLATE(B6823,""en"",""ja"")"),"ロボット化")</f>
        <v>ロボット化</v>
      </c>
    </row>
    <row r="6736" spans="1:3" ht="18" customHeight="1" x14ac:dyDescent="0.3">
      <c r="A6736" s="1">
        <v>3</v>
      </c>
      <c r="B6736" s="1" t="s">
        <v>5501</v>
      </c>
      <c r="C6736" s="1" t="str">
        <f ca="1">IFERROR(__xludf.DUMMYFUNCTION("GOOGLETRANSLATE(B6824,""en"",""ja"")"),"とどろき")</f>
        <v>とどろき</v>
      </c>
    </row>
    <row r="6737" spans="1:3" ht="18" customHeight="1" x14ac:dyDescent="0.3">
      <c r="A6737" s="1">
        <v>3</v>
      </c>
      <c r="B6737" s="1" t="s">
        <v>5502</v>
      </c>
      <c r="C6737" s="1" t="str">
        <f ca="1">IFERROR(__xludf.DUMMYFUNCTION("GOOGLETRANSLATE(B6825,""en"",""ja"")"),"ローミング")</f>
        <v>ローミング</v>
      </c>
    </row>
    <row r="6738" spans="1:3" ht="18" customHeight="1" x14ac:dyDescent="0.3">
      <c r="A6738" s="1">
        <v>3</v>
      </c>
      <c r="B6738" s="1" t="s">
        <v>5503</v>
      </c>
      <c r="C6738" s="1" t="str">
        <f ca="1">IFERROR(__xludf.DUMMYFUNCTION("GOOGLETRANSLATE(B6826,""en"",""ja"")"),"道路")</f>
        <v>道路</v>
      </c>
    </row>
    <row r="6739" spans="1:3" ht="18" customHeight="1" x14ac:dyDescent="0.3">
      <c r="A6739" s="1">
        <v>3</v>
      </c>
      <c r="B6739" s="1" t="s">
        <v>5504</v>
      </c>
      <c r="C6739" s="1" t="str">
        <f ca="1">IFERROR(__xludf.DUMMYFUNCTION("GOOGLETRANSLATE(B6827,""en"",""ja"")"),"ライバル")</f>
        <v>ライバル</v>
      </c>
    </row>
    <row r="6740" spans="1:3" ht="18" customHeight="1" x14ac:dyDescent="0.3">
      <c r="A6740" s="1">
        <v>3</v>
      </c>
      <c r="B6740" s="1" t="s">
        <v>5505</v>
      </c>
      <c r="C6740" s="1" t="str">
        <f ca="1">IFERROR(__xludf.DUMMYFUNCTION("GOOGLETRANSLATE(B6828,""en"",""ja"")"),"儀式")</f>
        <v>儀式</v>
      </c>
    </row>
    <row r="6741" spans="1:3" ht="18" customHeight="1" x14ac:dyDescent="0.3">
      <c r="A6741" s="1">
        <v>3</v>
      </c>
      <c r="B6741" s="1" t="s">
        <v>3864</v>
      </c>
      <c r="C6741" s="1" t="str">
        <f ca="1">IFERROR(__xludf.DUMMYFUNCTION("GOOGLETRANSLATE(B6829,""en"",""ja"")"),"厳しい")</f>
        <v>厳しい</v>
      </c>
    </row>
    <row r="6742" spans="1:3" ht="18" customHeight="1" x14ac:dyDescent="0.3">
      <c r="A6742" s="1">
        <v>3</v>
      </c>
      <c r="B6742" s="1" t="s">
        <v>5506</v>
      </c>
      <c r="C6742" s="1" t="str">
        <f ca="1">IFERROR(__xludf.DUMMYFUNCTION("GOOGLETRANSLATE(B6830,""en"",""ja"")"),"富")</f>
        <v>富</v>
      </c>
    </row>
    <row r="6743" spans="1:3" ht="18" customHeight="1" x14ac:dyDescent="0.3">
      <c r="A6743" s="1">
        <v>3</v>
      </c>
      <c r="B6743" s="1" t="s">
        <v>3865</v>
      </c>
      <c r="C6743" s="1" t="str">
        <f ca="1">IFERROR(__xludf.DUMMYFUNCTION("GOOGLETRANSLATE(B6831,""en"",""ja"")"),"ご飯")</f>
        <v>ご飯</v>
      </c>
    </row>
    <row r="6744" spans="1:3" ht="18" customHeight="1" x14ac:dyDescent="0.3">
      <c r="A6744" s="1">
        <v>3</v>
      </c>
      <c r="B6744" s="1" t="s">
        <v>5507</v>
      </c>
      <c r="C6744" s="1" t="str">
        <f ca="1">IFERROR(__xludf.DUMMYFUNCTION("GOOGLETRANSLATE(B6832,""en"",""ja"")"),"リズム")</f>
        <v>リズム</v>
      </c>
    </row>
    <row r="6745" spans="1:3" ht="18" customHeight="1" x14ac:dyDescent="0.3">
      <c r="A6745" s="1">
        <v>3</v>
      </c>
      <c r="B6745" s="1" t="s">
        <v>5508</v>
      </c>
      <c r="C6745" s="1" t="str">
        <f ca="1">IFERROR(__xludf.DUMMYFUNCTION("GOOGLETRANSLATE(B6833,""en"",""ja"")"),"褒賞")</f>
        <v>褒賞</v>
      </c>
    </row>
    <row r="6746" spans="1:3" ht="18" customHeight="1" x14ac:dyDescent="0.3">
      <c r="A6746" s="1">
        <v>3</v>
      </c>
      <c r="B6746" s="1" t="s">
        <v>5509</v>
      </c>
      <c r="C6746" s="1" t="str">
        <f ca="1">IFERROR(__xludf.DUMMYFUNCTION("GOOGLETRANSLATE(B6835,""en"",""ja"")"),"復活")</f>
        <v>復活</v>
      </c>
    </row>
    <row r="6747" spans="1:3" ht="18" customHeight="1" x14ac:dyDescent="0.3">
      <c r="A6747" s="1">
        <v>3</v>
      </c>
      <c r="B6747" s="1" t="s">
        <v>5510</v>
      </c>
      <c r="C6747" s="1" t="str">
        <f ca="1">IFERROR(__xludf.DUMMYFUNCTION("GOOGLETRANSLATE(B6836,""en"",""ja"")"),"収益")</f>
        <v>収益</v>
      </c>
    </row>
    <row r="6748" spans="1:3" ht="18" customHeight="1" x14ac:dyDescent="0.3">
      <c r="A6748" s="1">
        <v>3</v>
      </c>
      <c r="B6748" s="1" t="s">
        <v>5511</v>
      </c>
      <c r="C6748" s="1" t="str">
        <f ca="1">IFERROR(__xludf.DUMMYFUNCTION("GOOGLETRANSLATE(B6837,""en"",""ja"")"),"啓示")</f>
        <v>啓示</v>
      </c>
    </row>
    <row r="6749" spans="1:3" ht="18" customHeight="1" x14ac:dyDescent="0.3">
      <c r="A6749" s="1">
        <v>3</v>
      </c>
      <c r="B6749" s="1" t="s">
        <v>5512</v>
      </c>
      <c r="C6749" s="1" t="str">
        <f ca="1">IFERROR(__xludf.DUMMYFUNCTION("GOOGLETRANSLATE(B6838,""en"",""ja"")"),"戻り値")</f>
        <v>戻り値</v>
      </c>
    </row>
    <row r="6750" spans="1:3" ht="18" customHeight="1" x14ac:dyDescent="0.3">
      <c r="A6750" s="1">
        <v>3</v>
      </c>
      <c r="B6750" s="1" t="s">
        <v>1426</v>
      </c>
      <c r="C6750" s="1" t="str">
        <f ca="1">IFERROR(__xludf.DUMMYFUNCTION("GOOGLETRANSLATE(B6839,""en"",""ja"")"),"リターン")</f>
        <v>リターン</v>
      </c>
    </row>
    <row r="6751" spans="1:3" ht="18" customHeight="1" x14ac:dyDescent="0.3">
      <c r="A6751" s="1">
        <v>3</v>
      </c>
      <c r="B6751" s="1" t="s">
        <v>5513</v>
      </c>
      <c r="C6751" s="1" t="str">
        <f ca="1">IFERROR(__xludf.DUMMYFUNCTION("GOOGLETRANSLATE(B6840,""en"",""ja"")"),"検索されました")</f>
        <v>検索されました</v>
      </c>
    </row>
    <row r="6752" spans="1:3" ht="18" customHeight="1" x14ac:dyDescent="0.3">
      <c r="A6752" s="1">
        <v>3</v>
      </c>
      <c r="B6752" s="1" t="s">
        <v>5514</v>
      </c>
      <c r="C6752" s="1" t="str">
        <f ca="1">IFERROR(__xludf.DUMMYFUNCTION("GOOGLETRANSLATE(B6841,""en"",""ja"")"),"検索します")</f>
        <v>検索します</v>
      </c>
    </row>
    <row r="6753" spans="1:3" ht="18" customHeight="1" x14ac:dyDescent="0.3">
      <c r="A6753" s="1">
        <v>3</v>
      </c>
      <c r="B6753" s="1" t="s">
        <v>5515</v>
      </c>
      <c r="C6753" s="1" t="str">
        <f ca="1">IFERROR(__xludf.DUMMYFUNCTION("GOOGLETRANSLATE(B6842,""en"",""ja"")"),"再考")</f>
        <v>再考</v>
      </c>
    </row>
    <row r="6754" spans="1:3" ht="18" customHeight="1" x14ac:dyDescent="0.3">
      <c r="A6754" s="1">
        <v>3</v>
      </c>
      <c r="B6754" s="1" t="s">
        <v>239</v>
      </c>
      <c r="C6754" s="1" t="str">
        <f ca="1">IFERROR(__xludf.DUMMYFUNCTION("GOOGLETRANSLATE(B6843,""en"",""ja"")"),"結果")</f>
        <v>結果</v>
      </c>
    </row>
    <row r="6755" spans="1:3" ht="18" customHeight="1" x14ac:dyDescent="0.3">
      <c r="A6755" s="1">
        <v>3</v>
      </c>
      <c r="B6755" s="1" t="s">
        <v>5516</v>
      </c>
      <c r="C6755" s="1" t="str">
        <f ca="1">IFERROR(__xludf.DUMMYFUNCTION("GOOGLETRANSLATE(B6844,""en"",""ja"")"),"結果")</f>
        <v>結果</v>
      </c>
    </row>
    <row r="6756" spans="1:3" ht="18" customHeight="1" x14ac:dyDescent="0.3">
      <c r="A6756" s="1">
        <v>3</v>
      </c>
      <c r="B6756" s="1" t="s">
        <v>5517</v>
      </c>
      <c r="C6756" s="1" t="str">
        <f ca="1">IFERROR(__xludf.DUMMYFUNCTION("GOOGLETRANSLATE(B6845,""en"",""ja"")"),"制限")</f>
        <v>制限</v>
      </c>
    </row>
    <row r="6757" spans="1:3" ht="18" customHeight="1" x14ac:dyDescent="0.3">
      <c r="A6757" s="1">
        <v>3</v>
      </c>
      <c r="B6757" s="1" t="s">
        <v>5518</v>
      </c>
      <c r="C6757" s="1" t="str">
        <f ca="1">IFERROR(__xludf.DUMMYFUNCTION("GOOGLETRANSLATE(B6846,""en"",""ja"")"),"制限します")</f>
        <v>制限します</v>
      </c>
    </row>
    <row r="6758" spans="1:3" ht="18" customHeight="1" x14ac:dyDescent="0.3">
      <c r="A6758" s="1">
        <v>3</v>
      </c>
      <c r="B6758" s="1" t="s">
        <v>5519</v>
      </c>
      <c r="C6758" s="1" t="str">
        <f ca="1">IFERROR(__xludf.DUMMYFUNCTION("GOOGLETRANSLATE(B6847,""en"",""ja"")"),"飲食店")</f>
        <v>飲食店</v>
      </c>
    </row>
    <row r="6759" spans="1:3" ht="18" customHeight="1" x14ac:dyDescent="0.3">
      <c r="A6759" s="1">
        <v>3</v>
      </c>
      <c r="B6759" s="1" t="s">
        <v>2303</v>
      </c>
      <c r="C6759" s="1" t="str">
        <f ca="1">IFERROR(__xludf.DUMMYFUNCTION("GOOGLETRANSLATE(B6848,""en"",""ja"")"),"反応します")</f>
        <v>反応します</v>
      </c>
    </row>
    <row r="6760" spans="1:3" ht="18" customHeight="1" x14ac:dyDescent="0.3">
      <c r="A6760" s="1">
        <v>3</v>
      </c>
      <c r="B6760" s="1" t="s">
        <v>5520</v>
      </c>
      <c r="C6760" s="1" t="str">
        <f ca="1">IFERROR(__xludf.DUMMYFUNCTION("GOOGLETRANSLATE(B6849,""en"",""ja"")"),"応答")</f>
        <v>応答</v>
      </c>
    </row>
    <row r="6761" spans="1:3" ht="18" customHeight="1" x14ac:dyDescent="0.3">
      <c r="A6761" s="1">
        <v>3</v>
      </c>
      <c r="B6761" s="1" t="s">
        <v>5521</v>
      </c>
      <c r="C6761" s="1" t="str">
        <f ca="1">IFERROR(__xludf.DUMMYFUNCTION("GOOGLETRANSLATE(B6850,""en"",""ja"")"),"答え")</f>
        <v>答え</v>
      </c>
    </row>
    <row r="6762" spans="1:3" ht="18" customHeight="1" x14ac:dyDescent="0.3">
      <c r="A6762" s="1">
        <v>3</v>
      </c>
      <c r="B6762" s="1" t="s">
        <v>5522</v>
      </c>
      <c r="C6762" s="1" t="str">
        <f ca="1">IFERROR(__xludf.DUMMYFUNCTION("GOOGLETRANSLATE(B6851,""en"",""ja"")"),"それぞれの")</f>
        <v>それぞれの</v>
      </c>
    </row>
    <row r="6763" spans="1:3" ht="18" customHeight="1" x14ac:dyDescent="0.3">
      <c r="A6763" s="1">
        <v>3</v>
      </c>
      <c r="B6763" s="1" t="s">
        <v>5523</v>
      </c>
      <c r="C6763" s="1" t="str">
        <f ca="1">IFERROR(__xludf.DUMMYFUNCTION("GOOGLETRANSLATE(B6852,""en"",""ja"")"),"居住の")</f>
        <v>居住の</v>
      </c>
    </row>
    <row r="6764" spans="1:3" ht="18" customHeight="1" x14ac:dyDescent="0.3">
      <c r="A6764" s="1">
        <v>3</v>
      </c>
      <c r="B6764" s="1" t="s">
        <v>5524</v>
      </c>
      <c r="C6764" s="1" t="str">
        <f ca="1">IFERROR(__xludf.DUMMYFUNCTION("GOOGLETRANSLATE(B6853,""en"",""ja"")"),"居住者")</f>
        <v>居住者</v>
      </c>
    </row>
    <row r="6765" spans="1:3" ht="18" customHeight="1" x14ac:dyDescent="0.3">
      <c r="A6765" s="1">
        <v>3</v>
      </c>
      <c r="B6765" s="1" t="s">
        <v>5525</v>
      </c>
      <c r="C6765" s="1" t="str">
        <f ca="1">IFERROR(__xludf.DUMMYFUNCTION("GOOGLETRANSLATE(B6855,""en"",""ja"")"),"貯水池")</f>
        <v>貯水池</v>
      </c>
    </row>
    <row r="6766" spans="1:3" ht="18" customHeight="1" x14ac:dyDescent="0.3">
      <c r="A6766" s="1">
        <v>3</v>
      </c>
      <c r="B6766" s="1" t="s">
        <v>5526</v>
      </c>
      <c r="C6766" s="1" t="str">
        <f ca="1">IFERROR(__xludf.DUMMYFUNCTION("GOOGLETRANSLATE(B6856,""en"",""ja"")"),"引当金")</f>
        <v>引当金</v>
      </c>
    </row>
    <row r="6767" spans="1:3" ht="18" customHeight="1" x14ac:dyDescent="0.3">
      <c r="A6767" s="1">
        <v>3</v>
      </c>
      <c r="B6767" s="1" t="s">
        <v>5527</v>
      </c>
      <c r="C6767" s="1" t="str">
        <f ca="1">IFERROR(__xludf.DUMMYFUNCTION("GOOGLETRANSLATE(B6857,""en"",""ja"")"),"予約済み")</f>
        <v>予約済み</v>
      </c>
    </row>
    <row r="6768" spans="1:3" ht="18" customHeight="1" x14ac:dyDescent="0.3">
      <c r="A6768" s="1">
        <v>3</v>
      </c>
      <c r="B6768" s="1" t="s">
        <v>5528</v>
      </c>
      <c r="C6768" s="1" t="str">
        <f ca="1">IFERROR(__xludf.DUMMYFUNCTION("GOOGLETRANSLATE(B6858,""en"",""ja"")"),"再シード")</f>
        <v>再シード</v>
      </c>
    </row>
    <row r="6769" spans="1:3" ht="18" customHeight="1" x14ac:dyDescent="0.3">
      <c r="A6769" s="1">
        <v>3</v>
      </c>
      <c r="B6769" s="1" t="s">
        <v>5529</v>
      </c>
      <c r="C6769" s="1" t="str">
        <f ca="1">IFERROR(__xludf.DUMMYFUNCTION("GOOGLETRANSLATE(B6859,""en"",""ja"")"),"研究者")</f>
        <v>研究者</v>
      </c>
    </row>
    <row r="6770" spans="1:3" ht="18" customHeight="1" x14ac:dyDescent="0.3">
      <c r="A6770" s="1">
        <v>3</v>
      </c>
      <c r="B6770" s="1" t="s">
        <v>5530</v>
      </c>
      <c r="C6770" s="1" t="str">
        <f ca="1">IFERROR(__xludf.DUMMYFUNCTION("GOOGLETRANSLATE(B6860,""en"",""ja"")"),"再プログラム")</f>
        <v>再プログラム</v>
      </c>
    </row>
    <row r="6771" spans="1:3" ht="18" customHeight="1" x14ac:dyDescent="0.3">
      <c r="A6771" s="1">
        <v>3</v>
      </c>
      <c r="B6771" s="1" t="s">
        <v>5531</v>
      </c>
      <c r="C6771" s="1" t="str">
        <f ca="1">IFERROR(__xludf.DUMMYFUNCTION("GOOGLETRANSLATE(B6861,""en"",""ja"")"),"抑制")</f>
        <v>抑制</v>
      </c>
    </row>
    <row r="6772" spans="1:3" ht="18" customHeight="1" x14ac:dyDescent="0.3">
      <c r="A6772" s="1">
        <v>3</v>
      </c>
      <c r="B6772" s="1" t="s">
        <v>5532</v>
      </c>
      <c r="C6772" s="1" t="str">
        <f ca="1">IFERROR(__xludf.DUMMYFUNCTION("GOOGLETRANSLATE(B6862,""en"",""ja"")"),"代表")</f>
        <v>代表</v>
      </c>
    </row>
    <row r="6773" spans="1:3" ht="18" customHeight="1" x14ac:dyDescent="0.3">
      <c r="A6773" s="1">
        <v>3</v>
      </c>
      <c r="B6773" s="1" t="s">
        <v>2305</v>
      </c>
      <c r="C6773" s="1" t="str">
        <f ca="1">IFERROR(__xludf.DUMMYFUNCTION("GOOGLETRANSLATE(B6863,""en"",""ja"")"),"置換")</f>
        <v>置換</v>
      </c>
    </row>
    <row r="6774" spans="1:3" ht="18" customHeight="1" x14ac:dyDescent="0.3">
      <c r="A6774" s="1">
        <v>3</v>
      </c>
      <c r="B6774" s="1" t="s">
        <v>2909</v>
      </c>
      <c r="C6774" s="1" t="str">
        <f ca="1">IFERROR(__xludf.DUMMYFUNCTION("GOOGLETRANSLATE(B6864,""en"",""ja"")"),"繰り返し")</f>
        <v>繰り返し</v>
      </c>
    </row>
    <row r="6775" spans="1:3" ht="18" customHeight="1" x14ac:dyDescent="0.3">
      <c r="A6775" s="1">
        <v>3</v>
      </c>
      <c r="B6775" s="1" t="s">
        <v>3289</v>
      </c>
      <c r="C6775" s="1" t="str">
        <f ca="1">IFERROR(__xludf.DUMMYFUNCTION("GOOGLETRANSLATE(B6865,""en"",""ja"")"),"反発")</f>
        <v>反発</v>
      </c>
    </row>
    <row r="6776" spans="1:3" ht="18" customHeight="1" x14ac:dyDescent="0.3">
      <c r="A6776" s="1">
        <v>3</v>
      </c>
      <c r="B6776" s="1" t="s">
        <v>1761</v>
      </c>
      <c r="C6776" s="1" t="str">
        <f ca="1">IFERROR(__xludf.DUMMYFUNCTION("GOOGLETRANSLATE(B6866,""en"",""ja"")"),"繰り返す")</f>
        <v>繰り返す</v>
      </c>
    </row>
    <row r="6777" spans="1:3" ht="18" customHeight="1" x14ac:dyDescent="0.3">
      <c r="A6777" s="1">
        <v>3</v>
      </c>
      <c r="B6777" s="1" t="s">
        <v>5533</v>
      </c>
      <c r="C6777" s="1" t="str">
        <f ca="1">IFERROR(__xludf.DUMMYFUNCTION("GOOGLETRANSLATE(B6867,""en"",""ja"")"),"修理")</f>
        <v>修理</v>
      </c>
    </row>
    <row r="6778" spans="1:3" ht="18" customHeight="1" x14ac:dyDescent="0.3">
      <c r="A6778" s="1">
        <v>3</v>
      </c>
      <c r="B6778" s="1" t="s">
        <v>5534</v>
      </c>
      <c r="C6778" s="1" t="str">
        <f ca="1">IFERROR(__xludf.DUMMYFUNCTION("GOOGLETRANSLATE(B6868,""en"",""ja"")"),"著名")</f>
        <v>著名</v>
      </c>
    </row>
    <row r="6779" spans="1:3" ht="18" customHeight="1" x14ac:dyDescent="0.3">
      <c r="A6779" s="1">
        <v>3</v>
      </c>
      <c r="B6779" s="1" t="s">
        <v>5535</v>
      </c>
      <c r="C6779" s="1" t="str">
        <f ca="1">IFERROR(__xludf.DUMMYFUNCTION("GOOGLETRANSLATE(B6869,""en"",""ja"")"),"与えます")</f>
        <v>与えます</v>
      </c>
    </row>
    <row r="6780" spans="1:3" ht="18" customHeight="1" x14ac:dyDescent="0.3">
      <c r="A6780" s="1">
        <v>3</v>
      </c>
      <c r="B6780" s="1" t="s">
        <v>5536</v>
      </c>
      <c r="C6780" s="1" t="str">
        <f ca="1">IFERROR(__xludf.DUMMYFUNCTION("GOOGLETRANSLATE(B6870,""en"",""ja"")"),"除去")</f>
        <v>除去</v>
      </c>
    </row>
    <row r="6781" spans="1:3" ht="18" customHeight="1" x14ac:dyDescent="0.3">
      <c r="A6781" s="1">
        <v>3</v>
      </c>
      <c r="B6781" s="1" t="s">
        <v>5537</v>
      </c>
      <c r="C6781" s="1" t="str">
        <f ca="1">IFERROR(__xludf.DUMMYFUNCTION("GOOGLETRANSLATE(B6871,""en"",""ja"")"),"リモートで")</f>
        <v>リモートで</v>
      </c>
    </row>
    <row r="6782" spans="1:3" ht="18" customHeight="1" x14ac:dyDescent="0.3">
      <c r="A6782" s="1">
        <v>3</v>
      </c>
      <c r="B6782" s="1" t="s">
        <v>2306</v>
      </c>
      <c r="C6782" s="1" t="str">
        <f ca="1">IFERROR(__xludf.DUMMYFUNCTION("GOOGLETRANSLATE(B6872,""en"",""ja"")"),"遠隔")</f>
        <v>遠隔</v>
      </c>
    </row>
    <row r="6783" spans="1:3" ht="18" customHeight="1" x14ac:dyDescent="0.3">
      <c r="A6783" s="1">
        <v>3</v>
      </c>
      <c r="B6783" s="1" t="s">
        <v>5538</v>
      </c>
      <c r="C6783" s="1" t="str">
        <f ca="1">IFERROR(__xludf.DUMMYFUNCTION("GOOGLETRANSLATE(B6873,""en"",""ja"")"),"救済")</f>
        <v>救済</v>
      </c>
    </row>
    <row r="6784" spans="1:3" ht="18" customHeight="1" x14ac:dyDescent="0.3">
      <c r="A6784" s="1">
        <v>3</v>
      </c>
      <c r="B6784" s="1" t="s">
        <v>5539</v>
      </c>
      <c r="C6784" s="1" t="str">
        <f ca="1">IFERROR(__xludf.DUMMYFUNCTION("GOOGLETRANSLATE(B6874,""en"",""ja"")"),"リマーク")</f>
        <v>リマーク</v>
      </c>
    </row>
    <row r="6785" spans="1:3" ht="18" customHeight="1" x14ac:dyDescent="0.3">
      <c r="A6785" s="1">
        <v>3</v>
      </c>
      <c r="B6785" s="1" t="s">
        <v>5540</v>
      </c>
      <c r="C6785" s="1" t="str">
        <f ca="1">IFERROR(__xludf.DUMMYFUNCTION("GOOGLETRANSLATE(B6875,""en"",""ja"")"),"渋々")</f>
        <v>渋々</v>
      </c>
    </row>
    <row r="6786" spans="1:3" ht="18" customHeight="1" x14ac:dyDescent="0.3">
      <c r="A6786" s="1">
        <v>3</v>
      </c>
      <c r="B6786" s="1" t="s">
        <v>5541</v>
      </c>
      <c r="C6786" s="1" t="str">
        <f ca="1">IFERROR(__xludf.DUMMYFUNCTION("GOOGLETRANSLATE(B6876,""en"",""ja"")"),"再配置")</f>
        <v>再配置</v>
      </c>
    </row>
    <row r="6787" spans="1:3" ht="18" customHeight="1" x14ac:dyDescent="0.3">
      <c r="A6787" s="1">
        <v>3</v>
      </c>
      <c r="B6787" s="1" t="s">
        <v>5542</v>
      </c>
      <c r="C6787" s="1" t="str">
        <f ca="1">IFERROR(__xludf.DUMMYFUNCTION("GOOGLETRANSLATE(B6877,""en"",""ja"")"),"緩和する")</f>
        <v>緩和する</v>
      </c>
    </row>
    <row r="6788" spans="1:3" ht="18" customHeight="1" x14ac:dyDescent="0.3">
      <c r="A6788" s="1">
        <v>3</v>
      </c>
      <c r="B6788" s="1" t="s">
        <v>5543</v>
      </c>
      <c r="C6788" s="1" t="str">
        <f ca="1">IFERROR(__xludf.DUMMYFUNCTION("GOOGLETRANSLATE(B6878,""en"",""ja"")"),"依存しています")</f>
        <v>依存しています</v>
      </c>
    </row>
    <row r="6789" spans="1:3" ht="18" customHeight="1" x14ac:dyDescent="0.3">
      <c r="A6789" s="1">
        <v>3</v>
      </c>
      <c r="B6789" s="1" t="s">
        <v>5544</v>
      </c>
      <c r="C6789" s="1" t="str">
        <f ca="1">IFERROR(__xludf.DUMMYFUNCTION("GOOGLETRANSLATE(B6879,""en"",""ja"")"),"遺物")</f>
        <v>遺物</v>
      </c>
    </row>
    <row r="6790" spans="1:3" ht="18" customHeight="1" x14ac:dyDescent="0.3">
      <c r="A6790" s="1">
        <v>3</v>
      </c>
      <c r="B6790" s="1" t="s">
        <v>5545</v>
      </c>
      <c r="C6790" s="1" t="str">
        <f ca="1">IFERROR(__xludf.DUMMYFUNCTION("GOOGLETRANSLATE(B6880,""en"",""ja"")"),"依存")</f>
        <v>依存</v>
      </c>
    </row>
    <row r="6791" spans="1:3" ht="18" customHeight="1" x14ac:dyDescent="0.3">
      <c r="A6791" s="1">
        <v>3</v>
      </c>
      <c r="B6791" s="1" t="s">
        <v>5546</v>
      </c>
      <c r="C6791" s="1" t="str">
        <f ca="1">IFERROR(__xludf.DUMMYFUNCTION("GOOGLETRANSLATE(B6881,""en"",""ja"")"),"リリース")</f>
        <v>リリース</v>
      </c>
    </row>
    <row r="6792" spans="1:3" ht="18" customHeight="1" x14ac:dyDescent="0.3">
      <c r="A6792" s="1">
        <v>3</v>
      </c>
      <c r="B6792" s="1" t="s">
        <v>5547</v>
      </c>
      <c r="C6792" s="1" t="str">
        <f ca="1">IFERROR(__xludf.DUMMYFUNCTION("GOOGLETRANSLATE(B6882,""en"",""ja"")"),"相対性理論")</f>
        <v>相対性理論</v>
      </c>
    </row>
    <row r="6793" spans="1:3" ht="18" customHeight="1" x14ac:dyDescent="0.3">
      <c r="A6793" s="1">
        <v>3</v>
      </c>
      <c r="B6793" s="1" t="s">
        <v>5548</v>
      </c>
      <c r="C6793" s="1" t="str">
        <f ca="1">IFERROR(__xludf.DUMMYFUNCTION("GOOGLETRANSLATE(B6883,""en"",""ja"")"),"関係")</f>
        <v>関係</v>
      </c>
    </row>
    <row r="6794" spans="1:3" ht="18" customHeight="1" x14ac:dyDescent="0.3">
      <c r="A6794" s="1">
        <v>3</v>
      </c>
      <c r="B6794" s="1" t="s">
        <v>5549</v>
      </c>
      <c r="C6794" s="1" t="str">
        <f ca="1">IFERROR(__xludf.DUMMYFUNCTION("GOOGLETRANSLATE(B6884,""en"",""ja"")"),"関連")</f>
        <v>関連</v>
      </c>
    </row>
    <row r="6795" spans="1:3" ht="18" customHeight="1" x14ac:dyDescent="0.3">
      <c r="A6795" s="1">
        <v>3</v>
      </c>
      <c r="B6795" s="1" t="s">
        <v>2568</v>
      </c>
      <c r="C6795" s="1" t="str">
        <f ca="1">IFERROR(__xludf.DUMMYFUNCTION("GOOGLETRANSLATE(B6885,""en"",""ja"")"),"関連")</f>
        <v>関連</v>
      </c>
    </row>
    <row r="6796" spans="1:3" ht="18" customHeight="1" x14ac:dyDescent="0.3">
      <c r="A6796" s="1">
        <v>3</v>
      </c>
      <c r="B6796" s="1" t="s">
        <v>5550</v>
      </c>
      <c r="C6796" s="1" t="str">
        <f ca="1">IFERROR(__xludf.DUMMYFUNCTION("GOOGLETRANSLATE(B6886,""en"",""ja"")"),"拒絶")</f>
        <v>拒絶</v>
      </c>
    </row>
    <row r="6797" spans="1:3" ht="18" customHeight="1" x14ac:dyDescent="0.3">
      <c r="A6797" s="1">
        <v>3</v>
      </c>
      <c r="B6797" s="1" t="s">
        <v>5551</v>
      </c>
      <c r="C6797" s="1" t="str">
        <f ca="1">IFERROR(__xludf.DUMMYFUNCTION("GOOGLETRANSLATE(B6887,""en"",""ja"")"),"再インストール")</f>
        <v>再インストール</v>
      </c>
    </row>
    <row r="6798" spans="1:3" ht="18" customHeight="1" x14ac:dyDescent="0.3">
      <c r="A6798" s="1">
        <v>3</v>
      </c>
      <c r="B6798" s="1" t="s">
        <v>5552</v>
      </c>
      <c r="C6798" s="1" t="str">
        <f ca="1">IFERROR(__xludf.DUMMYFUNCTION("GOOGLETRANSLATE(B6888,""en"",""ja"")"),"強化")</f>
        <v>強化</v>
      </c>
    </row>
    <row r="6799" spans="1:3" ht="18" customHeight="1" x14ac:dyDescent="0.3">
      <c r="A6799" s="1">
        <v>3</v>
      </c>
      <c r="B6799" s="1" t="s">
        <v>2314</v>
      </c>
      <c r="C6799" s="1" t="str">
        <f ca="1">IFERROR(__xludf.DUMMYFUNCTION("GOOGLETRANSLATE(B6889,""en"",""ja"")"),"地域の")</f>
        <v>地域の</v>
      </c>
    </row>
    <row r="6800" spans="1:3" ht="18" customHeight="1" x14ac:dyDescent="0.3">
      <c r="A6800" s="1">
        <v>3</v>
      </c>
      <c r="B6800" s="1" t="s">
        <v>5553</v>
      </c>
      <c r="C6800" s="1" t="str">
        <f ca="1">IFERROR(__xludf.DUMMYFUNCTION("GOOGLETRANSLATE(B6890,""en"",""ja"")"),"連隊")</f>
        <v>連隊</v>
      </c>
    </row>
    <row r="6801" spans="1:3" ht="18" customHeight="1" x14ac:dyDescent="0.3">
      <c r="A6801" s="1">
        <v>3</v>
      </c>
      <c r="B6801" s="1" t="s">
        <v>4468</v>
      </c>
      <c r="C6801" s="1" t="str">
        <f ca="1">IFERROR(__xludf.DUMMYFUNCTION("GOOGLETRANSLATE(B6891,""en"",""ja"")"),"領域")</f>
        <v>領域</v>
      </c>
    </row>
    <row r="6802" spans="1:3" ht="18" customHeight="1" x14ac:dyDescent="0.3">
      <c r="A6802" s="1">
        <v>3</v>
      </c>
      <c r="B6802" s="1" t="s">
        <v>5554</v>
      </c>
      <c r="C6802" s="1" t="str">
        <f ca="1">IFERROR(__xludf.DUMMYFUNCTION("GOOGLETRANSLATE(B6892,""en"",""ja"")"),"拒否する")</f>
        <v>拒否する</v>
      </c>
    </row>
    <row r="6803" spans="1:3" ht="18" customHeight="1" x14ac:dyDescent="0.3">
      <c r="A6803" s="1">
        <v>3</v>
      </c>
      <c r="B6803" s="1" t="s">
        <v>5555</v>
      </c>
      <c r="C6803" s="1" t="str">
        <f ca="1">IFERROR(__xludf.DUMMYFUNCTION("GOOGLETRANSLATE(B6893,""en"",""ja"")"),"ごみ")</f>
        <v>ごみ</v>
      </c>
    </row>
    <row r="6804" spans="1:3" ht="18" customHeight="1" x14ac:dyDescent="0.3">
      <c r="A6804" s="1">
        <v>3</v>
      </c>
      <c r="B6804" s="1" t="s">
        <v>5556</v>
      </c>
      <c r="C6804" s="1" t="str">
        <f ca="1">IFERROR(__xludf.DUMMYFUNCTION("GOOGLETRANSLATE(B6894,""en"",""ja"")"),"拒否")</f>
        <v>拒否</v>
      </c>
    </row>
    <row r="6805" spans="1:3" ht="18" customHeight="1" x14ac:dyDescent="0.3">
      <c r="A6805" s="1">
        <v>3</v>
      </c>
      <c r="B6805" s="1" t="s">
        <v>5557</v>
      </c>
      <c r="C6805" s="1" t="str">
        <f ca="1">IFERROR(__xludf.DUMMYFUNCTION("GOOGLETRANSLATE(B6895,""en"",""ja"")"),"避難所")</f>
        <v>避難所</v>
      </c>
    </row>
    <row r="6806" spans="1:3" ht="18" customHeight="1" x14ac:dyDescent="0.3">
      <c r="A6806" s="1">
        <v>3</v>
      </c>
      <c r="B6806" s="1" t="s">
        <v>5558</v>
      </c>
      <c r="C6806" s="1" t="str">
        <f ca="1">IFERROR(__xludf.DUMMYFUNCTION("GOOGLETRANSLATE(B6896,""en"",""ja"")"),"難民")</f>
        <v>難民</v>
      </c>
    </row>
    <row r="6807" spans="1:3" ht="18" customHeight="1" x14ac:dyDescent="0.3">
      <c r="A6807" s="1">
        <v>3</v>
      </c>
      <c r="B6807" s="1" t="s">
        <v>5559</v>
      </c>
      <c r="C6807" s="1" t="str">
        <f ca="1">IFERROR(__xludf.DUMMYFUNCTION("GOOGLETRANSLATE(B6897,""en"",""ja"")"),"冷凍")</f>
        <v>冷凍</v>
      </c>
    </row>
    <row r="6808" spans="1:3" ht="18" customHeight="1" x14ac:dyDescent="0.3">
      <c r="A6808" s="1">
        <v>3</v>
      </c>
      <c r="B6808" s="1" t="s">
        <v>1052</v>
      </c>
      <c r="C6808" s="1" t="str">
        <f ca="1">IFERROR(__xludf.DUMMYFUNCTION("GOOGLETRANSLATE(B6898,""en"",""ja"")"),"反射する")</f>
        <v>反射する</v>
      </c>
    </row>
    <row r="6809" spans="1:3" ht="18" customHeight="1" x14ac:dyDescent="0.3">
      <c r="A6809" s="1">
        <v>3</v>
      </c>
      <c r="B6809" s="1" t="s">
        <v>5560</v>
      </c>
      <c r="C6809" s="1" t="str">
        <f ca="1">IFERROR(__xludf.DUMMYFUNCTION("GOOGLETRANSLATE(B6899,""en"",""ja"")"),"再定義")</f>
        <v>再定義</v>
      </c>
    </row>
    <row r="6810" spans="1:3" ht="18" customHeight="1" x14ac:dyDescent="0.3">
      <c r="A6810" s="1">
        <v>3</v>
      </c>
      <c r="B6810" s="1" t="s">
        <v>5561</v>
      </c>
      <c r="C6810" s="1" t="str">
        <f ca="1">IFERROR(__xludf.DUMMYFUNCTION("GOOGLETRANSLATE(B6900,""en"",""ja"")"),"レクリエーション")</f>
        <v>レクリエーション</v>
      </c>
    </row>
    <row r="6811" spans="1:3" ht="18" customHeight="1" x14ac:dyDescent="0.3">
      <c r="A6811" s="1">
        <v>3</v>
      </c>
      <c r="B6811" s="1" t="s">
        <v>5562</v>
      </c>
      <c r="C6811" s="1" t="str">
        <f ca="1">IFERROR(__xludf.DUMMYFUNCTION("GOOGLETRANSLATE(B6901,""en"",""ja"")"),"レクリエーション")</f>
        <v>レクリエーション</v>
      </c>
    </row>
    <row r="6812" spans="1:3" ht="18" customHeight="1" x14ac:dyDescent="0.3">
      <c r="A6812" s="1">
        <v>3</v>
      </c>
      <c r="B6812" s="1" t="s">
        <v>5563</v>
      </c>
      <c r="C6812" s="1" t="str">
        <f ca="1">IFERROR(__xludf.DUMMYFUNCTION("GOOGLETRANSLATE(B6902,""en"",""ja"")"),"回復します")</f>
        <v>回復します</v>
      </c>
    </row>
    <row r="6813" spans="1:3" ht="18" customHeight="1" x14ac:dyDescent="0.3">
      <c r="A6813" s="1">
        <v>3</v>
      </c>
      <c r="B6813" s="1" t="s">
        <v>5564</v>
      </c>
      <c r="C6813" s="1" t="str">
        <f ca="1">IFERROR(__xludf.DUMMYFUNCTION("GOOGLETRANSLATE(B6903,""en"",""ja"")"),"レコーダー")</f>
        <v>レコーダー</v>
      </c>
    </row>
    <row r="6814" spans="1:3" ht="18" customHeight="1" x14ac:dyDescent="0.3">
      <c r="A6814" s="1">
        <v>3</v>
      </c>
      <c r="B6814" s="1" t="s">
        <v>3878</v>
      </c>
      <c r="C6814" s="1" t="str">
        <f ca="1">IFERROR(__xludf.DUMMYFUNCTION("GOOGLETRANSLATE(B6904,""en"",""ja"")"),"和解")</f>
        <v>和解</v>
      </c>
    </row>
    <row r="6815" spans="1:3" ht="18" customHeight="1" x14ac:dyDescent="0.3">
      <c r="A6815" s="1">
        <v>3</v>
      </c>
      <c r="B6815" s="1" t="s">
        <v>5565</v>
      </c>
      <c r="C6815" s="1" t="str">
        <f ca="1">IFERROR(__xludf.DUMMYFUNCTION("GOOGLETRANSLATE(B6905,""en"",""ja"")"),"リクライニング")</f>
        <v>リクライニング</v>
      </c>
    </row>
    <row r="6816" spans="1:3" ht="18" customHeight="1" x14ac:dyDescent="0.3">
      <c r="A6816" s="1">
        <v>3</v>
      </c>
      <c r="B6816" s="1" t="s">
        <v>5566</v>
      </c>
      <c r="C6816" s="1" t="str">
        <f ca="1">IFERROR(__xludf.DUMMYFUNCTION("GOOGLETRANSLATE(B6906,""en"",""ja"")"),"再充電")</f>
        <v>再充電</v>
      </c>
    </row>
    <row r="6817" spans="1:3" ht="18" customHeight="1" x14ac:dyDescent="0.3">
      <c r="A6817" s="1">
        <v>3</v>
      </c>
      <c r="B6817" s="1" t="s">
        <v>5567</v>
      </c>
      <c r="C6817" s="1" t="str">
        <f ca="1">IFERROR(__xludf.DUMMYFUNCTION("GOOGLETRANSLATE(B6907,""en"",""ja"")"),"受信")</f>
        <v>受信</v>
      </c>
    </row>
    <row r="6818" spans="1:3" ht="18" customHeight="1" x14ac:dyDescent="0.3">
      <c r="A6818" s="1">
        <v>3</v>
      </c>
      <c r="B6818" s="1" t="s">
        <v>5568</v>
      </c>
      <c r="C6818" s="1" t="str">
        <f ca="1">IFERROR(__xludf.DUMMYFUNCTION("GOOGLETRANSLATE(B6908,""en"",""ja"")"),"受信機")</f>
        <v>受信機</v>
      </c>
    </row>
    <row r="6819" spans="1:3" ht="18" customHeight="1" x14ac:dyDescent="0.3">
      <c r="A6819" s="1">
        <v>3</v>
      </c>
      <c r="B6819" s="1" t="s">
        <v>5569</v>
      </c>
      <c r="C6819" s="1" t="str">
        <f ca="1">IFERROR(__xludf.DUMMYFUNCTION("GOOGLETRANSLATE(B6909,""en"",""ja"")"),"後退")</f>
        <v>後退</v>
      </c>
    </row>
    <row r="6820" spans="1:3" ht="18" customHeight="1" x14ac:dyDescent="0.3">
      <c r="A6820" s="1">
        <v>3</v>
      </c>
      <c r="B6820" s="1" t="s">
        <v>5570</v>
      </c>
      <c r="C6820" s="1" t="str">
        <f ca="1">IFERROR(__xludf.DUMMYFUNCTION("GOOGLETRANSLATE(B6910,""en"",""ja"")"),"想起")</f>
        <v>想起</v>
      </c>
    </row>
    <row r="6821" spans="1:3" ht="18" customHeight="1" x14ac:dyDescent="0.3">
      <c r="A6821" s="1">
        <v>3</v>
      </c>
      <c r="B6821" s="1" t="s">
        <v>5571</v>
      </c>
      <c r="C6821" s="1" t="str">
        <f ca="1">IFERROR(__xludf.DUMMYFUNCTION("GOOGLETRANSLATE(B6911,""en"",""ja"")"),"リブート")</f>
        <v>リブート</v>
      </c>
    </row>
    <row r="6822" spans="1:3" ht="18" customHeight="1" x14ac:dyDescent="0.3">
      <c r="A6822" s="1">
        <v>3</v>
      </c>
      <c r="B6822" s="1" t="s">
        <v>4478</v>
      </c>
      <c r="C6822" s="1" t="str">
        <f ca="1">IFERROR(__xludf.DUMMYFUNCTION("GOOGLETRANSLATE(B6912,""en"",""ja"")"),"反抗の")</f>
        <v>反抗の</v>
      </c>
    </row>
    <row r="6823" spans="1:3" ht="18" customHeight="1" x14ac:dyDescent="0.3">
      <c r="A6823" s="1">
        <v>3</v>
      </c>
      <c r="B6823" s="1" t="s">
        <v>4481</v>
      </c>
      <c r="C6823" s="1" t="str">
        <f ca="1">IFERROR(__xludf.DUMMYFUNCTION("GOOGLETRANSLATE(B6913,""en"",""ja"")"),"現実的")</f>
        <v>現実的</v>
      </c>
    </row>
    <row r="6824" spans="1:3" ht="18" customHeight="1" x14ac:dyDescent="0.3">
      <c r="A6824" s="1">
        <v>3</v>
      </c>
      <c r="B6824" s="1" t="s">
        <v>698</v>
      </c>
      <c r="C6824" s="1" t="str">
        <f ca="1">IFERROR(__xludf.DUMMYFUNCTION("GOOGLETRANSLATE(B6914,""en"",""ja"")"),"準備ができて")</f>
        <v>準備ができて</v>
      </c>
    </row>
    <row r="6825" spans="1:3" ht="18" customHeight="1" x14ac:dyDescent="0.3">
      <c r="A6825" s="1">
        <v>3</v>
      </c>
      <c r="B6825" s="1" t="s">
        <v>2318</v>
      </c>
      <c r="C6825" s="1" t="str">
        <f ca="1">IFERROR(__xludf.DUMMYFUNCTION("GOOGLETRANSLATE(B6915,""en"",""ja"")"),"反応します")</f>
        <v>反応します</v>
      </c>
    </row>
    <row r="6826" spans="1:3" ht="18" customHeight="1" x14ac:dyDescent="0.3">
      <c r="A6826" s="1">
        <v>3</v>
      </c>
      <c r="B6826" s="1" t="s">
        <v>5572</v>
      </c>
      <c r="C6826" s="1" t="str">
        <f ca="1">IFERROR(__xludf.DUMMYFUNCTION("GOOGLETRANSLATE(B6916,""en"",""ja"")"),"レイ")</f>
        <v>レイ</v>
      </c>
    </row>
    <row r="6827" spans="1:3" ht="18" customHeight="1" x14ac:dyDescent="0.3">
      <c r="A6827" s="1">
        <v>3</v>
      </c>
      <c r="B6827" s="1" t="s">
        <v>5573</v>
      </c>
      <c r="C6827" s="1" t="str">
        <f ca="1">IFERROR(__xludf.DUMMYFUNCTION("GOOGLETRANSLATE(B6917,""en"",""ja"")"),"カラス")</f>
        <v>カラス</v>
      </c>
    </row>
    <row r="6828" spans="1:3" ht="18" customHeight="1" x14ac:dyDescent="0.3">
      <c r="A6828" s="1">
        <v>3</v>
      </c>
      <c r="B6828" s="1" t="s">
        <v>5574</v>
      </c>
      <c r="C6828" s="1" t="str">
        <f ca="1">IFERROR(__xludf.DUMMYFUNCTION("GOOGLETRANSLATE(B6918,""en"",""ja"")"),"ラット")</f>
        <v>ラット</v>
      </c>
    </row>
    <row r="6829" spans="1:3" ht="18" customHeight="1" x14ac:dyDescent="0.3">
      <c r="A6829" s="1">
        <v>3</v>
      </c>
      <c r="B6829" s="1" t="s">
        <v>2073</v>
      </c>
      <c r="C6829" s="1" t="str">
        <f ca="1">IFERROR(__xludf.DUMMYFUNCTION("GOOGLETRANSLATE(B6919,""en"",""ja"")"),"めったにありません")</f>
        <v>めったにありません</v>
      </c>
    </row>
    <row r="6830" spans="1:3" ht="18" customHeight="1" x14ac:dyDescent="0.3">
      <c r="A6830" s="1">
        <v>3</v>
      </c>
      <c r="B6830" s="1" t="s">
        <v>1177</v>
      </c>
      <c r="C6830" s="1" t="str">
        <f ca="1">IFERROR(__xludf.DUMMYFUNCTION("GOOGLETRANSLATE(B6920,""en"",""ja"")"),"すばやく")</f>
        <v>すばやく</v>
      </c>
    </row>
    <row r="6831" spans="1:3" ht="18" customHeight="1" x14ac:dyDescent="0.3">
      <c r="A6831" s="1">
        <v>3</v>
      </c>
      <c r="B6831" s="1" t="s">
        <v>5575</v>
      </c>
      <c r="C6831" s="1" t="str">
        <f ca="1">IFERROR(__xludf.DUMMYFUNCTION("GOOGLETRANSLATE(B6921,""en"",""ja"")"),"ランク")</f>
        <v>ランク</v>
      </c>
    </row>
    <row r="6832" spans="1:3" ht="18" customHeight="1" x14ac:dyDescent="0.3">
      <c r="A6832" s="1">
        <v>3</v>
      </c>
      <c r="B6832" s="1" t="s">
        <v>5576</v>
      </c>
      <c r="C6832" s="1" t="str">
        <f ca="1">IFERROR(__xludf.DUMMYFUNCTION("GOOGLETRANSLATE(B6922,""en"",""ja"")"),"RAN")</f>
        <v>RAN</v>
      </c>
    </row>
    <row r="6833" spans="1:3" ht="18" customHeight="1" x14ac:dyDescent="0.3">
      <c r="A6833" s="1">
        <v>3</v>
      </c>
      <c r="B6833" s="1" t="s">
        <v>5577</v>
      </c>
      <c r="C6833" s="1" t="str">
        <f ca="1">IFERROR(__xludf.DUMMYFUNCTION("GOOGLETRANSLATE(B6923,""en"",""ja"")"),"昇給")</f>
        <v>昇給</v>
      </c>
    </row>
    <row r="6834" spans="1:3" ht="18" customHeight="1" x14ac:dyDescent="0.3">
      <c r="A6834" s="1">
        <v>3</v>
      </c>
      <c r="B6834" s="1" t="s">
        <v>5578</v>
      </c>
      <c r="C6834" s="1" t="str">
        <f ca="1">IFERROR(__xludf.DUMMYFUNCTION("GOOGLETRANSLATE(B6924,""en"",""ja"")"),"降雨")</f>
        <v>降雨</v>
      </c>
    </row>
    <row r="6835" spans="1:3" ht="18" customHeight="1" x14ac:dyDescent="0.3">
      <c r="A6835" s="1">
        <v>3</v>
      </c>
      <c r="B6835" s="1" t="s">
        <v>5579</v>
      </c>
      <c r="C6835" s="1" t="str">
        <f ca="1">IFERROR(__xludf.DUMMYFUNCTION("GOOGLETRANSLATE(B6925,""en"",""ja"")"),"雨")</f>
        <v>雨</v>
      </c>
    </row>
    <row r="6836" spans="1:3" ht="18" customHeight="1" x14ac:dyDescent="0.3">
      <c r="A6836" s="1">
        <v>3</v>
      </c>
      <c r="B6836" s="1" t="s">
        <v>5580</v>
      </c>
      <c r="C6836" s="1" t="str">
        <f ca="1">IFERROR(__xludf.DUMMYFUNCTION("GOOGLETRANSLATE(B6926,""en"",""ja"")"),"ラーマン")</f>
        <v>ラーマン</v>
      </c>
    </row>
    <row r="6837" spans="1:3" ht="18" customHeight="1" x14ac:dyDescent="0.3">
      <c r="A6837" s="1">
        <v>3</v>
      </c>
      <c r="B6837" s="1" t="s">
        <v>1909</v>
      </c>
      <c r="C6837" s="1" t="str">
        <f ca="1">IFERROR(__xludf.DUMMYFUNCTION("GOOGLETRANSLATE(B6927,""en"",""ja"")"),"無線")</f>
        <v>無線</v>
      </c>
    </row>
    <row r="6838" spans="1:3" ht="18" customHeight="1" x14ac:dyDescent="0.3">
      <c r="A6838" s="1">
        <v>3</v>
      </c>
      <c r="B6838" s="1" t="s">
        <v>4485</v>
      </c>
      <c r="C6838" s="1" t="str">
        <f ca="1">IFERROR(__xludf.DUMMYFUNCTION("GOOGLETRANSLATE(B6928,""en"",""ja"")"),"放射線")</f>
        <v>放射線</v>
      </c>
    </row>
    <row r="6839" spans="1:3" ht="18" customHeight="1" x14ac:dyDescent="0.3">
      <c r="A6839" s="1">
        <v>3</v>
      </c>
      <c r="B6839" s="1" t="s">
        <v>5581</v>
      </c>
      <c r="C6839" s="1" t="str">
        <f ca="1">IFERROR(__xludf.DUMMYFUNCTION("GOOGLETRANSLATE(B6929,""en"",""ja"")"),"見積もり")</f>
        <v>見積もり</v>
      </c>
    </row>
    <row r="6840" spans="1:3" ht="18" customHeight="1" x14ac:dyDescent="0.3">
      <c r="A6840" s="1">
        <v>3</v>
      </c>
      <c r="B6840" s="1" t="s">
        <v>5582</v>
      </c>
      <c r="C6840" s="1" t="str">
        <f ca="1">IFERROR(__xludf.DUMMYFUNCTION("GOOGLETRANSLATE(B6930,""en"",""ja"")"),"質問者")</f>
        <v>質問者</v>
      </c>
    </row>
    <row r="6841" spans="1:3" ht="18" customHeight="1" x14ac:dyDescent="0.3">
      <c r="A6841" s="1">
        <v>3</v>
      </c>
      <c r="B6841" s="1" t="s">
        <v>5583</v>
      </c>
      <c r="C6841" s="1" t="str">
        <f ca="1">IFERROR(__xludf.DUMMYFUNCTION("GOOGLETRANSLATE(B6931,""en"",""ja"")"),"疑わしい")</f>
        <v>疑わしい</v>
      </c>
    </row>
    <row r="6842" spans="1:3" ht="18" customHeight="1" x14ac:dyDescent="0.3">
      <c r="A6842" s="1">
        <v>3</v>
      </c>
      <c r="B6842" s="1" t="s">
        <v>5584</v>
      </c>
      <c r="C6842" s="1" t="str">
        <f ca="1">IFERROR(__xludf.DUMMYFUNCTION("GOOGLETRANSLATE(B6932,""en"",""ja"")"),"クエスト")</f>
        <v>クエスト</v>
      </c>
    </row>
    <row r="6843" spans="1:3" ht="18" customHeight="1" x14ac:dyDescent="0.3">
      <c r="A6843" s="1">
        <v>3</v>
      </c>
      <c r="B6843" s="1" t="s">
        <v>5585</v>
      </c>
      <c r="C6843" s="1" t="str">
        <f ca="1">IFERROR(__xludf.DUMMYFUNCTION("GOOGLETRANSLATE(B6933,""en"",""ja"")"),"女王")</f>
        <v>女王</v>
      </c>
    </row>
    <row r="6844" spans="1:3" ht="18" customHeight="1" x14ac:dyDescent="0.3">
      <c r="A6844" s="1">
        <v>3</v>
      </c>
      <c r="B6844" s="1" t="s">
        <v>5586</v>
      </c>
      <c r="C6844" s="1" t="str">
        <f ca="1">IFERROR(__xludf.DUMMYFUNCTION("GOOGLETRANSLATE(B6934,""en"",""ja"")"),"争い好き")</f>
        <v>争い好き</v>
      </c>
    </row>
    <row r="6845" spans="1:3" ht="18" customHeight="1" x14ac:dyDescent="0.3">
      <c r="A6845" s="1">
        <v>3</v>
      </c>
      <c r="B6845" s="1" t="s">
        <v>5587</v>
      </c>
      <c r="C6845" s="1" t="str">
        <f ca="1">IFERROR(__xludf.DUMMYFUNCTION("GOOGLETRANSLATE(B6935,""en"",""ja"")"),"資格")</f>
        <v>資格</v>
      </c>
    </row>
    <row r="6846" spans="1:3" ht="18" customHeight="1" x14ac:dyDescent="0.3">
      <c r="A6846" s="1">
        <v>3</v>
      </c>
      <c r="B6846" s="1" t="s">
        <v>5588</v>
      </c>
      <c r="C6846" s="1" t="str">
        <f ca="1">IFERROR(__xludf.DUMMYFUNCTION("GOOGLETRANSLATE(B6936,""en"",""ja"")"),"4倍")</f>
        <v>4倍</v>
      </c>
    </row>
    <row r="6847" spans="1:3" ht="18" customHeight="1" x14ac:dyDescent="0.3">
      <c r="A6847" s="1">
        <v>3</v>
      </c>
      <c r="B6847" s="1" t="s">
        <v>5589</v>
      </c>
      <c r="C6847" s="1" t="str">
        <f ca="1">IFERROR(__xludf.DUMMYFUNCTION("GOOGLETRANSLATE(B6937,""en"",""ja"")"),"パズル")</f>
        <v>パズル</v>
      </c>
    </row>
    <row r="6848" spans="1:3" ht="18" customHeight="1" x14ac:dyDescent="0.3">
      <c r="A6848" s="1">
        <v>3</v>
      </c>
      <c r="B6848" s="1" t="s">
        <v>5590</v>
      </c>
      <c r="C6848" s="1" t="str">
        <f ca="1">IFERROR(__xludf.DUMMYFUNCTION("GOOGLETRANSLATE(B6938,""en"",""ja"")"),"追求")</f>
        <v>追求</v>
      </c>
    </row>
    <row r="6849" spans="1:3" ht="18" customHeight="1" x14ac:dyDescent="0.3">
      <c r="A6849" s="1">
        <v>3</v>
      </c>
      <c r="B6849" s="1" t="s">
        <v>5591</v>
      </c>
      <c r="C6849" s="1" t="str">
        <f ca="1">IFERROR(__xludf.DUMMYFUNCTION("GOOGLETRANSLATE(B6939,""en"",""ja"")"),"求めます")</f>
        <v>求めます</v>
      </c>
    </row>
    <row r="6850" spans="1:3" ht="18" customHeight="1" x14ac:dyDescent="0.3">
      <c r="A6850" s="1">
        <v>3</v>
      </c>
      <c r="B6850" s="1" t="s">
        <v>5592</v>
      </c>
      <c r="C6850" s="1" t="str">
        <f ca="1">IFERROR(__xludf.DUMMYFUNCTION("GOOGLETRANSLATE(B6940,""en"",""ja"")"),"引く")</f>
        <v>引く</v>
      </c>
    </row>
    <row r="6851" spans="1:3" ht="18" customHeight="1" x14ac:dyDescent="0.3">
      <c r="A6851" s="1">
        <v>3</v>
      </c>
      <c r="B6851" s="1" t="s">
        <v>5593</v>
      </c>
      <c r="C6851" s="1" t="str">
        <f ca="1">IFERROR(__xludf.DUMMYFUNCTION("GOOGLETRANSLATE(B6941,""en"",""ja"")"),"精神医学者")</f>
        <v>精神医学者</v>
      </c>
    </row>
    <row r="6852" spans="1:3" ht="18" customHeight="1" x14ac:dyDescent="0.3">
      <c r="A6852" s="1">
        <v>3</v>
      </c>
      <c r="B6852" s="1" t="s">
        <v>5594</v>
      </c>
      <c r="C6852" s="1" t="str">
        <f ca="1">IFERROR(__xludf.DUMMYFUNCTION("GOOGLETRANSLATE(B6942,""en"",""ja"")"),"精神")</f>
        <v>精神</v>
      </c>
    </row>
    <row r="6853" spans="1:3" ht="18" customHeight="1" x14ac:dyDescent="0.3">
      <c r="A6853" s="1">
        <v>3</v>
      </c>
      <c r="B6853" s="1" t="s">
        <v>2921</v>
      </c>
      <c r="C6853" s="1" t="str">
        <f ca="1">IFERROR(__xludf.DUMMYFUNCTION("GOOGLETRANSLATE(B6943,""en"",""ja"")"),"規定")</f>
        <v>規定</v>
      </c>
    </row>
    <row r="6854" spans="1:3" ht="18" customHeight="1" x14ac:dyDescent="0.3">
      <c r="A6854" s="1">
        <v>3</v>
      </c>
      <c r="B6854" s="1" t="s">
        <v>5595</v>
      </c>
      <c r="C6854" s="1" t="str">
        <f ca="1">IFERROR(__xludf.DUMMYFUNCTION("GOOGLETRANSLATE(B6944,""en"",""ja"")"),"州の")</f>
        <v>州の</v>
      </c>
    </row>
    <row r="6855" spans="1:3" ht="18" customHeight="1" x14ac:dyDescent="0.3">
      <c r="A6855" s="1">
        <v>3</v>
      </c>
      <c r="B6855" s="1" t="s">
        <v>5596</v>
      </c>
      <c r="C6855" s="1" t="str">
        <f ca="1">IFERROR(__xludf.DUMMYFUNCTION("GOOGLETRANSLATE(B6945,""en"",""ja"")"),"州")</f>
        <v>州</v>
      </c>
    </row>
    <row r="6856" spans="1:3" ht="18" customHeight="1" x14ac:dyDescent="0.3">
      <c r="A6856" s="1">
        <v>3</v>
      </c>
      <c r="B6856" s="1" t="s">
        <v>5597</v>
      </c>
      <c r="C6856" s="1" t="str">
        <f ca="1">IFERROR(__xludf.DUMMYFUNCTION("GOOGLETRANSLATE(B6946,""en"",""ja"")"),"原形質")</f>
        <v>原形質</v>
      </c>
    </row>
    <row r="6857" spans="1:3" ht="18" customHeight="1" x14ac:dyDescent="0.3">
      <c r="A6857" s="1">
        <v>3</v>
      </c>
      <c r="B6857" s="1" t="s">
        <v>5598</v>
      </c>
      <c r="C6857" s="1" t="str">
        <f ca="1">IFERROR(__xludf.DUMMYFUNCTION("GOOGLETRANSLATE(B6947,""en"",""ja"")"),"抗議")</f>
        <v>抗議</v>
      </c>
    </row>
    <row r="6858" spans="1:3" ht="18" customHeight="1" x14ac:dyDescent="0.3">
      <c r="A6858" s="1">
        <v>3</v>
      </c>
      <c r="B6858" s="1" t="s">
        <v>5599</v>
      </c>
      <c r="C6858" s="1" t="str">
        <f ca="1">IFERROR(__xludf.DUMMYFUNCTION("GOOGLETRANSLATE(B6948,""en"",""ja"")"),"デモ参加者")</f>
        <v>デモ参加者</v>
      </c>
    </row>
    <row r="6859" spans="1:3" ht="18" customHeight="1" x14ac:dyDescent="0.3">
      <c r="A6859" s="1">
        <v>3</v>
      </c>
      <c r="B6859" s="1" t="s">
        <v>5600</v>
      </c>
      <c r="C6859" s="1" t="str">
        <f ca="1">IFERROR(__xludf.DUMMYFUNCTION("GOOGLETRANSLATE(B6949,""en"",""ja"")"),"抗議")</f>
        <v>抗議</v>
      </c>
    </row>
    <row r="6860" spans="1:3" ht="18" customHeight="1" x14ac:dyDescent="0.3">
      <c r="A6860" s="1">
        <v>3</v>
      </c>
      <c r="B6860" s="1" t="s">
        <v>5601</v>
      </c>
      <c r="C6860" s="1" t="str">
        <f ca="1">IFERROR(__xludf.DUMMYFUNCTION("GOOGLETRANSLATE(B6950,""en"",""ja"")"),"プロテスタンティズム")</f>
        <v>プロテスタンティズム</v>
      </c>
    </row>
    <row r="6861" spans="1:3" ht="18" customHeight="1" x14ac:dyDescent="0.3">
      <c r="A6861" s="1">
        <v>3</v>
      </c>
      <c r="B6861" s="1" t="s">
        <v>5602</v>
      </c>
      <c r="C6861" s="1" t="str">
        <f ca="1">IFERROR(__xludf.DUMMYFUNCTION("GOOGLETRANSLATE(B6951,""en"",""ja"")"),"抗議")</f>
        <v>抗議</v>
      </c>
    </row>
    <row r="6862" spans="1:3" ht="18" customHeight="1" x14ac:dyDescent="0.3">
      <c r="A6862" s="1">
        <v>3</v>
      </c>
      <c r="B6862" s="1" t="s">
        <v>1649</v>
      </c>
      <c r="C6862" s="1" t="str">
        <f ca="1">IFERROR(__xludf.DUMMYFUNCTION("GOOGLETRANSLATE(B6952,""en"",""ja"")"),"守ります")</f>
        <v>守ります</v>
      </c>
    </row>
    <row r="6863" spans="1:3" ht="18" customHeight="1" x14ac:dyDescent="0.3">
      <c r="A6863" s="1">
        <v>3</v>
      </c>
      <c r="B6863" s="1" t="s">
        <v>5603</v>
      </c>
      <c r="C6863" s="1" t="str">
        <f ca="1">IFERROR(__xludf.DUMMYFUNCTION("GOOGLETRANSLATE(B6953,""en"",""ja"")"),"繁栄しています")</f>
        <v>繁栄しています</v>
      </c>
    </row>
    <row r="6864" spans="1:3" ht="18" customHeight="1" x14ac:dyDescent="0.3">
      <c r="A6864" s="1">
        <v>3</v>
      </c>
      <c r="B6864" s="1" t="s">
        <v>5604</v>
      </c>
      <c r="C6864" s="1" t="str">
        <f ca="1">IFERROR(__xludf.DUMMYFUNCTION("GOOGLETRANSLATE(B6954,""en"",""ja"")"),"向社会的")</f>
        <v>向社会的</v>
      </c>
    </row>
    <row r="6865" spans="1:3" ht="18" customHeight="1" x14ac:dyDescent="0.3">
      <c r="A6865" s="1">
        <v>3</v>
      </c>
      <c r="B6865" s="1" t="s">
        <v>3321</v>
      </c>
      <c r="C6865" s="1" t="str">
        <f ca="1">IFERROR(__xludf.DUMMYFUNCTION("GOOGLETRANSLATE(B6955,""en"",""ja"")"),"プロパティ")</f>
        <v>プロパティ</v>
      </c>
    </row>
    <row r="6866" spans="1:3" ht="18" customHeight="1" x14ac:dyDescent="0.3">
      <c r="A6866" s="1">
        <v>3</v>
      </c>
      <c r="B6866" s="1" t="s">
        <v>5605</v>
      </c>
      <c r="C6866" s="1" t="str">
        <f ca="1">IFERROR(__xludf.DUMMYFUNCTION("GOOGLETRANSLATE(B6956,""en"",""ja"")"),"宣伝")</f>
        <v>宣伝</v>
      </c>
    </row>
    <row r="6867" spans="1:3" ht="18" customHeight="1" x14ac:dyDescent="0.3">
      <c r="A6867" s="1">
        <v>3</v>
      </c>
      <c r="B6867" s="1" t="s">
        <v>5606</v>
      </c>
      <c r="C6867" s="1" t="str">
        <f ca="1">IFERROR(__xludf.DUMMYFUNCTION("GOOGLETRANSLATE(B6957,""en"",""ja"")"),"代名詞")</f>
        <v>代名詞</v>
      </c>
    </row>
    <row r="6868" spans="1:3" ht="18" customHeight="1" x14ac:dyDescent="0.3">
      <c r="A6868" s="1">
        <v>3</v>
      </c>
      <c r="B6868" s="1" t="s">
        <v>1431</v>
      </c>
      <c r="C6868" s="1" t="str">
        <f ca="1">IFERROR(__xludf.DUMMYFUNCTION("GOOGLETRANSLATE(B6958,""en"",""ja"")"),"プロモート")</f>
        <v>プロモート</v>
      </c>
    </row>
    <row r="6869" spans="1:3" ht="18" customHeight="1" x14ac:dyDescent="0.3">
      <c r="A6869" s="1">
        <v>3</v>
      </c>
      <c r="B6869" s="1" t="s">
        <v>5607</v>
      </c>
      <c r="C6869" s="1" t="str">
        <f ca="1">IFERROR(__xludf.DUMMYFUNCTION("GOOGLETRANSLATE(B6959,""en"",""ja"")"),"目立ちます")</f>
        <v>目立ちます</v>
      </c>
    </row>
    <row r="6870" spans="1:3" ht="18" customHeight="1" x14ac:dyDescent="0.3">
      <c r="A6870" s="1">
        <v>3</v>
      </c>
      <c r="B6870" s="1" t="s">
        <v>5608</v>
      </c>
      <c r="C6870" s="1" t="str">
        <f ca="1">IFERROR(__xludf.DUMMYFUNCTION("GOOGLETRANSLATE(B6960,""en"",""ja"")"),"プロジェクト")</f>
        <v>プロジェクト</v>
      </c>
    </row>
    <row r="6871" spans="1:3" ht="18" customHeight="1" x14ac:dyDescent="0.3">
      <c r="A6871" s="1">
        <v>3</v>
      </c>
      <c r="B6871" s="1" t="s">
        <v>5609</v>
      </c>
      <c r="C6871" s="1" t="str">
        <f ca="1">IFERROR(__xludf.DUMMYFUNCTION("GOOGLETRANSLATE(B6961,""en"",""ja"")"),"プロジェクター")</f>
        <v>プロジェクター</v>
      </c>
    </row>
    <row r="6872" spans="1:3" ht="18" customHeight="1" x14ac:dyDescent="0.3">
      <c r="A6872" s="1">
        <v>3</v>
      </c>
      <c r="B6872" s="1" t="s">
        <v>1912</v>
      </c>
      <c r="C6872" s="1" t="str">
        <f ca="1">IFERROR(__xludf.DUMMYFUNCTION("GOOGLETRANSLATE(B6962,""en"",""ja"")"),"投影")</f>
        <v>投影</v>
      </c>
    </row>
    <row r="6873" spans="1:3" ht="18" customHeight="1" x14ac:dyDescent="0.3">
      <c r="A6873" s="1">
        <v>3</v>
      </c>
      <c r="B6873" s="1" t="s">
        <v>5610</v>
      </c>
      <c r="C6873" s="1" t="str">
        <f ca="1">IFERROR(__xludf.DUMMYFUNCTION("GOOGLETRANSLATE(B6963,""en"",""ja"")"),"禁止")</f>
        <v>禁止</v>
      </c>
    </row>
    <row r="6874" spans="1:3" ht="18" customHeight="1" x14ac:dyDescent="0.3">
      <c r="A6874" s="1">
        <v>3</v>
      </c>
      <c r="B6874" s="1" t="s">
        <v>5611</v>
      </c>
      <c r="C6874" s="1" t="str">
        <f ca="1">IFERROR(__xludf.DUMMYFUNCTION("GOOGLETRANSLATE(B6964,""en"",""ja"")"),"禁止")</f>
        <v>禁止</v>
      </c>
    </row>
    <row r="6875" spans="1:3" ht="18" customHeight="1" x14ac:dyDescent="0.3">
      <c r="A6875" s="1">
        <v>3</v>
      </c>
      <c r="B6875" s="1" t="s">
        <v>5612</v>
      </c>
      <c r="C6875" s="1" t="str">
        <f ca="1">IFERROR(__xludf.DUMMYFUNCTION("GOOGLETRANSLATE(B6965,""en"",""ja"")"),"プログレッシブ")</f>
        <v>プログレッシブ</v>
      </c>
    </row>
    <row r="6876" spans="1:3" ht="18" customHeight="1" x14ac:dyDescent="0.3">
      <c r="A6876" s="1">
        <v>3</v>
      </c>
      <c r="B6876" s="1" t="s">
        <v>5613</v>
      </c>
      <c r="C6876" s="1" t="str">
        <f ca="1">IFERROR(__xludf.DUMMYFUNCTION("GOOGLETRANSLATE(B6966,""en"",""ja"")"),"プログラマー")</f>
        <v>プログラマー</v>
      </c>
    </row>
    <row r="6877" spans="1:3" ht="18" customHeight="1" x14ac:dyDescent="0.3">
      <c r="A6877" s="1">
        <v>3</v>
      </c>
      <c r="B6877" s="1" t="s">
        <v>5614</v>
      </c>
      <c r="C6877" s="1" t="str">
        <f ca="1">IFERROR(__xludf.DUMMYFUNCTION("GOOGLETRANSLATE(B6967,""en"",""ja"")"),"豊富")</f>
        <v>豊富</v>
      </c>
    </row>
    <row r="6878" spans="1:3" ht="18" customHeight="1" x14ac:dyDescent="0.3">
      <c r="A6878" s="1">
        <v>3</v>
      </c>
      <c r="B6878" s="1" t="s">
        <v>5615</v>
      </c>
      <c r="C6878" s="1" t="str">
        <f ca="1">IFERROR(__xludf.DUMMYFUNCTION("GOOGLETRANSLATE(B6969,""en"",""ja"")"),"有益")</f>
        <v>有益</v>
      </c>
    </row>
    <row r="6879" spans="1:3" ht="18" customHeight="1" x14ac:dyDescent="0.3">
      <c r="A6879" s="1">
        <v>3</v>
      </c>
      <c r="B6879" s="1" t="s">
        <v>5616</v>
      </c>
      <c r="C6879" s="1" t="str">
        <f ca="1">IFERROR(__xludf.DUMMYFUNCTION("GOOGLETRANSLATE(B6970,""en"",""ja"")"),"プロデューサー")</f>
        <v>プロデューサー</v>
      </c>
    </row>
    <row r="6880" spans="1:3" ht="18" customHeight="1" x14ac:dyDescent="0.3">
      <c r="A6880" s="1">
        <v>3</v>
      </c>
      <c r="B6880" s="1" t="s">
        <v>4497</v>
      </c>
      <c r="C6880" s="1" t="str">
        <f ca="1">IFERROR(__xludf.DUMMYFUNCTION("GOOGLETRANSLATE(B6971,""en"",""ja"")"),"プロデューサー")</f>
        <v>プロデューサー</v>
      </c>
    </row>
    <row r="6881" spans="1:3" ht="18" customHeight="1" x14ac:dyDescent="0.3">
      <c r="A6881" s="1">
        <v>3</v>
      </c>
      <c r="B6881" s="1" t="s">
        <v>5617</v>
      </c>
      <c r="C6881" s="1" t="str">
        <f ca="1">IFERROR(__xludf.DUMMYFUNCTION("GOOGLETRANSLATE(B6972,""en"",""ja"")"),"処理")</f>
        <v>処理</v>
      </c>
    </row>
    <row r="6882" spans="1:3" ht="18" customHeight="1" x14ac:dyDescent="0.3">
      <c r="A6882" s="1">
        <v>3</v>
      </c>
      <c r="B6882" s="1" t="s">
        <v>4502</v>
      </c>
      <c r="C6882" s="1" t="str">
        <f ca="1">IFERROR(__xludf.DUMMYFUNCTION("GOOGLETRANSLATE(B6973,""en"",""ja"")"),"問題の")</f>
        <v>問題の</v>
      </c>
    </row>
    <row r="6883" spans="1:3" ht="18" customHeight="1" x14ac:dyDescent="0.3">
      <c r="A6883" s="1">
        <v>3</v>
      </c>
      <c r="B6883" s="1" t="s">
        <v>5618</v>
      </c>
      <c r="C6883" s="1" t="str">
        <f ca="1">IFERROR(__xludf.DUMMYFUNCTION("GOOGLETRANSLATE(B6974,""en"",""ja"")"),"プロービング")</f>
        <v>プロービング</v>
      </c>
    </row>
    <row r="6884" spans="1:3" ht="18" customHeight="1" x14ac:dyDescent="0.3">
      <c r="A6884" s="1">
        <v>3</v>
      </c>
      <c r="B6884" s="1" t="s">
        <v>5619</v>
      </c>
      <c r="C6884" s="1" t="str">
        <f ca="1">IFERROR(__xludf.DUMMYFUNCTION("GOOGLETRANSLATE(B6975,""en"",""ja"")"),"保護観察の")</f>
        <v>保護観察の</v>
      </c>
    </row>
    <row r="6885" spans="1:3" ht="18" customHeight="1" x14ac:dyDescent="0.3">
      <c r="A6885" s="1">
        <v>3</v>
      </c>
      <c r="B6885" s="1" t="s">
        <v>5620</v>
      </c>
      <c r="C6885" s="1" t="str">
        <f ca="1">IFERROR(__xludf.DUMMYFUNCTION("GOOGLETRANSLATE(B6976,""en"",""ja"")"),"民営化")</f>
        <v>民営化</v>
      </c>
    </row>
    <row r="6886" spans="1:3" ht="18" customHeight="1" x14ac:dyDescent="0.3">
      <c r="A6886" s="1">
        <v>3</v>
      </c>
      <c r="B6886" s="1" t="s">
        <v>5621</v>
      </c>
      <c r="C6886" s="1" t="str">
        <f ca="1">IFERROR(__xludf.DUMMYFUNCTION("GOOGLETRANSLATE(B6977,""en"",""ja"")"),"事前")</f>
        <v>事前</v>
      </c>
    </row>
    <row r="6887" spans="1:3" ht="18" customHeight="1" x14ac:dyDescent="0.3">
      <c r="A6887" s="1">
        <v>3</v>
      </c>
      <c r="B6887" s="1" t="s">
        <v>5622</v>
      </c>
      <c r="C6887" s="1" t="str">
        <f ca="1">IFERROR(__xludf.DUMMYFUNCTION("GOOGLETRANSLATE(B6978,""en"",""ja"")"),"王女")</f>
        <v>王女</v>
      </c>
    </row>
    <row r="6888" spans="1:3" ht="18" customHeight="1" x14ac:dyDescent="0.3">
      <c r="A6888" s="1">
        <v>3</v>
      </c>
      <c r="B6888" s="1" t="s">
        <v>5623</v>
      </c>
      <c r="C6888" s="1" t="str">
        <f ca="1">IFERROR(__xludf.DUMMYFUNCTION("GOOGLETRANSLATE(B6979,""en"",""ja"")"),"主に")</f>
        <v>主に</v>
      </c>
    </row>
    <row r="6889" spans="1:3" ht="18" customHeight="1" x14ac:dyDescent="0.3">
      <c r="A6889" s="1">
        <v>3</v>
      </c>
      <c r="B6889" s="1" t="s">
        <v>5624</v>
      </c>
      <c r="C6889" s="1" t="str">
        <f ca="1">IFERROR(__xludf.DUMMYFUNCTION("GOOGLETRANSLATE(B6980,""en"",""ja"")"),"誇り")</f>
        <v>誇り</v>
      </c>
    </row>
    <row r="6890" spans="1:3" ht="18" customHeight="1" x14ac:dyDescent="0.3">
      <c r="A6890" s="1">
        <v>3</v>
      </c>
      <c r="B6890" s="1" t="s">
        <v>5625</v>
      </c>
      <c r="C6890" s="1" t="str">
        <f ca="1">IFERROR(__xludf.DUMMYFUNCTION("GOOGLETRANSLATE(B6981,""en"",""ja"")"),"広く")</f>
        <v>広く</v>
      </c>
    </row>
    <row r="6891" spans="1:3" ht="18" customHeight="1" x14ac:dyDescent="0.3">
      <c r="A6891" s="1">
        <v>3</v>
      </c>
      <c r="B6891" s="1" t="s">
        <v>5626</v>
      </c>
      <c r="C6891" s="1" t="str">
        <f ca="1">IFERROR(__xludf.DUMMYFUNCTION("GOOGLETRANSLATE(B6982,""en"",""ja"")"),"流行しています")</f>
        <v>流行しています</v>
      </c>
    </row>
    <row r="6892" spans="1:3" ht="18" customHeight="1" x14ac:dyDescent="0.3">
      <c r="A6892" s="1">
        <v>3</v>
      </c>
      <c r="B6892" s="1" t="s">
        <v>5627</v>
      </c>
      <c r="C6892" s="1" t="str">
        <f ca="1">IFERROR(__xludf.DUMMYFUNCTION("GOOGLETRANSLATE(B6983,""en"",""ja"")"),"勝ちます")</f>
        <v>勝ちます</v>
      </c>
    </row>
    <row r="6893" spans="1:3" ht="18" customHeight="1" x14ac:dyDescent="0.3">
      <c r="A6893" s="1">
        <v>3</v>
      </c>
      <c r="B6893" s="1" t="s">
        <v>5628</v>
      </c>
      <c r="C6893" s="1" t="str">
        <f ca="1">IFERROR(__xludf.DUMMYFUNCTION("GOOGLETRANSLATE(B6984,""en"",""ja"")"),"プレッシャー")</f>
        <v>プレッシャー</v>
      </c>
    </row>
    <row r="6894" spans="1:3" ht="18" customHeight="1" x14ac:dyDescent="0.3">
      <c r="A6894" s="1">
        <v>3</v>
      </c>
      <c r="B6894" s="1" t="s">
        <v>1915</v>
      </c>
      <c r="C6894" s="1" t="str">
        <f ca="1">IFERROR(__xludf.DUMMYFUNCTION("GOOGLETRANSLATE(B6985,""en"",""ja"")"),"圧力")</f>
        <v>圧力</v>
      </c>
    </row>
    <row r="6895" spans="1:3" ht="18" customHeight="1" x14ac:dyDescent="0.3">
      <c r="A6895" s="1">
        <v>3</v>
      </c>
      <c r="B6895" s="1" t="s">
        <v>5629</v>
      </c>
      <c r="C6895" s="1" t="str">
        <f ca="1">IFERROR(__xludf.DUMMYFUNCTION("GOOGLETRANSLATE(B6986,""en"",""ja"")"),"押します")</f>
        <v>押します</v>
      </c>
    </row>
    <row r="6896" spans="1:3" ht="18" customHeight="1" x14ac:dyDescent="0.3">
      <c r="A6896" s="1">
        <v>3</v>
      </c>
      <c r="B6896" s="1" t="s">
        <v>5630</v>
      </c>
      <c r="C6896" s="1" t="str">
        <f ca="1">IFERROR(__xludf.DUMMYFUNCTION("GOOGLETRANSLATE(B6987,""en"",""ja"")"),"大統領")</f>
        <v>大統領</v>
      </c>
    </row>
    <row r="6897" spans="1:3" ht="18" customHeight="1" x14ac:dyDescent="0.3">
      <c r="A6897" s="1">
        <v>3</v>
      </c>
      <c r="B6897" s="1" t="s">
        <v>5631</v>
      </c>
      <c r="C6897" s="1" t="str">
        <f ca="1">IFERROR(__xludf.DUMMYFUNCTION("GOOGLETRANSLATE(B6988,""en"",""ja"")"),"保存")</f>
        <v>保存</v>
      </c>
    </row>
    <row r="6898" spans="1:3" ht="18" customHeight="1" x14ac:dyDescent="0.3">
      <c r="A6898" s="1">
        <v>3</v>
      </c>
      <c r="B6898" s="1" t="s">
        <v>5632</v>
      </c>
      <c r="C6898" s="1" t="str">
        <f ca="1">IFERROR(__xludf.DUMMYFUNCTION("GOOGLETRANSLATE(B6989,""en"",""ja"")"),"プレゼンテーション")</f>
        <v>プレゼンテーション</v>
      </c>
    </row>
    <row r="6899" spans="1:3" ht="18" customHeight="1" x14ac:dyDescent="0.3">
      <c r="A6899" s="1">
        <v>3</v>
      </c>
      <c r="B6899" s="1" t="s">
        <v>5633</v>
      </c>
      <c r="C6899" s="1" t="str">
        <f ca="1">IFERROR(__xludf.DUMMYFUNCTION("GOOGLETRANSLATE(B6990,""en"",""ja"")"),"未就学")</f>
        <v>未就学</v>
      </c>
    </row>
    <row r="6900" spans="1:3" ht="18" customHeight="1" x14ac:dyDescent="0.3">
      <c r="A6900" s="1">
        <v>3</v>
      </c>
      <c r="B6900" s="1" t="s">
        <v>5634</v>
      </c>
      <c r="C6900" s="1" t="str">
        <f ca="1">IFERROR(__xludf.DUMMYFUNCTION("GOOGLETRANSLATE(B6991,""en"",""ja"")"),"準備")</f>
        <v>準備</v>
      </c>
    </row>
    <row r="6901" spans="1:3" ht="18" customHeight="1" x14ac:dyDescent="0.3">
      <c r="A6901" s="1">
        <v>3</v>
      </c>
      <c r="B6901" s="1" t="s">
        <v>5635</v>
      </c>
      <c r="C6901" s="1" t="str">
        <f ca="1">IFERROR(__xludf.DUMMYFUNCTION("GOOGLETRANSLATE(B6992,""en"",""ja"")"),"準備")</f>
        <v>準備</v>
      </c>
    </row>
    <row r="6902" spans="1:3" ht="18" customHeight="1" x14ac:dyDescent="0.3">
      <c r="A6902" s="1">
        <v>3</v>
      </c>
      <c r="B6902" s="1" t="s">
        <v>5636</v>
      </c>
      <c r="C6902" s="1" t="str">
        <f ca="1">IFERROR(__xludf.DUMMYFUNCTION("GOOGLETRANSLATE(B6993,""en"",""ja"")"),"予備的")</f>
        <v>予備的</v>
      </c>
    </row>
    <row r="6903" spans="1:3" ht="18" customHeight="1" x14ac:dyDescent="0.3">
      <c r="A6903" s="1">
        <v>3</v>
      </c>
      <c r="B6903" s="1" t="s">
        <v>2329</v>
      </c>
      <c r="C6903" s="1" t="str">
        <f ca="1">IFERROR(__xludf.DUMMYFUNCTION("GOOGLETRANSLATE(B6994,""en"",""ja"")"),"好む")</f>
        <v>好む</v>
      </c>
    </row>
    <row r="6904" spans="1:3" ht="18" customHeight="1" x14ac:dyDescent="0.3">
      <c r="A6904" s="1">
        <v>3</v>
      </c>
      <c r="B6904" s="1" t="s">
        <v>5637</v>
      </c>
      <c r="C6904" s="1" t="str">
        <f ca="1">IFERROR(__xludf.DUMMYFUNCTION("GOOGLETRANSLATE(B6995,""en"",""ja"")"),"横取り")</f>
        <v>横取り</v>
      </c>
    </row>
    <row r="6905" spans="1:3" ht="18" customHeight="1" x14ac:dyDescent="0.3">
      <c r="A6905" s="1">
        <v>3</v>
      </c>
      <c r="B6905" s="1" t="s">
        <v>5638</v>
      </c>
      <c r="C6905" s="1" t="str">
        <f ca="1">IFERROR(__xludf.DUMMYFUNCTION("GOOGLETRANSLATE(B6996,""en"",""ja"")"),"優勢")</f>
        <v>優勢</v>
      </c>
    </row>
    <row r="6906" spans="1:3" ht="18" customHeight="1" x14ac:dyDescent="0.3">
      <c r="A6906" s="1">
        <v>3</v>
      </c>
      <c r="B6906" s="1" t="s">
        <v>5639</v>
      </c>
      <c r="C6906" s="1" t="str">
        <f ca="1">IFERROR(__xludf.DUMMYFUNCTION("GOOGLETRANSLATE(B6997,""en"",""ja"")"),"捕食者")</f>
        <v>捕食者</v>
      </c>
    </row>
    <row r="6907" spans="1:3" ht="18" customHeight="1" x14ac:dyDescent="0.3">
      <c r="A6907" s="1">
        <v>3</v>
      </c>
      <c r="B6907" s="1" t="s">
        <v>5640</v>
      </c>
      <c r="C6907" s="1" t="str">
        <f ca="1">IFERROR(__xludf.DUMMYFUNCTION("GOOGLETRANSLATE(B6998,""en"",""ja"")"),"前処理付き")</f>
        <v>前処理付き</v>
      </c>
    </row>
    <row r="6908" spans="1:3" ht="18" customHeight="1" x14ac:dyDescent="0.3">
      <c r="A6908" s="1">
        <v>3</v>
      </c>
      <c r="B6908" s="1" t="s">
        <v>5641</v>
      </c>
      <c r="C6908" s="1" t="str">
        <f ca="1">IFERROR(__xludf.DUMMYFUNCTION("GOOGLETRANSLATE(B6999,""en"",""ja"")"),"先入観")</f>
        <v>先入観</v>
      </c>
    </row>
    <row r="6909" spans="1:3" ht="18" customHeight="1" x14ac:dyDescent="0.3">
      <c r="A6909" s="1">
        <v>3</v>
      </c>
      <c r="B6909" s="1" t="s">
        <v>5642</v>
      </c>
      <c r="C6909" s="1" t="str">
        <f ca="1">IFERROR(__xludf.DUMMYFUNCTION("GOOGLETRANSLATE(B7000,""en"",""ja"")"),"ちょうど")</f>
        <v>ちょうど</v>
      </c>
    </row>
    <row r="6910" spans="1:3" ht="18" customHeight="1" x14ac:dyDescent="0.3">
      <c r="A6910" s="1">
        <v>3</v>
      </c>
      <c r="B6910" s="1" t="s">
        <v>5643</v>
      </c>
      <c r="C6910" s="1" t="str">
        <f ca="1">IFERROR(__xludf.DUMMYFUNCTION("GOOGLETRANSLATE(B7001,""en"",""ja"")"),"精密")</f>
        <v>精密</v>
      </c>
    </row>
    <row r="6911" spans="1:3" ht="18" customHeight="1" x14ac:dyDescent="0.3">
      <c r="A6911" s="1">
        <v>3</v>
      </c>
      <c r="B6911" s="1" t="s">
        <v>5644</v>
      </c>
      <c r="C6911" s="1" t="str">
        <f ca="1">IFERROR(__xludf.DUMMYFUNCTION("GOOGLETRANSLATE(B7002,""en"",""ja"")"),"練習")</f>
        <v>練習</v>
      </c>
    </row>
    <row r="6912" spans="1:3" ht="18" customHeight="1" x14ac:dyDescent="0.3">
      <c r="A6912" s="1">
        <v>3</v>
      </c>
      <c r="B6912" s="1" t="s">
        <v>2331</v>
      </c>
      <c r="C6912" s="1" t="str">
        <f ca="1">IFERROR(__xludf.DUMMYFUNCTION("GOOGLETRANSLATE(B7003,""en"",""ja"")"),"実用的")</f>
        <v>実用的</v>
      </c>
    </row>
    <row r="6913" spans="1:3" ht="18" customHeight="1" x14ac:dyDescent="0.3">
      <c r="A6913" s="1">
        <v>3</v>
      </c>
      <c r="B6913" s="1" t="s">
        <v>3338</v>
      </c>
      <c r="C6913" s="1" t="str">
        <f ca="1">IFERROR(__xludf.DUMMYFUNCTION("GOOGLETRANSLATE(B7004,""en"",""ja"")"),"貧困")</f>
        <v>貧困</v>
      </c>
    </row>
    <row r="6914" spans="1:3" ht="18" customHeight="1" x14ac:dyDescent="0.3">
      <c r="A6914" s="1">
        <v>3</v>
      </c>
      <c r="B6914" s="1" t="s">
        <v>5645</v>
      </c>
      <c r="C6914" s="1" t="str">
        <f ca="1">IFERROR(__xludf.DUMMYFUNCTION("GOOGLETRANSLATE(B7005,""en"",""ja"")"),"効能ある")</f>
        <v>効能ある</v>
      </c>
    </row>
    <row r="6915" spans="1:3" ht="18" customHeight="1" x14ac:dyDescent="0.3">
      <c r="A6915" s="1">
        <v>3</v>
      </c>
      <c r="B6915" s="1" t="s">
        <v>5646</v>
      </c>
      <c r="C6915" s="1" t="str">
        <f ca="1">IFERROR(__xludf.DUMMYFUNCTION("GOOGLETRANSLATE(B7006,""en"",""ja"")"),"姿勢")</f>
        <v>姿勢</v>
      </c>
    </row>
    <row r="6916" spans="1:3" ht="18" customHeight="1" x14ac:dyDescent="0.3">
      <c r="A6916" s="1">
        <v>3</v>
      </c>
      <c r="B6916" s="1" t="s">
        <v>5647</v>
      </c>
      <c r="C6916" s="1" t="str">
        <f ca="1">IFERROR(__xludf.DUMMYFUNCTION("GOOGLETRANSLATE(B7007,""en"",""ja"")"),"提起")</f>
        <v>提起</v>
      </c>
    </row>
    <row r="6917" spans="1:3" ht="18" customHeight="1" x14ac:dyDescent="0.3">
      <c r="A6917" s="1">
        <v>3</v>
      </c>
      <c r="B6917" s="1" t="s">
        <v>5648</v>
      </c>
      <c r="C6917" s="1" t="str">
        <f ca="1">IFERROR(__xludf.DUMMYFUNCTION("GOOGLETRANSLATE(B7008,""en"",""ja"")"),"ポルトガル")</f>
        <v>ポルトガル</v>
      </c>
    </row>
    <row r="6918" spans="1:3" ht="18" customHeight="1" x14ac:dyDescent="0.3">
      <c r="A6918" s="1">
        <v>3</v>
      </c>
      <c r="B6918" s="1" t="s">
        <v>5649</v>
      </c>
      <c r="C6918" s="1" t="str">
        <f ca="1">IFERROR(__xludf.DUMMYFUNCTION("GOOGLETRANSLATE(B7009,""en"",""ja"")"),"人口")</f>
        <v>人口</v>
      </c>
    </row>
    <row r="6919" spans="1:3" ht="18" customHeight="1" x14ac:dyDescent="0.3">
      <c r="A6919" s="1">
        <v>3</v>
      </c>
      <c r="B6919" s="1" t="s">
        <v>1105</v>
      </c>
      <c r="C6919" s="1" t="str">
        <f ca="1">IFERROR(__xludf.DUMMYFUNCTION("GOOGLETRANSLATE(B7010,""en"",""ja"")"),"人気のあります")</f>
        <v>人気のあります</v>
      </c>
    </row>
    <row r="6920" spans="1:3" ht="18" customHeight="1" x14ac:dyDescent="0.3">
      <c r="A6920" s="1">
        <v>3</v>
      </c>
      <c r="B6920" s="1" t="s">
        <v>5650</v>
      </c>
      <c r="C6920" s="1" t="str">
        <f ca="1">IFERROR(__xludf.DUMMYFUNCTION("GOOGLETRANSLATE(B7011,""en"",""ja"")"),"最貧")</f>
        <v>最貧</v>
      </c>
    </row>
    <row r="6921" spans="1:3" ht="18" customHeight="1" x14ac:dyDescent="0.3">
      <c r="A6921" s="1">
        <v>3</v>
      </c>
      <c r="B6921" s="1" t="s">
        <v>5651</v>
      </c>
      <c r="C6921" s="1" t="str">
        <f ca="1">IFERROR(__xludf.DUMMYFUNCTION("GOOGLETRANSLATE(B7012,""en"",""ja"")"),"プール")</f>
        <v>プール</v>
      </c>
    </row>
    <row r="6922" spans="1:3" ht="18" customHeight="1" x14ac:dyDescent="0.3">
      <c r="A6922" s="1">
        <v>3</v>
      </c>
      <c r="B6922" s="1" t="s">
        <v>5652</v>
      </c>
      <c r="C6922" s="1" t="str">
        <f ca="1">IFERROR(__xludf.DUMMYFUNCTION("GOOGLETRANSLATE(B7013,""en"",""ja"")"),"ポリネシア")</f>
        <v>ポリネシア</v>
      </c>
    </row>
    <row r="6923" spans="1:3" ht="18" customHeight="1" x14ac:dyDescent="0.3">
      <c r="A6923" s="1">
        <v>3</v>
      </c>
      <c r="B6923" s="1" t="s">
        <v>3345</v>
      </c>
      <c r="C6923" s="1" t="str">
        <f ca="1">IFERROR(__xludf.DUMMYFUNCTION("GOOGLETRANSLATE(B7014,""en"",""ja"")"),"政治家")</f>
        <v>政治家</v>
      </c>
    </row>
    <row r="6924" spans="1:3" ht="18" customHeight="1" x14ac:dyDescent="0.3">
      <c r="A6924" s="1">
        <v>3</v>
      </c>
      <c r="B6924" s="1" t="s">
        <v>4535</v>
      </c>
      <c r="C6924" s="1" t="str">
        <f ca="1">IFERROR(__xludf.DUMMYFUNCTION("GOOGLETRANSLATE(B7015,""en"",""ja"")"),"政治的に")</f>
        <v>政治的に</v>
      </c>
    </row>
    <row r="6925" spans="1:3" ht="18" customHeight="1" x14ac:dyDescent="0.3">
      <c r="A6925" s="1">
        <v>3</v>
      </c>
      <c r="B6925" s="1" t="s">
        <v>5653</v>
      </c>
      <c r="C6925" s="1" t="str">
        <f ca="1">IFERROR(__xludf.DUMMYFUNCTION("GOOGLETRANSLATE(B7016,""en"",""ja"")"),"丁寧")</f>
        <v>丁寧</v>
      </c>
    </row>
    <row r="6926" spans="1:3" ht="18" customHeight="1" x14ac:dyDescent="0.3">
      <c r="A6926" s="1">
        <v>3</v>
      </c>
      <c r="B6926" s="1" t="s">
        <v>5654</v>
      </c>
      <c r="C6926" s="1" t="str">
        <f ca="1">IFERROR(__xludf.DUMMYFUNCTION("GOOGLETRANSLATE(B7017,""en"",""ja"")"),"偏光")</f>
        <v>偏光</v>
      </c>
    </row>
    <row r="6927" spans="1:3" ht="18" customHeight="1" x14ac:dyDescent="0.3">
      <c r="A6927" s="1">
        <v>3</v>
      </c>
      <c r="B6927" s="1" t="s">
        <v>5655</v>
      </c>
      <c r="C6927" s="1" t="str">
        <f ca="1">IFERROR(__xludf.DUMMYFUNCTION("GOOGLETRANSLATE(B7018,""en"",""ja"")"),"詩的な")</f>
        <v>詩的な</v>
      </c>
    </row>
    <row r="6928" spans="1:3" ht="18" customHeight="1" x14ac:dyDescent="0.3">
      <c r="A6928" s="1">
        <v>3</v>
      </c>
      <c r="B6928" s="1" t="s">
        <v>4538</v>
      </c>
      <c r="C6928" s="1" t="str">
        <f ca="1">IFERROR(__xludf.DUMMYFUNCTION("GOOGLETRANSLATE(B7019,""en"",""ja"")"),"詩人")</f>
        <v>詩人</v>
      </c>
    </row>
    <row r="6929" spans="1:3" ht="18" customHeight="1" x14ac:dyDescent="0.3">
      <c r="A6929" s="1">
        <v>3</v>
      </c>
      <c r="B6929" s="1" t="s">
        <v>4540</v>
      </c>
      <c r="C6929" s="1" t="str">
        <f ca="1">IFERROR(__xludf.DUMMYFUNCTION("GOOGLETRANSLATE(B7020,""en"",""ja"")"),"プラス")</f>
        <v>プラス</v>
      </c>
    </row>
    <row r="6930" spans="1:3" ht="18" customHeight="1" x14ac:dyDescent="0.3">
      <c r="A6930" s="1">
        <v>3</v>
      </c>
      <c r="B6930" s="1" t="s">
        <v>5656</v>
      </c>
      <c r="C6930" s="1" t="str">
        <f ca="1">IFERROR(__xludf.DUMMYFUNCTION("GOOGLETRANSLATE(B7021,""en"",""ja"")"),"プロット")</f>
        <v>プロット</v>
      </c>
    </row>
    <row r="6931" spans="1:3" ht="18" customHeight="1" x14ac:dyDescent="0.3">
      <c r="A6931" s="1">
        <v>3</v>
      </c>
      <c r="B6931" s="1" t="s">
        <v>5657</v>
      </c>
      <c r="C6931" s="1" t="str">
        <f ca="1">IFERROR(__xludf.DUMMYFUNCTION("GOOGLETRANSLATE(B7022,""en"",""ja"")"),"誓約")</f>
        <v>誓約</v>
      </c>
    </row>
    <row r="6932" spans="1:3" ht="18" customHeight="1" x14ac:dyDescent="0.3">
      <c r="A6932" s="1">
        <v>3</v>
      </c>
      <c r="B6932" s="1" t="s">
        <v>5658</v>
      </c>
      <c r="C6932" s="1" t="str">
        <f ca="1">IFERROR(__xludf.DUMMYFUNCTION("GOOGLETRANSLATE(B7023,""en"",""ja"")"),"誓います")</f>
        <v>誓います</v>
      </c>
    </row>
    <row r="6933" spans="1:3" ht="18" customHeight="1" x14ac:dyDescent="0.3">
      <c r="A6933" s="1">
        <v>3</v>
      </c>
      <c r="B6933" s="1" t="s">
        <v>5659</v>
      </c>
      <c r="C6933" s="1" t="str">
        <f ca="1">IFERROR(__xludf.DUMMYFUNCTION("GOOGLETRANSLATE(B7024,""en"",""ja"")"),"快適")</f>
        <v>快適</v>
      </c>
    </row>
    <row r="6934" spans="1:3" ht="18" customHeight="1" x14ac:dyDescent="0.3">
      <c r="A6934" s="1">
        <v>3</v>
      </c>
      <c r="B6934" s="1" t="s">
        <v>5660</v>
      </c>
      <c r="C6934" s="1" t="str">
        <f ca="1">IFERROR(__xludf.DUMMYFUNCTION("GOOGLETRANSLATE(B7025,""en"",""ja"")"),"演奏")</f>
        <v>演奏</v>
      </c>
    </row>
    <row r="6935" spans="1:3" ht="18" customHeight="1" x14ac:dyDescent="0.3">
      <c r="A6935" s="1">
        <v>3</v>
      </c>
      <c r="B6935" s="1" t="s">
        <v>4545</v>
      </c>
      <c r="C6935" s="1" t="str">
        <f ca="1">IFERROR(__xludf.DUMMYFUNCTION("GOOGLETRANSLATE(B7026,""en"",""ja"")"),"尤もらしいです")</f>
        <v>尤もらしいです</v>
      </c>
    </row>
    <row r="6936" spans="1:3" ht="18" customHeight="1" x14ac:dyDescent="0.3">
      <c r="A6936" s="1">
        <v>3</v>
      </c>
      <c r="B6936" s="1" t="s">
        <v>5661</v>
      </c>
      <c r="C6936" s="1" t="str">
        <f ca="1">IFERROR(__xludf.DUMMYFUNCTION("GOOGLETRANSLATE(B7027,""en"",""ja"")"),"頭打ち")</f>
        <v>頭打ち</v>
      </c>
    </row>
    <row r="6937" spans="1:3" ht="18" customHeight="1" x14ac:dyDescent="0.3">
      <c r="A6937" s="1">
        <v>3</v>
      </c>
      <c r="B6937" s="1" t="s">
        <v>5662</v>
      </c>
      <c r="C6937" s="1" t="str">
        <f ca="1">IFERROR(__xludf.DUMMYFUNCTION("GOOGLETRANSLATE(B7028,""en"",""ja"")"),"プレート")</f>
        <v>プレート</v>
      </c>
    </row>
    <row r="6938" spans="1:3" ht="18" customHeight="1" x14ac:dyDescent="0.3">
      <c r="A6938" s="1">
        <v>3</v>
      </c>
      <c r="B6938" s="1" t="s">
        <v>5663</v>
      </c>
      <c r="C6938" s="1" t="str">
        <f ca="1">IFERROR(__xludf.DUMMYFUNCTION("GOOGLETRANSLATE(B7029,""en"",""ja"")"),"プラスチック")</f>
        <v>プラスチック</v>
      </c>
    </row>
    <row r="6939" spans="1:3" ht="18" customHeight="1" x14ac:dyDescent="0.3">
      <c r="A6939" s="1">
        <v>3</v>
      </c>
      <c r="B6939" s="1" t="s">
        <v>5664</v>
      </c>
      <c r="C6939" s="1" t="str">
        <f ca="1">IFERROR(__xludf.DUMMYFUNCTION("GOOGLETRANSLATE(B7031,""en"",""ja"")"),"惑星")</f>
        <v>惑星</v>
      </c>
    </row>
    <row r="6940" spans="1:3" ht="18" customHeight="1" x14ac:dyDescent="0.3">
      <c r="A6940" s="1">
        <v>3</v>
      </c>
      <c r="B6940" s="1" t="s">
        <v>5665</v>
      </c>
      <c r="C6940" s="1" t="str">
        <f ca="1">IFERROR(__xludf.DUMMYFUNCTION("GOOGLETRANSLATE(B7032,""en"",""ja"")"),"飛行機")</f>
        <v>飛行機</v>
      </c>
    </row>
    <row r="6941" spans="1:3" ht="18" customHeight="1" x14ac:dyDescent="0.3">
      <c r="A6941" s="1">
        <v>3</v>
      </c>
      <c r="B6941" s="1" t="s">
        <v>5666</v>
      </c>
      <c r="C6941" s="1" t="str">
        <f ca="1">IFERROR(__xludf.DUMMYFUNCTION("GOOGLETRANSLATE(B7033,""en"",""ja"")"),"ピッチ")</f>
        <v>ピッチ</v>
      </c>
    </row>
    <row r="6942" spans="1:3" ht="18" customHeight="1" x14ac:dyDescent="0.3">
      <c r="A6942" s="1">
        <v>3</v>
      </c>
      <c r="B6942" s="1" t="s">
        <v>5667</v>
      </c>
      <c r="C6942" s="1" t="str">
        <f ca="1">IFERROR(__xludf.DUMMYFUNCTION("GOOGLETRANSLATE(B7034,""en"",""ja"")"),"パイオニア")</f>
        <v>パイオニア</v>
      </c>
    </row>
    <row r="6943" spans="1:3" ht="18" customHeight="1" x14ac:dyDescent="0.3">
      <c r="A6943" s="1">
        <v>3</v>
      </c>
      <c r="B6943" s="1" t="s">
        <v>5668</v>
      </c>
      <c r="C6943" s="1" t="str">
        <f ca="1">IFERROR(__xludf.DUMMYFUNCTION("GOOGLETRANSLATE(B7035,""en"",""ja"")"),"先駆的な")</f>
        <v>先駆的な</v>
      </c>
    </row>
    <row r="6944" spans="1:3" ht="18" customHeight="1" x14ac:dyDescent="0.3">
      <c r="A6944" s="1">
        <v>3</v>
      </c>
      <c r="B6944" s="1" t="s">
        <v>5669</v>
      </c>
      <c r="C6944" s="1" t="str">
        <f ca="1">IFERROR(__xludf.DUMMYFUNCTION("GOOGLETRANSLATE(B7036,""en"",""ja"")"),"ピッキング")</f>
        <v>ピッキング</v>
      </c>
    </row>
    <row r="6945" spans="1:3" ht="18" customHeight="1" x14ac:dyDescent="0.3">
      <c r="A6945" s="1">
        <v>3</v>
      </c>
      <c r="B6945" s="1" t="s">
        <v>5670</v>
      </c>
      <c r="C6945" s="1" t="str">
        <f ca="1">IFERROR(__xludf.DUMMYFUNCTION("GOOGLETRANSLATE(B7037,""en"",""ja"")"),"物理的に")</f>
        <v>物理的に</v>
      </c>
    </row>
    <row r="6946" spans="1:3" ht="18" customHeight="1" x14ac:dyDescent="0.3">
      <c r="A6946" s="1">
        <v>3</v>
      </c>
      <c r="B6946" s="1" t="s">
        <v>5671</v>
      </c>
      <c r="C6946" s="1" t="str">
        <f ca="1">IFERROR(__xludf.DUMMYFUNCTION("GOOGLETRANSLATE(B7038,""en"",""ja"")"),"蓄音機")</f>
        <v>蓄音機</v>
      </c>
    </row>
    <row r="6947" spans="1:3" ht="18" customHeight="1" x14ac:dyDescent="0.3">
      <c r="A6947" s="1">
        <v>3</v>
      </c>
      <c r="B6947" s="1" t="s">
        <v>1918</v>
      </c>
      <c r="C6947" s="1" t="str">
        <f ca="1">IFERROR(__xludf.DUMMYFUNCTION("GOOGLETRANSLATE(B7039,""en"",""ja"")"),"哲学")</f>
        <v>哲学</v>
      </c>
    </row>
    <row r="6948" spans="1:3" ht="18" customHeight="1" x14ac:dyDescent="0.3">
      <c r="A6948" s="1">
        <v>3</v>
      </c>
      <c r="B6948" s="1" t="s">
        <v>5672</v>
      </c>
      <c r="C6948" s="1" t="str">
        <f ca="1">IFERROR(__xludf.DUMMYFUNCTION("GOOGLETRANSLATE(B7040,""en"",""ja"")"),"フィリピン")</f>
        <v>フィリピン</v>
      </c>
    </row>
    <row r="6949" spans="1:3" ht="18" customHeight="1" x14ac:dyDescent="0.3">
      <c r="A6949" s="1">
        <v>3</v>
      </c>
      <c r="B6949" s="1" t="s">
        <v>5673</v>
      </c>
      <c r="C6949" s="1" t="str">
        <f ca="1">IFERROR(__xludf.DUMMYFUNCTION("GOOGLETRANSLATE(B7041,""en"",""ja"")"),"phere")</f>
        <v>phere</v>
      </c>
    </row>
    <row r="6950" spans="1:3" ht="18" customHeight="1" x14ac:dyDescent="0.3">
      <c r="A6950" s="1">
        <v>3</v>
      </c>
      <c r="B6950" s="1" t="s">
        <v>5674</v>
      </c>
      <c r="C6950" s="1" t="str">
        <f ca="1">IFERROR(__xludf.DUMMYFUNCTION("GOOGLETRANSLATE(B7042,""en"",""ja"")"),"段階的")</f>
        <v>段階的</v>
      </c>
    </row>
    <row r="6951" spans="1:3" ht="18" customHeight="1" x14ac:dyDescent="0.3">
      <c r="A6951" s="1">
        <v>3</v>
      </c>
      <c r="B6951" s="1" t="s">
        <v>5675</v>
      </c>
      <c r="C6951" s="1" t="str">
        <f ca="1">IFERROR(__xludf.DUMMYFUNCTION("GOOGLETRANSLATE(B7043,""en"",""ja"")"),"ささいな")</f>
        <v>ささいな</v>
      </c>
    </row>
    <row r="6952" spans="1:3" ht="18" customHeight="1" x14ac:dyDescent="0.3">
      <c r="A6952" s="1">
        <v>3</v>
      </c>
      <c r="B6952" s="1" t="s">
        <v>5676</v>
      </c>
      <c r="C6952" s="1" t="str">
        <f ca="1">IFERROR(__xludf.DUMMYFUNCTION("GOOGLETRANSLATE(B7044,""en"",""ja"")"),"ペトリ")</f>
        <v>ペトリ</v>
      </c>
    </row>
    <row r="6953" spans="1:3" ht="18" customHeight="1" x14ac:dyDescent="0.3">
      <c r="A6953" s="1">
        <v>3</v>
      </c>
      <c r="B6953" s="1" t="s">
        <v>5677</v>
      </c>
      <c r="C6953" s="1" t="str">
        <f ca="1">IFERROR(__xludf.DUMMYFUNCTION("GOOGLETRANSLATE(B7045,""en"",""ja"")"),"普及して")</f>
        <v>普及して</v>
      </c>
    </row>
    <row r="6954" spans="1:3" ht="18" customHeight="1" x14ac:dyDescent="0.3">
      <c r="A6954" s="1">
        <v>3</v>
      </c>
      <c r="B6954" s="1" t="s">
        <v>5678</v>
      </c>
      <c r="C6954" s="1" t="str">
        <f ca="1">IFERROR(__xludf.DUMMYFUNCTION("GOOGLETRANSLATE(B7046,""en"",""ja"")"),"説得")</f>
        <v>説得</v>
      </c>
    </row>
    <row r="6955" spans="1:3" ht="18" customHeight="1" x14ac:dyDescent="0.3">
      <c r="A6955" s="1">
        <v>3</v>
      </c>
      <c r="B6955" s="1" t="s">
        <v>5679</v>
      </c>
      <c r="C6955" s="1" t="str">
        <f ca="1">IFERROR(__xludf.DUMMYFUNCTION("GOOGLETRANSLATE(B7047,""en"",""ja"")"),"パーソナライズ")</f>
        <v>パーソナライズ</v>
      </c>
    </row>
    <row r="6956" spans="1:3" ht="18" customHeight="1" x14ac:dyDescent="0.3">
      <c r="A6956" s="1">
        <v>3</v>
      </c>
      <c r="B6956" s="1" t="s">
        <v>5680</v>
      </c>
      <c r="C6956" s="1" t="str">
        <f ca="1">IFERROR(__xludf.DUMMYFUNCTION("GOOGLETRANSLATE(B7048,""en"",""ja"")"),"持続")</f>
        <v>持続</v>
      </c>
    </row>
    <row r="6957" spans="1:3" ht="18" customHeight="1" x14ac:dyDescent="0.3">
      <c r="A6957" s="1">
        <v>3</v>
      </c>
      <c r="B6957" s="1" t="s">
        <v>5681</v>
      </c>
      <c r="C6957" s="1" t="str">
        <f ca="1">IFERROR(__xludf.DUMMYFUNCTION("GOOGLETRANSLATE(B7049,""en"",""ja"")"),"恒久")</f>
        <v>恒久</v>
      </c>
    </row>
    <row r="6958" spans="1:3" ht="18" customHeight="1" x14ac:dyDescent="0.3">
      <c r="A6958" s="1">
        <v>3</v>
      </c>
      <c r="B6958" s="1" t="s">
        <v>5682</v>
      </c>
      <c r="C6958" s="1" t="str">
        <f ca="1">IFERROR(__xludf.DUMMYFUNCTION("GOOGLETRANSLATE(B7050,""en"",""ja"")"),"末梢")</f>
        <v>末梢</v>
      </c>
    </row>
    <row r="6959" spans="1:3" ht="18" customHeight="1" x14ac:dyDescent="0.3">
      <c r="A6959" s="1">
        <v>3</v>
      </c>
      <c r="B6959" s="1" t="s">
        <v>5683</v>
      </c>
      <c r="C6959" s="1" t="str">
        <f ca="1">IFERROR(__xludf.DUMMYFUNCTION("GOOGLETRANSLATE(B7051,""en"",""ja"")"),"周期")</f>
        <v>周期</v>
      </c>
    </row>
    <row r="6960" spans="1:3" ht="18" customHeight="1" x14ac:dyDescent="0.3">
      <c r="A6960" s="1">
        <v>3</v>
      </c>
      <c r="B6960" s="1" t="s">
        <v>5684</v>
      </c>
      <c r="C6960" s="1" t="str">
        <f ca="1">IFERROR(__xludf.DUMMYFUNCTION("GOOGLETRANSLATE(B7052,""en"",""ja"")"),"パフォーマー")</f>
        <v>パフォーマー</v>
      </c>
    </row>
    <row r="6961" spans="1:3" ht="18" customHeight="1" x14ac:dyDescent="0.3">
      <c r="A6961" s="1">
        <v>3</v>
      </c>
      <c r="B6961" s="1" t="s">
        <v>5685</v>
      </c>
      <c r="C6961" s="1" t="str">
        <f ca="1">IFERROR(__xludf.DUMMYFUNCTION("GOOGLETRANSLATE(B7053,""en"",""ja"")"),"行っ")</f>
        <v>行っ</v>
      </c>
    </row>
    <row r="6962" spans="1:3" ht="18" customHeight="1" x14ac:dyDescent="0.3">
      <c r="A6962" s="1">
        <v>3</v>
      </c>
      <c r="B6962" s="1" t="s">
        <v>5686</v>
      </c>
      <c r="C6962" s="1" t="str">
        <f ca="1">IFERROR(__xludf.DUMMYFUNCTION("GOOGLETRANSLATE(B7054,""en"",""ja"")"),"公演")</f>
        <v>公演</v>
      </c>
    </row>
    <row r="6963" spans="1:3" ht="18" customHeight="1" x14ac:dyDescent="0.3">
      <c r="A6963" s="1">
        <v>3</v>
      </c>
      <c r="B6963" s="1" t="s">
        <v>5687</v>
      </c>
      <c r="C6963" s="1" t="str">
        <f ca="1">IFERROR(__xludf.DUMMYFUNCTION("GOOGLETRANSLATE(B7055,""en"",""ja"")"),"完全に")</f>
        <v>完全に</v>
      </c>
    </row>
    <row r="6964" spans="1:3" ht="18" customHeight="1" x14ac:dyDescent="0.3">
      <c r="A6964" s="1">
        <v>3</v>
      </c>
      <c r="B6964" s="1" t="s">
        <v>5688</v>
      </c>
      <c r="C6964" s="1" t="str">
        <f ca="1">IFERROR(__xludf.DUMMYFUNCTION("GOOGLETRANSLATE(B7056,""en"",""ja"")"),"完成")</f>
        <v>完成</v>
      </c>
    </row>
    <row r="6965" spans="1:3" ht="18" customHeight="1" x14ac:dyDescent="0.3">
      <c r="A6965" s="1">
        <v>3</v>
      </c>
      <c r="B6965" s="1" t="s">
        <v>5689</v>
      </c>
      <c r="C6965" s="1" t="str">
        <f ca="1">IFERROR(__xludf.DUMMYFUNCTION("GOOGLETRANSLATE(B7057,""en"",""ja"")"),"完成")</f>
        <v>完成</v>
      </c>
    </row>
    <row r="6966" spans="1:3" ht="18" customHeight="1" x14ac:dyDescent="0.3">
      <c r="A6966" s="1">
        <v>3</v>
      </c>
      <c r="B6966" s="1" t="s">
        <v>5690</v>
      </c>
      <c r="C6966" s="1" t="str">
        <f ca="1">IFERROR(__xludf.DUMMYFUNCTION("GOOGLETRANSLATE(B7058,""en"",""ja"")"),"多年生")</f>
        <v>多年生</v>
      </c>
    </row>
    <row r="6967" spans="1:3" ht="18" customHeight="1" x14ac:dyDescent="0.3">
      <c r="A6967" s="1">
        <v>3</v>
      </c>
      <c r="B6967" s="1" t="s">
        <v>5691</v>
      </c>
      <c r="C6967" s="1" t="str">
        <f ca="1">IFERROR(__xludf.DUMMYFUNCTION("GOOGLETRANSLATE(B7059,""en"",""ja"")"),"認識")</f>
        <v>認識</v>
      </c>
    </row>
    <row r="6968" spans="1:3" ht="18" customHeight="1" x14ac:dyDescent="0.3">
      <c r="A6968" s="1">
        <v>3</v>
      </c>
      <c r="B6968" s="1" t="s">
        <v>2940</v>
      </c>
      <c r="C6968" s="1" t="str">
        <f ca="1">IFERROR(__xludf.DUMMYFUNCTION("GOOGLETRANSLATE(B7060,""en"",""ja"")"),"知覚")</f>
        <v>知覚</v>
      </c>
    </row>
    <row r="6969" spans="1:3" ht="18" customHeight="1" x14ac:dyDescent="0.3">
      <c r="A6969" s="1">
        <v>3</v>
      </c>
      <c r="B6969" s="1" t="s">
        <v>5692</v>
      </c>
      <c r="C6969" s="1" t="str">
        <f ca="1">IFERROR(__xludf.DUMMYFUNCTION("GOOGLETRANSLATE(B7061,""en"",""ja"")"),"感知できるほどに")</f>
        <v>感知できるほどに</v>
      </c>
    </row>
    <row r="6970" spans="1:3" ht="18" customHeight="1" x14ac:dyDescent="0.3">
      <c r="A6970" s="1">
        <v>3</v>
      </c>
      <c r="B6970" s="1" t="s">
        <v>3362</v>
      </c>
      <c r="C6970" s="1" t="str">
        <f ca="1">IFERROR(__xludf.DUMMYFUNCTION("GOOGLETRANSLATE(B7062,""en"",""ja"")"),"ペンシルバニア")</f>
        <v>ペンシルバニア</v>
      </c>
    </row>
    <row r="6971" spans="1:3" ht="18" customHeight="1" x14ac:dyDescent="0.3">
      <c r="A6971" s="1">
        <v>3</v>
      </c>
      <c r="B6971" s="1" t="s">
        <v>5693</v>
      </c>
      <c r="C6971" s="1" t="str">
        <f ca="1">IFERROR(__xludf.DUMMYFUNCTION("GOOGLETRANSLATE(B7063,""en"",""ja"")"),"ペニシリン")</f>
        <v>ペニシリン</v>
      </c>
    </row>
    <row r="6972" spans="1:3" ht="18" customHeight="1" x14ac:dyDescent="0.3">
      <c r="A6972" s="1">
        <v>3</v>
      </c>
      <c r="B6972" s="1" t="s">
        <v>5694</v>
      </c>
      <c r="C6972" s="1" t="str">
        <f ca="1">IFERROR(__xludf.DUMMYFUNCTION("GOOGLETRANSLATE(B7064,""en"",""ja"")"),"貫通")</f>
        <v>貫通</v>
      </c>
    </row>
    <row r="6973" spans="1:3" ht="18" customHeight="1" x14ac:dyDescent="0.3">
      <c r="A6973" s="1">
        <v>3</v>
      </c>
      <c r="B6973" s="1" t="s">
        <v>3916</v>
      </c>
      <c r="C6973" s="1" t="str">
        <f ca="1">IFERROR(__xludf.DUMMYFUNCTION("GOOGLETRANSLATE(B7065,""en"",""ja"")"),"仲間")</f>
        <v>仲間</v>
      </c>
    </row>
    <row r="6974" spans="1:3" ht="18" customHeight="1" x14ac:dyDescent="0.3">
      <c r="A6974" s="1">
        <v>3</v>
      </c>
      <c r="B6974" s="1" t="s">
        <v>5695</v>
      </c>
      <c r="C6974" s="1" t="str">
        <f ca="1">IFERROR(__xludf.DUMMYFUNCTION("GOOGLETRANSLATE(B7066,""en"",""ja"")"),"ポール")</f>
        <v>ポール</v>
      </c>
    </row>
    <row r="6975" spans="1:3" ht="18" customHeight="1" x14ac:dyDescent="0.3">
      <c r="A6975" s="1">
        <v>3</v>
      </c>
      <c r="B6975" s="1" t="s">
        <v>5696</v>
      </c>
      <c r="C6975" s="1" t="str">
        <f ca="1">IFERROR(__xludf.DUMMYFUNCTION("GOOGLETRANSLATE(B7067,""en"",""ja"")"),"消極性")</f>
        <v>消極性</v>
      </c>
    </row>
    <row r="6976" spans="1:3" ht="18" customHeight="1" x14ac:dyDescent="0.3">
      <c r="A6976" s="1">
        <v>3</v>
      </c>
      <c r="B6976" s="1" t="s">
        <v>5697</v>
      </c>
      <c r="C6976" s="1" t="str">
        <f ca="1">IFERROR(__xludf.DUMMYFUNCTION("GOOGLETRANSLATE(B7068,""en"",""ja"")"),"情熱")</f>
        <v>情熱</v>
      </c>
    </row>
    <row r="6977" spans="1:3" ht="18" customHeight="1" x14ac:dyDescent="0.3">
      <c r="A6977" s="1">
        <v>3</v>
      </c>
      <c r="B6977" s="1" t="s">
        <v>5698</v>
      </c>
      <c r="C6977" s="1" t="str">
        <f ca="1">IFERROR(__xludf.DUMMYFUNCTION("GOOGLETRANSLATE(B7069,""en"",""ja"")"),"参加")</f>
        <v>参加</v>
      </c>
    </row>
    <row r="6978" spans="1:3" ht="18" customHeight="1" x14ac:dyDescent="0.3">
      <c r="A6978" s="1">
        <v>3</v>
      </c>
      <c r="B6978" s="1" t="s">
        <v>5699</v>
      </c>
      <c r="C6978" s="1" t="str">
        <f ca="1">IFERROR(__xludf.DUMMYFUNCTION("GOOGLETRANSLATE(B7070,""en"",""ja"")"),"公園")</f>
        <v>公園</v>
      </c>
    </row>
    <row r="6979" spans="1:3" ht="18" customHeight="1" x14ac:dyDescent="0.3">
      <c r="A6979" s="1">
        <v>3</v>
      </c>
      <c r="B6979" s="1" t="s">
        <v>3367</v>
      </c>
      <c r="C6979" s="1" t="str">
        <f ca="1">IFERROR(__xludf.DUMMYFUNCTION("GOOGLETRANSLATE(B7071,""en"",""ja"")"),"パーク")</f>
        <v>パーク</v>
      </c>
    </row>
    <row r="6980" spans="1:3" ht="18" customHeight="1" x14ac:dyDescent="0.3">
      <c r="A6980" s="1">
        <v>3</v>
      </c>
      <c r="B6980" s="1" t="s">
        <v>5700</v>
      </c>
      <c r="C6980" s="1" t="str">
        <f ca="1">IFERROR(__xludf.DUMMYFUNCTION("GOOGLETRANSLATE(B7072,""en"",""ja"")"),"偏執")</f>
        <v>偏執</v>
      </c>
    </row>
    <row r="6981" spans="1:3" ht="18" customHeight="1" x14ac:dyDescent="0.3">
      <c r="A6981" s="1">
        <v>3</v>
      </c>
      <c r="B6981" s="1" t="s">
        <v>5701</v>
      </c>
      <c r="C6981" s="1" t="str">
        <f ca="1">IFERROR(__xludf.DUMMYFUNCTION("GOOGLETRANSLATE(B7073,""en"",""ja"")"),"痛いです")</f>
        <v>痛いです</v>
      </c>
    </row>
    <row r="6982" spans="1:3" ht="18" customHeight="1" x14ac:dyDescent="0.3">
      <c r="A6982" s="1">
        <v>3</v>
      </c>
      <c r="B6982" s="1" t="s">
        <v>5702</v>
      </c>
      <c r="C6982" s="1" t="str">
        <f ca="1">IFERROR(__xludf.DUMMYFUNCTION("GOOGLETRANSLATE(B7074,""en"",""ja"")"),"パドマ")</f>
        <v>パドマ</v>
      </c>
    </row>
    <row r="6983" spans="1:3" ht="18" customHeight="1" x14ac:dyDescent="0.3">
      <c r="A6983" s="1">
        <v>3</v>
      </c>
      <c r="B6983" s="1" t="s">
        <v>5703</v>
      </c>
      <c r="C6983" s="1" t="str">
        <f ca="1">IFERROR(__xludf.DUMMYFUNCTION("GOOGLETRANSLATE(B7075,""en"",""ja"")"),"pacesetters")</f>
        <v>pacesetters</v>
      </c>
    </row>
    <row r="6984" spans="1:3" ht="18" customHeight="1" x14ac:dyDescent="0.3">
      <c r="A6984" s="1">
        <v>3</v>
      </c>
      <c r="B6984" s="1" t="s">
        <v>5704</v>
      </c>
      <c r="C6984" s="1" t="str">
        <f ca="1">IFERROR(__xludf.DUMMYFUNCTION("GOOGLETRANSLATE(B7076,""en"",""ja"")"),"P")</f>
        <v>P</v>
      </c>
    </row>
    <row r="6985" spans="1:3" ht="18" customHeight="1" x14ac:dyDescent="0.3">
      <c r="A6985" s="1">
        <v>3</v>
      </c>
      <c r="B6985" s="1" t="s">
        <v>1921</v>
      </c>
      <c r="C6985" s="1" t="str">
        <f ca="1">IFERROR(__xludf.DUMMYFUNCTION("GOOGLETRANSLATE(B7077,""en"",""ja"")"),"カキ")</f>
        <v>カキ</v>
      </c>
    </row>
    <row r="6986" spans="1:3" ht="18" customHeight="1" x14ac:dyDescent="0.3">
      <c r="A6986" s="1">
        <v>3</v>
      </c>
      <c r="B6986" s="1" t="s">
        <v>5705</v>
      </c>
      <c r="C6986" s="1" t="str">
        <f ca="1">IFERROR(__xludf.DUMMYFUNCTION("GOOGLETRANSLATE(B7078,""en"",""ja"")"),"圧倒")</f>
        <v>圧倒</v>
      </c>
    </row>
    <row r="6987" spans="1:3" ht="18" customHeight="1" x14ac:dyDescent="0.3">
      <c r="A6987" s="1">
        <v>3</v>
      </c>
      <c r="B6987" s="1" t="s">
        <v>5706</v>
      </c>
      <c r="C6987" s="1" t="str">
        <f ca="1">IFERROR(__xludf.DUMMYFUNCTION("GOOGLETRANSLATE(B7079,""en"",""ja"")"),"過延伸")</f>
        <v>過延伸</v>
      </c>
    </row>
    <row r="6988" spans="1:3" ht="18" customHeight="1" x14ac:dyDescent="0.3">
      <c r="A6988" s="1">
        <v>3</v>
      </c>
      <c r="B6988" s="1" t="s">
        <v>5707</v>
      </c>
      <c r="C6988" s="1" t="str">
        <f ca="1">IFERROR(__xludf.DUMMYFUNCTION("GOOGLETRANSLATE(B7080,""en"",""ja"")"),"オーバーライド")</f>
        <v>オーバーライド</v>
      </c>
    </row>
    <row r="6989" spans="1:3" ht="18" customHeight="1" x14ac:dyDescent="0.3">
      <c r="A6989" s="1">
        <v>3</v>
      </c>
      <c r="B6989" s="1" t="s">
        <v>5708</v>
      </c>
      <c r="C6989" s="1" t="str">
        <f ca="1">IFERROR(__xludf.DUMMYFUNCTION("GOOGLETRANSLATE(B7081,""en"",""ja"")"),"overrehearsing")</f>
        <v>overrehearsing</v>
      </c>
    </row>
    <row r="6990" spans="1:3" ht="18" customHeight="1" x14ac:dyDescent="0.3">
      <c r="A6990" s="1">
        <v>3</v>
      </c>
      <c r="B6990" s="1" t="s">
        <v>5709</v>
      </c>
      <c r="C6990" s="1" t="str">
        <f ca="1">IFERROR(__xludf.DUMMYFUNCTION("GOOGLETRANSLATE(B7082,""en"",""ja"")"),"見落とし")</f>
        <v>見落とし</v>
      </c>
    </row>
    <row r="6991" spans="1:3" ht="18" customHeight="1" x14ac:dyDescent="0.3">
      <c r="A6991" s="1">
        <v>3</v>
      </c>
      <c r="B6991" s="1" t="s">
        <v>5710</v>
      </c>
      <c r="C6991" s="1" t="str">
        <f ca="1">IFERROR(__xludf.DUMMYFUNCTION("GOOGLETRANSLATE(B7083,""en"",""ja"")"),"オーバーレイ")</f>
        <v>オーバーレイ</v>
      </c>
    </row>
    <row r="6992" spans="1:3" ht="18" customHeight="1" x14ac:dyDescent="0.3">
      <c r="A6992" s="1">
        <v>3</v>
      </c>
      <c r="B6992" s="1" t="s">
        <v>5711</v>
      </c>
      <c r="C6992" s="1" t="str">
        <f ca="1">IFERROR(__xludf.DUMMYFUNCTION("GOOGLETRANSLATE(B7084,""en"",""ja"")"),"過剰投与")</f>
        <v>過剰投与</v>
      </c>
    </row>
    <row r="6993" spans="1:3" ht="18" customHeight="1" x14ac:dyDescent="0.3">
      <c r="A6993" s="1">
        <v>3</v>
      </c>
      <c r="B6993" s="1" t="s">
        <v>5712</v>
      </c>
      <c r="C6993" s="1" t="str">
        <f ca="1">IFERROR(__xludf.DUMMYFUNCTION("GOOGLETRANSLATE(B7085,""en"",""ja"")"),"超満員")</f>
        <v>超満員</v>
      </c>
    </row>
    <row r="6994" spans="1:3" ht="18" customHeight="1" x14ac:dyDescent="0.3">
      <c r="A6994" s="1">
        <v>3</v>
      </c>
      <c r="B6994" s="1" t="s">
        <v>5713</v>
      </c>
      <c r="C6994" s="1" t="str">
        <f ca="1">IFERROR(__xludf.DUMMYFUNCTION("GOOGLETRANSLATE(B7086,""en"",""ja"")"),"身の程知らず")</f>
        <v>身の程知らず</v>
      </c>
    </row>
    <row r="6995" spans="1:3" ht="18" customHeight="1" x14ac:dyDescent="0.3">
      <c r="A6995" s="1">
        <v>3</v>
      </c>
      <c r="B6995" s="1" t="s">
        <v>5714</v>
      </c>
      <c r="C6995" s="1" t="str">
        <f ca="1">IFERROR(__xludf.DUMMYFUNCTION("GOOGLETRANSLATE(B7087,""en"",""ja"")"),"出口")</f>
        <v>出口</v>
      </c>
    </row>
    <row r="6996" spans="1:3" ht="18" customHeight="1" x14ac:dyDescent="0.3">
      <c r="A6996" s="1">
        <v>3</v>
      </c>
      <c r="B6996" s="1" t="s">
        <v>5715</v>
      </c>
      <c r="C6996" s="1" t="str">
        <f ca="1">IFERROR(__xludf.DUMMYFUNCTION("GOOGLETRANSLATE(B7088,""en"",""ja"")"),"支出")</f>
        <v>支出</v>
      </c>
    </row>
    <row r="6997" spans="1:3" ht="18" customHeight="1" x14ac:dyDescent="0.3">
      <c r="A6997" s="1">
        <v>3</v>
      </c>
      <c r="B6997" s="1" t="s">
        <v>5716</v>
      </c>
      <c r="C6997" s="1" t="str">
        <f ca="1">IFERROR(__xludf.DUMMYFUNCTION("GOOGLETRANSLATE(B7089,""en"",""ja"")"),"アウトドア")</f>
        <v>アウトドア</v>
      </c>
    </row>
    <row r="6998" spans="1:3" ht="18" customHeight="1" x14ac:dyDescent="0.3">
      <c r="A6998" s="1">
        <v>3</v>
      </c>
      <c r="B6998" s="1" t="s">
        <v>4584</v>
      </c>
      <c r="C6998" s="1" t="str">
        <f ca="1">IFERROR(__xludf.DUMMYFUNCTION("GOOGLETRANSLATE(B7090,""en"",""ja"")"),"時代遅れ")</f>
        <v>時代遅れ</v>
      </c>
    </row>
    <row r="6999" spans="1:3" ht="18" customHeight="1" x14ac:dyDescent="0.3">
      <c r="A6999" s="1">
        <v>3</v>
      </c>
      <c r="B6999" s="1" t="s">
        <v>5717</v>
      </c>
      <c r="C6999" s="1" t="str">
        <f ca="1">IFERROR(__xludf.DUMMYFUNCTION("GOOGLETRANSLATE(B7091,""en"",""ja"")"),"他者性")</f>
        <v>他者性</v>
      </c>
    </row>
    <row r="7000" spans="1:3" ht="18" customHeight="1" x14ac:dyDescent="0.3">
      <c r="A7000" s="1">
        <v>3</v>
      </c>
      <c r="B7000" s="1" t="s">
        <v>5718</v>
      </c>
      <c r="C7000" s="1" t="str">
        <f ca="1">IFERROR(__xludf.DUMMYFUNCTION("GOOGLETRANSLATE(B7092,""en"",""ja"")"),"オーウェル")</f>
        <v>オーウェル</v>
      </c>
    </row>
    <row r="7001" spans="1:3" ht="18" customHeight="1" x14ac:dyDescent="0.3">
      <c r="A7001" s="1">
        <v>3</v>
      </c>
      <c r="B7001" s="1" t="s">
        <v>5719</v>
      </c>
      <c r="C7001" s="1" t="str">
        <f ca="1">IFERROR(__xludf.DUMMYFUNCTION("GOOGLETRANSLATE(B7093,""en"",""ja"")"),"孤児")</f>
        <v>孤児</v>
      </c>
    </row>
    <row r="7002" spans="1:3" ht="18" customHeight="1" x14ac:dyDescent="0.3">
      <c r="A7002" s="1">
        <v>3</v>
      </c>
      <c r="B7002" s="1" t="s">
        <v>5720</v>
      </c>
      <c r="C7002" s="1" t="str">
        <f ca="1">IFERROR(__xludf.DUMMYFUNCTION("GOOGLETRANSLATE(B7094,""en"",""ja"")"),"鳥類学")</f>
        <v>鳥類学</v>
      </c>
    </row>
    <row r="7003" spans="1:3" ht="18" customHeight="1" x14ac:dyDescent="0.3">
      <c r="A7003" s="1">
        <v>3</v>
      </c>
      <c r="B7003" s="1" t="s">
        <v>5721</v>
      </c>
      <c r="C7003" s="1" t="str">
        <f ca="1">IFERROR(__xludf.DUMMYFUNCTION("GOOGLETRANSLATE(B7095,""en"",""ja"")"),"発信")</f>
        <v>発信</v>
      </c>
    </row>
    <row r="7004" spans="1:3" ht="18" customHeight="1" x14ac:dyDescent="0.3">
      <c r="A7004" s="1">
        <v>3</v>
      </c>
      <c r="B7004" s="1" t="s">
        <v>5722</v>
      </c>
      <c r="C7004" s="1" t="str">
        <f ca="1">IFERROR(__xludf.DUMMYFUNCTION("GOOGLETRANSLATE(B7096,""en"",""ja"")"),"オリエンテーション")</f>
        <v>オリエンテーション</v>
      </c>
    </row>
    <row r="7005" spans="1:3" ht="18" customHeight="1" x14ac:dyDescent="0.3">
      <c r="A7005" s="1">
        <v>3</v>
      </c>
      <c r="B7005" s="1" t="s">
        <v>5723</v>
      </c>
      <c r="C7005" s="1" t="str">
        <f ca="1">IFERROR(__xludf.DUMMYFUNCTION("GOOGLETRANSLATE(B7097,""en"",""ja"")"),"オリエント")</f>
        <v>オリエント</v>
      </c>
    </row>
    <row r="7006" spans="1:3" ht="18" customHeight="1" x14ac:dyDescent="0.3">
      <c r="A7006" s="1">
        <v>3</v>
      </c>
      <c r="B7006" s="1" t="s">
        <v>5724</v>
      </c>
      <c r="C7006" s="1" t="str">
        <f ca="1">IFERROR(__xludf.DUMMYFUNCTION("GOOGLETRANSLATE(B7098,""en"",""ja"")"),"選びます")</f>
        <v>選びます</v>
      </c>
    </row>
    <row r="7007" spans="1:3" ht="18" customHeight="1" x14ac:dyDescent="0.3">
      <c r="A7007" s="1">
        <v>3</v>
      </c>
      <c r="B7007" s="1" t="s">
        <v>5725</v>
      </c>
      <c r="C7007" s="1" t="str">
        <f ca="1">IFERROR(__xludf.DUMMYFUNCTION("GOOGLETRANSLATE(B7099,""en"",""ja"")"),"楽観的")</f>
        <v>楽観的</v>
      </c>
    </row>
    <row r="7008" spans="1:3" ht="18" customHeight="1" x14ac:dyDescent="0.3">
      <c r="A7008" s="1">
        <v>3</v>
      </c>
      <c r="B7008" s="1" t="s">
        <v>5726</v>
      </c>
      <c r="C7008" s="1" t="str">
        <f ca="1">IFERROR(__xludf.DUMMYFUNCTION("GOOGLETRANSLATE(B7100,""en"",""ja"")"),"楽観主義者")</f>
        <v>楽観主義者</v>
      </c>
    </row>
    <row r="7009" spans="1:3" ht="18" customHeight="1" x14ac:dyDescent="0.3">
      <c r="A7009" s="1">
        <v>3</v>
      </c>
      <c r="B7009" s="1" t="s">
        <v>5727</v>
      </c>
      <c r="C7009" s="1" t="str">
        <f ca="1">IFERROR(__xludf.DUMMYFUNCTION("GOOGLETRANSLATE(B7101,""en"",""ja"")"),"楽天家")</f>
        <v>楽天家</v>
      </c>
    </row>
    <row r="7010" spans="1:3" ht="18" customHeight="1" x14ac:dyDescent="0.3">
      <c r="A7010" s="1">
        <v>3</v>
      </c>
      <c r="B7010" s="1" t="s">
        <v>5728</v>
      </c>
      <c r="C7010" s="1" t="str">
        <f ca="1">IFERROR(__xludf.DUMMYFUNCTION("GOOGLETRANSLATE(B7102,""en"",""ja"")"),"異議申立")</f>
        <v>異議申立</v>
      </c>
    </row>
    <row r="7011" spans="1:3" ht="18" customHeight="1" x14ac:dyDescent="0.3">
      <c r="A7011" s="1">
        <v>3</v>
      </c>
      <c r="B7011" s="1" t="s">
        <v>5729</v>
      </c>
      <c r="C7011" s="1" t="str">
        <f ca="1">IFERROR(__xludf.DUMMYFUNCTION("GOOGLETRANSLATE(B7103,""en"",""ja"")"),"反対")</f>
        <v>反対</v>
      </c>
    </row>
    <row r="7012" spans="1:3" ht="18" customHeight="1" x14ac:dyDescent="0.3">
      <c r="A7012" s="1">
        <v>3</v>
      </c>
      <c r="B7012" s="1" t="s">
        <v>2613</v>
      </c>
      <c r="C7012" s="1" t="str">
        <f ca="1">IFERROR(__xludf.DUMMYFUNCTION("GOOGLETRANSLATE(B7105,""en"",""ja"")"),"相手")</f>
        <v>相手</v>
      </c>
    </row>
    <row r="7013" spans="1:3" ht="18" customHeight="1" x14ac:dyDescent="0.3">
      <c r="A7013" s="1">
        <v>3</v>
      </c>
      <c r="B7013" s="1" t="s">
        <v>5730</v>
      </c>
      <c r="C7013" s="1" t="str">
        <f ca="1">IFERROR(__xludf.DUMMYFUNCTION("GOOGLETRANSLATE(B7106,""en"",""ja"")"),"オペレーター")</f>
        <v>オペレーター</v>
      </c>
    </row>
    <row r="7014" spans="1:3" ht="18" customHeight="1" x14ac:dyDescent="0.3">
      <c r="A7014" s="1">
        <v>3</v>
      </c>
      <c r="B7014" s="1" t="s">
        <v>5731</v>
      </c>
      <c r="C7014" s="1" t="str">
        <f ca="1">IFERROR(__xludf.DUMMYFUNCTION("GOOGLETRANSLATE(B7107,""en"",""ja"")"),"手術")</f>
        <v>手術</v>
      </c>
    </row>
    <row r="7015" spans="1:3" ht="18" customHeight="1" x14ac:dyDescent="0.3">
      <c r="A7015" s="1">
        <v>3</v>
      </c>
      <c r="B7015" s="1" t="s">
        <v>5732</v>
      </c>
      <c r="C7015" s="1" t="str">
        <f ca="1">IFERROR(__xludf.DUMMYFUNCTION("GOOGLETRANSLATE(B7108,""en"",""ja"")"),"オペラント")</f>
        <v>オペラント</v>
      </c>
    </row>
    <row r="7016" spans="1:3" ht="18" customHeight="1" x14ac:dyDescent="0.3">
      <c r="A7016" s="1">
        <v>3</v>
      </c>
      <c r="B7016" s="1" t="s">
        <v>3383</v>
      </c>
      <c r="C7016" s="1" t="str">
        <f ca="1">IFERROR(__xludf.DUMMYFUNCTION("GOOGLETRANSLATE(B7109,""en"",""ja"")"),"オープン性")</f>
        <v>オープン性</v>
      </c>
    </row>
    <row r="7017" spans="1:3" ht="18" customHeight="1" x14ac:dyDescent="0.3">
      <c r="A7017" s="1">
        <v>3</v>
      </c>
      <c r="B7017" s="1" t="s">
        <v>5733</v>
      </c>
      <c r="C7017" s="1" t="str">
        <f ca="1">IFERROR(__xludf.DUMMYFUNCTION("GOOGLETRANSLATE(B7110,""en"",""ja"")"),"開かれました")</f>
        <v>開かれました</v>
      </c>
    </row>
    <row r="7018" spans="1:3" ht="18" customHeight="1" x14ac:dyDescent="0.3">
      <c r="A7018" s="1">
        <v>3</v>
      </c>
      <c r="B7018" s="1" t="s">
        <v>5734</v>
      </c>
      <c r="C7018" s="1" t="str">
        <f ca="1">IFERROR(__xludf.DUMMYFUNCTION("GOOGLETRANSLATE(B7111,""en"",""ja"")"),"オペーク")</f>
        <v>オペーク</v>
      </c>
    </row>
    <row r="7019" spans="1:3" ht="18" customHeight="1" x14ac:dyDescent="0.3">
      <c r="A7019" s="1">
        <v>3</v>
      </c>
      <c r="B7019" s="1" t="s">
        <v>5735</v>
      </c>
      <c r="C7019" s="1" t="str">
        <f ca="1">IFERROR(__xludf.DUMMYFUNCTION("GOOGLETRANSLATE(B7112,""en"",""ja"")"),"省略")</f>
        <v>省略</v>
      </c>
    </row>
    <row r="7020" spans="1:3" ht="18" customHeight="1" x14ac:dyDescent="0.3">
      <c r="A7020" s="1">
        <v>3</v>
      </c>
      <c r="B7020" s="1" t="s">
        <v>5736</v>
      </c>
      <c r="C7020" s="1" t="str">
        <f ca="1">IFERROR(__xludf.DUMMYFUNCTION("GOOGLETRANSLATE(B7113,""en"",""ja"")"),"OFT")</f>
        <v>OFT</v>
      </c>
    </row>
    <row r="7021" spans="1:3" ht="18" customHeight="1" x14ac:dyDescent="0.3">
      <c r="A7021" s="1">
        <v>3</v>
      </c>
      <c r="B7021" s="1" t="s">
        <v>5737</v>
      </c>
      <c r="C7021" s="1" t="str">
        <f ca="1">IFERROR(__xludf.DUMMYFUNCTION("GOOGLETRANSLATE(B7114,""en"",""ja"")"),"オフィス")</f>
        <v>オフィス</v>
      </c>
    </row>
    <row r="7022" spans="1:3" ht="18" customHeight="1" x14ac:dyDescent="0.3">
      <c r="A7022" s="1">
        <v>3</v>
      </c>
      <c r="B7022" s="1" t="s">
        <v>5738</v>
      </c>
      <c r="C7022" s="1" t="str">
        <f ca="1">IFERROR(__xludf.DUMMYFUNCTION("GOOGLETRANSLATE(B7115,""en"",""ja"")"),"問題")</f>
        <v>問題</v>
      </c>
    </row>
    <row r="7023" spans="1:3" ht="18" customHeight="1" x14ac:dyDescent="0.3">
      <c r="A7023" s="1">
        <v>3</v>
      </c>
      <c r="B7023" s="1" t="s">
        <v>4592</v>
      </c>
      <c r="C7023" s="1" t="str">
        <f ca="1">IFERROR(__xludf.DUMMYFUNCTION("GOOGLETRANSLATE(B7116,""en"",""ja"")"),"占める")</f>
        <v>占める</v>
      </c>
    </row>
    <row r="7024" spans="1:3" ht="18" customHeight="1" x14ac:dyDescent="0.3">
      <c r="A7024" s="1">
        <v>3</v>
      </c>
      <c r="B7024" s="1" t="s">
        <v>5739</v>
      </c>
      <c r="C7024" s="1" t="str">
        <f ca="1">IFERROR(__xludf.DUMMYFUNCTION("GOOGLETRANSLATE(B7117,""en"",""ja"")"),"占めています")</f>
        <v>占めています</v>
      </c>
    </row>
    <row r="7025" spans="1:3" ht="18" customHeight="1" x14ac:dyDescent="0.3">
      <c r="A7025" s="1">
        <v>3</v>
      </c>
      <c r="B7025" s="1" t="s">
        <v>2616</v>
      </c>
      <c r="C7025" s="1" t="str">
        <f ca="1">IFERROR(__xludf.DUMMYFUNCTION("GOOGLETRANSLATE(B7118,""en"",""ja"")"),"明らかに")</f>
        <v>明らかに</v>
      </c>
    </row>
    <row r="7026" spans="1:3" ht="18" customHeight="1" x14ac:dyDescent="0.3">
      <c r="A7026" s="1">
        <v>3</v>
      </c>
      <c r="B7026" s="1" t="s">
        <v>5740</v>
      </c>
      <c r="C7026" s="1" t="str">
        <f ca="1">IFERROR(__xludf.DUMMYFUNCTION("GOOGLETRANSLATE(B7119,""en"",""ja"")"),"強迫")</f>
        <v>強迫</v>
      </c>
    </row>
    <row r="7027" spans="1:3" ht="18" customHeight="1" x14ac:dyDescent="0.3">
      <c r="A7027" s="1">
        <v>3</v>
      </c>
      <c r="B7027" s="1" t="s">
        <v>1928</v>
      </c>
      <c r="C7027" s="1" t="str">
        <f ca="1">IFERROR(__xludf.DUMMYFUNCTION("GOOGLETRANSLATE(B7120,""en"",""ja"")"),"観察する")</f>
        <v>観察する</v>
      </c>
    </row>
    <row r="7028" spans="1:3" ht="18" customHeight="1" x14ac:dyDescent="0.3">
      <c r="A7028" s="1">
        <v>3</v>
      </c>
      <c r="B7028" s="1" t="s">
        <v>1542</v>
      </c>
      <c r="C7028" s="1" t="str">
        <f ca="1">IFERROR(__xludf.DUMMYFUNCTION("GOOGLETRANSLATE(B7121,""en"",""ja"")"),"観察")</f>
        <v>観察</v>
      </c>
    </row>
    <row r="7029" spans="1:3" ht="18" customHeight="1" x14ac:dyDescent="0.3">
      <c r="A7029" s="1">
        <v>3</v>
      </c>
      <c r="B7029" s="1" t="s">
        <v>5741</v>
      </c>
      <c r="C7029" s="1" t="str">
        <f ca="1">IFERROR(__xludf.DUMMYFUNCTION("GOOGLETRANSLATE(B7122,""en"",""ja"")"),"不明")</f>
        <v>不明</v>
      </c>
    </row>
    <row r="7030" spans="1:3" ht="18" customHeight="1" x14ac:dyDescent="0.3">
      <c r="A7030" s="1">
        <v>3</v>
      </c>
      <c r="B7030" s="1" t="s">
        <v>5742</v>
      </c>
      <c r="C7030" s="1" t="str">
        <f ca="1">IFERROR(__xludf.DUMMYFUNCTION("GOOGLETRANSLATE(B7123,""en"",""ja"")"),"抹消")</f>
        <v>抹消</v>
      </c>
    </row>
    <row r="7031" spans="1:3" ht="18" customHeight="1" x14ac:dyDescent="0.3">
      <c r="A7031" s="1">
        <v>3</v>
      </c>
      <c r="B7031" s="1" t="s">
        <v>5743</v>
      </c>
      <c r="C7031" s="1" t="str">
        <f ca="1">IFERROR(__xludf.DUMMYFUNCTION("GOOGLETRANSLATE(B7124,""en"",""ja"")"),"義務づけ")</f>
        <v>義務づけ</v>
      </c>
    </row>
    <row r="7032" spans="1:3" ht="18" customHeight="1" x14ac:dyDescent="0.3">
      <c r="A7032" s="1">
        <v>3</v>
      </c>
      <c r="B7032" s="1" t="s">
        <v>5744</v>
      </c>
      <c r="C7032" s="1" t="str">
        <f ca="1">IFERROR(__xludf.DUMMYFUNCTION("GOOGLETRANSLATE(B7125,""en"",""ja"")"),"客観的")</f>
        <v>客観的</v>
      </c>
    </row>
    <row r="7033" spans="1:3" ht="18" customHeight="1" x14ac:dyDescent="0.3">
      <c r="A7033" s="1">
        <v>3</v>
      </c>
      <c r="B7033" s="1" t="s">
        <v>2352</v>
      </c>
      <c r="C7033" s="1" t="str">
        <f ca="1">IFERROR(__xludf.DUMMYFUNCTION("GOOGLETRANSLATE(B7126,""en"",""ja"")"),"O")</f>
        <v>O</v>
      </c>
    </row>
    <row r="7034" spans="1:3" ht="18" customHeight="1" x14ac:dyDescent="0.3">
      <c r="A7034" s="1">
        <v>3</v>
      </c>
      <c r="B7034" s="1" t="s">
        <v>5745</v>
      </c>
      <c r="C7034" s="1" t="str">
        <f ca="1">IFERROR(__xludf.DUMMYFUNCTION("GOOGLETRANSLATE(B7127,""en"",""ja"")"),"最近")</f>
        <v>最近</v>
      </c>
    </row>
    <row r="7035" spans="1:3" ht="18" customHeight="1" x14ac:dyDescent="0.3">
      <c r="A7035" s="1">
        <v>3</v>
      </c>
      <c r="B7035" s="1" t="s">
        <v>5746</v>
      </c>
      <c r="C7035" s="1" t="str">
        <f ca="1">IFERROR(__xludf.DUMMYFUNCTION("GOOGLETRANSLATE(B7128,""en"",""ja"")"),"了解しました")</f>
        <v>了解しました</v>
      </c>
    </row>
    <row r="7036" spans="1:3" ht="18" customHeight="1" x14ac:dyDescent="0.3">
      <c r="A7036" s="1">
        <v>3</v>
      </c>
      <c r="B7036" s="1" t="s">
        <v>5747</v>
      </c>
      <c r="C7036" s="1" t="str">
        <f ca="1">IFERROR(__xludf.DUMMYFUNCTION("GOOGLETRANSLATE(B7129,""en"",""ja"")"),"非暴力")</f>
        <v>非暴力</v>
      </c>
    </row>
    <row r="7037" spans="1:3" ht="18" customHeight="1" x14ac:dyDescent="0.3">
      <c r="A7037" s="1">
        <v>3</v>
      </c>
      <c r="B7037" s="1" t="s">
        <v>5748</v>
      </c>
      <c r="C7037" s="1" t="str">
        <f ca="1">IFERROR(__xludf.DUMMYFUNCTION("GOOGLETRANSLATE(B7130,""en"",""ja"")"),"nontheless")</f>
        <v>nontheless</v>
      </c>
    </row>
    <row r="7038" spans="1:3" ht="18" customHeight="1" x14ac:dyDescent="0.3">
      <c r="A7038" s="1">
        <v>3</v>
      </c>
      <c r="B7038" s="1" t="s">
        <v>5749</v>
      </c>
      <c r="C7038" s="1" t="str">
        <f ca="1">IFERROR(__xludf.DUMMYFUNCTION("GOOGLETRANSLATE(B7131,""en"",""ja"")"),"nonscientists")</f>
        <v>nonscientists</v>
      </c>
    </row>
    <row r="7039" spans="1:3" ht="18" customHeight="1" x14ac:dyDescent="0.3">
      <c r="A7039" s="1">
        <v>3</v>
      </c>
      <c r="B7039" s="1" t="s">
        <v>5750</v>
      </c>
      <c r="C7039" s="1" t="str">
        <f ca="1">IFERROR(__xludf.DUMMYFUNCTION("GOOGLETRANSLATE(B7132,""en"",""ja"")"),"非営利")</f>
        <v>非営利</v>
      </c>
    </row>
    <row r="7040" spans="1:3" ht="18" customHeight="1" x14ac:dyDescent="0.3">
      <c r="A7040" s="1">
        <v>3</v>
      </c>
      <c r="B7040" s="1" t="s">
        <v>4603</v>
      </c>
      <c r="C7040" s="1" t="str">
        <f ca="1">IFERROR(__xludf.DUMMYFUNCTION("GOOGLETRANSLATE(B7133,""en"",""ja"")"),"ノーベル")</f>
        <v>ノーベル</v>
      </c>
    </row>
    <row r="7041" spans="1:3" ht="18" customHeight="1" x14ac:dyDescent="0.3">
      <c r="A7041" s="1">
        <v>3</v>
      </c>
      <c r="B7041" s="1" t="s">
        <v>3394</v>
      </c>
      <c r="C7041" s="1" t="str">
        <f ca="1">IFERROR(__xludf.DUMMYFUNCTION("GOOGLETRANSLATE(B7134,""en"",""ja"")"),"第十九")</f>
        <v>第十九</v>
      </c>
    </row>
    <row r="7042" spans="1:3" ht="18" customHeight="1" x14ac:dyDescent="0.3">
      <c r="A7042" s="1">
        <v>3</v>
      </c>
      <c r="B7042" s="1" t="s">
        <v>5751</v>
      </c>
      <c r="C7042" s="1" t="str">
        <f ca="1">IFERROR(__xludf.DUMMYFUNCTION("GOOGLETRANSLATE(B7135,""en"",""ja"")"),"九つ")</f>
        <v>九つ</v>
      </c>
    </row>
    <row r="7043" spans="1:3" ht="18" customHeight="1" x14ac:dyDescent="0.3">
      <c r="A7043" s="1">
        <v>3</v>
      </c>
      <c r="B7043" s="1" t="s">
        <v>5752</v>
      </c>
      <c r="C7043" s="1" t="str">
        <f ca="1">IFERROR(__xludf.DUMMYFUNCTION("GOOGLETRANSLATE(B7136,""en"",""ja"")"),"新しく")</f>
        <v>新しく</v>
      </c>
    </row>
    <row r="7044" spans="1:3" ht="18" customHeight="1" x14ac:dyDescent="0.3">
      <c r="A7044" s="1">
        <v>3</v>
      </c>
      <c r="B7044" s="1" t="s">
        <v>5753</v>
      </c>
      <c r="C7044" s="1" t="str">
        <f ca="1">IFERROR(__xludf.DUMMYFUNCTION("GOOGLETRANSLATE(B7137,""en"",""ja"")"),"中立")</f>
        <v>中立</v>
      </c>
    </row>
    <row r="7045" spans="1:3" ht="18" customHeight="1" x14ac:dyDescent="0.3">
      <c r="A7045" s="1">
        <v>3</v>
      </c>
      <c r="B7045" s="1" t="s">
        <v>5754</v>
      </c>
      <c r="C7045" s="1" t="str">
        <f ca="1">IFERROR(__xludf.DUMMYFUNCTION("GOOGLETRANSLATE(B7138,""en"",""ja"")"),"神経伝達物質")</f>
        <v>神経伝達物質</v>
      </c>
    </row>
    <row r="7046" spans="1:3" ht="18" customHeight="1" x14ac:dyDescent="0.3">
      <c r="A7046" s="1">
        <v>3</v>
      </c>
      <c r="B7046" s="1" t="s">
        <v>5755</v>
      </c>
      <c r="C7046" s="1" t="str">
        <f ca="1">IFERROR(__xludf.DUMMYFUNCTION("GOOGLETRANSLATE(B7139,""en"",""ja"")"),"ネットワーク接続")</f>
        <v>ネットワーク接続</v>
      </c>
    </row>
    <row r="7047" spans="1:3" ht="18" customHeight="1" x14ac:dyDescent="0.3">
      <c r="A7047" s="1">
        <v>3</v>
      </c>
      <c r="B7047" s="1" t="s">
        <v>5756</v>
      </c>
      <c r="C7047" s="1" t="str">
        <f ca="1">IFERROR(__xludf.DUMMYFUNCTION("GOOGLETRANSLATE(B7140,""en"",""ja"")"),"オランダ")</f>
        <v>オランダ</v>
      </c>
    </row>
    <row r="7048" spans="1:3" ht="18" customHeight="1" x14ac:dyDescent="0.3">
      <c r="A7048" s="1">
        <v>3</v>
      </c>
      <c r="B7048" s="1" t="s">
        <v>5757</v>
      </c>
      <c r="C7048" s="1" t="str">
        <f ca="1">IFERROR(__xludf.DUMMYFUNCTION("GOOGLETRANSLATE(B7141,""en"",""ja"")"),"隣人")</f>
        <v>隣人</v>
      </c>
    </row>
    <row r="7049" spans="1:3" ht="18" customHeight="1" x14ac:dyDescent="0.3">
      <c r="A7049" s="1">
        <v>3</v>
      </c>
      <c r="B7049" s="1" t="s">
        <v>3935</v>
      </c>
      <c r="C7049" s="1" t="str">
        <f ca="1">IFERROR(__xludf.DUMMYFUNCTION("GOOGLETRANSLATE(B7142,""en"",""ja"")"),"マイナス")</f>
        <v>マイナス</v>
      </c>
    </row>
    <row r="7050" spans="1:3" ht="18" customHeight="1" x14ac:dyDescent="0.3">
      <c r="A7050" s="1">
        <v>3</v>
      </c>
      <c r="B7050" s="1" t="s">
        <v>5758</v>
      </c>
      <c r="C7050" s="1" t="str">
        <f ca="1">IFERROR(__xludf.DUMMYFUNCTION("GOOGLETRANSLATE(B7143,""en"",""ja"")"),"否定")</f>
        <v>否定</v>
      </c>
    </row>
    <row r="7051" spans="1:3" ht="18" customHeight="1" x14ac:dyDescent="0.3">
      <c r="A7051" s="1">
        <v>3</v>
      </c>
      <c r="B7051" s="1" t="s">
        <v>5759</v>
      </c>
      <c r="C7051" s="1" t="str">
        <f ca="1">IFERROR(__xludf.DUMMYFUNCTION("GOOGLETRANSLATE(B7144,""en"",""ja"")"),"貧しいです")</f>
        <v>貧しいです</v>
      </c>
    </row>
    <row r="7052" spans="1:3" ht="18" customHeight="1" x14ac:dyDescent="0.3">
      <c r="A7052" s="1">
        <v>3</v>
      </c>
      <c r="B7052" s="1" t="s">
        <v>4608</v>
      </c>
      <c r="C7052" s="1" t="str">
        <f ca="1">IFERROR(__xludf.DUMMYFUNCTION("GOOGLETRANSLATE(B7145,""en"",""ja"")"),"neanderthalensis")</f>
        <v>neanderthalensis</v>
      </c>
    </row>
    <row r="7053" spans="1:3" ht="18" customHeight="1" x14ac:dyDescent="0.3">
      <c r="A7053" s="1">
        <v>3</v>
      </c>
      <c r="B7053" s="1" t="s">
        <v>5760</v>
      </c>
      <c r="C7053" s="1" t="str">
        <f ca="1">IFERROR(__xludf.DUMMYFUNCTION("GOOGLETRANSLATE(B7146,""en"",""ja"")"),"ナチ")</f>
        <v>ナチ</v>
      </c>
    </row>
    <row r="7054" spans="1:3" ht="18" customHeight="1" x14ac:dyDescent="0.3">
      <c r="A7054" s="1">
        <v>3</v>
      </c>
      <c r="B7054" s="1" t="s">
        <v>5761</v>
      </c>
      <c r="C7054" s="1" t="str">
        <f ca="1">IFERROR(__xludf.DUMMYFUNCTION("GOOGLETRANSLATE(B7147,""en"",""ja"")"),"ナビゲート")</f>
        <v>ナビゲート</v>
      </c>
    </row>
    <row r="7055" spans="1:3" ht="18" customHeight="1" x14ac:dyDescent="0.3">
      <c r="A7055" s="1">
        <v>3</v>
      </c>
      <c r="B7055" s="1" t="s">
        <v>5762</v>
      </c>
      <c r="C7055" s="1" t="str">
        <f ca="1">IFERROR(__xludf.DUMMYFUNCTION("GOOGLETRANSLATE(B7148,""en"",""ja"")"),"ナショナリズム")</f>
        <v>ナショナリズム</v>
      </c>
    </row>
    <row r="7056" spans="1:3" ht="18" customHeight="1" x14ac:dyDescent="0.3">
      <c r="A7056" s="1">
        <v>3</v>
      </c>
      <c r="B7056" s="1" t="s">
        <v>5763</v>
      </c>
      <c r="C7056" s="1" t="str">
        <f ca="1">IFERROR(__xludf.DUMMYFUNCTION("GOOGLETRANSLATE(B7149,""en"",""ja"")"),"無名")</f>
        <v>無名</v>
      </c>
    </row>
    <row r="7057" spans="1:3" ht="18" customHeight="1" x14ac:dyDescent="0.3">
      <c r="A7057" s="1">
        <v>3</v>
      </c>
      <c r="B7057" s="1" t="s">
        <v>5764</v>
      </c>
      <c r="C7057" s="1" t="str">
        <f ca="1">IFERROR(__xludf.DUMMYFUNCTION("GOOGLETRANSLATE(B7150,""en"",""ja"")"),"裸")</f>
        <v>裸</v>
      </c>
    </row>
    <row r="7058" spans="1:3" ht="18" customHeight="1" x14ac:dyDescent="0.3">
      <c r="A7058" s="1">
        <v>3</v>
      </c>
      <c r="B7058" s="1" t="s">
        <v>5765</v>
      </c>
      <c r="C7058" s="1" t="str">
        <f ca="1">IFERROR(__xludf.DUMMYFUNCTION("GOOGLETRANSLATE(B7151,""en"",""ja"")"),"釘")</f>
        <v>釘</v>
      </c>
    </row>
    <row r="7059" spans="1:3" ht="18" customHeight="1" x14ac:dyDescent="0.3">
      <c r="A7059" s="1">
        <v>3</v>
      </c>
      <c r="B7059" s="1" t="s">
        <v>5766</v>
      </c>
      <c r="C7059" s="1" t="str">
        <f ca="1">IFERROR(__xludf.DUMMYFUNCTION("GOOGLETRANSLATE(B7152,""en"",""ja"")"),"私自身")</f>
        <v>私自身</v>
      </c>
    </row>
    <row r="7060" spans="1:3" ht="18" customHeight="1" x14ac:dyDescent="0.3">
      <c r="A7060" s="1">
        <v>3</v>
      </c>
      <c r="B7060" s="1" t="s">
        <v>5767</v>
      </c>
      <c r="C7060" s="1" t="str">
        <f ca="1">IFERROR(__xludf.DUMMYFUNCTION("GOOGLETRANSLATE(B7153,""en"",""ja"")"),"数々")</f>
        <v>数々</v>
      </c>
    </row>
    <row r="7061" spans="1:3" ht="18" customHeight="1" x14ac:dyDescent="0.3">
      <c r="A7061" s="1">
        <v>3</v>
      </c>
      <c r="B7061" s="1" t="s">
        <v>5768</v>
      </c>
      <c r="C7061" s="1" t="str">
        <f ca="1">IFERROR(__xludf.DUMMYFUNCTION("GOOGLETRANSLATE(B7154,""en"",""ja"")"),"つぶやき")</f>
        <v>つぶやき</v>
      </c>
    </row>
    <row r="7062" spans="1:3" ht="18" customHeight="1" x14ac:dyDescent="0.3">
      <c r="A7062" s="1">
        <v>3</v>
      </c>
      <c r="B7062" s="1" t="s">
        <v>5769</v>
      </c>
      <c r="C7062" s="1" t="str">
        <f ca="1">IFERROR(__xludf.DUMMYFUNCTION("GOOGLETRANSLATE(B7155,""en"",""ja"")"),"イスラム教徒")</f>
        <v>イスラム教徒</v>
      </c>
    </row>
    <row r="7063" spans="1:3" ht="18" customHeight="1" x14ac:dyDescent="0.3">
      <c r="A7063" s="1">
        <v>3</v>
      </c>
      <c r="B7063" s="1" t="s">
        <v>3401</v>
      </c>
      <c r="C7063" s="1" t="str">
        <f ca="1">IFERROR(__xludf.DUMMYFUNCTION("GOOGLETRANSLATE(B7156,""en"",""ja"")"),"ムンバイ")</f>
        <v>ムンバイ</v>
      </c>
    </row>
    <row r="7064" spans="1:3" ht="18" customHeight="1" x14ac:dyDescent="0.3">
      <c r="A7064" s="1">
        <v>3</v>
      </c>
      <c r="B7064" s="1" t="s">
        <v>5770</v>
      </c>
      <c r="C7064" s="1" t="str">
        <f ca="1">IFERROR(__xludf.DUMMYFUNCTION("GOOGLETRANSLATE(B7157,""en"",""ja"")"),"マルチスクリーン")</f>
        <v>マルチスクリーン</v>
      </c>
    </row>
    <row r="7065" spans="1:3" ht="18" customHeight="1" x14ac:dyDescent="0.3">
      <c r="A7065" s="1">
        <v>3</v>
      </c>
      <c r="B7065" s="1" t="s">
        <v>5771</v>
      </c>
      <c r="C7065" s="1" t="str">
        <f ca="1">IFERROR(__xludf.DUMMYFUNCTION("GOOGLETRANSLATE(B7158,""en"",""ja"")"),"multireligious")</f>
        <v>multireligious</v>
      </c>
    </row>
    <row r="7066" spans="1:3" ht="18" customHeight="1" x14ac:dyDescent="0.3">
      <c r="A7066" s="1">
        <v>3</v>
      </c>
      <c r="B7066" s="1" t="s">
        <v>4618</v>
      </c>
      <c r="C7066" s="1" t="str">
        <f ca="1">IFERROR(__xludf.DUMMYFUNCTION("GOOGLETRANSLATE(B7159,""en"",""ja"")"),"かける")</f>
        <v>かける</v>
      </c>
    </row>
    <row r="7067" spans="1:3" ht="18" customHeight="1" x14ac:dyDescent="0.3">
      <c r="A7067" s="1">
        <v>3</v>
      </c>
      <c r="B7067" s="1" t="s">
        <v>5772</v>
      </c>
      <c r="C7067" s="1" t="str">
        <f ca="1">IFERROR(__xludf.DUMMYFUNCTION("GOOGLETRANSLATE(B7160,""en"",""ja"")"),"逓倍")</f>
        <v>逓倍</v>
      </c>
    </row>
    <row r="7068" spans="1:3" ht="18" customHeight="1" x14ac:dyDescent="0.3">
      <c r="A7068" s="1">
        <v>3</v>
      </c>
      <c r="B7068" s="1" t="s">
        <v>1116</v>
      </c>
      <c r="C7068" s="1" t="str">
        <f ca="1">IFERROR(__xludf.DUMMYFUNCTION("GOOGLETRANSLATE(B7161,""en"",""ja"")"),"マルチメディア")</f>
        <v>マルチメディア</v>
      </c>
    </row>
    <row r="7069" spans="1:3" ht="18" customHeight="1" x14ac:dyDescent="0.3">
      <c r="A7069" s="1">
        <v>3</v>
      </c>
      <c r="B7069" s="1" t="s">
        <v>5773</v>
      </c>
      <c r="C7069" s="1" t="str">
        <f ca="1">IFERROR(__xludf.DUMMYFUNCTION("GOOGLETRANSLATE(B7162,""en"",""ja"")"),"ムハンマド")</f>
        <v>ムハンマド</v>
      </c>
    </row>
    <row r="7070" spans="1:3" ht="18" customHeight="1" x14ac:dyDescent="0.3">
      <c r="A7070" s="1">
        <v>3</v>
      </c>
      <c r="B7070" s="1" t="s">
        <v>5774</v>
      </c>
      <c r="C7070" s="1" t="str">
        <f ca="1">IFERROR(__xludf.DUMMYFUNCTION("GOOGLETRANSLATE(B7163,""en"",""ja"")"),"粘液の")</f>
        <v>粘液の</v>
      </c>
    </row>
    <row r="7071" spans="1:3" ht="18" customHeight="1" x14ac:dyDescent="0.3">
      <c r="A7071" s="1">
        <v>3</v>
      </c>
      <c r="B7071" s="1" t="s">
        <v>77</v>
      </c>
      <c r="C7071" s="1" t="str">
        <f ca="1">IFERROR(__xludf.DUMMYFUNCTION("GOOGLETRANSLATE(B7164,""en"",""ja"")"),"はるかに")</f>
        <v>はるかに</v>
      </c>
    </row>
    <row r="7072" spans="1:3" ht="18" customHeight="1" x14ac:dyDescent="0.3">
      <c r="A7072" s="1">
        <v>3</v>
      </c>
      <c r="B7072" s="1" t="s">
        <v>3937</v>
      </c>
      <c r="C7072" s="1" t="str">
        <f ca="1">IFERROR(__xludf.DUMMYFUNCTION("GOOGLETRANSLATE(B7165,""en"",""ja"")"),"口")</f>
        <v>口</v>
      </c>
    </row>
    <row r="7073" spans="1:3" ht="18" customHeight="1" x14ac:dyDescent="0.3">
      <c r="A7073" s="1">
        <v>3</v>
      </c>
      <c r="B7073" s="1" t="s">
        <v>5775</v>
      </c>
      <c r="C7073" s="1" t="str">
        <f ca="1">IFERROR(__xludf.DUMMYFUNCTION("GOOGLETRANSLATE(B7166,""en"",""ja"")"),"母親の")</f>
        <v>母親の</v>
      </c>
    </row>
    <row r="7074" spans="1:3" ht="18" customHeight="1" x14ac:dyDescent="0.3">
      <c r="A7074" s="1">
        <v>3</v>
      </c>
      <c r="B7074" s="1" t="s">
        <v>1657</v>
      </c>
      <c r="C7074" s="1" t="str">
        <f ca="1">IFERROR(__xludf.DUMMYFUNCTION("GOOGLETRANSLATE(B7167,""en"",""ja"")"),"母")</f>
        <v>母</v>
      </c>
    </row>
    <row r="7075" spans="1:3" ht="18" customHeight="1" x14ac:dyDescent="0.3">
      <c r="A7075" s="1">
        <v>3</v>
      </c>
      <c r="B7075" s="1" t="s">
        <v>5776</v>
      </c>
      <c r="C7075" s="1" t="str">
        <f ca="1">IFERROR(__xludf.DUMMYFUNCTION("GOOGLETRANSLATE(B7168,""en"",""ja"")"),"死亡")</f>
        <v>死亡</v>
      </c>
    </row>
    <row r="7076" spans="1:3" ht="18" customHeight="1" x14ac:dyDescent="0.3">
      <c r="A7076" s="1">
        <v>3</v>
      </c>
      <c r="B7076" s="1" t="s">
        <v>5777</v>
      </c>
      <c r="C7076" s="1" t="str">
        <f ca="1">IFERROR(__xludf.DUMMYFUNCTION("GOOGLETRANSLATE(B7169,""en"",""ja"")"),"朝")</f>
        <v>朝</v>
      </c>
    </row>
    <row r="7077" spans="1:3" ht="18" customHeight="1" x14ac:dyDescent="0.3">
      <c r="A7077" s="1">
        <v>3</v>
      </c>
      <c r="B7077" s="1" t="s">
        <v>3939</v>
      </c>
      <c r="C7077" s="1" t="str">
        <f ca="1">IFERROR(__xludf.DUMMYFUNCTION("GOOGLETRANSLATE(B7170,""en"",""ja"")"),"道徳的に")</f>
        <v>道徳的に</v>
      </c>
    </row>
    <row r="7078" spans="1:3" ht="18" customHeight="1" x14ac:dyDescent="0.3">
      <c r="A7078" s="1">
        <v>3</v>
      </c>
      <c r="B7078" s="1" t="s">
        <v>343</v>
      </c>
      <c r="C7078" s="1" t="str">
        <f ca="1">IFERROR(__xludf.DUMMYFUNCTION("GOOGLETRANSLATE(B7171,""en"",""ja"")"),"道徳の")</f>
        <v>道徳の</v>
      </c>
    </row>
    <row r="7079" spans="1:3" ht="18" customHeight="1" x14ac:dyDescent="0.3">
      <c r="A7079" s="1">
        <v>3</v>
      </c>
      <c r="B7079" s="1" t="s">
        <v>2964</v>
      </c>
      <c r="C7079" s="1" t="str">
        <f ca="1">IFERROR(__xludf.DUMMYFUNCTION("GOOGLETRANSLATE(B7172,""en"",""ja"")"),"月")</f>
        <v>月</v>
      </c>
    </row>
    <row r="7080" spans="1:3" ht="18" customHeight="1" x14ac:dyDescent="0.3">
      <c r="A7080" s="1">
        <v>3</v>
      </c>
      <c r="B7080" s="1" t="s">
        <v>5778</v>
      </c>
      <c r="C7080" s="1" t="str">
        <f ca="1">IFERROR(__xludf.DUMMYFUNCTION("GOOGLETRANSLATE(B7173,""en"",""ja"")"),"サル")</f>
        <v>サル</v>
      </c>
    </row>
    <row r="7081" spans="1:3" ht="18" customHeight="1" x14ac:dyDescent="0.3">
      <c r="A7081" s="1">
        <v>3</v>
      </c>
      <c r="B7081" s="1" t="s">
        <v>5779</v>
      </c>
      <c r="C7081" s="1" t="str">
        <f ca="1">IFERROR(__xludf.DUMMYFUNCTION("GOOGLETRANSLATE(B7174,""en"",""ja"")"),"すぐに")</f>
        <v>すぐに</v>
      </c>
    </row>
    <row r="7082" spans="1:3" ht="18" customHeight="1" x14ac:dyDescent="0.3">
      <c r="A7082" s="1">
        <v>3</v>
      </c>
      <c r="B7082" s="1" t="s">
        <v>5780</v>
      </c>
      <c r="C7082" s="1" t="str">
        <f ca="1">IFERROR(__xludf.DUMMYFUNCTION("GOOGLETRANSLATE(B7175,""en"",""ja"")"),"一瞬の")</f>
        <v>一瞬の</v>
      </c>
    </row>
    <row r="7083" spans="1:3" ht="18" customHeight="1" x14ac:dyDescent="0.3">
      <c r="A7083" s="1">
        <v>3</v>
      </c>
      <c r="B7083" s="1" t="s">
        <v>5781</v>
      </c>
      <c r="C7083" s="1" t="str">
        <f ca="1">IFERROR(__xludf.DUMMYFUNCTION("GOOGLETRANSLATE(B7176,""en"",""ja"")"),"型")</f>
        <v>型</v>
      </c>
    </row>
    <row r="7084" spans="1:3" ht="18" customHeight="1" x14ac:dyDescent="0.3">
      <c r="A7084" s="1">
        <v>3</v>
      </c>
      <c r="B7084" s="1" t="s">
        <v>5782</v>
      </c>
      <c r="C7084" s="1" t="str">
        <f ca="1">IFERROR(__xludf.DUMMYFUNCTION("GOOGLETRANSLATE(B7177,""en"",""ja"")"),"修正")</f>
        <v>修正</v>
      </c>
    </row>
    <row r="7085" spans="1:3" ht="18" customHeight="1" x14ac:dyDescent="0.3">
      <c r="A7085" s="1">
        <v>3</v>
      </c>
      <c r="B7085" s="1" t="s">
        <v>5783</v>
      </c>
      <c r="C7085" s="1" t="str">
        <f ca="1">IFERROR(__xludf.DUMMYFUNCTION("GOOGLETRANSLATE(B7178,""en"",""ja"")"),"謙虚")</f>
        <v>謙虚</v>
      </c>
    </row>
    <row r="7086" spans="1:3" ht="18" customHeight="1" x14ac:dyDescent="0.3">
      <c r="A7086" s="1">
        <v>3</v>
      </c>
      <c r="B7086" s="1" t="s">
        <v>2633</v>
      </c>
      <c r="C7086" s="1" t="str">
        <f ca="1">IFERROR(__xludf.DUMMYFUNCTION("GOOGLETRANSLATE(B7179,""en"",""ja"")"),"適度")</f>
        <v>適度</v>
      </c>
    </row>
    <row r="7087" spans="1:3" ht="18" customHeight="1" x14ac:dyDescent="0.3">
      <c r="A7087" s="1">
        <v>3</v>
      </c>
      <c r="B7087" s="1" t="s">
        <v>5784</v>
      </c>
      <c r="C7087" s="1" t="str">
        <f ca="1">IFERROR(__xludf.DUMMYFUNCTION("GOOGLETRANSLATE(B7180,""en"",""ja"")"),"動員")</f>
        <v>動員</v>
      </c>
    </row>
    <row r="7088" spans="1:3" ht="18" customHeight="1" x14ac:dyDescent="0.3">
      <c r="A7088" s="1">
        <v>3</v>
      </c>
      <c r="B7088" s="1" t="s">
        <v>5785</v>
      </c>
      <c r="C7088" s="1" t="str">
        <f ca="1">IFERROR(__xludf.DUMMYFUNCTION("GOOGLETRANSLATE(B7181,""en"",""ja"")"),"ミックス")</f>
        <v>ミックス</v>
      </c>
    </row>
    <row r="7089" spans="1:3" ht="18" customHeight="1" x14ac:dyDescent="0.3">
      <c r="A7089" s="1">
        <v>3</v>
      </c>
      <c r="B7089" s="1" t="s">
        <v>2969</v>
      </c>
      <c r="C7089" s="1" t="str">
        <f ca="1">IFERROR(__xludf.DUMMYFUNCTION("GOOGLETRANSLATE(B7182,""en"",""ja"")"),"ミトコンドリア")</f>
        <v>ミトコンドリア</v>
      </c>
    </row>
    <row r="7090" spans="1:3" ht="18" customHeight="1" x14ac:dyDescent="0.3">
      <c r="A7090" s="1">
        <v>3</v>
      </c>
      <c r="B7090" s="1" t="s">
        <v>5786</v>
      </c>
      <c r="C7090" s="1" t="str">
        <f ca="1">IFERROR(__xludf.DUMMYFUNCTION("GOOGLETRANSLATE(B7183,""en"",""ja"")"),"MIT")</f>
        <v>MIT</v>
      </c>
    </row>
    <row r="7091" spans="1:3" ht="18" customHeight="1" x14ac:dyDescent="0.3">
      <c r="A7091" s="1">
        <v>3</v>
      </c>
      <c r="B7091" s="1" t="s">
        <v>5787</v>
      </c>
      <c r="C7091" s="1" t="str">
        <f ca="1">IFERROR(__xludf.DUMMYFUNCTION("GOOGLETRANSLATE(B7185,""en"",""ja"")"),"誤配線")</f>
        <v>誤配線</v>
      </c>
    </row>
    <row r="7092" spans="1:3" ht="18" customHeight="1" x14ac:dyDescent="0.3">
      <c r="A7092" s="1">
        <v>3</v>
      </c>
      <c r="B7092" s="1" t="s">
        <v>4631</v>
      </c>
      <c r="C7092" s="1" t="str">
        <f ca="1">IFERROR(__xludf.DUMMYFUNCTION("GOOGLETRANSLATE(B7186,""en"",""ja"")"),"ミッション")</f>
        <v>ミッション</v>
      </c>
    </row>
    <row r="7093" spans="1:3" ht="18" customHeight="1" x14ac:dyDescent="0.3">
      <c r="A7093" s="1">
        <v>3</v>
      </c>
      <c r="B7093" s="1" t="s">
        <v>5788</v>
      </c>
      <c r="C7093" s="1" t="str">
        <f ca="1">IFERROR(__xludf.DUMMYFUNCTION("GOOGLETRANSLATE(B7187,""en"",""ja"")"),"誤判定")</f>
        <v>誤判定</v>
      </c>
    </row>
    <row r="7094" spans="1:3" ht="18" customHeight="1" x14ac:dyDescent="0.3">
      <c r="A7094" s="1">
        <v>3</v>
      </c>
      <c r="B7094" s="1" t="s">
        <v>5789</v>
      </c>
      <c r="C7094" s="1" t="str">
        <f ca="1">IFERROR(__xludf.DUMMYFUNCTION("GOOGLETRANSLATE(B7188,""en"",""ja"")"),"間違って解釈")</f>
        <v>間違って解釈</v>
      </c>
    </row>
    <row r="7095" spans="1:3" ht="18" customHeight="1" x14ac:dyDescent="0.3">
      <c r="A7095" s="1">
        <v>3</v>
      </c>
      <c r="B7095" s="1" t="s">
        <v>5790</v>
      </c>
      <c r="C7095" s="1" t="str">
        <f ca="1">IFERROR(__xludf.DUMMYFUNCTION("GOOGLETRANSLATE(B7189,""en"",""ja"")"),"災難")</f>
        <v>災難</v>
      </c>
    </row>
    <row r="7096" spans="1:3" ht="18" customHeight="1" x14ac:dyDescent="0.3">
      <c r="A7096" s="1">
        <v>3</v>
      </c>
      <c r="B7096" s="1" t="s">
        <v>5791</v>
      </c>
      <c r="C7096" s="1" t="str">
        <f ca="1">IFERROR(__xludf.DUMMYFUNCTION("GOOGLETRANSLATE(B7190,""en"",""ja"")"),"見当違い")</f>
        <v>見当違い</v>
      </c>
    </row>
    <row r="7097" spans="1:3" ht="18" customHeight="1" x14ac:dyDescent="0.3">
      <c r="A7097" s="1">
        <v>3</v>
      </c>
      <c r="B7097" s="1" t="s">
        <v>5792</v>
      </c>
      <c r="C7097" s="1" t="str">
        <f ca="1">IFERROR(__xludf.DUMMYFUNCTION("GOOGLETRANSLATE(B7191,""en"",""ja"")"),"mirored")</f>
        <v>mirored</v>
      </c>
    </row>
    <row r="7098" spans="1:3" ht="18" customHeight="1" x14ac:dyDescent="0.3">
      <c r="A7098" s="1">
        <v>3</v>
      </c>
      <c r="B7098" s="1" t="s">
        <v>5793</v>
      </c>
      <c r="C7098" s="1" t="str">
        <f ca="1">IFERROR(__xludf.DUMMYFUNCTION("GOOGLETRANSLATE(B7192,""en"",""ja"")"),"マイナス")</f>
        <v>マイナス</v>
      </c>
    </row>
    <row r="7099" spans="1:3" ht="18" customHeight="1" x14ac:dyDescent="0.3">
      <c r="A7099" s="1">
        <v>3</v>
      </c>
      <c r="B7099" s="1" t="s">
        <v>5794</v>
      </c>
      <c r="C7099" s="1" t="str">
        <f ca="1">IFERROR(__xludf.DUMMYFUNCTION("GOOGLETRANSLATE(B7193,""en"",""ja"")"),"最小の")</f>
        <v>最小の</v>
      </c>
    </row>
    <row r="7100" spans="1:3" ht="18" customHeight="1" x14ac:dyDescent="0.3">
      <c r="A7100" s="1">
        <v>3</v>
      </c>
      <c r="B7100" s="1" t="s">
        <v>5795</v>
      </c>
      <c r="C7100" s="1" t="str">
        <f ca="1">IFERROR(__xludf.DUMMYFUNCTION("GOOGLETRANSLATE(B7194,""en"",""ja"")"),"ミン")</f>
        <v>ミン</v>
      </c>
    </row>
    <row r="7101" spans="1:3" ht="18" customHeight="1" x14ac:dyDescent="0.3">
      <c r="A7101" s="1">
        <v>3</v>
      </c>
      <c r="B7101" s="1" t="s">
        <v>5796</v>
      </c>
      <c r="C7101" s="1" t="str">
        <f ca="1">IFERROR(__xludf.DUMMYFUNCTION("GOOGLETRANSLATE(B7195,""en"",""ja"")"),"機雷原")</f>
        <v>機雷原</v>
      </c>
    </row>
    <row r="7102" spans="1:3" ht="18" customHeight="1" x14ac:dyDescent="0.3">
      <c r="A7102" s="1">
        <v>3</v>
      </c>
      <c r="B7102" s="1" t="s">
        <v>5797</v>
      </c>
      <c r="C7102" s="1" t="str">
        <f ca="1">IFERROR(__xludf.DUMMYFUNCTION("GOOGLETRANSLATE(B7196,""en"",""ja"")"),"私の")</f>
        <v>私の</v>
      </c>
    </row>
    <row r="7103" spans="1:3" ht="18" customHeight="1" x14ac:dyDescent="0.3">
      <c r="A7103" s="1">
        <v>3</v>
      </c>
      <c r="B7103" s="1" t="s">
        <v>5798</v>
      </c>
      <c r="C7103" s="1" t="str">
        <f ca="1">IFERROR(__xludf.DUMMYFUNCTION("GOOGLETRANSLATE(B7197,""en"",""ja"")"),"ミリ秒")</f>
        <v>ミリ秒</v>
      </c>
    </row>
    <row r="7104" spans="1:3" ht="18" customHeight="1" x14ac:dyDescent="0.3">
      <c r="A7104" s="1">
        <v>3</v>
      </c>
      <c r="B7104" s="1" t="s">
        <v>5799</v>
      </c>
      <c r="C7104" s="1" t="str">
        <f ca="1">IFERROR(__xludf.DUMMYFUNCTION("GOOGLETRANSLATE(B7198,""en"",""ja"")"),"ミハイル")</f>
        <v>ミハイル</v>
      </c>
    </row>
    <row r="7105" spans="1:3" ht="18" customHeight="1" x14ac:dyDescent="0.3">
      <c r="A7105" s="1">
        <v>3</v>
      </c>
      <c r="B7105" s="1" t="s">
        <v>5800</v>
      </c>
      <c r="C7105" s="1" t="str">
        <f ca="1">IFERROR(__xludf.DUMMYFUNCTION("GOOGLETRANSLATE(B7199,""en"",""ja"")"),"移住者")</f>
        <v>移住者</v>
      </c>
    </row>
    <row r="7106" spans="1:3" ht="18" customHeight="1" x14ac:dyDescent="0.3">
      <c r="A7106" s="1">
        <v>3</v>
      </c>
      <c r="B7106" s="1" t="s">
        <v>5801</v>
      </c>
      <c r="C7106" s="1" t="str">
        <f ca="1">IFERROR(__xludf.DUMMYFUNCTION("GOOGLETRANSLATE(B7200,""en"",""ja"")"),"強し")</f>
        <v>強し</v>
      </c>
    </row>
    <row r="7107" spans="1:3" ht="18" customHeight="1" x14ac:dyDescent="0.3">
      <c r="A7107" s="1">
        <v>3</v>
      </c>
      <c r="B7107" s="1" t="s">
        <v>5802</v>
      </c>
      <c r="C7107" s="1" t="str">
        <f ca="1">IFERROR(__xludf.DUMMYFUNCTION("GOOGLETRANSLATE(B7201,""en"",""ja"")"),"中間")</f>
        <v>中間</v>
      </c>
    </row>
    <row r="7108" spans="1:3" ht="18" customHeight="1" x14ac:dyDescent="0.3">
      <c r="A7108" s="1">
        <v>3</v>
      </c>
      <c r="B7108" s="1" t="s">
        <v>5803</v>
      </c>
      <c r="C7108" s="1" t="str">
        <f ca="1">IFERROR(__xludf.DUMMYFUNCTION("GOOGLETRANSLATE(B7202,""en"",""ja"")"),"真ん中")</f>
        <v>真ん中</v>
      </c>
    </row>
    <row r="7109" spans="1:3" ht="18" customHeight="1" x14ac:dyDescent="0.3">
      <c r="A7109" s="1">
        <v>3</v>
      </c>
      <c r="B7109" s="1" t="s">
        <v>5804</v>
      </c>
      <c r="C7109" s="1" t="str">
        <f ca="1">IFERROR(__xludf.DUMMYFUNCTION("GOOGLETRANSLATE(B7203,""en"",""ja"")"),"マイクロソフト")</f>
        <v>マイクロソフト</v>
      </c>
    </row>
    <row r="7110" spans="1:3" ht="18" customHeight="1" x14ac:dyDescent="0.3">
      <c r="A7110" s="1">
        <v>3</v>
      </c>
      <c r="B7110" s="1" t="s">
        <v>5805</v>
      </c>
      <c r="C7110" s="1" t="str">
        <f ca="1">IFERROR(__xludf.DUMMYFUNCTION("GOOGLETRANSLATE(B7204,""en"",""ja"")"),"マイクロフォン")</f>
        <v>マイクロフォン</v>
      </c>
    </row>
    <row r="7111" spans="1:3" ht="18" customHeight="1" x14ac:dyDescent="0.3">
      <c r="A7111" s="1">
        <v>3</v>
      </c>
      <c r="B7111" s="1" t="s">
        <v>5806</v>
      </c>
      <c r="C7111" s="1" t="str">
        <f ca="1">IFERROR(__xludf.DUMMYFUNCTION("GOOGLETRANSLATE(B7205,""en"",""ja"")"),"マイクロクレジット")</f>
        <v>マイクロクレジット</v>
      </c>
    </row>
    <row r="7112" spans="1:3" ht="18" customHeight="1" x14ac:dyDescent="0.3">
      <c r="A7112" s="1">
        <v>3</v>
      </c>
      <c r="B7112" s="1" t="s">
        <v>5807</v>
      </c>
      <c r="C7112" s="1" t="str">
        <f ca="1">IFERROR(__xludf.DUMMYFUNCTION("GOOGLETRANSLATE(B7206,""en"",""ja"")"),"微生物学者")</f>
        <v>微生物学者</v>
      </c>
    </row>
    <row r="7113" spans="1:3" ht="18" customHeight="1" x14ac:dyDescent="0.3">
      <c r="A7113" s="1">
        <v>3</v>
      </c>
      <c r="B7113" s="1" t="s">
        <v>2973</v>
      </c>
      <c r="C7113" s="1" t="str">
        <f ca="1">IFERROR(__xludf.DUMMYFUNCTION("GOOGLETRANSLATE(B7207,""en"",""ja"")"),"メタン")</f>
        <v>メタン</v>
      </c>
    </row>
    <row r="7114" spans="1:3" ht="18" customHeight="1" x14ac:dyDescent="0.3">
      <c r="A7114" s="1">
        <v>3</v>
      </c>
      <c r="B7114" s="1" t="s">
        <v>5808</v>
      </c>
      <c r="C7114" s="1" t="str">
        <f ca="1">IFERROR(__xludf.DUMMYFUNCTION("GOOGLETRANSLATE(B7208,""en"",""ja"")"),"比喩的に")</f>
        <v>比喩的に</v>
      </c>
    </row>
    <row r="7115" spans="1:3" ht="18" customHeight="1" x14ac:dyDescent="0.3">
      <c r="A7115" s="1">
        <v>3</v>
      </c>
      <c r="B7115" s="1" t="s">
        <v>5809</v>
      </c>
      <c r="C7115" s="1" t="str">
        <f ca="1">IFERROR(__xludf.DUMMYFUNCTION("GOOGLETRANSLATE(B7209,""en"",""ja"")"),"メント")</f>
        <v>メント</v>
      </c>
    </row>
    <row r="7116" spans="1:3" ht="18" customHeight="1" x14ac:dyDescent="0.3">
      <c r="A7116" s="1">
        <v>3</v>
      </c>
      <c r="B7116" s="1" t="s">
        <v>5810</v>
      </c>
      <c r="C7116" s="1" t="str">
        <f ca="1">IFERROR(__xludf.DUMMYFUNCTION("GOOGLETRANSLATE(B7210,""en"",""ja"")"),"師匠")</f>
        <v>師匠</v>
      </c>
    </row>
    <row r="7117" spans="1:3" ht="18" customHeight="1" x14ac:dyDescent="0.3">
      <c r="A7117" s="1">
        <v>3</v>
      </c>
      <c r="B7117" s="1" t="s">
        <v>5811</v>
      </c>
      <c r="C7117" s="1" t="str">
        <f ca="1">IFERROR(__xludf.DUMMYFUNCTION("GOOGLETRANSLATE(B7211,""en"",""ja"")"),"精神的に")</f>
        <v>精神的に</v>
      </c>
    </row>
    <row r="7118" spans="1:3" ht="18" customHeight="1" x14ac:dyDescent="0.3">
      <c r="A7118" s="1">
        <v>3</v>
      </c>
      <c r="B7118" s="1" t="s">
        <v>5812</v>
      </c>
      <c r="C7118" s="1" t="str">
        <f ca="1">IFERROR(__xludf.DUMMYFUNCTION("GOOGLETRANSLATE(B7212,""en"",""ja"")"),"メンタリティー")</f>
        <v>メンタリティー</v>
      </c>
    </row>
    <row r="7119" spans="1:3" ht="18" customHeight="1" x14ac:dyDescent="0.3">
      <c r="A7119" s="1">
        <v>3</v>
      </c>
      <c r="B7119" s="1" t="s">
        <v>5813</v>
      </c>
      <c r="C7119" s="1" t="str">
        <f ca="1">IFERROR(__xludf.DUMMYFUNCTION("GOOGLETRANSLATE(B7214,""en"",""ja"")"),"脅威")</f>
        <v>脅威</v>
      </c>
    </row>
    <row r="7120" spans="1:3" ht="18" customHeight="1" x14ac:dyDescent="0.3">
      <c r="A7120" s="1">
        <v>3</v>
      </c>
      <c r="B7120" s="1" t="s">
        <v>5814</v>
      </c>
      <c r="C7120" s="1" t="str">
        <f ca="1">IFERROR(__xludf.DUMMYFUNCTION("GOOGLETRANSLATE(B7215,""en"",""ja"")"),"メガ")</f>
        <v>メガ</v>
      </c>
    </row>
    <row r="7121" spans="1:3" ht="18" customHeight="1" x14ac:dyDescent="0.3">
      <c r="A7121" s="1">
        <v>3</v>
      </c>
      <c r="B7121" s="1" t="s">
        <v>218</v>
      </c>
      <c r="C7121" s="1" t="str">
        <f ca="1">IFERROR(__xludf.DUMMYFUNCTION("GOOGLETRANSLATE(B7216,""en"",""ja"")"),"医療の")</f>
        <v>医療の</v>
      </c>
    </row>
    <row r="7122" spans="1:3" ht="18" customHeight="1" x14ac:dyDescent="0.3">
      <c r="A7122" s="1">
        <v>3</v>
      </c>
      <c r="B7122" s="1" t="s">
        <v>5815</v>
      </c>
      <c r="C7122" s="1" t="str">
        <f ca="1">IFERROR(__xludf.DUMMYFUNCTION("GOOGLETRANSLATE(B7217,""en"",""ja"")"),"おせっかいな")</f>
        <v>おせっかいな</v>
      </c>
    </row>
    <row r="7123" spans="1:3" ht="18" customHeight="1" x14ac:dyDescent="0.3">
      <c r="A7123" s="1">
        <v>3</v>
      </c>
      <c r="B7123" s="1" t="s">
        <v>5816</v>
      </c>
      <c r="C7123" s="1" t="str">
        <f ca="1">IFERROR(__xludf.DUMMYFUNCTION("GOOGLETRANSLATE(B7218,""en"",""ja"")"),"機序")</f>
        <v>機序</v>
      </c>
    </row>
    <row r="7124" spans="1:3" ht="18" customHeight="1" x14ac:dyDescent="0.3">
      <c r="A7124" s="1">
        <v>3</v>
      </c>
      <c r="B7124" s="1" t="s">
        <v>1188</v>
      </c>
      <c r="C7124" s="1" t="str">
        <f ca="1">IFERROR(__xludf.DUMMYFUNCTION("GOOGLETRANSLATE(B7219,""en"",""ja"")"),"対策")</f>
        <v>対策</v>
      </c>
    </row>
    <row r="7125" spans="1:3" ht="18" customHeight="1" x14ac:dyDescent="0.3">
      <c r="A7125" s="1">
        <v>3</v>
      </c>
      <c r="B7125" s="1" t="s">
        <v>3953</v>
      </c>
      <c r="C7125" s="1" t="str">
        <f ca="1">IFERROR(__xludf.DUMMYFUNCTION("GOOGLETRANSLATE(B7220,""en"",""ja"")"),"その間に")</f>
        <v>その間に</v>
      </c>
    </row>
    <row r="7126" spans="1:3" ht="18" customHeight="1" x14ac:dyDescent="0.3">
      <c r="A7126" s="1">
        <v>3</v>
      </c>
      <c r="B7126" s="1" t="s">
        <v>5817</v>
      </c>
      <c r="C7126" s="1" t="str">
        <f ca="1">IFERROR(__xludf.DUMMYFUNCTION("GOOGLETRANSLATE(B7221,""en"",""ja"")"),"食事")</f>
        <v>食事</v>
      </c>
    </row>
    <row r="7127" spans="1:3" ht="18" customHeight="1" x14ac:dyDescent="0.3">
      <c r="A7127" s="1">
        <v>3</v>
      </c>
      <c r="B7127" s="1" t="s">
        <v>3424</v>
      </c>
      <c r="C7127" s="1" t="str">
        <f ca="1">IFERROR(__xludf.DUMMYFUNCTION("GOOGLETRANSLATE(B7222,""en"",""ja"")"),"成熟しました")</f>
        <v>成熟しました</v>
      </c>
    </row>
    <row r="7128" spans="1:3" ht="18" customHeight="1" x14ac:dyDescent="0.3">
      <c r="A7128" s="1">
        <v>3</v>
      </c>
      <c r="B7128" s="1" t="s">
        <v>5818</v>
      </c>
      <c r="C7128" s="1" t="str">
        <f ca="1">IFERROR(__xludf.DUMMYFUNCTION("GOOGLETRANSLATE(B7223,""en"",""ja"")"),"数学")</f>
        <v>数学</v>
      </c>
    </row>
    <row r="7129" spans="1:3" ht="18" customHeight="1" x14ac:dyDescent="0.3">
      <c r="A7129" s="1">
        <v>3</v>
      </c>
      <c r="B7129" s="1" t="s">
        <v>5819</v>
      </c>
      <c r="C7129" s="1" t="str">
        <f ca="1">IFERROR(__xludf.DUMMYFUNCTION("GOOGLETRANSLATE(B7224,""en"",""ja"")"),"媒酌")</f>
        <v>媒酌</v>
      </c>
    </row>
    <row r="7130" spans="1:3" ht="18" customHeight="1" x14ac:dyDescent="0.3">
      <c r="A7130" s="1">
        <v>3</v>
      </c>
      <c r="B7130" s="1" t="s">
        <v>5820</v>
      </c>
      <c r="C7130" s="1" t="str">
        <f ca="1">IFERROR(__xludf.DUMMYFUNCTION("GOOGLETRANSLATE(B7225,""en"",""ja"")"),"熟達")</f>
        <v>熟達</v>
      </c>
    </row>
    <row r="7131" spans="1:3" ht="18" customHeight="1" x14ac:dyDescent="0.3">
      <c r="A7131" s="1">
        <v>3</v>
      </c>
      <c r="B7131" s="1" t="s">
        <v>5821</v>
      </c>
      <c r="C7131" s="1" t="str">
        <f ca="1">IFERROR(__xludf.DUMMYFUNCTION("GOOGLETRANSLATE(B7226,""en"",""ja"")"),"マスタリング")</f>
        <v>マスタリング</v>
      </c>
    </row>
    <row r="7132" spans="1:3" ht="18" customHeight="1" x14ac:dyDescent="0.3">
      <c r="A7132" s="1">
        <v>3</v>
      </c>
      <c r="B7132" s="1" t="s">
        <v>5822</v>
      </c>
      <c r="C7132" s="1" t="str">
        <f ca="1">IFERROR(__xludf.DUMMYFUNCTION("GOOGLETRANSLATE(B7227,""en"",""ja"")"),"大衆")</f>
        <v>大衆</v>
      </c>
    </row>
    <row r="7133" spans="1:3" ht="18" customHeight="1" x14ac:dyDescent="0.3">
      <c r="A7133" s="1">
        <v>3</v>
      </c>
      <c r="B7133" s="1" t="s">
        <v>5823</v>
      </c>
      <c r="C7133" s="1" t="str">
        <f ca="1">IFERROR(__xludf.DUMMYFUNCTION("GOOGLETRANSLATE(B7228,""en"",""ja"")"),"虐殺")</f>
        <v>虐殺</v>
      </c>
    </row>
    <row r="7134" spans="1:3" ht="18" customHeight="1" x14ac:dyDescent="0.3">
      <c r="A7134" s="1">
        <v>3</v>
      </c>
      <c r="B7134" s="1" t="s">
        <v>420</v>
      </c>
      <c r="C7134" s="1" t="str">
        <f ca="1">IFERROR(__xludf.DUMMYFUNCTION("GOOGLETRANSLATE(B7229,""en"",""ja"")"),"質量")</f>
        <v>質量</v>
      </c>
    </row>
    <row r="7135" spans="1:3" ht="18" customHeight="1" x14ac:dyDescent="0.3">
      <c r="A7135" s="1">
        <v>3</v>
      </c>
      <c r="B7135" s="1" t="s">
        <v>5824</v>
      </c>
      <c r="C7135" s="1" t="str">
        <f ca="1">IFERROR(__xludf.DUMMYFUNCTION("GOOGLETRANSLATE(B7230,""en"",""ja"")"),"マッシュ")</f>
        <v>マッシュ</v>
      </c>
    </row>
    <row r="7136" spans="1:3" ht="18" customHeight="1" x14ac:dyDescent="0.3">
      <c r="A7136" s="1">
        <v>3</v>
      </c>
      <c r="B7136" s="1" t="s">
        <v>5825</v>
      </c>
      <c r="C7136" s="1" t="str">
        <f ca="1">IFERROR(__xludf.DUMMYFUNCTION("GOOGLETRANSLATE(B7231,""en"",""ja"")"),"素晴らしい")</f>
        <v>素晴らしい</v>
      </c>
    </row>
    <row r="7137" spans="1:3" ht="18" customHeight="1" x14ac:dyDescent="0.3">
      <c r="A7137" s="1">
        <v>3</v>
      </c>
      <c r="B7137" s="1" t="s">
        <v>5826</v>
      </c>
      <c r="C7137" s="1" t="str">
        <f ca="1">IFERROR(__xludf.DUMMYFUNCTION("GOOGLETRANSLATE(B7232,""en"",""ja"")"),"マーティン")</f>
        <v>マーティン</v>
      </c>
    </row>
    <row r="7138" spans="1:3" ht="18" customHeight="1" x14ac:dyDescent="0.3">
      <c r="A7138" s="1">
        <v>3</v>
      </c>
      <c r="B7138" s="1" t="s">
        <v>5827</v>
      </c>
      <c r="C7138" s="1" t="str">
        <f ca="1">IFERROR(__xludf.DUMMYFUNCTION("GOOGLETRANSLATE(B7233,""en"",""ja"")"),"マーキング")</f>
        <v>マーキング</v>
      </c>
    </row>
    <row r="7139" spans="1:3" ht="18" customHeight="1" x14ac:dyDescent="0.3">
      <c r="A7139" s="1">
        <v>3</v>
      </c>
      <c r="B7139" s="1" t="s">
        <v>5828</v>
      </c>
      <c r="C7139" s="1" t="str">
        <f ca="1">IFERROR(__xludf.DUMMYFUNCTION("GOOGLETRANSLATE(B7234,""en"",""ja"")"),"市場")</f>
        <v>市場</v>
      </c>
    </row>
    <row r="7140" spans="1:3" ht="18" customHeight="1" x14ac:dyDescent="0.3">
      <c r="A7140" s="1">
        <v>3</v>
      </c>
      <c r="B7140" s="1" t="s">
        <v>5829</v>
      </c>
      <c r="C7140" s="1" t="str">
        <f ca="1">IFERROR(__xludf.DUMMYFUNCTION("GOOGLETRANSLATE(B7235,""en"",""ja"")"),"マーケティング")</f>
        <v>マーケティング</v>
      </c>
    </row>
    <row r="7141" spans="1:3" ht="18" customHeight="1" x14ac:dyDescent="0.3">
      <c r="A7141" s="1">
        <v>3</v>
      </c>
      <c r="B7141" s="1" t="s">
        <v>5830</v>
      </c>
      <c r="C7141" s="1" t="str">
        <f ca="1">IFERROR(__xludf.DUMMYFUNCTION("GOOGLETRANSLATE(B7236,""en"",""ja"")"),"マーカー")</f>
        <v>マーカー</v>
      </c>
    </row>
    <row r="7142" spans="1:3" ht="18" customHeight="1" x14ac:dyDescent="0.3">
      <c r="A7142" s="1">
        <v>3</v>
      </c>
      <c r="B7142" s="1" t="s">
        <v>2644</v>
      </c>
      <c r="C7142" s="1" t="str">
        <f ca="1">IFERROR(__xludf.DUMMYFUNCTION("GOOGLETRANSLATE(B7238,""en"",""ja"")"),"マークされた")</f>
        <v>マークされた</v>
      </c>
    </row>
    <row r="7143" spans="1:3" ht="18" customHeight="1" x14ac:dyDescent="0.3">
      <c r="A7143" s="1">
        <v>3</v>
      </c>
      <c r="B7143" s="1" t="s">
        <v>2107</v>
      </c>
      <c r="C7143" s="1" t="str">
        <f ca="1">IFERROR(__xludf.DUMMYFUNCTION("GOOGLETRANSLATE(B7239,""en"",""ja"")"),"マーク")</f>
        <v>マーク</v>
      </c>
    </row>
    <row r="7144" spans="1:3" ht="18" customHeight="1" x14ac:dyDescent="0.3">
      <c r="A7144" s="1">
        <v>3</v>
      </c>
      <c r="B7144" s="1" t="s">
        <v>5831</v>
      </c>
      <c r="C7144" s="1" t="str">
        <f ca="1">IFERROR(__xludf.DUMMYFUNCTION("GOOGLETRANSLATE(B7240,""en"",""ja"")"),"マージン")</f>
        <v>マージン</v>
      </c>
    </row>
    <row r="7145" spans="1:3" ht="18" customHeight="1" x14ac:dyDescent="0.3">
      <c r="A7145" s="1">
        <v>3</v>
      </c>
      <c r="B7145" s="1" t="s">
        <v>5832</v>
      </c>
      <c r="C7145" s="1" t="str">
        <f ca="1">IFERROR(__xludf.DUMMYFUNCTION("GOOGLETRANSLATE(B7241,""en"",""ja"")"),"マルディ")</f>
        <v>マルディ</v>
      </c>
    </row>
    <row r="7146" spans="1:3" ht="18" customHeight="1" x14ac:dyDescent="0.3">
      <c r="A7146" s="1">
        <v>3</v>
      </c>
      <c r="B7146" s="1" t="s">
        <v>1001</v>
      </c>
      <c r="C7146" s="1" t="str">
        <f ca="1">IFERROR(__xludf.DUMMYFUNCTION("GOOGLETRANSLATE(B7242,""en"",""ja"")"),"擦り傷")</f>
        <v>擦り傷</v>
      </c>
    </row>
    <row r="7147" spans="1:3" ht="18" customHeight="1" x14ac:dyDescent="0.3">
      <c r="A7147" s="1">
        <v>3</v>
      </c>
      <c r="B7147" s="1" t="s">
        <v>5833</v>
      </c>
      <c r="C7147" s="1" t="str">
        <f ca="1">IFERROR(__xludf.DUMMYFUNCTION("GOOGLETRANSLATE(B7243,""en"",""ja"")"),"製作")</f>
        <v>製作</v>
      </c>
    </row>
    <row r="7148" spans="1:3" ht="18" customHeight="1" x14ac:dyDescent="0.3">
      <c r="A7148" s="1">
        <v>3</v>
      </c>
      <c r="B7148" s="1" t="s">
        <v>5834</v>
      </c>
      <c r="C7148" s="1" t="str">
        <f ca="1">IFERROR(__xludf.DUMMYFUNCTION("GOOGLETRANSLATE(B7244,""en"",""ja"")"),"操作")</f>
        <v>操作</v>
      </c>
    </row>
    <row r="7149" spans="1:3" ht="18" customHeight="1" x14ac:dyDescent="0.3">
      <c r="A7149" s="1">
        <v>3</v>
      </c>
      <c r="B7149" s="1" t="s">
        <v>5835</v>
      </c>
      <c r="C7149" s="1" t="str">
        <f ca="1">IFERROR(__xludf.DUMMYFUNCTION("GOOGLETRANSLATE(B7245,""en"",""ja"")"),"マニラ")</f>
        <v>マニラ</v>
      </c>
    </row>
    <row r="7150" spans="1:3" ht="18" customHeight="1" x14ac:dyDescent="0.3">
      <c r="A7150" s="1">
        <v>3</v>
      </c>
      <c r="B7150" s="1" t="s">
        <v>5836</v>
      </c>
      <c r="C7150" s="1" t="str">
        <f ca="1">IFERROR(__xludf.DUMMYFUNCTION("GOOGLETRANSLATE(B7246,""en"",""ja"")"),"作戦")</f>
        <v>作戦</v>
      </c>
    </row>
    <row r="7151" spans="1:3" ht="18" customHeight="1" x14ac:dyDescent="0.3">
      <c r="A7151" s="1">
        <v>3</v>
      </c>
      <c r="B7151" s="1" t="s">
        <v>5837</v>
      </c>
      <c r="C7151" s="1" t="str">
        <f ca="1">IFERROR(__xludf.DUMMYFUNCTION("GOOGLETRANSLATE(B7247,""en"",""ja"")"),"機動")</f>
        <v>機動</v>
      </c>
    </row>
    <row r="7152" spans="1:3" ht="18" customHeight="1" x14ac:dyDescent="0.3">
      <c r="A7152" s="1">
        <v>3</v>
      </c>
      <c r="B7152" s="1" t="s">
        <v>1546</v>
      </c>
      <c r="C7152" s="1" t="str">
        <f ca="1">IFERROR(__xludf.DUMMYFUNCTION("GOOGLETRANSLATE(B7248,""en"",""ja"")"),"管理します")</f>
        <v>管理します</v>
      </c>
    </row>
    <row r="7153" spans="1:3" ht="18" customHeight="1" x14ac:dyDescent="0.3">
      <c r="A7153" s="1">
        <v>3</v>
      </c>
      <c r="B7153" s="1" t="s">
        <v>5838</v>
      </c>
      <c r="C7153" s="1" t="str">
        <f ca="1">IFERROR(__xludf.DUMMYFUNCTION("GOOGLETRANSLATE(B7249,""en"",""ja"")"),"モール")</f>
        <v>モール</v>
      </c>
    </row>
    <row r="7154" spans="1:3" ht="18" customHeight="1" x14ac:dyDescent="0.3">
      <c r="A7154" s="1">
        <v>3</v>
      </c>
      <c r="B7154" s="1" t="s">
        <v>5839</v>
      </c>
      <c r="C7154" s="1" t="str">
        <f ca="1">IFERROR(__xludf.DUMMYFUNCTION("GOOGLETRANSLATE(B7250,""en"",""ja"")"),"悪意のある")</f>
        <v>悪意のある</v>
      </c>
    </row>
    <row r="7155" spans="1:3" ht="18" customHeight="1" x14ac:dyDescent="0.3">
      <c r="A7155" s="1">
        <v>3</v>
      </c>
      <c r="B7155" s="1" t="s">
        <v>5840</v>
      </c>
      <c r="C7155" s="1" t="str">
        <f ca="1">IFERROR(__xludf.DUMMYFUNCTION("GOOGLETRANSLATE(B7251,""en"",""ja"")"),"マレーシア")</f>
        <v>マレーシア</v>
      </c>
    </row>
    <row r="7156" spans="1:3" ht="18" customHeight="1" x14ac:dyDescent="0.3">
      <c r="A7156" s="1">
        <v>3</v>
      </c>
      <c r="B7156" s="1" t="s">
        <v>5841</v>
      </c>
      <c r="C7156" s="1" t="str">
        <f ca="1">IFERROR(__xludf.DUMMYFUNCTION("GOOGLETRANSLATE(B7252,""en"",""ja"")"),"マレー語")</f>
        <v>マレー語</v>
      </c>
    </row>
    <row r="7157" spans="1:3" ht="18" customHeight="1" x14ac:dyDescent="0.3">
      <c r="A7157" s="1">
        <v>3</v>
      </c>
      <c r="B7157" s="1" t="s">
        <v>801</v>
      </c>
      <c r="C7157" s="1" t="str">
        <f ca="1">IFERROR(__xludf.DUMMYFUNCTION("GOOGLETRANSLATE(B7253,""en"",""ja"")"),"維持します")</f>
        <v>維持します</v>
      </c>
    </row>
    <row r="7158" spans="1:3" ht="18" customHeight="1" x14ac:dyDescent="0.3">
      <c r="A7158" s="1">
        <v>3</v>
      </c>
      <c r="B7158" s="1" t="s">
        <v>5842</v>
      </c>
      <c r="C7158" s="1" t="str">
        <f ca="1">IFERROR(__xludf.DUMMYFUNCTION("GOOGLETRANSLATE(B7254,""en"",""ja"")"),"郵便物")</f>
        <v>郵便物</v>
      </c>
    </row>
    <row r="7159" spans="1:3" ht="18" customHeight="1" x14ac:dyDescent="0.3">
      <c r="A7159" s="1">
        <v>3</v>
      </c>
      <c r="B7159" s="1" t="s">
        <v>5843</v>
      </c>
      <c r="C7159" s="1" t="str">
        <f ca="1">IFERROR(__xludf.DUMMYFUNCTION("GOOGLETRANSLATE(B7256,""en"",""ja"")"),"マッデン")</f>
        <v>マッデン</v>
      </c>
    </row>
    <row r="7160" spans="1:3" ht="18" customHeight="1" x14ac:dyDescent="0.3">
      <c r="A7160" s="1">
        <v>3</v>
      </c>
      <c r="B7160" s="1" t="s">
        <v>5844</v>
      </c>
      <c r="C7160" s="1" t="str">
        <f ca="1">IFERROR(__xludf.DUMMYFUNCTION("GOOGLETRANSLATE(B7257,""en"",""ja"")"),"マシン")</f>
        <v>マシン</v>
      </c>
    </row>
    <row r="7161" spans="1:3" ht="18" customHeight="1" x14ac:dyDescent="0.3">
      <c r="A7161" s="1">
        <v>3</v>
      </c>
      <c r="B7161" s="1" t="s">
        <v>5845</v>
      </c>
      <c r="C7161" s="1" t="str">
        <f ca="1">IFERROR(__xludf.DUMMYFUNCTION("GOOGLETRANSLATE(B7258,""en"",""ja"")"),"贅沢")</f>
        <v>贅沢</v>
      </c>
    </row>
    <row r="7162" spans="1:3" ht="18" customHeight="1" x14ac:dyDescent="0.3">
      <c r="A7162" s="1">
        <v>3</v>
      </c>
      <c r="B7162" s="1" t="s">
        <v>5846</v>
      </c>
      <c r="C7162" s="1" t="str">
        <f ca="1">IFERROR(__xludf.DUMMYFUNCTION("GOOGLETRANSLATE(B7259,""en"",""ja"")"),"ルーサー")</f>
        <v>ルーサー</v>
      </c>
    </row>
    <row r="7163" spans="1:3" ht="18" customHeight="1" x14ac:dyDescent="0.3">
      <c r="A7163" s="1">
        <v>3</v>
      </c>
      <c r="B7163" s="1" t="s">
        <v>5847</v>
      </c>
      <c r="C7163" s="1" t="str">
        <f ca="1">IFERROR(__xludf.DUMMYFUNCTION("GOOGLETRANSLATE(B7260,""en"",""ja"")"),"luckman")</f>
        <v>luckman</v>
      </c>
    </row>
    <row r="7164" spans="1:3" ht="18" customHeight="1" x14ac:dyDescent="0.3">
      <c r="A7164" s="1">
        <v>3</v>
      </c>
      <c r="B7164" s="1" t="s">
        <v>5848</v>
      </c>
      <c r="C7164" s="1" t="str">
        <f ca="1">IFERROR(__xludf.DUMMYFUNCTION("GOOGLETRANSLATE(B7261,""en"",""ja"")"),"運よく")</f>
        <v>運よく</v>
      </c>
    </row>
    <row r="7165" spans="1:3" ht="18" customHeight="1" x14ac:dyDescent="0.3">
      <c r="A7165" s="1">
        <v>3</v>
      </c>
      <c r="B7165" s="1" t="s">
        <v>5849</v>
      </c>
      <c r="C7165" s="1" t="str">
        <f ca="1">IFERROR(__xludf.DUMMYFUNCTION("GOOGLETRANSLATE(B7262,""en"",""ja"")"),"負け")</f>
        <v>負け</v>
      </c>
    </row>
    <row r="7166" spans="1:3" ht="18" customHeight="1" x14ac:dyDescent="0.3">
      <c r="A7166" s="1">
        <v>3</v>
      </c>
      <c r="B7166" s="1" t="s">
        <v>5850</v>
      </c>
      <c r="C7166" s="1" t="str">
        <f ca="1">IFERROR(__xludf.DUMMYFUNCTION("GOOGLETRANSLATE(B7263,""en"",""ja"")"),"緩く")</f>
        <v>緩く</v>
      </c>
    </row>
    <row r="7167" spans="1:3" ht="18" customHeight="1" x14ac:dyDescent="0.3">
      <c r="A7167" s="1">
        <v>3</v>
      </c>
      <c r="B7167" s="1" t="s">
        <v>5851</v>
      </c>
      <c r="C7167" s="1" t="str">
        <f ca="1">IFERROR(__xludf.DUMMYFUNCTION("GOOGLETRANSLATE(B7264,""en"",""ja"")"),"記載されています")</f>
        <v>記載されています</v>
      </c>
    </row>
    <row r="7168" spans="1:3" ht="18" customHeight="1" x14ac:dyDescent="0.3">
      <c r="A7168" s="1">
        <v>3</v>
      </c>
      <c r="B7168" s="1" t="s">
        <v>5852</v>
      </c>
      <c r="C7168" s="1" t="str">
        <f ca="1">IFERROR(__xludf.DUMMYFUNCTION("GOOGLETRANSLATE(B7265,""en"",""ja"")"),"リスト")</f>
        <v>リスト</v>
      </c>
    </row>
    <row r="7169" spans="1:3" ht="18" customHeight="1" x14ac:dyDescent="0.3">
      <c r="A7169" s="1">
        <v>3</v>
      </c>
      <c r="B7169" s="1" t="s">
        <v>5853</v>
      </c>
      <c r="C7169" s="1" t="str">
        <f ca="1">IFERROR(__xludf.DUMMYFUNCTION("GOOGLETRANSLATE(B7267,""en"",""ja"")"),"リンク")</f>
        <v>リンク</v>
      </c>
    </row>
    <row r="7170" spans="1:3" ht="18" customHeight="1" x14ac:dyDescent="0.3">
      <c r="A7170" s="1">
        <v>3</v>
      </c>
      <c r="B7170" s="1" t="s">
        <v>5854</v>
      </c>
      <c r="C7170" s="1" t="str">
        <f ca="1">IFERROR(__xludf.DUMMYFUNCTION("GOOGLETRANSLATE(B7268,""en"",""ja"")"),"無制限")</f>
        <v>無制限</v>
      </c>
    </row>
    <row r="7171" spans="1:3" ht="18" customHeight="1" x14ac:dyDescent="0.3">
      <c r="A7171" s="1">
        <v>3</v>
      </c>
      <c r="B7171" s="1" t="s">
        <v>5855</v>
      </c>
      <c r="C7171" s="1" t="str">
        <f ca="1">IFERROR(__xludf.DUMMYFUNCTION("GOOGLETRANSLATE(B7269,""en"",""ja"")"),"なぞらえ")</f>
        <v>なぞらえ</v>
      </c>
    </row>
    <row r="7172" spans="1:3" ht="18" customHeight="1" x14ac:dyDescent="0.3">
      <c r="A7172" s="1">
        <v>3</v>
      </c>
      <c r="B7172" s="1" t="s">
        <v>5856</v>
      </c>
      <c r="C7172" s="1" t="str">
        <f ca="1">IFERROR(__xludf.DUMMYFUNCTION("GOOGLETRANSLATE(B7270,""en"",""ja"")"),"リフト")</f>
        <v>リフト</v>
      </c>
    </row>
    <row r="7173" spans="1:3" ht="18" customHeight="1" x14ac:dyDescent="0.3">
      <c r="A7173" s="1">
        <v>3</v>
      </c>
      <c r="B7173" s="1" t="s">
        <v>5857</v>
      </c>
      <c r="C7173" s="1" t="str">
        <f ca="1">IFERROR(__xludf.DUMMYFUNCTION("GOOGLETRANSLATE(B7271,""en"",""ja"")"),"生き血")</f>
        <v>生き血</v>
      </c>
    </row>
    <row r="7174" spans="1:3" ht="18" customHeight="1" x14ac:dyDescent="0.3">
      <c r="A7174" s="1">
        <v>3</v>
      </c>
      <c r="B7174" s="1" t="s">
        <v>5858</v>
      </c>
      <c r="C7174" s="1" t="str">
        <f ca="1">IFERROR(__xludf.DUMMYFUNCTION("GOOGLETRANSLATE(B7272,""en"",""ja"")"),"ライセンスを受け")</f>
        <v>ライセンスを受け</v>
      </c>
    </row>
    <row r="7175" spans="1:3" ht="18" customHeight="1" x14ac:dyDescent="0.3">
      <c r="A7175" s="1">
        <v>3</v>
      </c>
      <c r="B7175" s="1" t="s">
        <v>5859</v>
      </c>
      <c r="C7175" s="1" t="str">
        <f ca="1">IFERROR(__xludf.DUMMYFUNCTION("GOOGLETRANSLATE(B7273,""en"",""ja"")"),"解放さ")</f>
        <v>解放さ</v>
      </c>
    </row>
    <row r="7176" spans="1:3" ht="18" customHeight="1" x14ac:dyDescent="0.3">
      <c r="A7176" s="1">
        <v>3</v>
      </c>
      <c r="B7176" s="1" t="s">
        <v>5860</v>
      </c>
      <c r="C7176" s="1" t="str">
        <f ca="1">IFERROR(__xludf.DUMMYFUNCTION("GOOGLETRANSLATE(B7274,""en"",""ja"")"),"手紙")</f>
        <v>手紙</v>
      </c>
    </row>
    <row r="7177" spans="1:3" ht="18" customHeight="1" x14ac:dyDescent="0.3">
      <c r="A7177" s="1">
        <v>3</v>
      </c>
      <c r="B7177" s="1" t="s">
        <v>5861</v>
      </c>
      <c r="C7177" s="1" t="str">
        <f ca="1">IFERROR(__xludf.DUMMYFUNCTION("GOOGLETRANSLATE(B7275,""en"",""ja"")"),"てみましょう")</f>
        <v>てみましょう</v>
      </c>
    </row>
    <row r="7178" spans="1:3" ht="18" customHeight="1" x14ac:dyDescent="0.3">
      <c r="A7178" s="1">
        <v>3</v>
      </c>
      <c r="B7178" s="1" t="s">
        <v>5862</v>
      </c>
      <c r="C7178" s="1" t="str">
        <f ca="1">IFERROR(__xludf.DUMMYFUNCTION("GOOGLETRANSLATE(B7276,""en"",""ja"")"),"小さいです")</f>
        <v>小さいです</v>
      </c>
    </row>
    <row r="7179" spans="1:3" ht="18" customHeight="1" x14ac:dyDescent="0.3">
      <c r="A7179" s="1">
        <v>3</v>
      </c>
      <c r="B7179" s="1" t="s">
        <v>5863</v>
      </c>
      <c r="C7179" s="1" t="str">
        <f ca="1">IFERROR(__xludf.DUMMYFUNCTION("GOOGLETRANSLATE(B7277,""en"",""ja"")"),"長い")</f>
        <v>長い</v>
      </c>
    </row>
    <row r="7180" spans="1:3" ht="18" customHeight="1" x14ac:dyDescent="0.3">
      <c r="A7180" s="1">
        <v>3</v>
      </c>
      <c r="B7180" s="1" t="s">
        <v>5864</v>
      </c>
      <c r="C7180" s="1" t="str">
        <f ca="1">IFERROR(__xludf.DUMMYFUNCTION("GOOGLETRANSLATE(B7278,""en"",""ja"")"),"長く")</f>
        <v>長く</v>
      </c>
    </row>
    <row r="7181" spans="1:3" ht="18" customHeight="1" x14ac:dyDescent="0.3">
      <c r="A7181" s="1">
        <v>3</v>
      </c>
      <c r="B7181" s="1" t="s">
        <v>5865</v>
      </c>
      <c r="C7181" s="1" t="str">
        <f ca="1">IFERROR(__xludf.DUMMYFUNCTION("GOOGLETRANSLATE(B7279,""en"",""ja"")"),"正当")</f>
        <v>正当</v>
      </c>
    </row>
    <row r="7182" spans="1:3" ht="18" customHeight="1" x14ac:dyDescent="0.3">
      <c r="A7182" s="1">
        <v>3</v>
      </c>
      <c r="B7182" s="1" t="s">
        <v>3975</v>
      </c>
      <c r="C7182" s="1" t="str">
        <f ca="1">IFERROR(__xludf.DUMMYFUNCTION("GOOGLETRANSLATE(B7280,""en"",""ja"")"),"正当")</f>
        <v>正当</v>
      </c>
    </row>
    <row r="7183" spans="1:3" ht="18" customHeight="1" x14ac:dyDescent="0.3">
      <c r="A7183" s="1">
        <v>3</v>
      </c>
      <c r="B7183" s="1" t="s">
        <v>4669</v>
      </c>
      <c r="C7183" s="1" t="str">
        <f ca="1">IFERROR(__xludf.DUMMYFUNCTION("GOOGLETRANSLATE(B7281,""en"",""ja"")"),"風下")</f>
        <v>風下</v>
      </c>
    </row>
    <row r="7184" spans="1:3" ht="18" customHeight="1" x14ac:dyDescent="0.3">
      <c r="A7184" s="1">
        <v>3</v>
      </c>
      <c r="B7184" s="1" t="s">
        <v>5866</v>
      </c>
      <c r="C7184" s="1" t="str">
        <f ca="1">IFERROR(__xludf.DUMMYFUNCTION("GOOGLETRANSLATE(B7282,""en"",""ja"")"),"lections")</f>
        <v>lections</v>
      </c>
    </row>
    <row r="7185" spans="1:3" ht="18" customHeight="1" x14ac:dyDescent="0.3">
      <c r="A7185" s="1">
        <v>3</v>
      </c>
      <c r="B7185" s="1" t="s">
        <v>5867</v>
      </c>
      <c r="C7185" s="1" t="str">
        <f ca="1">IFERROR(__xludf.DUMMYFUNCTION("GOOGLETRANSLATE(B7283,""en"",""ja"")"),"葉")</f>
        <v>葉</v>
      </c>
    </row>
    <row r="7186" spans="1:3" ht="18" customHeight="1" x14ac:dyDescent="0.3">
      <c r="A7186" s="1">
        <v>3</v>
      </c>
      <c r="B7186" s="1" t="s">
        <v>5868</v>
      </c>
      <c r="C7186" s="1" t="str">
        <f ca="1">IFERROR(__xludf.DUMMYFUNCTION("GOOGLETRANSLATE(B7284,""en"",""ja"")"),"学習します")</f>
        <v>学習します</v>
      </c>
    </row>
    <row r="7187" spans="1:3" ht="18" customHeight="1" x14ac:dyDescent="0.3">
      <c r="A7187" s="1">
        <v>3</v>
      </c>
      <c r="B7187" s="1" t="s">
        <v>5869</v>
      </c>
      <c r="C7187" s="1" t="str">
        <f ca="1">IFERROR(__xludf.DUMMYFUNCTION("GOOGLETRANSLATE(B7285,""en"",""ja"")"),"緩いです")</f>
        <v>緩いです</v>
      </c>
    </row>
    <row r="7188" spans="1:3" ht="18" customHeight="1" x14ac:dyDescent="0.3">
      <c r="A7188" s="1">
        <v>3</v>
      </c>
      <c r="B7188" s="1" t="s">
        <v>5870</v>
      </c>
      <c r="C7188" s="1" t="str">
        <f ca="1">IFERROR(__xludf.DUMMYFUNCTION("GOOGLETRANSLATE(B7286,""en"",""ja"")"),"受賞者")</f>
        <v>受賞者</v>
      </c>
    </row>
    <row r="7189" spans="1:3" ht="18" customHeight="1" x14ac:dyDescent="0.3">
      <c r="A7189" s="1">
        <v>3</v>
      </c>
      <c r="B7189" s="1" t="s">
        <v>1791</v>
      </c>
      <c r="C7189" s="1" t="str">
        <f ca="1">IFERROR(__xludf.DUMMYFUNCTION("GOOGLETRANSLATE(B7287,""en"",""ja"")"),"後者")</f>
        <v>後者</v>
      </c>
    </row>
    <row r="7190" spans="1:3" ht="18" customHeight="1" x14ac:dyDescent="0.3">
      <c r="A7190" s="1">
        <v>3</v>
      </c>
      <c r="B7190" s="1" t="s">
        <v>5871</v>
      </c>
      <c r="C7190" s="1" t="str">
        <f ca="1">IFERROR(__xludf.DUMMYFUNCTION("GOOGLETRANSLATE(B7288,""en"",""ja"")"),"lation")</f>
        <v>lation</v>
      </c>
    </row>
    <row r="7191" spans="1:3" ht="18" customHeight="1" x14ac:dyDescent="0.3">
      <c r="A7191" s="1">
        <v>3</v>
      </c>
      <c r="B7191" s="1" t="s">
        <v>5872</v>
      </c>
      <c r="C7191" s="1" t="str">
        <f ca="1">IFERROR(__xludf.DUMMYFUNCTION("GOOGLETRANSLATE(B7289,""en"",""ja"")"),"持続")</f>
        <v>持続</v>
      </c>
    </row>
    <row r="7192" spans="1:3" ht="18" customHeight="1" x14ac:dyDescent="0.3">
      <c r="A7192" s="1">
        <v>3</v>
      </c>
      <c r="B7192" s="1" t="s">
        <v>5873</v>
      </c>
      <c r="C7192" s="1" t="str">
        <f ca="1">IFERROR(__xludf.DUMMYFUNCTION("GOOGLETRANSLATE(B7290,""en"",""ja"")"),"大規模")</f>
        <v>大規模</v>
      </c>
    </row>
    <row r="7193" spans="1:3" ht="18" customHeight="1" x14ac:dyDescent="0.3">
      <c r="A7193" s="1">
        <v>3</v>
      </c>
      <c r="B7193" s="1" t="s">
        <v>5874</v>
      </c>
      <c r="C7193" s="1" t="str">
        <f ca="1">IFERROR(__xludf.DUMMYFUNCTION("GOOGLETRANSLATE(B7291,""en"",""ja"")"),"着陸")</f>
        <v>着陸</v>
      </c>
    </row>
    <row r="7194" spans="1:3" ht="18" customHeight="1" x14ac:dyDescent="0.3">
      <c r="A7194" s="1">
        <v>3</v>
      </c>
      <c r="B7194" s="1" t="s">
        <v>4676</v>
      </c>
      <c r="C7194" s="1" t="str">
        <f ca="1">IFERROR(__xludf.DUMMYFUNCTION("GOOGLETRANSLATE(B7292,""en"",""ja"")"),"ランプ")</f>
        <v>ランプ</v>
      </c>
    </row>
    <row r="7195" spans="1:3" ht="18" customHeight="1" x14ac:dyDescent="0.3">
      <c r="A7195" s="1">
        <v>3</v>
      </c>
      <c r="B7195" s="1" t="s">
        <v>5875</v>
      </c>
      <c r="C7195" s="1" t="str">
        <f ca="1">IFERROR(__xludf.DUMMYFUNCTION("GOOGLETRANSLATE(B7293,""en"",""ja"")"),"laissez")</f>
        <v>laissez</v>
      </c>
    </row>
    <row r="7196" spans="1:3" ht="18" customHeight="1" x14ac:dyDescent="0.3">
      <c r="A7196" s="1">
        <v>3</v>
      </c>
      <c r="B7196" s="1" t="s">
        <v>5876</v>
      </c>
      <c r="C7196" s="1" t="str">
        <f ca="1">IFERROR(__xludf.DUMMYFUNCTION("GOOGLETRANSLATE(B7294,""en"",""ja"")"),"骨の折れます")</f>
        <v>骨の折れます</v>
      </c>
    </row>
    <row r="7197" spans="1:3" ht="18" customHeight="1" x14ac:dyDescent="0.3">
      <c r="A7197" s="1">
        <v>3</v>
      </c>
      <c r="B7197" s="1" t="s">
        <v>4679</v>
      </c>
      <c r="C7197" s="1" t="str">
        <f ca="1">IFERROR(__xludf.DUMMYFUNCTION("GOOGLETRANSLATE(B7295,""en"",""ja"")"),"ラベル")</f>
        <v>ラベル</v>
      </c>
    </row>
    <row r="7198" spans="1:3" ht="18" customHeight="1" x14ac:dyDescent="0.3">
      <c r="A7198" s="1">
        <v>3</v>
      </c>
      <c r="B7198" s="1" t="s">
        <v>5877</v>
      </c>
      <c r="C7198" s="1" t="str">
        <f ca="1">IFERROR(__xludf.DUMMYFUNCTION("GOOGLETRANSLATE(B7296,""en"",""ja"")"),"キューブリック")</f>
        <v>キューブリック</v>
      </c>
    </row>
    <row r="7199" spans="1:3" ht="18" customHeight="1" x14ac:dyDescent="0.3">
      <c r="A7199" s="1">
        <v>3</v>
      </c>
      <c r="B7199" s="1" t="s">
        <v>5878</v>
      </c>
      <c r="C7199" s="1" t="str">
        <f ca="1">IFERROR(__xludf.DUMMYFUNCTION("GOOGLETRANSLATE(B7297,""en"",""ja"")"),"南北")</f>
        <v>南北</v>
      </c>
    </row>
    <row r="7200" spans="1:3" ht="18" customHeight="1" x14ac:dyDescent="0.3">
      <c r="A7200" s="1">
        <v>3</v>
      </c>
      <c r="B7200" s="1" t="s">
        <v>5879</v>
      </c>
      <c r="C7200" s="1" t="str">
        <f ca="1">IFERROR(__xludf.DUMMYFUNCTION("GOOGLETRANSLATE(B7298,""en"",""ja"")"),"韓国")</f>
        <v>韓国</v>
      </c>
    </row>
    <row r="7201" spans="1:3" ht="18" customHeight="1" x14ac:dyDescent="0.3">
      <c r="A7201" s="1">
        <v>3</v>
      </c>
      <c r="B7201" s="1" t="s">
        <v>629</v>
      </c>
      <c r="C7201" s="1" t="str">
        <f ca="1">IFERROR(__xludf.DUMMYFUNCTION("GOOGLETRANSLATE(B7299,""en"",""ja"")"),"種類")</f>
        <v>種類</v>
      </c>
    </row>
    <row r="7202" spans="1:3" ht="18" customHeight="1" x14ac:dyDescent="0.3">
      <c r="A7202" s="1">
        <v>3</v>
      </c>
      <c r="B7202" s="1" t="s">
        <v>5880</v>
      </c>
      <c r="C7202" s="1" t="str">
        <f ca="1">IFERROR(__xludf.DUMMYFUNCTION("GOOGLETRANSLATE(B7300,""en"",""ja"")"),"キロメートル")</f>
        <v>キロメートル</v>
      </c>
    </row>
    <row r="7203" spans="1:3" ht="18" customHeight="1" x14ac:dyDescent="0.3">
      <c r="A7203" s="1">
        <v>3</v>
      </c>
      <c r="B7203" s="1" t="s">
        <v>5881</v>
      </c>
      <c r="C7203" s="1" t="str">
        <f ca="1">IFERROR(__xludf.DUMMYFUNCTION("GOOGLETRANSLATE(B7301,""en"",""ja"")"),"キッド")</f>
        <v>キッド</v>
      </c>
    </row>
    <row r="7204" spans="1:3" ht="18" customHeight="1" x14ac:dyDescent="0.3">
      <c r="A7204" s="1">
        <v>3</v>
      </c>
      <c r="B7204" s="1" t="s">
        <v>4686</v>
      </c>
      <c r="C7204" s="1" t="str">
        <f ca="1">IFERROR(__xludf.DUMMYFUNCTION("GOOGLETRANSLATE(B7302,""en"",""ja"")"),"ケネディ")</f>
        <v>ケネディ</v>
      </c>
    </row>
    <row r="7205" spans="1:3" ht="18" customHeight="1" x14ac:dyDescent="0.3">
      <c r="A7205" s="1">
        <v>3</v>
      </c>
      <c r="B7205" s="1" t="s">
        <v>5882</v>
      </c>
      <c r="C7205" s="1" t="str">
        <f ca="1">IFERROR(__xludf.DUMMYFUNCTION("GOOGLETRANSLATE(B7303,""en"",""ja"")"),"正当化")</f>
        <v>正当化</v>
      </c>
    </row>
    <row r="7206" spans="1:3" ht="18" customHeight="1" x14ac:dyDescent="0.3">
      <c r="A7206" s="1">
        <v>3</v>
      </c>
      <c r="B7206" s="1" t="s">
        <v>5883</v>
      </c>
      <c r="C7206" s="1" t="str">
        <f ca="1">IFERROR(__xludf.DUMMYFUNCTION("GOOGLETRANSLATE(B7304,""en"",""ja"")"),"ジャンピング")</f>
        <v>ジャンピング</v>
      </c>
    </row>
    <row r="7207" spans="1:3" ht="18" customHeight="1" x14ac:dyDescent="0.3">
      <c r="A7207" s="1">
        <v>3</v>
      </c>
      <c r="B7207" s="1" t="s">
        <v>5884</v>
      </c>
      <c r="C7207" s="1" t="str">
        <f ca="1">IFERROR(__xludf.DUMMYFUNCTION("GOOGLETRANSLATE(B7305,""en"",""ja"")"),"ジャンプ")</f>
        <v>ジャンプ</v>
      </c>
    </row>
    <row r="7208" spans="1:3" ht="18" customHeight="1" x14ac:dyDescent="0.3">
      <c r="A7208" s="1">
        <v>3</v>
      </c>
      <c r="B7208" s="1" t="s">
        <v>5885</v>
      </c>
      <c r="C7208" s="1" t="str">
        <f ca="1">IFERROR(__xludf.DUMMYFUNCTION("GOOGLETRANSLATE(B7306,""en"",""ja"")"),"柔術")</f>
        <v>柔術</v>
      </c>
    </row>
    <row r="7209" spans="1:3" ht="18" customHeight="1" x14ac:dyDescent="0.3">
      <c r="A7209" s="1">
        <v>3</v>
      </c>
      <c r="B7209" s="1" t="s">
        <v>5886</v>
      </c>
      <c r="C7209" s="1" t="str">
        <f ca="1">IFERROR(__xludf.DUMMYFUNCTION("GOOGLETRANSLATE(B7307,""en"",""ja"")"),"ジュディス")</f>
        <v>ジュディス</v>
      </c>
    </row>
    <row r="7210" spans="1:3" ht="18" customHeight="1" x14ac:dyDescent="0.3">
      <c r="A7210" s="1">
        <v>3</v>
      </c>
      <c r="B7210" s="1" t="s">
        <v>5887</v>
      </c>
      <c r="C7210" s="1" t="str">
        <f ca="1">IFERROR(__xludf.DUMMYFUNCTION("GOOGLETRANSLATE(B7308,""en"",""ja"")"),"JR")</f>
        <v>JR</v>
      </c>
    </row>
    <row r="7211" spans="1:3" ht="18" customHeight="1" x14ac:dyDescent="0.3">
      <c r="A7211" s="1">
        <v>3</v>
      </c>
      <c r="B7211" s="1" t="s">
        <v>5888</v>
      </c>
      <c r="C7211" s="1" t="str">
        <f ca="1">IFERROR(__xludf.DUMMYFUNCTION("GOOGLETRANSLATE(B7309,""en"",""ja"")"),"楽しげ")</f>
        <v>楽しげ</v>
      </c>
    </row>
    <row r="7212" spans="1:3" ht="18" customHeight="1" x14ac:dyDescent="0.3">
      <c r="A7212" s="1">
        <v>3</v>
      </c>
      <c r="B7212" s="1" t="s">
        <v>5889</v>
      </c>
      <c r="C7212" s="1" t="str">
        <f ca="1">IFERROR(__xludf.DUMMYFUNCTION("GOOGLETRANSLATE(B7310,""en"",""ja"")"),"ジョイント")</f>
        <v>ジョイント</v>
      </c>
    </row>
    <row r="7213" spans="1:3" ht="18" customHeight="1" x14ac:dyDescent="0.3">
      <c r="A7213" s="1">
        <v>3</v>
      </c>
      <c r="B7213" s="1" t="s">
        <v>2377</v>
      </c>
      <c r="C7213" s="1" t="str">
        <f ca="1">IFERROR(__xludf.DUMMYFUNCTION("GOOGLETRANSLATE(B7311,""en"",""ja"")"),"日本語")</f>
        <v>日本語</v>
      </c>
    </row>
    <row r="7214" spans="1:3" ht="18" customHeight="1" x14ac:dyDescent="0.3">
      <c r="A7214" s="1">
        <v>3</v>
      </c>
      <c r="B7214" s="1" t="s">
        <v>3457</v>
      </c>
      <c r="C7214" s="1" t="str">
        <f ca="1">IFERROR(__xludf.DUMMYFUNCTION("GOOGLETRANSLATE(B7312,""en"",""ja"")"),"日本")</f>
        <v>日本</v>
      </c>
    </row>
    <row r="7215" spans="1:3" ht="18" customHeight="1" x14ac:dyDescent="0.3">
      <c r="A7215" s="1">
        <v>3</v>
      </c>
      <c r="B7215" s="1" t="s">
        <v>5890</v>
      </c>
      <c r="C7215" s="1" t="str">
        <f ca="1">IFERROR(__xludf.DUMMYFUNCTION("GOOGLETRANSLATE(B7313,""en"",""ja"")"),"ジャマル")</f>
        <v>ジャマル</v>
      </c>
    </row>
    <row r="7216" spans="1:3" ht="18" customHeight="1" x14ac:dyDescent="0.3">
      <c r="A7216" s="1">
        <v>3</v>
      </c>
      <c r="B7216" s="1" t="s">
        <v>5891</v>
      </c>
      <c r="C7216" s="1" t="str">
        <f ca="1">IFERROR(__xludf.DUMMYFUNCTION("GOOGLETRANSLATE(B7314,""en"",""ja"")"),"ジャカルタ")</f>
        <v>ジャカルタ</v>
      </c>
    </row>
    <row r="7217" spans="1:3" ht="18" customHeight="1" x14ac:dyDescent="0.3">
      <c r="A7217" s="1">
        <v>3</v>
      </c>
      <c r="B7217" s="1" t="s">
        <v>5892</v>
      </c>
      <c r="C7217" s="1" t="str">
        <f ca="1">IFERROR(__xludf.DUMMYFUNCTION("GOOGLETRANSLATE(B7315,""en"",""ja"")"),"発行")</f>
        <v>発行</v>
      </c>
    </row>
    <row r="7218" spans="1:3" ht="18" customHeight="1" x14ac:dyDescent="0.3">
      <c r="A7218" s="1">
        <v>3</v>
      </c>
      <c r="B7218" s="1" t="s">
        <v>5893</v>
      </c>
      <c r="C7218" s="1" t="str">
        <f ca="1">IFERROR(__xludf.DUMMYFUNCTION("GOOGLETRANSLATE(B7316,""en"",""ja"")"),"イスラム教")</f>
        <v>イスラム教</v>
      </c>
    </row>
    <row r="7219" spans="1:3" ht="18" customHeight="1" x14ac:dyDescent="0.3">
      <c r="A7219" s="1">
        <v>3</v>
      </c>
      <c r="B7219" s="1" t="s">
        <v>7</v>
      </c>
      <c r="C7219" s="1" t="str">
        <f ca="1">IFERROR(__xludf.DUMMYFUNCTION("GOOGLETRANSLATE(B7318,""en"",""ja"")"),"あります")</f>
        <v>あります</v>
      </c>
    </row>
    <row r="7220" spans="1:3" ht="18" customHeight="1" x14ac:dyDescent="0.3">
      <c r="A7220" s="1">
        <v>3</v>
      </c>
      <c r="B7220" s="1" t="s">
        <v>5894</v>
      </c>
      <c r="C7220" s="1" t="str">
        <f ca="1">IFERROR(__xludf.DUMMYFUNCTION("GOOGLETRANSLATE(B7319,""en"",""ja"")"),"刺激")</f>
        <v>刺激</v>
      </c>
    </row>
    <row r="7221" spans="1:3" ht="18" customHeight="1" x14ac:dyDescent="0.3">
      <c r="A7221" s="1">
        <v>3</v>
      </c>
      <c r="B7221" s="1" t="s">
        <v>2378</v>
      </c>
      <c r="C7221" s="1" t="str">
        <f ca="1">IFERROR(__xludf.DUMMYFUNCTION("GOOGLETRANSLATE(B7320,""en"",""ja"")"),"潅漑")</f>
        <v>潅漑</v>
      </c>
    </row>
    <row r="7222" spans="1:3" ht="18" customHeight="1" x14ac:dyDescent="0.3">
      <c r="A7222" s="1">
        <v>3</v>
      </c>
      <c r="B7222" s="1" t="s">
        <v>5895</v>
      </c>
      <c r="C7222" s="1" t="str">
        <f ca="1">IFERROR(__xludf.DUMMYFUNCTION("GOOGLETRANSLATE(B7321,""en"",""ja"")"),"アイリッシュ")</f>
        <v>アイリッシュ</v>
      </c>
    </row>
    <row r="7223" spans="1:3" ht="18" customHeight="1" x14ac:dyDescent="0.3">
      <c r="A7223" s="1">
        <v>3</v>
      </c>
      <c r="B7223" s="1" t="s">
        <v>3462</v>
      </c>
      <c r="C7223" s="1" t="str">
        <f ca="1">IFERROR(__xludf.DUMMYFUNCTION("GOOGLETRANSLATE(B7322,""en"",""ja"")"),"IP")</f>
        <v>IP</v>
      </c>
    </row>
    <row r="7224" spans="1:3" ht="18" customHeight="1" x14ac:dyDescent="0.3">
      <c r="A7224" s="1">
        <v>3</v>
      </c>
      <c r="B7224" s="1" t="s">
        <v>5896</v>
      </c>
      <c r="C7224" s="1" t="str">
        <f ca="1">IFERROR(__xludf.DUMMYFUNCTION("GOOGLETRANSLATE(B7323,""en"",""ja"")"),"爽快")</f>
        <v>爽快</v>
      </c>
    </row>
    <row r="7225" spans="1:3" ht="18" customHeight="1" x14ac:dyDescent="0.3">
      <c r="A7225" s="1">
        <v>3</v>
      </c>
      <c r="B7225" s="1" t="s">
        <v>5897</v>
      </c>
      <c r="C7225" s="1" t="str">
        <f ca="1">IFERROR(__xludf.DUMMYFUNCTION("GOOGLETRANSLATE(B7324,""en"",""ja"")"),"投資家")</f>
        <v>投資家</v>
      </c>
    </row>
    <row r="7226" spans="1:3" ht="18" customHeight="1" x14ac:dyDescent="0.3">
      <c r="A7226" s="1">
        <v>3</v>
      </c>
      <c r="B7226" s="1" t="s">
        <v>5898</v>
      </c>
      <c r="C7226" s="1" t="str">
        <f ca="1">IFERROR(__xludf.DUMMYFUNCTION("GOOGLETRANSLATE(B7325,""en"",""ja"")"),"求道者")</f>
        <v>求道者</v>
      </c>
    </row>
    <row r="7227" spans="1:3" ht="18" customHeight="1" x14ac:dyDescent="0.3">
      <c r="A7227" s="1">
        <v>3</v>
      </c>
      <c r="B7227" s="1" t="s">
        <v>5899</v>
      </c>
      <c r="C7227" s="1" t="str">
        <f ca="1">IFERROR(__xludf.DUMMYFUNCTION("GOOGLETRANSLATE(B7326,""en"",""ja"")"),"調査")</f>
        <v>調査</v>
      </c>
    </row>
    <row r="7228" spans="1:3" ht="18" customHeight="1" x14ac:dyDescent="0.3">
      <c r="A7228" s="1">
        <v>3</v>
      </c>
      <c r="B7228" s="1" t="s">
        <v>5900</v>
      </c>
      <c r="C7228" s="1" t="str">
        <f ca="1">IFERROR(__xludf.DUMMYFUNCTION("GOOGLETRANSLATE(B7328,""en"",""ja"")"),"インベスト")</f>
        <v>インベスト</v>
      </c>
    </row>
    <row r="7229" spans="1:3" ht="18" customHeight="1" x14ac:dyDescent="0.3">
      <c r="A7229" s="1">
        <v>3</v>
      </c>
      <c r="B7229" s="1" t="s">
        <v>5901</v>
      </c>
      <c r="C7229" s="1" t="str">
        <f ca="1">IFERROR(__xludf.DUMMYFUNCTION("GOOGLETRANSLATE(B7329,""en"",""ja"")"),"本発明者ら")</f>
        <v>本発明者ら</v>
      </c>
    </row>
    <row r="7230" spans="1:3" ht="18" customHeight="1" x14ac:dyDescent="0.3">
      <c r="A7230" s="1">
        <v>3</v>
      </c>
      <c r="B7230" s="1" t="s">
        <v>4699</v>
      </c>
      <c r="C7230" s="1" t="str">
        <f ca="1">IFERROR(__xludf.DUMMYFUNCTION("GOOGLETRANSLATE(B7330,""en"",""ja"")"),"発明します")</f>
        <v>発明します</v>
      </c>
    </row>
    <row r="7231" spans="1:3" ht="18" customHeight="1" x14ac:dyDescent="0.3">
      <c r="A7231" s="1">
        <v>3</v>
      </c>
      <c r="B7231" s="1" t="s">
        <v>3994</v>
      </c>
      <c r="C7231" s="1" t="str">
        <f ca="1">IFERROR(__xludf.DUMMYFUNCTION("GOOGLETRANSLATE(B7331,""en"",""ja"")"),"必ず")</f>
        <v>必ず</v>
      </c>
    </row>
    <row r="7232" spans="1:3" ht="18" customHeight="1" x14ac:dyDescent="0.3">
      <c r="A7232" s="1">
        <v>3</v>
      </c>
      <c r="B7232" s="1" t="s">
        <v>5902</v>
      </c>
      <c r="C7232" s="1" t="str">
        <f ca="1">IFERROR(__xludf.DUMMYFUNCTION("GOOGLETRANSLATE(B7332,""en"",""ja"")"),"内向")</f>
        <v>内向</v>
      </c>
    </row>
    <row r="7233" spans="1:3" ht="18" customHeight="1" x14ac:dyDescent="0.3">
      <c r="A7233" s="1">
        <v>3</v>
      </c>
      <c r="B7233" s="1" t="s">
        <v>5903</v>
      </c>
      <c r="C7233" s="1" t="str">
        <f ca="1">IFERROR(__xludf.DUMMYFUNCTION("GOOGLETRANSLATE(B7333,""en"",""ja"")"),"親しいです")</f>
        <v>親しいです</v>
      </c>
    </row>
    <row r="7234" spans="1:3" ht="18" customHeight="1" x14ac:dyDescent="0.3">
      <c r="A7234" s="1">
        <v>3</v>
      </c>
      <c r="B7234" s="1" t="s">
        <v>5904</v>
      </c>
      <c r="C7234" s="1" t="str">
        <f ca="1">IFERROR(__xludf.DUMMYFUNCTION("GOOGLETRANSLATE(B7334,""en"",""ja"")"),"腸の")</f>
        <v>腸の</v>
      </c>
    </row>
    <row r="7235" spans="1:3" ht="18" customHeight="1" x14ac:dyDescent="0.3">
      <c r="A7235" s="1">
        <v>3</v>
      </c>
      <c r="B7235" s="1" t="s">
        <v>5905</v>
      </c>
      <c r="C7235" s="1" t="str">
        <f ca="1">IFERROR(__xludf.DUMMYFUNCTION("GOOGLETRANSLATE(B7335,""en"",""ja"")"),"が介在")</f>
        <v>が介在</v>
      </c>
    </row>
    <row r="7236" spans="1:3" ht="18" customHeight="1" x14ac:dyDescent="0.3">
      <c r="A7236" s="1">
        <v>3</v>
      </c>
      <c r="B7236" s="1" t="s">
        <v>5906</v>
      </c>
      <c r="C7236" s="1" t="str">
        <f ca="1">IFERROR(__xludf.DUMMYFUNCTION("GOOGLETRANSLATE(B7336,""en"",""ja"")"),"間隔")</f>
        <v>間隔</v>
      </c>
    </row>
    <row r="7237" spans="1:3" ht="18" customHeight="1" x14ac:dyDescent="0.3">
      <c r="A7237" s="1">
        <v>3</v>
      </c>
      <c r="B7237" s="1" t="s">
        <v>5907</v>
      </c>
      <c r="C7237" s="1" t="str">
        <f ca="1">IFERROR(__xludf.DUMMYFUNCTION("GOOGLETRANSLATE(B7337,""en"",""ja"")"),"交差")</f>
        <v>交差</v>
      </c>
    </row>
    <row r="7238" spans="1:3" ht="18" customHeight="1" x14ac:dyDescent="0.3">
      <c r="A7238" s="1">
        <v>3</v>
      </c>
      <c r="B7238" s="1" t="s">
        <v>5908</v>
      </c>
      <c r="C7238" s="1" t="str">
        <f ca="1">IFERROR(__xludf.DUMMYFUNCTION("GOOGLETRANSLATE(B7338,""en"",""ja"")"),"中断")</f>
        <v>中断</v>
      </c>
    </row>
    <row r="7239" spans="1:3" ht="18" customHeight="1" x14ac:dyDescent="0.3">
      <c r="A7239" s="1">
        <v>3</v>
      </c>
      <c r="B7239" s="1" t="s">
        <v>5909</v>
      </c>
      <c r="C7239" s="1" t="str">
        <f ca="1">IFERROR(__xludf.DUMMYFUNCTION("GOOGLETRANSLATE(B7339,""en"",""ja"")"),"中断")</f>
        <v>中断</v>
      </c>
    </row>
    <row r="7240" spans="1:3" ht="18" customHeight="1" x14ac:dyDescent="0.3">
      <c r="A7240" s="1">
        <v>3</v>
      </c>
      <c r="B7240" s="1" t="s">
        <v>5910</v>
      </c>
      <c r="C7240" s="1" t="str">
        <f ca="1">IFERROR(__xludf.DUMMYFUNCTION("GOOGLETRANSLATE(B7340,""en"",""ja"")"),"解釈")</f>
        <v>解釈</v>
      </c>
    </row>
    <row r="7241" spans="1:3" ht="18" customHeight="1" x14ac:dyDescent="0.3">
      <c r="A7241" s="1">
        <v>3</v>
      </c>
      <c r="B7241" s="1" t="s">
        <v>5911</v>
      </c>
      <c r="C7241" s="1" t="str">
        <f ca="1">IFERROR(__xludf.DUMMYFUNCTION("GOOGLETRANSLATE(B7341,""en"",""ja"")"),"相互")</f>
        <v>相互</v>
      </c>
    </row>
    <row r="7242" spans="1:3" ht="18" customHeight="1" x14ac:dyDescent="0.3">
      <c r="A7242" s="1">
        <v>3</v>
      </c>
      <c r="B7242" s="1" t="s">
        <v>5912</v>
      </c>
      <c r="C7242" s="1" t="str">
        <f ca="1">IFERROR(__xludf.DUMMYFUNCTION("GOOGLETRANSLATE(B7342,""en"",""ja"")"),"内部")</f>
        <v>内部</v>
      </c>
    </row>
    <row r="7243" spans="1:3" ht="18" customHeight="1" x14ac:dyDescent="0.3">
      <c r="A7243" s="1">
        <v>3</v>
      </c>
      <c r="B7243" s="1" t="s">
        <v>5913</v>
      </c>
      <c r="C7243" s="1" t="str">
        <f ca="1">IFERROR(__xludf.DUMMYFUNCTION("GOOGLETRANSLATE(B7343,""en"",""ja"")"),"内面化")</f>
        <v>内面化</v>
      </c>
    </row>
    <row r="7244" spans="1:3" ht="18" customHeight="1" x14ac:dyDescent="0.3">
      <c r="A7244" s="1">
        <v>3</v>
      </c>
      <c r="B7244" s="1" t="s">
        <v>733</v>
      </c>
      <c r="C7244" s="1" t="str">
        <f ca="1">IFERROR(__xludf.DUMMYFUNCTION("GOOGLETRANSLATE(B7344,""en"",""ja"")"),"内部")</f>
        <v>内部</v>
      </c>
    </row>
    <row r="7245" spans="1:3" ht="18" customHeight="1" x14ac:dyDescent="0.3">
      <c r="A7245" s="1">
        <v>3</v>
      </c>
      <c r="B7245" s="1" t="s">
        <v>5914</v>
      </c>
      <c r="C7245" s="1" t="str">
        <f ca="1">IFERROR(__xludf.DUMMYFUNCTION("GOOGLETRANSLATE(B7345,""en"",""ja"")"),"干渉する")</f>
        <v>干渉する</v>
      </c>
    </row>
    <row r="7246" spans="1:3" ht="18" customHeight="1" x14ac:dyDescent="0.3">
      <c r="A7246" s="1">
        <v>3</v>
      </c>
      <c r="B7246" s="1" t="s">
        <v>5915</v>
      </c>
      <c r="C7246" s="1" t="str">
        <f ca="1">IFERROR(__xludf.DUMMYFUNCTION("GOOGLETRANSLATE(B7346,""en"",""ja"")"),"興味深いことに")</f>
        <v>興味深いことに</v>
      </c>
    </row>
    <row r="7247" spans="1:3" ht="18" customHeight="1" x14ac:dyDescent="0.3">
      <c r="A7247" s="1">
        <v>3</v>
      </c>
      <c r="B7247" s="1" t="s">
        <v>5916</v>
      </c>
      <c r="C7247" s="1" t="str">
        <f ca="1">IFERROR(__xludf.DUMMYFUNCTION("GOOGLETRANSLATE(B7347,""en"",""ja"")"),"相互接続されました")</f>
        <v>相互接続されました</v>
      </c>
    </row>
    <row r="7248" spans="1:3" ht="18" customHeight="1" x14ac:dyDescent="0.3">
      <c r="A7248" s="1">
        <v>3</v>
      </c>
      <c r="B7248" s="1" t="s">
        <v>5917</v>
      </c>
      <c r="C7248" s="1" t="str">
        <f ca="1">IFERROR(__xludf.DUMMYFUNCTION("GOOGLETRANSLATE(B7348,""en"",""ja"")"),"激しいです")</f>
        <v>激しいです</v>
      </c>
    </row>
    <row r="7249" spans="1:3" ht="18" customHeight="1" x14ac:dyDescent="0.3">
      <c r="A7249" s="1">
        <v>3</v>
      </c>
      <c r="B7249" s="1" t="s">
        <v>2130</v>
      </c>
      <c r="C7249" s="1" t="str">
        <f ca="1">IFERROR(__xludf.DUMMYFUNCTION("GOOGLETRANSLATE(B7349,""en"",""ja"")"),"インテリジェント")</f>
        <v>インテリジェント</v>
      </c>
    </row>
    <row r="7250" spans="1:3" ht="18" customHeight="1" x14ac:dyDescent="0.3">
      <c r="A7250" s="1">
        <v>3</v>
      </c>
      <c r="B7250" s="1" t="s">
        <v>5918</v>
      </c>
      <c r="C7250" s="1" t="str">
        <f ca="1">IFERROR(__xludf.DUMMYFUNCTION("GOOGLETRANSLATE(B7350,""en"",""ja"")"),"inteligible")</f>
        <v>inteligible</v>
      </c>
    </row>
    <row r="7251" spans="1:3" ht="18" customHeight="1" x14ac:dyDescent="0.3">
      <c r="A7251" s="1">
        <v>3</v>
      </c>
      <c r="B7251" s="1" t="s">
        <v>5919</v>
      </c>
      <c r="C7251" s="1" t="str">
        <f ca="1">IFERROR(__xludf.DUMMYFUNCTION("GOOGLETRANSLATE(B7351,""en"",""ja"")"),"知識人")</f>
        <v>知識人</v>
      </c>
    </row>
    <row r="7252" spans="1:3" ht="18" customHeight="1" x14ac:dyDescent="0.3">
      <c r="A7252" s="1">
        <v>3</v>
      </c>
      <c r="B7252" s="1" t="s">
        <v>5920</v>
      </c>
      <c r="C7252" s="1" t="str">
        <f ca="1">IFERROR(__xludf.DUMMYFUNCTION("GOOGLETRANSLATE(B7352,""en"",""ja"")"),"保険")</f>
        <v>保険</v>
      </c>
    </row>
    <row r="7253" spans="1:3" ht="18" customHeight="1" x14ac:dyDescent="0.3">
      <c r="A7253" s="1">
        <v>3</v>
      </c>
      <c r="B7253" s="1" t="s">
        <v>5921</v>
      </c>
      <c r="C7253" s="1" t="str">
        <f ca="1">IFERROR(__xludf.DUMMYFUNCTION("GOOGLETRANSLATE(B7353,""en"",""ja"")"),"insup")</f>
        <v>insup</v>
      </c>
    </row>
    <row r="7254" spans="1:3" ht="18" customHeight="1" x14ac:dyDescent="0.3">
      <c r="A7254" s="1">
        <v>3</v>
      </c>
      <c r="B7254" s="1" t="s">
        <v>5922</v>
      </c>
      <c r="C7254" s="1" t="str">
        <f ca="1">IFERROR(__xludf.DUMMYFUNCTION("GOOGLETRANSLATE(B7354,""en"",""ja"")"),"侮辱")</f>
        <v>侮辱</v>
      </c>
    </row>
    <row r="7255" spans="1:3" ht="18" customHeight="1" x14ac:dyDescent="0.3">
      <c r="A7255" s="1">
        <v>3</v>
      </c>
      <c r="B7255" s="1" t="s">
        <v>4003</v>
      </c>
      <c r="C7255" s="1" t="str">
        <f ca="1">IFERROR(__xludf.DUMMYFUNCTION("GOOGLETRANSLATE(B7355,""en"",""ja"")"),"命令")</f>
        <v>命令</v>
      </c>
    </row>
    <row r="7256" spans="1:3" ht="18" customHeight="1" x14ac:dyDescent="0.3">
      <c r="A7256" s="1">
        <v>3</v>
      </c>
      <c r="B7256" s="1" t="s">
        <v>5923</v>
      </c>
      <c r="C7256" s="1" t="str">
        <f ca="1">IFERROR(__xludf.DUMMYFUNCTION("GOOGLETRANSLATE(B7356,""en"",""ja"")"),"機関")</f>
        <v>機関</v>
      </c>
    </row>
    <row r="7257" spans="1:3" ht="18" customHeight="1" x14ac:dyDescent="0.3">
      <c r="A7257" s="1">
        <v>3</v>
      </c>
      <c r="B7257" s="1" t="s">
        <v>5924</v>
      </c>
      <c r="C7257" s="1" t="str">
        <f ca="1">IFERROR(__xludf.DUMMYFUNCTION("GOOGLETRANSLATE(B7357,""en"",""ja"")"),"機関")</f>
        <v>機関</v>
      </c>
    </row>
    <row r="7258" spans="1:3" ht="18" customHeight="1" x14ac:dyDescent="0.3">
      <c r="A7258" s="1">
        <v>3</v>
      </c>
      <c r="B7258" s="1" t="s">
        <v>5925</v>
      </c>
      <c r="C7258" s="1" t="str">
        <f ca="1">IFERROR(__xludf.DUMMYFUNCTION("GOOGLETRANSLATE(B7358,""en"",""ja"")"),"本能")</f>
        <v>本能</v>
      </c>
    </row>
    <row r="7259" spans="1:3" ht="18" customHeight="1" x14ac:dyDescent="0.3">
      <c r="A7259" s="1">
        <v>3</v>
      </c>
      <c r="B7259" s="1" t="s">
        <v>5926</v>
      </c>
      <c r="C7259" s="1" t="str">
        <f ca="1">IFERROR(__xludf.DUMMYFUNCTION("GOOGLETRANSLATE(B7359,""en"",""ja"")"),"植え付け")</f>
        <v>植え付け</v>
      </c>
    </row>
    <row r="7260" spans="1:3" ht="18" customHeight="1" x14ac:dyDescent="0.3">
      <c r="A7260" s="1">
        <v>3</v>
      </c>
      <c r="B7260" s="1" t="s">
        <v>899</v>
      </c>
      <c r="C7260" s="1" t="str">
        <f ca="1">IFERROR(__xludf.DUMMYFUNCTION("GOOGLETRANSLATE(B7360,""en"",""ja"")"),"インスタンス")</f>
        <v>インスタンス</v>
      </c>
    </row>
    <row r="7261" spans="1:3" ht="18" customHeight="1" x14ac:dyDescent="0.3">
      <c r="A7261" s="1">
        <v>3</v>
      </c>
      <c r="B7261" s="1" t="s">
        <v>5927</v>
      </c>
      <c r="C7261" s="1" t="str">
        <f ca="1">IFERROR(__xludf.DUMMYFUNCTION("GOOGLETRANSLATE(B7361,""en"",""ja"")"),"インスト")</f>
        <v>インスト</v>
      </c>
    </row>
    <row r="7262" spans="1:3" ht="18" customHeight="1" x14ac:dyDescent="0.3">
      <c r="A7262" s="1">
        <v>3</v>
      </c>
      <c r="B7262" s="1" t="s">
        <v>5928</v>
      </c>
      <c r="C7262" s="1" t="str">
        <f ca="1">IFERROR(__xludf.DUMMYFUNCTION("GOOGLETRANSLATE(B7362,""en"",""ja"")"),"感激")</f>
        <v>感激</v>
      </c>
    </row>
    <row r="7263" spans="1:3" ht="18" customHeight="1" x14ac:dyDescent="0.3">
      <c r="A7263" s="1">
        <v>3</v>
      </c>
      <c r="B7263" s="1" t="s">
        <v>5929</v>
      </c>
      <c r="C7263" s="1" t="str">
        <f ca="1">IFERROR(__xludf.DUMMYFUNCTION("GOOGLETRANSLATE(B7363,""en"",""ja"")"),"不溶性")</f>
        <v>不溶性</v>
      </c>
    </row>
    <row r="7264" spans="1:3" ht="18" customHeight="1" x14ac:dyDescent="0.3">
      <c r="A7264" s="1">
        <v>3</v>
      </c>
      <c r="B7264" s="1" t="s">
        <v>5930</v>
      </c>
      <c r="C7264" s="1" t="str">
        <f ca="1">IFERROR(__xludf.DUMMYFUNCTION("GOOGLETRANSLATE(B7364,""en"",""ja"")"),"主張")</f>
        <v>主張</v>
      </c>
    </row>
    <row r="7265" spans="1:3" ht="18" customHeight="1" x14ac:dyDescent="0.3">
      <c r="A7265" s="1">
        <v>3</v>
      </c>
      <c r="B7265" s="1" t="s">
        <v>5931</v>
      </c>
      <c r="C7265" s="1" t="str">
        <f ca="1">IFERROR(__xludf.DUMMYFUNCTION("GOOGLETRANSLATE(B7365,""en"",""ja"")"),"小文字を区別しません")</f>
        <v>小文字を区別しません</v>
      </c>
    </row>
    <row r="7266" spans="1:3" ht="18" customHeight="1" x14ac:dyDescent="0.3">
      <c r="A7266" s="1">
        <v>3</v>
      </c>
      <c r="B7266" s="1" t="s">
        <v>5932</v>
      </c>
      <c r="C7266" s="1" t="str">
        <f ca="1">IFERROR(__xludf.DUMMYFUNCTION("GOOGLETRANSLATE(B7366,""en"",""ja"")"),"イノベーター")</f>
        <v>イノベーター</v>
      </c>
    </row>
    <row r="7267" spans="1:3" ht="18" customHeight="1" x14ac:dyDescent="0.3">
      <c r="A7267" s="1">
        <v>3</v>
      </c>
      <c r="B7267" s="1" t="s">
        <v>5933</v>
      </c>
      <c r="C7267" s="1" t="str">
        <f ca="1">IFERROR(__xludf.DUMMYFUNCTION("GOOGLETRANSLATE(B7367,""en"",""ja"")"),"イノベーター")</f>
        <v>イノベーター</v>
      </c>
    </row>
    <row r="7268" spans="1:3" ht="18" customHeight="1" x14ac:dyDescent="0.3">
      <c r="A7268" s="1">
        <v>3</v>
      </c>
      <c r="B7268" s="1" t="s">
        <v>5934</v>
      </c>
      <c r="C7268" s="1" t="str">
        <f ca="1">IFERROR(__xludf.DUMMYFUNCTION("GOOGLETRANSLATE(B7368,""en"",""ja"")"),"無実の")</f>
        <v>無実の</v>
      </c>
    </row>
    <row r="7269" spans="1:3" ht="18" customHeight="1" x14ac:dyDescent="0.3">
      <c r="A7269" s="1">
        <v>3</v>
      </c>
      <c r="B7269" s="1" t="s">
        <v>5935</v>
      </c>
      <c r="C7269" s="1" t="str">
        <f ca="1">IFERROR(__xludf.DUMMYFUNCTION("GOOGLETRANSLATE(B7369,""en"",""ja"")"),"けが")</f>
        <v>けが</v>
      </c>
    </row>
    <row r="7270" spans="1:3" ht="18" customHeight="1" x14ac:dyDescent="0.3">
      <c r="A7270" s="1">
        <v>3</v>
      </c>
      <c r="B7270" s="1" t="s">
        <v>2382</v>
      </c>
      <c r="C7270" s="1" t="str">
        <f ca="1">IFERROR(__xludf.DUMMYFUNCTION("GOOGLETRANSLATE(B7370,""en"",""ja"")"),"当初、")</f>
        <v>当初、</v>
      </c>
    </row>
    <row r="7271" spans="1:3" ht="18" customHeight="1" x14ac:dyDescent="0.3">
      <c r="A7271" s="1">
        <v>3</v>
      </c>
      <c r="B7271" s="1" t="s">
        <v>5936</v>
      </c>
      <c r="C7271" s="1" t="str">
        <f ca="1">IFERROR(__xludf.DUMMYFUNCTION("GOOGLETRANSLATE(B7371,""en"",""ja"")"),"継承")</f>
        <v>継承</v>
      </c>
    </row>
    <row r="7272" spans="1:3" ht="18" customHeight="1" x14ac:dyDescent="0.3">
      <c r="A7272" s="1">
        <v>3</v>
      </c>
      <c r="B7272" s="1" t="s">
        <v>5937</v>
      </c>
      <c r="C7272" s="1" t="str">
        <f ca="1">IFERROR(__xludf.DUMMYFUNCTION("GOOGLETRANSLATE(B7372,""en"",""ja"")"),"人が住ん")</f>
        <v>人が住ん</v>
      </c>
    </row>
    <row r="7273" spans="1:3" ht="18" customHeight="1" x14ac:dyDescent="0.3">
      <c r="A7273" s="1">
        <v>3</v>
      </c>
      <c r="B7273" s="1" t="s">
        <v>5938</v>
      </c>
      <c r="C7273" s="1" t="str">
        <f ca="1">IFERROR(__xludf.DUMMYFUNCTION("GOOGLETRANSLATE(B7373,""en"",""ja"")"),"住民")</f>
        <v>住民</v>
      </c>
    </row>
    <row r="7274" spans="1:3" ht="18" customHeight="1" x14ac:dyDescent="0.3">
      <c r="A7274" s="1">
        <v>3</v>
      </c>
      <c r="B7274" s="1" t="s">
        <v>5939</v>
      </c>
      <c r="C7274" s="1" t="str">
        <f ca="1">IFERROR(__xludf.DUMMYFUNCTION("GOOGLETRANSLATE(B7374,""en"",""ja"")"),"淡泊")</f>
        <v>淡泊</v>
      </c>
    </row>
    <row r="7275" spans="1:3" ht="18" customHeight="1" x14ac:dyDescent="0.3">
      <c r="A7275" s="1">
        <v>3</v>
      </c>
      <c r="B7275" s="1" t="s">
        <v>5940</v>
      </c>
      <c r="C7275" s="1" t="str">
        <f ca="1">IFERROR(__xludf.DUMMYFUNCTION("GOOGLETRANSLATE(B7375,""en"",""ja"")"),"非公式")</f>
        <v>非公式</v>
      </c>
    </row>
    <row r="7276" spans="1:3" ht="18" customHeight="1" x14ac:dyDescent="0.3">
      <c r="A7276" s="1">
        <v>3</v>
      </c>
      <c r="B7276" s="1" t="s">
        <v>2385</v>
      </c>
      <c r="C7276" s="1" t="str">
        <f ca="1">IFERROR(__xludf.DUMMYFUNCTION("GOOGLETRANSLATE(B7376,""en"",""ja"")"),"通知します")</f>
        <v>通知します</v>
      </c>
    </row>
    <row r="7277" spans="1:3" ht="18" customHeight="1" x14ac:dyDescent="0.3">
      <c r="A7277" s="1">
        <v>3</v>
      </c>
      <c r="B7277" s="1" t="s">
        <v>3474</v>
      </c>
      <c r="C7277" s="1" t="str">
        <f ca="1">IFERROR(__xludf.DUMMYFUNCTION("GOOGLETRANSLATE(B7377,""en"",""ja"")"),"影響力のあります")</f>
        <v>影響力のあります</v>
      </c>
    </row>
    <row r="7278" spans="1:3" ht="18" customHeight="1" x14ac:dyDescent="0.3">
      <c r="A7278" s="1">
        <v>3</v>
      </c>
      <c r="B7278" s="1" t="s">
        <v>5941</v>
      </c>
      <c r="C7278" s="1" t="str">
        <f ca="1">IFERROR(__xludf.DUMMYFUNCTION("GOOGLETRANSLATE(B7378,""en"",""ja"")"),"影響")</f>
        <v>影響</v>
      </c>
    </row>
    <row r="7279" spans="1:3" ht="18" customHeight="1" x14ac:dyDescent="0.3">
      <c r="A7279" s="1">
        <v>3</v>
      </c>
      <c r="B7279" s="1" t="s">
        <v>949</v>
      </c>
      <c r="C7279" s="1" t="str">
        <f ca="1">IFERROR(__xludf.DUMMYFUNCTION("GOOGLETRANSLATE(B7379,""en"",""ja"")"),"影響")</f>
        <v>影響</v>
      </c>
    </row>
    <row r="7280" spans="1:3" ht="18" customHeight="1" x14ac:dyDescent="0.3">
      <c r="A7280" s="1">
        <v>3</v>
      </c>
      <c r="B7280" s="1" t="s">
        <v>5942</v>
      </c>
      <c r="C7280" s="1" t="str">
        <f ca="1">IFERROR(__xludf.DUMMYFUNCTION("GOOGLETRANSLATE(B7380,""en"",""ja"")"),"劣等感")</f>
        <v>劣等感</v>
      </c>
    </row>
    <row r="7281" spans="1:3" ht="18" customHeight="1" x14ac:dyDescent="0.3">
      <c r="A7281" s="1">
        <v>3</v>
      </c>
      <c r="B7281" s="1" t="s">
        <v>4729</v>
      </c>
      <c r="C7281" s="1" t="str">
        <f ca="1">IFERROR(__xludf.DUMMYFUNCTION("GOOGLETRANSLATE(B7381,""en"",""ja"")"),"悪いです")</f>
        <v>悪いです</v>
      </c>
    </row>
    <row r="7282" spans="1:3" ht="18" customHeight="1" x14ac:dyDescent="0.3">
      <c r="A7282" s="1">
        <v>3</v>
      </c>
      <c r="B7282" s="1" t="s">
        <v>5943</v>
      </c>
      <c r="C7282" s="1" t="str">
        <f ca="1">IFERROR(__xludf.DUMMYFUNCTION("GOOGLETRANSLATE(B7382,""en"",""ja"")"),"感染")</f>
        <v>感染</v>
      </c>
    </row>
    <row r="7283" spans="1:3" ht="18" customHeight="1" x14ac:dyDescent="0.3">
      <c r="A7283" s="1">
        <v>3</v>
      </c>
      <c r="B7283" s="1" t="s">
        <v>3476</v>
      </c>
      <c r="C7283" s="1" t="str">
        <f ca="1">IFERROR(__xludf.DUMMYFUNCTION("GOOGLETRANSLATE(B7383,""en"",""ja"")"),"幼児")</f>
        <v>幼児</v>
      </c>
    </row>
    <row r="7284" spans="1:3" ht="18" customHeight="1" x14ac:dyDescent="0.3">
      <c r="A7284" s="1">
        <v>3</v>
      </c>
      <c r="B7284" s="1" t="s">
        <v>5944</v>
      </c>
      <c r="C7284" s="1" t="str">
        <f ca="1">IFERROR(__xludf.DUMMYFUNCTION("GOOGLETRANSLATE(B7384,""en"",""ja"")"),"工業化")</f>
        <v>工業化</v>
      </c>
    </row>
    <row r="7285" spans="1:3" ht="18" customHeight="1" x14ac:dyDescent="0.3">
      <c r="A7285" s="1">
        <v>3</v>
      </c>
      <c r="B7285" s="1" t="s">
        <v>1458</v>
      </c>
      <c r="C7285" s="1" t="str">
        <f ca="1">IFERROR(__xludf.DUMMYFUNCTION("GOOGLETRANSLATE(B7385,""en"",""ja"")"),"産業化")</f>
        <v>産業化</v>
      </c>
    </row>
    <row r="7286" spans="1:3" ht="18" customHeight="1" x14ac:dyDescent="0.3">
      <c r="A7286" s="1">
        <v>3</v>
      </c>
      <c r="B7286" s="1" t="s">
        <v>3478</v>
      </c>
      <c r="C7286" s="1" t="str">
        <f ca="1">IFERROR(__xludf.DUMMYFUNCTION("GOOGLETRANSLATE(B7386,""en"",""ja"")"),"屋内")</f>
        <v>屋内</v>
      </c>
    </row>
    <row r="7287" spans="1:3" ht="18" customHeight="1" x14ac:dyDescent="0.3">
      <c r="A7287" s="1">
        <v>3</v>
      </c>
      <c r="B7287" s="1" t="s">
        <v>5945</v>
      </c>
      <c r="C7287" s="1" t="str">
        <f ca="1">IFERROR(__xludf.DUMMYFUNCTION("GOOGLETRANSLATE(B7387,""en"",""ja"")"),"インドネシア")</f>
        <v>インドネシア</v>
      </c>
    </row>
    <row r="7288" spans="1:3" ht="18" customHeight="1" x14ac:dyDescent="0.3">
      <c r="A7288" s="1">
        <v>3</v>
      </c>
      <c r="B7288" s="1" t="s">
        <v>5946</v>
      </c>
      <c r="C7288" s="1" t="str">
        <f ca="1">IFERROR(__xludf.DUMMYFUNCTION("GOOGLETRANSLATE(B7388,""en"",""ja"")"),"インド")</f>
        <v>インド</v>
      </c>
    </row>
    <row r="7289" spans="1:3" ht="18" customHeight="1" x14ac:dyDescent="0.3">
      <c r="A7289" s="1">
        <v>3</v>
      </c>
      <c r="B7289" s="1" t="s">
        <v>5947</v>
      </c>
      <c r="C7289" s="1" t="str">
        <f ca="1">IFERROR(__xludf.DUMMYFUNCTION("GOOGLETRANSLATE(B7389,""en"",""ja"")"),"個人的")</f>
        <v>個人的</v>
      </c>
    </row>
    <row r="7290" spans="1:3" ht="18" customHeight="1" x14ac:dyDescent="0.3">
      <c r="A7290" s="1">
        <v>3</v>
      </c>
      <c r="B7290" s="1" t="s">
        <v>2387</v>
      </c>
      <c r="C7290" s="1" t="str">
        <f ca="1">IFERROR(__xludf.DUMMYFUNCTION("GOOGLETRANSLATE(B7390,""en"",""ja"")"),"個人主義")</f>
        <v>個人主義</v>
      </c>
    </row>
    <row r="7291" spans="1:3" ht="18" customHeight="1" x14ac:dyDescent="0.3">
      <c r="A7291" s="1">
        <v>3</v>
      </c>
      <c r="B7291" s="1" t="s">
        <v>5948</v>
      </c>
      <c r="C7291" s="1" t="str">
        <f ca="1">IFERROR(__xludf.DUMMYFUNCTION("GOOGLETRANSLATE(B7391,""en"",""ja"")"),"個々の")</f>
        <v>個々の</v>
      </c>
    </row>
    <row r="7292" spans="1:3" ht="18" customHeight="1" x14ac:dyDescent="0.3">
      <c r="A7292" s="1">
        <v>3</v>
      </c>
      <c r="B7292" s="1" t="s">
        <v>5949</v>
      </c>
      <c r="C7292" s="1" t="str">
        <f ca="1">IFERROR(__xludf.DUMMYFUNCTION("GOOGLETRANSLATE(B7392,""en"",""ja"")"),"不可欠")</f>
        <v>不可欠</v>
      </c>
    </row>
    <row r="7293" spans="1:3" ht="18" customHeight="1" x14ac:dyDescent="0.3">
      <c r="A7293" s="1">
        <v>3</v>
      </c>
      <c r="B7293" s="1" t="s">
        <v>5950</v>
      </c>
      <c r="C7293" s="1" t="str">
        <f ca="1">IFERROR(__xludf.DUMMYFUNCTION("GOOGLETRANSLATE(B7393,""en"",""ja"")"),"無闇に")</f>
        <v>無闇に</v>
      </c>
    </row>
    <row r="7294" spans="1:3" ht="18" customHeight="1" x14ac:dyDescent="0.3">
      <c r="A7294" s="1">
        <v>3</v>
      </c>
      <c r="B7294" s="1" t="s">
        <v>2676</v>
      </c>
      <c r="C7294" s="1" t="str">
        <f ca="1">IFERROR(__xludf.DUMMYFUNCTION("GOOGLETRANSLATE(B7394,""en"",""ja"")"),"無関心")</f>
        <v>無関心</v>
      </c>
    </row>
    <row r="7295" spans="1:3" ht="18" customHeight="1" x14ac:dyDescent="0.3">
      <c r="A7295" s="1">
        <v>3</v>
      </c>
      <c r="B7295" s="1" t="s">
        <v>5951</v>
      </c>
      <c r="C7295" s="1" t="str">
        <f ca="1">IFERROR(__xludf.DUMMYFUNCTION("GOOGLETRANSLATE(B7395,""en"",""ja"")"),"お世話")</f>
        <v>お世話</v>
      </c>
    </row>
    <row r="7296" spans="1:3" ht="18" customHeight="1" x14ac:dyDescent="0.3">
      <c r="A7296" s="1">
        <v>3</v>
      </c>
      <c r="B7296" s="1" t="s">
        <v>5952</v>
      </c>
      <c r="C7296" s="1" t="str">
        <f ca="1">IFERROR(__xludf.DUMMYFUNCTION("GOOGLETRANSLATE(B7396,""en"",""ja"")"),"inculcates")</f>
        <v>inculcates</v>
      </c>
    </row>
    <row r="7297" spans="1:3" ht="18" customHeight="1" x14ac:dyDescent="0.3">
      <c r="A7297" s="1">
        <v>3</v>
      </c>
      <c r="B7297" s="1" t="s">
        <v>5953</v>
      </c>
      <c r="C7297" s="1" t="str">
        <f ca="1">IFERROR(__xludf.DUMMYFUNCTION("GOOGLETRANSLATE(B7397,""en"",""ja"")"),"信じられないほど")</f>
        <v>信じられないほど</v>
      </c>
    </row>
    <row r="7298" spans="1:3" ht="18" customHeight="1" x14ac:dyDescent="0.3">
      <c r="A7298" s="1">
        <v>3</v>
      </c>
      <c r="B7298" s="1" t="s">
        <v>1006</v>
      </c>
      <c r="C7298" s="1" t="str">
        <f ca="1">IFERROR(__xludf.DUMMYFUNCTION("GOOGLETRANSLATE(B7398,""en"",""ja"")"),"ますます")</f>
        <v>ますます</v>
      </c>
    </row>
    <row r="7299" spans="1:3" ht="18" customHeight="1" x14ac:dyDescent="0.3">
      <c r="A7299" s="1">
        <v>3</v>
      </c>
      <c r="B7299" s="1" t="s">
        <v>5954</v>
      </c>
      <c r="C7299" s="1" t="str">
        <f ca="1">IFERROR(__xludf.DUMMYFUNCTION("GOOGLETRANSLATE(B7399,""en"",""ja"")"),"組み込ん")</f>
        <v>組み込ん</v>
      </c>
    </row>
    <row r="7300" spans="1:3" ht="18" customHeight="1" x14ac:dyDescent="0.3">
      <c r="A7300" s="1">
        <v>3</v>
      </c>
      <c r="B7300" s="1" t="s">
        <v>5955</v>
      </c>
      <c r="C7300" s="1" t="str">
        <f ca="1">IFERROR(__xludf.DUMMYFUNCTION("GOOGLETRANSLATE(B7401,""en"",""ja"")"),"不全")</f>
        <v>不全</v>
      </c>
    </row>
    <row r="7301" spans="1:3" ht="18" customHeight="1" x14ac:dyDescent="0.3">
      <c r="A7301" s="1">
        <v>3</v>
      </c>
      <c r="B7301" s="1" t="s">
        <v>5956</v>
      </c>
      <c r="C7301" s="1" t="str">
        <f ca="1">IFERROR(__xludf.DUMMYFUNCTION("GOOGLETRANSLATE(B7402,""en"",""ja"")"),"無能")</f>
        <v>無能</v>
      </c>
    </row>
    <row r="7302" spans="1:3" ht="18" customHeight="1" x14ac:dyDescent="0.3">
      <c r="A7302" s="1">
        <v>3</v>
      </c>
      <c r="B7302" s="1" t="s">
        <v>5957</v>
      </c>
      <c r="C7302" s="1" t="str">
        <f ca="1">IFERROR(__xludf.DUMMYFUNCTION("GOOGLETRANSLATE(B7403,""en"",""ja"")"),"収入")</f>
        <v>収入</v>
      </c>
    </row>
    <row r="7303" spans="1:3" ht="18" customHeight="1" x14ac:dyDescent="0.3">
      <c r="A7303" s="1">
        <v>3</v>
      </c>
      <c r="B7303" s="1" t="s">
        <v>5958</v>
      </c>
      <c r="C7303" s="1" t="str">
        <f ca="1">IFERROR(__xludf.DUMMYFUNCTION("GOOGLETRANSLATE(B7404,""en"",""ja"")"),"惨いです")</f>
        <v>惨いです</v>
      </c>
    </row>
    <row r="7304" spans="1:3" ht="18" customHeight="1" x14ac:dyDescent="0.3">
      <c r="A7304" s="1">
        <v>3</v>
      </c>
      <c r="B7304" s="1" t="s">
        <v>5959</v>
      </c>
      <c r="C7304" s="1" t="str">
        <f ca="1">IFERROR(__xludf.DUMMYFUNCTION("GOOGLETRANSLATE(B7405,""en"",""ja"")"),"絶え間ありません")</f>
        <v>絶え間ありません</v>
      </c>
    </row>
    <row r="7305" spans="1:3" ht="18" customHeight="1" x14ac:dyDescent="0.3">
      <c r="A7305" s="1">
        <v>3</v>
      </c>
      <c r="B7305" s="1" t="s">
        <v>5960</v>
      </c>
      <c r="C7305" s="1" t="str">
        <f ca="1">IFERROR(__xludf.DUMMYFUNCTION("GOOGLETRANSLATE(B7406,""en"",""ja"")"),"開始")</f>
        <v>開始</v>
      </c>
    </row>
    <row r="7306" spans="1:3" ht="18" customHeight="1" x14ac:dyDescent="0.3">
      <c r="A7306" s="1">
        <v>3</v>
      </c>
      <c r="B7306" s="1" t="s">
        <v>5961</v>
      </c>
      <c r="C7306" s="1" t="str">
        <f ca="1">IFERROR(__xludf.DUMMYFUNCTION("GOOGLETRANSLATE(B7407,""en"",""ja"")"),"インセンティブ")</f>
        <v>インセンティブ</v>
      </c>
    </row>
    <row r="7307" spans="1:3" ht="18" customHeight="1" x14ac:dyDescent="0.3">
      <c r="A7307" s="1">
        <v>3</v>
      </c>
      <c r="B7307" s="1" t="s">
        <v>5962</v>
      </c>
      <c r="C7307" s="1" t="str">
        <f ca="1">IFERROR(__xludf.DUMMYFUNCTION("GOOGLETRANSLATE(B7408,""en"",""ja"")"),"動機")</f>
        <v>動機</v>
      </c>
    </row>
    <row r="7308" spans="1:3" ht="18" customHeight="1" x14ac:dyDescent="0.3">
      <c r="A7308" s="1">
        <v>3</v>
      </c>
      <c r="B7308" s="1" t="s">
        <v>5963</v>
      </c>
      <c r="C7308" s="1" t="str">
        <f ca="1">IFERROR(__xludf.DUMMYFUNCTION("GOOGLETRANSLATE(B7409,""en"",""ja"")"),"無能力")</f>
        <v>無能力</v>
      </c>
    </row>
    <row r="7309" spans="1:3" ht="18" customHeight="1" x14ac:dyDescent="0.3">
      <c r="A7309" s="1">
        <v>3</v>
      </c>
      <c r="B7309" s="1" t="s">
        <v>5964</v>
      </c>
      <c r="C7309" s="1" t="str">
        <f ca="1">IFERROR(__xludf.DUMMYFUNCTION("GOOGLETRANSLATE(B7410,""en"",""ja"")"),"だけれども")</f>
        <v>だけれども</v>
      </c>
    </row>
    <row r="7310" spans="1:3" ht="18" customHeight="1" x14ac:dyDescent="0.3">
      <c r="A7310" s="1">
        <v>3</v>
      </c>
      <c r="B7310" s="1" t="s">
        <v>5965</v>
      </c>
      <c r="C7310" s="1" t="str">
        <f ca="1">IFERROR(__xludf.DUMMYFUNCTION("GOOGLETRANSLATE(B7411,""en"",""ja"")"),"無生物")</f>
        <v>無生物</v>
      </c>
    </row>
    <row r="7311" spans="1:3" ht="18" customHeight="1" x14ac:dyDescent="0.3">
      <c r="A7311" s="1">
        <v>3</v>
      </c>
      <c r="B7311" s="1" t="s">
        <v>5966</v>
      </c>
      <c r="C7311" s="1" t="str">
        <f ca="1">IFERROR(__xludf.DUMMYFUNCTION("GOOGLETRANSLATE(B7412,""en"",""ja"")"),"不十分な")</f>
        <v>不十分な</v>
      </c>
    </row>
    <row r="7312" spans="1:3" ht="18" customHeight="1" x14ac:dyDescent="0.3">
      <c r="A7312" s="1">
        <v>3</v>
      </c>
      <c r="B7312" s="1" t="s">
        <v>5967</v>
      </c>
      <c r="C7312" s="1" t="str">
        <f ca="1">IFERROR(__xludf.DUMMYFUNCTION("GOOGLETRANSLATE(B7413,""en"",""ja"")"),"即興")</f>
        <v>即興</v>
      </c>
    </row>
    <row r="7313" spans="1:3" ht="18" customHeight="1" x14ac:dyDescent="0.3">
      <c r="A7313" s="1">
        <v>3</v>
      </c>
      <c r="B7313" s="1" t="s">
        <v>5968</v>
      </c>
      <c r="C7313" s="1" t="str">
        <f ca="1">IFERROR(__xludf.DUMMYFUNCTION("GOOGLETRANSLATE(B7414,""en"",""ja"")"),"即興")</f>
        <v>即興</v>
      </c>
    </row>
    <row r="7314" spans="1:3" ht="18" customHeight="1" x14ac:dyDescent="0.3">
      <c r="A7314" s="1">
        <v>3</v>
      </c>
      <c r="B7314" s="1" t="s">
        <v>5969</v>
      </c>
      <c r="C7314" s="1" t="str">
        <f ca="1">IFERROR(__xludf.DUMMYFUNCTION("GOOGLETRANSLATE(B7415,""en"",""ja"")"),"改善")</f>
        <v>改善</v>
      </c>
    </row>
    <row r="7315" spans="1:3" ht="18" customHeight="1" x14ac:dyDescent="0.3">
      <c r="A7315" s="1">
        <v>3</v>
      </c>
      <c r="B7315" s="1" t="s">
        <v>4741</v>
      </c>
      <c r="C7315" s="1" t="str">
        <f ca="1">IFERROR(__xludf.DUMMYFUNCTION("GOOGLETRANSLATE(B7416,""en"",""ja"")"),"改善")</f>
        <v>改善</v>
      </c>
    </row>
    <row r="7316" spans="1:3" ht="18" customHeight="1" x14ac:dyDescent="0.3">
      <c r="A7316" s="1">
        <v>3</v>
      </c>
      <c r="B7316" s="1" t="s">
        <v>5970</v>
      </c>
      <c r="C7316" s="1" t="str">
        <f ca="1">IFERROR(__xludf.DUMMYFUNCTION("GOOGLETRANSLATE(B7417,""en"",""ja"")"),"堂々")</f>
        <v>堂々</v>
      </c>
    </row>
    <row r="7317" spans="1:3" ht="18" customHeight="1" x14ac:dyDescent="0.3">
      <c r="A7317" s="1">
        <v>3</v>
      </c>
      <c r="B7317" s="1" t="s">
        <v>5971</v>
      </c>
      <c r="C7317" s="1" t="str">
        <f ca="1">IFERROR(__xludf.DUMMYFUNCTION("GOOGLETRANSLATE(B7418,""en"",""ja"")"),"非人間的")</f>
        <v>非人間的</v>
      </c>
    </row>
    <row r="7318" spans="1:3" ht="18" customHeight="1" x14ac:dyDescent="0.3">
      <c r="A7318" s="1">
        <v>3</v>
      </c>
      <c r="B7318" s="1" t="s">
        <v>5972</v>
      </c>
      <c r="C7318" s="1" t="str">
        <f ca="1">IFERROR(__xludf.DUMMYFUNCTION("GOOGLETRANSLATE(B7419,""en"",""ja"")"),"帝国主義")</f>
        <v>帝国主義</v>
      </c>
    </row>
    <row r="7319" spans="1:3" ht="18" customHeight="1" x14ac:dyDescent="0.3">
      <c r="A7319" s="1">
        <v>3</v>
      </c>
      <c r="B7319" s="1" t="s">
        <v>5973</v>
      </c>
      <c r="C7319" s="1" t="str">
        <f ca="1">IFERROR(__xludf.DUMMYFUNCTION("GOOGLETRANSLATE(B7420,""en"",""ja"")"),"非常に")</f>
        <v>非常に</v>
      </c>
    </row>
    <row r="7320" spans="1:3" ht="18" customHeight="1" x14ac:dyDescent="0.3">
      <c r="A7320" s="1">
        <v>3</v>
      </c>
      <c r="B7320" s="1" t="s">
        <v>5974</v>
      </c>
      <c r="C7320" s="1" t="str">
        <f ca="1">IFERROR(__xludf.DUMMYFUNCTION("GOOGLETRANSLATE(B7421,""en"",""ja"")"),"即時性")</f>
        <v>即時性</v>
      </c>
    </row>
    <row r="7321" spans="1:3" ht="18" customHeight="1" x14ac:dyDescent="0.3">
      <c r="A7321" s="1">
        <v>3</v>
      </c>
      <c r="B7321" s="1" t="s">
        <v>5975</v>
      </c>
      <c r="C7321" s="1" t="str">
        <f ca="1">IFERROR(__xludf.DUMMYFUNCTION("GOOGLETRANSLATE(B7422,""en"",""ja"")"),"計り知れません")</f>
        <v>計り知れません</v>
      </c>
    </row>
    <row r="7322" spans="1:3" ht="18" customHeight="1" x14ac:dyDescent="0.3">
      <c r="A7322" s="1">
        <v>3</v>
      </c>
      <c r="B7322" s="1" t="s">
        <v>4018</v>
      </c>
      <c r="C7322" s="1" t="str">
        <f ca="1">IFERROR(__xludf.DUMMYFUNCTION("GOOGLETRANSLATE(B7423,""en"",""ja"")"),"模倣者")</f>
        <v>模倣者</v>
      </c>
    </row>
    <row r="7323" spans="1:3" ht="18" customHeight="1" x14ac:dyDescent="0.3">
      <c r="A7323" s="1">
        <v>3</v>
      </c>
      <c r="B7323" s="1" t="s">
        <v>4019</v>
      </c>
      <c r="C7323" s="1" t="str">
        <f ca="1">IFERROR(__xludf.DUMMYFUNCTION("GOOGLETRANSLATE(B7424,""en"",""ja"")"),"想像力")</f>
        <v>想像力</v>
      </c>
    </row>
    <row r="7324" spans="1:3" ht="18" customHeight="1" x14ac:dyDescent="0.3">
      <c r="A7324" s="1">
        <v>3</v>
      </c>
      <c r="B7324" s="1" t="s">
        <v>5976</v>
      </c>
      <c r="C7324" s="1" t="str">
        <f ca="1">IFERROR(__xludf.DUMMYFUNCTION("GOOGLETRANSLATE(B7425,""en"",""ja"")"),"虚")</f>
        <v>虚</v>
      </c>
    </row>
    <row r="7325" spans="1:3" ht="18" customHeight="1" x14ac:dyDescent="0.3">
      <c r="A7325" s="1">
        <v>3</v>
      </c>
      <c r="B7325" s="1" t="s">
        <v>5977</v>
      </c>
      <c r="C7325" s="1" t="str">
        <f ca="1">IFERROR(__xludf.DUMMYFUNCTION("GOOGLETRANSLATE(B7426,""en"",""ja"")"),"イム")</f>
        <v>イム</v>
      </c>
    </row>
    <row r="7326" spans="1:3" ht="18" customHeight="1" x14ac:dyDescent="0.3">
      <c r="A7326" s="1">
        <v>3</v>
      </c>
      <c r="B7326" s="1" t="s">
        <v>5978</v>
      </c>
      <c r="C7326" s="1" t="str">
        <f ca="1">IFERROR(__xludf.DUMMYFUNCTION("GOOGLETRANSLATE(B7427,""en"",""ja"")"),"照明")</f>
        <v>照明</v>
      </c>
    </row>
    <row r="7327" spans="1:3" ht="18" customHeight="1" x14ac:dyDescent="0.3">
      <c r="A7327" s="1">
        <v>3</v>
      </c>
      <c r="B7327" s="1" t="s">
        <v>5979</v>
      </c>
      <c r="C7327" s="1" t="str">
        <f ca="1">IFERROR(__xludf.DUMMYFUNCTION("GOOGLETRANSLATE(B7428,""en"",""ja"")"),"病気")</f>
        <v>病気</v>
      </c>
    </row>
    <row r="7328" spans="1:3" ht="18" customHeight="1" x14ac:dyDescent="0.3">
      <c r="A7328" s="1">
        <v>3</v>
      </c>
      <c r="B7328" s="1" t="s">
        <v>5980</v>
      </c>
      <c r="C7328" s="1" t="str">
        <f ca="1">IFERROR(__xludf.DUMMYFUNCTION("GOOGLETRANSLATE(B7429,""en"",""ja"")"),"違法")</f>
        <v>違法</v>
      </c>
    </row>
    <row r="7329" spans="1:3" ht="18" customHeight="1" x14ac:dyDescent="0.3">
      <c r="A7329" s="1">
        <v>3</v>
      </c>
      <c r="B7329" s="1" t="s">
        <v>5981</v>
      </c>
      <c r="C7329" s="1" t="str">
        <f ca="1">IFERROR(__xludf.DUMMYFUNCTION("GOOGLETRANSLATE(B7430,""en"",""ja"")"),"特定可能")</f>
        <v>特定可能</v>
      </c>
    </row>
    <row r="7330" spans="1:3" ht="18" customHeight="1" x14ac:dyDescent="0.3">
      <c r="A7330" s="1">
        <v>3</v>
      </c>
      <c r="B7330" s="1" t="s">
        <v>5982</v>
      </c>
      <c r="C7330" s="1" t="str">
        <f ca="1">IFERROR(__xludf.DUMMYFUNCTION("GOOGLETRANSLATE(B7431,""en"",""ja"")"),"アイム")</f>
        <v>アイム</v>
      </c>
    </row>
    <row r="7331" spans="1:3" ht="18" customHeight="1" x14ac:dyDescent="0.3">
      <c r="A7331" s="1">
        <v>3</v>
      </c>
      <c r="B7331" s="1" t="s">
        <v>5983</v>
      </c>
      <c r="C7331" s="1" t="str">
        <f ca="1">IFERROR(__xludf.DUMMYFUNCTION("GOOGLETRANSLATE(B7432,""en"",""ja"")"),"仮説を立てます")</f>
        <v>仮説を立てます</v>
      </c>
    </row>
    <row r="7332" spans="1:3" ht="18" customHeight="1" x14ac:dyDescent="0.3">
      <c r="A7332" s="1">
        <v>3</v>
      </c>
      <c r="B7332" s="1" t="s">
        <v>5984</v>
      </c>
      <c r="C7332" s="1" t="str">
        <f ca="1">IFERROR(__xludf.DUMMYFUNCTION("GOOGLETRANSLATE(B7433,""en"",""ja"")"),"hyperparents")</f>
        <v>hyperparents</v>
      </c>
    </row>
    <row r="7333" spans="1:3" ht="18" customHeight="1" x14ac:dyDescent="0.3">
      <c r="A7333" s="1">
        <v>3</v>
      </c>
      <c r="B7333" s="1" t="s">
        <v>5985</v>
      </c>
      <c r="C7333" s="1" t="str">
        <f ca="1">IFERROR(__xludf.DUMMYFUNCTION("GOOGLETRANSLATE(B7434,""en"",""ja"")"),"hyperparent")</f>
        <v>hyperparent</v>
      </c>
    </row>
    <row r="7334" spans="1:3" ht="18" customHeight="1" x14ac:dyDescent="0.3">
      <c r="A7334" s="1">
        <v>3</v>
      </c>
      <c r="B7334" s="1" t="s">
        <v>3017</v>
      </c>
      <c r="C7334" s="1" t="str">
        <f ca="1">IFERROR(__xludf.DUMMYFUNCTION("GOOGLETRANSLATE(B7435,""en"",""ja"")"),"傷つい")</f>
        <v>傷つい</v>
      </c>
    </row>
    <row r="7335" spans="1:3" ht="18" customHeight="1" x14ac:dyDescent="0.3">
      <c r="A7335" s="1">
        <v>3</v>
      </c>
      <c r="B7335" s="1" t="s">
        <v>5986</v>
      </c>
      <c r="C7335" s="1" t="str">
        <f ca="1">IFERROR(__xludf.DUMMYFUNCTION("GOOGLETRANSLATE(B7436,""en"",""ja"")"),"謙虚")</f>
        <v>謙虚</v>
      </c>
    </row>
    <row r="7336" spans="1:3" ht="18" customHeight="1" x14ac:dyDescent="0.3">
      <c r="A7336" s="1">
        <v>3</v>
      </c>
      <c r="B7336" s="1" t="s">
        <v>5987</v>
      </c>
      <c r="C7336" s="1" t="str">
        <f ca="1">IFERROR(__xludf.DUMMYFUNCTION("GOOGLETRANSLATE(B7437,""en"",""ja"")"),"蒸し暑いです")</f>
        <v>蒸し暑いです</v>
      </c>
    </row>
    <row r="7337" spans="1:3" ht="18" customHeight="1" x14ac:dyDescent="0.3">
      <c r="A7337" s="1">
        <v>3</v>
      </c>
      <c r="B7337" s="1" t="s">
        <v>5988</v>
      </c>
      <c r="C7337" s="1" t="str">
        <f ca="1">IFERROR(__xludf.DUMMYFUNCTION("GOOGLETRANSLATE(B7438,""en"",""ja"")"),"つつましいです")</f>
        <v>つつましいです</v>
      </c>
    </row>
    <row r="7338" spans="1:3" ht="18" customHeight="1" x14ac:dyDescent="0.3">
      <c r="A7338" s="1">
        <v>3</v>
      </c>
      <c r="B7338" s="1" t="s">
        <v>5989</v>
      </c>
      <c r="C7338" s="1" t="str">
        <f ca="1">IFERROR(__xludf.DUMMYFUNCTION("GOOGLETRANSLATE(B7439,""en"",""ja"")"),"人類")</f>
        <v>人類</v>
      </c>
    </row>
    <row r="7339" spans="1:3" ht="18" customHeight="1" x14ac:dyDescent="0.3">
      <c r="A7339" s="1">
        <v>3</v>
      </c>
      <c r="B7339" s="1" t="s">
        <v>5990</v>
      </c>
      <c r="C7339" s="1" t="str">
        <f ca="1">IFERROR(__xludf.DUMMYFUNCTION("GOOGLETRANSLATE(B7440,""en"",""ja"")"),"ヒューマニズム")</f>
        <v>ヒューマニズム</v>
      </c>
    </row>
    <row r="7340" spans="1:3" ht="18" customHeight="1" x14ac:dyDescent="0.3">
      <c r="A7340" s="1">
        <v>3</v>
      </c>
      <c r="B7340" s="1" t="s">
        <v>5991</v>
      </c>
      <c r="C7340" s="1" t="str">
        <f ca="1">IFERROR(__xludf.DUMMYFUNCTION("GOOGLETRANSLATE(B7441,""en"",""ja"")"),"非常")</f>
        <v>非常</v>
      </c>
    </row>
    <row r="7341" spans="1:3" ht="18" customHeight="1" x14ac:dyDescent="0.3">
      <c r="A7341" s="1">
        <v>3</v>
      </c>
      <c r="B7341" s="1" t="s">
        <v>5992</v>
      </c>
      <c r="C7341" s="1" t="str">
        <f ca="1">IFERROR(__xludf.DUMMYFUNCTION("GOOGLETRANSLATE(B7442,""en"",""ja"")"),"巨大な")</f>
        <v>巨大な</v>
      </c>
    </row>
    <row r="7342" spans="1:3" ht="18" customHeight="1" x14ac:dyDescent="0.3">
      <c r="A7342" s="1">
        <v>3</v>
      </c>
      <c r="B7342" s="1" t="s">
        <v>3490</v>
      </c>
      <c r="C7342" s="1" t="str">
        <f ca="1">IFERROR(__xludf.DUMMYFUNCTION("GOOGLETRANSLATE(B7443,""en"",""ja"")"),"HTML")</f>
        <v>HTML</v>
      </c>
    </row>
    <row r="7343" spans="1:3" ht="18" customHeight="1" x14ac:dyDescent="0.3">
      <c r="A7343" s="1">
        <v>3</v>
      </c>
      <c r="B7343" s="1" t="s">
        <v>87</v>
      </c>
      <c r="C7343" s="1" t="str">
        <f ca="1">IFERROR(__xludf.DUMMYFUNCTION("GOOGLETRANSLATE(B7444,""en"",""ja"")"),"しかしながら")</f>
        <v>しかしながら</v>
      </c>
    </row>
    <row r="7344" spans="1:3" ht="18" customHeight="1" x14ac:dyDescent="0.3">
      <c r="A7344" s="1">
        <v>3</v>
      </c>
      <c r="B7344" s="1" t="s">
        <v>4022</v>
      </c>
      <c r="C7344" s="1" t="str">
        <f ca="1">IFERROR(__xludf.DUMMYFUNCTION("GOOGLETRANSLATE(B7445,""en"",""ja"")"),"毎時")</f>
        <v>毎時</v>
      </c>
    </row>
    <row r="7345" spans="1:3" ht="18" customHeight="1" x14ac:dyDescent="0.3">
      <c r="A7345" s="1">
        <v>3</v>
      </c>
      <c r="B7345" s="1" t="s">
        <v>4765</v>
      </c>
      <c r="C7345" s="1" t="str">
        <f ca="1">IFERROR(__xludf.DUMMYFUNCTION("GOOGLETRANSLATE(B7446,""en"",""ja"")"),"ホーン")</f>
        <v>ホーン</v>
      </c>
    </row>
    <row r="7346" spans="1:3" ht="18" customHeight="1" x14ac:dyDescent="0.3">
      <c r="A7346" s="1">
        <v>3</v>
      </c>
      <c r="B7346" s="1" t="s">
        <v>5993</v>
      </c>
      <c r="C7346" s="1" t="str">
        <f ca="1">IFERROR(__xludf.DUMMYFUNCTION("GOOGLETRANSLATE(B7447,""en"",""ja"")"),"水平な")</f>
        <v>水平な</v>
      </c>
    </row>
    <row r="7347" spans="1:3" ht="18" customHeight="1" x14ac:dyDescent="0.3">
      <c r="A7347" s="1">
        <v>3</v>
      </c>
      <c r="B7347" s="1" t="s">
        <v>5994</v>
      </c>
      <c r="C7347" s="1" t="str">
        <f ca="1">IFERROR(__xludf.DUMMYFUNCTION("GOOGLETRANSLATE(B7448,""en"",""ja"")"),"希望")</f>
        <v>希望</v>
      </c>
    </row>
    <row r="7348" spans="1:3" ht="18" customHeight="1" x14ac:dyDescent="0.3">
      <c r="A7348" s="1">
        <v>3</v>
      </c>
      <c r="B7348" s="1" t="s">
        <v>5995</v>
      </c>
      <c r="C7348" s="1" t="str">
        <f ca="1">IFERROR(__xludf.DUMMYFUNCTION("GOOGLETRANSLATE(B7449,""en"",""ja"")"),"望みました")</f>
        <v>望みました</v>
      </c>
    </row>
    <row r="7349" spans="1:3" ht="18" customHeight="1" x14ac:dyDescent="0.3">
      <c r="A7349" s="1">
        <v>3</v>
      </c>
      <c r="B7349" s="1" t="s">
        <v>5996</v>
      </c>
      <c r="C7349" s="1" t="str">
        <f ca="1">IFERROR(__xludf.DUMMYFUNCTION("GOOGLETRANSLATE(B7450,""en"",""ja"")"),"名誉")</f>
        <v>名誉</v>
      </c>
    </row>
    <row r="7350" spans="1:3" ht="18" customHeight="1" x14ac:dyDescent="0.3">
      <c r="A7350" s="1">
        <v>3</v>
      </c>
      <c r="B7350" s="1" t="s">
        <v>5997</v>
      </c>
      <c r="C7350" s="1" t="str">
        <f ca="1">IFERROR(__xludf.DUMMYFUNCTION("GOOGLETRANSLATE(B7451,""en"",""ja"")"),"同種の")</f>
        <v>同種の</v>
      </c>
    </row>
    <row r="7351" spans="1:3" ht="18" customHeight="1" x14ac:dyDescent="0.3">
      <c r="A7351" s="1">
        <v>3</v>
      </c>
      <c r="B7351" s="1" t="s">
        <v>5998</v>
      </c>
      <c r="C7351" s="1" t="str">
        <f ca="1">IFERROR(__xludf.DUMMYFUNCTION("GOOGLETRANSLATE(B7452,""en"",""ja"")"),"休日")</f>
        <v>休日</v>
      </c>
    </row>
    <row r="7352" spans="1:3" ht="18" customHeight="1" x14ac:dyDescent="0.3">
      <c r="A7352" s="1">
        <v>3</v>
      </c>
      <c r="B7352" s="1" t="s">
        <v>5999</v>
      </c>
      <c r="C7352" s="1" t="str">
        <f ca="1">IFERROR(__xludf.DUMMYFUNCTION("GOOGLETRANSLATE(B7453,""en"",""ja"")"),"ホールドオーバ")</f>
        <v>ホールドオーバ</v>
      </c>
    </row>
    <row r="7353" spans="1:3" ht="18" customHeight="1" x14ac:dyDescent="0.3">
      <c r="A7353" s="1">
        <v>3</v>
      </c>
      <c r="B7353" s="1" t="s">
        <v>6000</v>
      </c>
      <c r="C7353" s="1" t="str">
        <f ca="1">IFERROR(__xludf.DUMMYFUNCTION("GOOGLETRANSLATE(B7454,""en"",""ja"")"),"ホ")</f>
        <v>ホ</v>
      </c>
    </row>
    <row r="7354" spans="1:3" ht="18" customHeight="1" x14ac:dyDescent="0.3">
      <c r="A7354" s="1">
        <v>3</v>
      </c>
      <c r="B7354" s="1" t="s">
        <v>6001</v>
      </c>
      <c r="C7354" s="1" t="str">
        <f ca="1">IFERROR(__xludf.DUMMYFUNCTION("GOOGLETRANSLATE(B7455,""en"",""ja"")"),"これまで")</f>
        <v>これまで</v>
      </c>
    </row>
    <row r="7355" spans="1:3" ht="18" customHeight="1" x14ac:dyDescent="0.3">
      <c r="A7355" s="1">
        <v>3</v>
      </c>
      <c r="B7355" s="1" t="s">
        <v>6002</v>
      </c>
      <c r="C7355" s="1" t="str">
        <f ca="1">IFERROR(__xludf.DUMMYFUNCTION("GOOGLETRANSLATE(B7456,""en"",""ja"")"),"履歴")</f>
        <v>履歴</v>
      </c>
    </row>
    <row r="7356" spans="1:3" ht="18" customHeight="1" x14ac:dyDescent="0.3">
      <c r="A7356" s="1">
        <v>3</v>
      </c>
      <c r="B7356" s="1" t="s">
        <v>6003</v>
      </c>
      <c r="C7356" s="1" t="str">
        <f ca="1">IFERROR(__xludf.DUMMYFUNCTION("GOOGLETRANSLATE(B7457,""en"",""ja"")"),"ヒント")</f>
        <v>ヒント</v>
      </c>
    </row>
    <row r="7357" spans="1:3" ht="18" customHeight="1" x14ac:dyDescent="0.3">
      <c r="A7357" s="1">
        <v>3</v>
      </c>
      <c r="B7357" s="1" t="s">
        <v>6004</v>
      </c>
      <c r="C7357" s="1" t="str">
        <f ca="1">IFERROR(__xludf.DUMMYFUNCTION("GOOGLETRANSLATE(B7458,""en"",""ja"")"),"ヒマラヤ")</f>
        <v>ヒマラヤ</v>
      </c>
    </row>
    <row r="7358" spans="1:3" ht="18" customHeight="1" x14ac:dyDescent="0.3">
      <c r="A7358" s="1">
        <v>3</v>
      </c>
      <c r="B7358" s="1" t="s">
        <v>1460</v>
      </c>
      <c r="C7358" s="1" t="str">
        <f ca="1">IFERROR(__xludf.DUMMYFUNCTION("GOOGLETRANSLATE(B7459,""en"",""ja"")"),"階層")</f>
        <v>階層</v>
      </c>
    </row>
    <row r="7359" spans="1:3" ht="18" customHeight="1" x14ac:dyDescent="0.3">
      <c r="A7359" s="1">
        <v>3</v>
      </c>
      <c r="B7359" s="1" t="s">
        <v>6005</v>
      </c>
      <c r="C7359" s="1" t="str">
        <f ca="1">IFERROR(__xludf.DUMMYFUNCTION("GOOGLETRANSLATE(B7460,""en"",""ja"")"),"ヒズボラ")</f>
        <v>ヒズボラ</v>
      </c>
    </row>
    <row r="7360" spans="1:3" ht="18" customHeight="1" x14ac:dyDescent="0.3">
      <c r="A7360" s="1">
        <v>3</v>
      </c>
      <c r="B7360" s="1" t="s">
        <v>6006</v>
      </c>
      <c r="C7360" s="1" t="str">
        <f ca="1">IFERROR(__xludf.DUMMYFUNCTION("GOOGLETRANSLATE(B7461,""en"",""ja"")"),"異質")</f>
        <v>異質</v>
      </c>
    </row>
    <row r="7361" spans="1:3" ht="18" customHeight="1" x14ac:dyDescent="0.3">
      <c r="A7361" s="1">
        <v>3</v>
      </c>
      <c r="B7361" s="1" t="s">
        <v>6007</v>
      </c>
      <c r="C7361" s="1" t="str">
        <f ca="1">IFERROR(__xludf.DUMMYFUNCTION("GOOGLETRANSLATE(B7462,""en"",""ja"")"),"ハーシー")</f>
        <v>ハーシー</v>
      </c>
    </row>
    <row r="7362" spans="1:3" ht="18" customHeight="1" x14ac:dyDescent="0.3">
      <c r="A7362" s="1">
        <v>3</v>
      </c>
      <c r="B7362" s="1" t="s">
        <v>6008</v>
      </c>
      <c r="C7362" s="1" t="str">
        <f ca="1">IFERROR(__xludf.DUMMYFUNCTION("GOOGLETRANSLATE(B7463,""en"",""ja"")"),"彼女自身")</f>
        <v>彼女自身</v>
      </c>
    </row>
    <row r="7363" spans="1:3" ht="18" customHeight="1" x14ac:dyDescent="0.3">
      <c r="A7363" s="1">
        <v>3</v>
      </c>
      <c r="B7363" s="1" t="s">
        <v>6009</v>
      </c>
      <c r="C7363" s="1" t="str">
        <f ca="1">IFERROR(__xludf.DUMMYFUNCTION("GOOGLETRANSLATE(B7464,""en"",""ja"")"),"ヘリコプター")</f>
        <v>ヘリコプター</v>
      </c>
    </row>
    <row r="7364" spans="1:3" ht="18" customHeight="1" x14ac:dyDescent="0.3">
      <c r="A7364" s="1">
        <v>3</v>
      </c>
      <c r="B7364" s="1" t="s">
        <v>6010</v>
      </c>
      <c r="C7364" s="1" t="str">
        <f ca="1">IFERROR(__xludf.DUMMYFUNCTION("GOOGLETRANSLATE(B7465,""en"",""ja"")"),"ヘリコプター")</f>
        <v>ヘリコプター</v>
      </c>
    </row>
    <row r="7365" spans="1:3" ht="18" customHeight="1" x14ac:dyDescent="0.3">
      <c r="A7365" s="1">
        <v>3</v>
      </c>
      <c r="B7365" s="1" t="s">
        <v>6011</v>
      </c>
      <c r="C7365" s="1" t="str">
        <f ca="1">IFERROR(__xludf.DUMMYFUNCTION("GOOGLETRANSLATE(B7466,""en"",""ja"")"),"高め")</f>
        <v>高め</v>
      </c>
    </row>
    <row r="7366" spans="1:3" ht="18" customHeight="1" x14ac:dyDescent="0.3">
      <c r="A7366" s="1">
        <v>3</v>
      </c>
      <c r="B7366" s="1" t="s">
        <v>6012</v>
      </c>
      <c r="C7366" s="1" t="str">
        <f ca="1">IFERROR(__xludf.DUMMYFUNCTION("GOOGLETRANSLATE(B7467,""en"",""ja"")"),"heightend")</f>
        <v>heightend</v>
      </c>
    </row>
    <row r="7367" spans="1:3" ht="18" customHeight="1" x14ac:dyDescent="0.3">
      <c r="A7367" s="1">
        <v>3</v>
      </c>
      <c r="B7367" s="1" t="s">
        <v>6013</v>
      </c>
      <c r="C7367" s="1" t="str">
        <f ca="1">IFERROR(__xludf.DUMMYFUNCTION("GOOGLETRANSLATE(B7468,""en"",""ja"")"),"ヘビー")</f>
        <v>ヘビー</v>
      </c>
    </row>
    <row r="7368" spans="1:3" ht="18" customHeight="1" x14ac:dyDescent="0.3">
      <c r="A7368" s="1">
        <v>3</v>
      </c>
      <c r="B7368" s="1" t="s">
        <v>3023</v>
      </c>
      <c r="C7368" s="1" t="str">
        <f ca="1">IFERROR(__xludf.DUMMYFUNCTION("GOOGLETRANSLATE(B7469,""en"",""ja"")"),"ずっしり")</f>
        <v>ずっしり</v>
      </c>
    </row>
    <row r="7369" spans="1:3" ht="18" customHeight="1" x14ac:dyDescent="0.3">
      <c r="A7369" s="1">
        <v>3</v>
      </c>
      <c r="B7369" s="1" t="s">
        <v>6014</v>
      </c>
      <c r="C7369" s="1" t="str">
        <f ca="1">IFERROR(__xludf.DUMMYFUNCTION("GOOGLETRANSLATE(B7470,""en"",""ja"")"),"無情")</f>
        <v>無情</v>
      </c>
    </row>
    <row r="7370" spans="1:3" ht="18" customHeight="1" x14ac:dyDescent="0.3">
      <c r="A7370" s="1">
        <v>3</v>
      </c>
      <c r="B7370" s="1" t="s">
        <v>6015</v>
      </c>
      <c r="C7370" s="1" t="str">
        <f ca="1">IFERROR(__xludf.DUMMYFUNCTION("GOOGLETRANSLATE(B7471,""en"",""ja"")"),"ハートランド")</f>
        <v>ハートランド</v>
      </c>
    </row>
    <row r="7371" spans="1:3" ht="18" customHeight="1" x14ac:dyDescent="0.3">
      <c r="A7371" s="1">
        <v>3</v>
      </c>
      <c r="B7371" s="1" t="s">
        <v>3024</v>
      </c>
      <c r="C7371" s="1" t="str">
        <f ca="1">IFERROR(__xludf.DUMMYFUNCTION("GOOGLETRANSLATE(B7472,""en"",""ja"")"),"聞く")</f>
        <v>聞く</v>
      </c>
    </row>
    <row r="7372" spans="1:3" ht="18" customHeight="1" x14ac:dyDescent="0.3">
      <c r="A7372" s="1">
        <v>3</v>
      </c>
      <c r="B7372" s="1" t="s">
        <v>2689</v>
      </c>
      <c r="C7372" s="1" t="str">
        <f ca="1">IFERROR(__xludf.DUMMYFUNCTION("GOOGLETRANSLATE(B7473,""en"",""ja"")"),"元気")</f>
        <v>元気</v>
      </c>
    </row>
    <row r="7373" spans="1:3" ht="18" customHeight="1" x14ac:dyDescent="0.3">
      <c r="A7373" s="1">
        <v>3</v>
      </c>
      <c r="B7373" s="1" t="s">
        <v>6016</v>
      </c>
      <c r="C7373" s="1" t="str">
        <f ca="1">IFERROR(__xludf.DUMMYFUNCTION("GOOGLETRANSLATE(B7474,""en"",""ja"")"),"健康管理")</f>
        <v>健康管理</v>
      </c>
    </row>
    <row r="7374" spans="1:3" ht="18" customHeight="1" x14ac:dyDescent="0.3">
      <c r="A7374" s="1">
        <v>3</v>
      </c>
      <c r="B7374" s="1" t="s">
        <v>6017</v>
      </c>
      <c r="C7374" s="1" t="str">
        <f ca="1">IFERROR(__xludf.DUMMYFUNCTION("GOOGLETRANSLATE(B7475,""en"",""ja"")"),"見出し")</f>
        <v>見出し</v>
      </c>
    </row>
    <row r="7375" spans="1:3" ht="18" customHeight="1" x14ac:dyDescent="0.3">
      <c r="A7375" s="1">
        <v>3</v>
      </c>
      <c r="B7375" s="1" t="s">
        <v>1008</v>
      </c>
      <c r="C7375" s="1" t="str">
        <f ca="1">IFERROR(__xludf.DUMMYFUNCTION("GOOGLETRANSLATE(B7476,""en"",""ja"")"),"頭")</f>
        <v>頭</v>
      </c>
    </row>
    <row r="7376" spans="1:3" ht="18" customHeight="1" x14ac:dyDescent="0.3">
      <c r="A7376" s="1">
        <v>3</v>
      </c>
      <c r="B7376" s="1" t="s">
        <v>6018</v>
      </c>
      <c r="C7376" s="1" t="str">
        <f ca="1">IFERROR(__xludf.DUMMYFUNCTION("GOOGLETRANSLATE(B7477,""en"",""ja"")"),"危険な")</f>
        <v>危険な</v>
      </c>
    </row>
    <row r="7377" spans="1:3" ht="18" customHeight="1" x14ac:dyDescent="0.3">
      <c r="A7377" s="1">
        <v>3</v>
      </c>
      <c r="B7377" s="1" t="s">
        <v>6019</v>
      </c>
      <c r="C7377" s="1" t="str">
        <f ca="1">IFERROR(__xludf.DUMMYFUNCTION("GOOGLETRANSLATE(B7478,""en"",""ja"")"),"危険")</f>
        <v>危険</v>
      </c>
    </row>
    <row r="7378" spans="1:3" ht="18" customHeight="1" x14ac:dyDescent="0.3">
      <c r="A7378" s="1">
        <v>3</v>
      </c>
      <c r="B7378" s="1" t="s">
        <v>6020</v>
      </c>
      <c r="C7378" s="1" t="str">
        <f ca="1">IFERROR(__xludf.DUMMYFUNCTION("GOOGLETRANSLATE(B7479,""en"",""ja"")"),"軽率")</f>
        <v>軽率</v>
      </c>
    </row>
    <row r="7379" spans="1:3" ht="18" customHeight="1" x14ac:dyDescent="0.3">
      <c r="A7379" s="1">
        <v>3</v>
      </c>
      <c r="B7379" s="1" t="s">
        <v>6021</v>
      </c>
      <c r="C7379" s="1" t="str">
        <f ca="1">IFERROR(__xludf.DUMMYFUNCTION("GOOGLETRANSLATE(B7480,""en"",""ja"")"),"速攻")</f>
        <v>速攻</v>
      </c>
    </row>
    <row r="7380" spans="1:3" ht="18" customHeight="1" x14ac:dyDescent="0.3">
      <c r="A7380" s="1">
        <v>3</v>
      </c>
      <c r="B7380" s="1" t="s">
        <v>6022</v>
      </c>
      <c r="C7380" s="1" t="str">
        <f ca="1">IFERROR(__xludf.DUMMYFUNCTION("GOOGLETRANSLATE(B7481,""en"",""ja"")"),"ハリソン")</f>
        <v>ハリソン</v>
      </c>
    </row>
    <row r="7381" spans="1:3" ht="18" customHeight="1" x14ac:dyDescent="0.3">
      <c r="A7381" s="1">
        <v>3</v>
      </c>
      <c r="B7381" s="1" t="s">
        <v>6023</v>
      </c>
      <c r="C7381" s="1" t="str">
        <f ca="1">IFERROR(__xludf.DUMMYFUNCTION("GOOGLETRANSLATE(B7482,""en"",""ja"")"),"ハリス")</f>
        <v>ハリス</v>
      </c>
    </row>
    <row r="7382" spans="1:3" ht="18" customHeight="1" x14ac:dyDescent="0.3">
      <c r="A7382" s="1">
        <v>3</v>
      </c>
      <c r="B7382" s="1" t="s">
        <v>6024</v>
      </c>
      <c r="C7382" s="1" t="str">
        <f ca="1">IFERROR(__xludf.DUMMYFUNCTION("GOOGLETRANSLATE(B7483,""en"",""ja"")"),"ハーディ")</f>
        <v>ハーディ</v>
      </c>
    </row>
    <row r="7383" spans="1:3" ht="18" customHeight="1" x14ac:dyDescent="0.3">
      <c r="A7383" s="1">
        <v>3</v>
      </c>
      <c r="B7383" s="1" t="s">
        <v>6025</v>
      </c>
      <c r="C7383" s="1" t="str">
        <f ca="1">IFERROR(__xludf.DUMMYFUNCTION("GOOGLETRANSLATE(B7484,""en"",""ja"")"),"幸せに")</f>
        <v>幸せに</v>
      </c>
    </row>
    <row r="7384" spans="1:3" ht="18" customHeight="1" x14ac:dyDescent="0.3">
      <c r="A7384" s="1">
        <v>3</v>
      </c>
      <c r="B7384" s="1" t="s">
        <v>4782</v>
      </c>
      <c r="C7384" s="1" t="str">
        <f ca="1">IFERROR(__xludf.DUMMYFUNCTION("GOOGLETRANSLATE(B7485,""en"",""ja"")"),"ハン")</f>
        <v>ハン</v>
      </c>
    </row>
    <row r="7385" spans="1:3" ht="18" customHeight="1" x14ac:dyDescent="0.3">
      <c r="A7385" s="1">
        <v>3</v>
      </c>
      <c r="B7385" s="1" t="s">
        <v>6026</v>
      </c>
      <c r="C7385" s="1" t="str">
        <f ca="1">IFERROR(__xludf.DUMMYFUNCTION("GOOGLETRANSLATE(B7486,""en"",""ja"")"),"ハング")</f>
        <v>ハング</v>
      </c>
    </row>
    <row r="7386" spans="1:3" ht="18" customHeight="1" x14ac:dyDescent="0.3">
      <c r="A7386" s="1">
        <v>3</v>
      </c>
      <c r="B7386" s="1" t="s">
        <v>6027</v>
      </c>
      <c r="C7386" s="1" t="str">
        <f ca="1">IFERROR(__xludf.DUMMYFUNCTION("GOOGLETRANSLATE(B7487,""en"",""ja"")"),"ハロウィーン")</f>
        <v>ハロウィーン</v>
      </c>
    </row>
    <row r="7387" spans="1:3" ht="18" customHeight="1" x14ac:dyDescent="0.3">
      <c r="A7387" s="1">
        <v>3</v>
      </c>
      <c r="B7387" s="1" t="s">
        <v>6028</v>
      </c>
      <c r="C7387" s="1" t="str">
        <f ca="1">IFERROR(__xludf.DUMMYFUNCTION("GOOGLETRANSLATE(B7488,""en"",""ja"")"),"ヘア")</f>
        <v>ヘア</v>
      </c>
    </row>
    <row r="7388" spans="1:3" ht="18" customHeight="1" x14ac:dyDescent="0.3">
      <c r="A7388" s="1">
        <v>3</v>
      </c>
      <c r="B7388" s="1" t="s">
        <v>6029</v>
      </c>
      <c r="C7388" s="1" t="str">
        <f ca="1">IFERROR(__xludf.DUMMYFUNCTION("GOOGLETRANSLATE(B7489,""en"",""ja"")"),"習慣")</f>
        <v>習慣</v>
      </c>
    </row>
    <row r="7389" spans="1:3" ht="18" customHeight="1" x14ac:dyDescent="0.3">
      <c r="A7389" s="1">
        <v>3</v>
      </c>
      <c r="B7389" s="1" t="s">
        <v>6030</v>
      </c>
      <c r="C7389" s="1" t="str">
        <f ca="1">IFERROR(__xludf.DUMMYFUNCTION("GOOGLETRANSLATE(B7490,""en"",""ja"")"),"習慣")</f>
        <v>習慣</v>
      </c>
    </row>
    <row r="7390" spans="1:3" ht="18" customHeight="1" x14ac:dyDescent="0.3">
      <c r="A7390" s="1">
        <v>3</v>
      </c>
      <c r="B7390" s="1" t="s">
        <v>6031</v>
      </c>
      <c r="C7390" s="1" t="str">
        <f ca="1">IFERROR(__xludf.DUMMYFUNCTION("GOOGLETRANSLATE(B7492,""en"",""ja"")"),"しわがれ")</f>
        <v>しわがれ</v>
      </c>
    </row>
    <row r="7391" spans="1:3" ht="18" customHeight="1" x14ac:dyDescent="0.3">
      <c r="A7391" s="1">
        <v>3</v>
      </c>
      <c r="B7391" s="1" t="s">
        <v>6032</v>
      </c>
      <c r="C7391" s="1" t="str">
        <f ca="1">IFERROR(__xludf.DUMMYFUNCTION("GOOGLETRANSLATE(B7493,""en"",""ja"")"),"有罪の")</f>
        <v>有罪の</v>
      </c>
    </row>
    <row r="7392" spans="1:3" ht="18" customHeight="1" x14ac:dyDescent="0.3">
      <c r="A7392" s="1">
        <v>3</v>
      </c>
      <c r="B7392" s="1" t="s">
        <v>6033</v>
      </c>
      <c r="C7392" s="1" t="str">
        <f ca="1">IFERROR(__xludf.DUMMYFUNCTION("GOOGLETRANSLATE(B7494,""en"",""ja"")"),"grubbing")</f>
        <v>grubbing</v>
      </c>
    </row>
    <row r="7393" spans="1:3" ht="18" customHeight="1" x14ac:dyDescent="0.3">
      <c r="A7393" s="1">
        <v>3</v>
      </c>
      <c r="B7393" s="1" t="s">
        <v>6034</v>
      </c>
      <c r="C7393" s="1" t="str">
        <f ca="1">IFERROR(__xludf.DUMMYFUNCTION("GOOGLETRANSLATE(B7495,""en"",""ja"")"),"成長")</f>
        <v>成長</v>
      </c>
    </row>
    <row r="7394" spans="1:3" ht="18" customHeight="1" x14ac:dyDescent="0.3">
      <c r="A7394" s="1">
        <v>3</v>
      </c>
      <c r="B7394" s="1" t="s">
        <v>6035</v>
      </c>
      <c r="C7394" s="1" t="str">
        <f ca="1">IFERROR(__xludf.DUMMYFUNCTION("GOOGLETRANSLATE(B7496,""en"",""ja"")"),"うなります")</f>
        <v>うなります</v>
      </c>
    </row>
    <row r="7395" spans="1:3" ht="18" customHeight="1" x14ac:dyDescent="0.3">
      <c r="A7395" s="1">
        <v>3</v>
      </c>
      <c r="B7395" s="1" t="s">
        <v>6036</v>
      </c>
      <c r="C7395" s="1" t="str">
        <f ca="1">IFERROR(__xludf.DUMMYFUNCTION("GOOGLETRANSLATE(B7497,""en"",""ja"")"),"模索")</f>
        <v>模索</v>
      </c>
    </row>
    <row r="7396" spans="1:3" ht="18" customHeight="1" x14ac:dyDescent="0.3">
      <c r="A7396" s="1">
        <v>3</v>
      </c>
      <c r="B7396" s="1" t="s">
        <v>6037</v>
      </c>
      <c r="C7396" s="1" t="str">
        <f ca="1">IFERROR(__xludf.DUMMYFUNCTION("GOOGLETRANSLATE(B7498,""en"",""ja"")"),"グリフィス")</f>
        <v>グリフィス</v>
      </c>
    </row>
    <row r="7397" spans="1:3" ht="18" customHeight="1" x14ac:dyDescent="0.3">
      <c r="A7397" s="1">
        <v>3</v>
      </c>
      <c r="B7397" s="1" t="s">
        <v>6038</v>
      </c>
      <c r="C7397" s="1" t="str">
        <f ca="1">IFERROR(__xludf.DUMMYFUNCTION("GOOGLETRANSLATE(B7499,""en"",""ja"")"),"社交的な")</f>
        <v>社交的な</v>
      </c>
    </row>
    <row r="7398" spans="1:3" ht="18" customHeight="1" x14ac:dyDescent="0.3">
      <c r="A7398" s="1">
        <v>3</v>
      </c>
      <c r="B7398" s="1" t="s">
        <v>4033</v>
      </c>
      <c r="C7398" s="1" t="str">
        <f ca="1">IFERROR(__xludf.DUMMYFUNCTION("GOOGLETRANSLATE(B7500,""en"",""ja"")"),"墓")</f>
        <v>墓</v>
      </c>
    </row>
    <row r="7399" spans="1:3" ht="18" customHeight="1" x14ac:dyDescent="0.3">
      <c r="A7399" s="1">
        <v>3</v>
      </c>
      <c r="B7399" s="1" t="s">
        <v>1954</v>
      </c>
      <c r="C7399" s="1" t="str">
        <f ca="1">IFERROR(__xludf.DUMMYFUNCTION("GOOGLETRANSLATE(B7501,""en"",""ja"")"),"グラフィック")</f>
        <v>グラフィック</v>
      </c>
    </row>
    <row r="7400" spans="1:3" ht="18" customHeight="1" x14ac:dyDescent="0.3">
      <c r="A7400" s="1">
        <v>3</v>
      </c>
      <c r="B7400" s="1" t="s">
        <v>6039</v>
      </c>
      <c r="C7400" s="1" t="str">
        <f ca="1">IFERROR(__xludf.DUMMYFUNCTION("GOOGLETRANSLATE(B7502,""en"",""ja"")"),"付与")</f>
        <v>付与</v>
      </c>
    </row>
    <row r="7401" spans="1:3" ht="18" customHeight="1" x14ac:dyDescent="0.3">
      <c r="A7401" s="1">
        <v>3</v>
      </c>
      <c r="B7401" s="1" t="s">
        <v>6040</v>
      </c>
      <c r="C7401" s="1" t="str">
        <f ca="1">IFERROR(__xludf.DUMMYFUNCTION("GOOGLETRANSLATE(B7503,""en"",""ja"")"),"グラム")</f>
        <v>グラム</v>
      </c>
    </row>
    <row r="7402" spans="1:3" ht="18" customHeight="1" x14ac:dyDescent="0.3">
      <c r="A7402" s="1">
        <v>3</v>
      </c>
      <c r="B7402" s="1" t="s">
        <v>6041</v>
      </c>
      <c r="C7402" s="1" t="str">
        <f ca="1">IFERROR(__xludf.DUMMYFUNCTION("GOOGLETRANSLATE(B7504,""en"",""ja"")"),"粒")</f>
        <v>粒</v>
      </c>
    </row>
    <row r="7403" spans="1:3" ht="18" customHeight="1" x14ac:dyDescent="0.3">
      <c r="A7403" s="1">
        <v>3</v>
      </c>
      <c r="B7403" s="1" t="s">
        <v>6042</v>
      </c>
      <c r="C7403" s="1" t="str">
        <f ca="1">IFERROR(__xludf.DUMMYFUNCTION("GOOGLETRANSLATE(B7505,""en"",""ja"")"),"グレアム")</f>
        <v>グレアム</v>
      </c>
    </row>
    <row r="7404" spans="1:3" ht="18" customHeight="1" x14ac:dyDescent="0.3">
      <c r="A7404" s="1">
        <v>3</v>
      </c>
      <c r="B7404" s="1" t="s">
        <v>6043</v>
      </c>
      <c r="C7404" s="1" t="str">
        <f ca="1">IFERROR(__xludf.DUMMYFUNCTION("GOOGLETRANSLATE(B7506,""en"",""ja"")"),"グレード")</f>
        <v>グレード</v>
      </c>
    </row>
    <row r="7405" spans="1:3" ht="18" customHeight="1" x14ac:dyDescent="0.3">
      <c r="A7405" s="1">
        <v>3</v>
      </c>
      <c r="B7405" s="1" t="s">
        <v>6044</v>
      </c>
      <c r="C7405" s="1" t="str">
        <f ca="1">IFERROR(__xludf.DUMMYFUNCTION("GOOGLETRANSLATE(B7507,""en"",""ja"")"),"統治")</f>
        <v>統治</v>
      </c>
    </row>
    <row r="7406" spans="1:3" ht="18" customHeight="1" x14ac:dyDescent="0.3">
      <c r="A7406" s="1">
        <v>3</v>
      </c>
      <c r="B7406" s="1" t="s">
        <v>6045</v>
      </c>
      <c r="C7406" s="1" t="str">
        <f ca="1">IFERROR(__xludf.DUMMYFUNCTION("GOOGLETRANSLATE(B7508,""en"",""ja"")"),"ゴーグル")</f>
        <v>ゴーグル</v>
      </c>
    </row>
    <row r="7407" spans="1:3" ht="18" customHeight="1" x14ac:dyDescent="0.3">
      <c r="A7407" s="1">
        <v>3</v>
      </c>
      <c r="B7407" s="1" t="s">
        <v>6046</v>
      </c>
      <c r="C7407" s="1" t="str">
        <f ca="1">IFERROR(__xludf.DUMMYFUNCTION("GOOGLETRANSLATE(B7509,""en"",""ja"")"),"ゴールド")</f>
        <v>ゴールド</v>
      </c>
    </row>
    <row r="7408" spans="1:3" ht="18" customHeight="1" x14ac:dyDescent="0.3">
      <c r="A7408" s="1">
        <v>3</v>
      </c>
      <c r="B7408" s="1" t="s">
        <v>6047</v>
      </c>
      <c r="C7408" s="1" t="str">
        <f ca="1">IFERROR(__xludf.DUMMYFUNCTION("GOOGLETRANSLATE(B7510,""en"",""ja"")"),"挑発")</f>
        <v>挑発</v>
      </c>
    </row>
    <row r="7409" spans="1:3" ht="18" customHeight="1" x14ac:dyDescent="0.3">
      <c r="A7409" s="1">
        <v>3</v>
      </c>
      <c r="B7409" s="1" t="s">
        <v>3512</v>
      </c>
      <c r="C7409" s="1" t="str">
        <f ca="1">IFERROR(__xludf.DUMMYFUNCTION("GOOGLETRANSLATE(B7511,""en"",""ja"")"),"GM")</f>
        <v>GM</v>
      </c>
    </row>
    <row r="7410" spans="1:3" ht="18" customHeight="1" x14ac:dyDescent="0.3">
      <c r="A7410" s="1">
        <v>3</v>
      </c>
      <c r="B7410" s="1" t="s">
        <v>6048</v>
      </c>
      <c r="C7410" s="1" t="str">
        <f ca="1">IFERROR(__xludf.DUMMYFUNCTION("GOOGLETRANSLATE(B7512,""en"",""ja"")"),"のり")</f>
        <v>のり</v>
      </c>
    </row>
    <row r="7411" spans="1:3" ht="18" customHeight="1" x14ac:dyDescent="0.3">
      <c r="A7411" s="1">
        <v>3</v>
      </c>
      <c r="B7411" s="1" t="s">
        <v>6049</v>
      </c>
      <c r="C7411" s="1" t="str">
        <f ca="1">IFERROR(__xludf.DUMMYFUNCTION("GOOGLETRANSLATE(B7513,""en"",""ja"")"),"垣間見")</f>
        <v>垣間見</v>
      </c>
    </row>
    <row r="7412" spans="1:3" ht="18" customHeight="1" x14ac:dyDescent="0.3">
      <c r="A7412" s="1">
        <v>3</v>
      </c>
      <c r="B7412" s="1" t="s">
        <v>6050</v>
      </c>
      <c r="C7412" s="1" t="str">
        <f ca="1">IFERROR(__xludf.DUMMYFUNCTION("GOOGLETRANSLATE(B7514,""en"",""ja"")"),"嬉しいです")</f>
        <v>嬉しいです</v>
      </c>
    </row>
    <row r="7413" spans="1:3" ht="18" customHeight="1" x14ac:dyDescent="0.3">
      <c r="A7413" s="1">
        <v>3</v>
      </c>
      <c r="B7413" s="1" t="s">
        <v>6051</v>
      </c>
      <c r="C7413" s="1" t="str">
        <f ca="1">IFERROR(__xludf.DUMMYFUNCTION("GOOGLETRANSLATE(B7515,""en"",""ja"")"),"ガールフレンド")</f>
        <v>ガールフレンド</v>
      </c>
    </row>
    <row r="7414" spans="1:3" ht="18" customHeight="1" x14ac:dyDescent="0.3">
      <c r="A7414" s="1">
        <v>3</v>
      </c>
      <c r="B7414" s="1" t="s">
        <v>6052</v>
      </c>
      <c r="C7414" s="1" t="str">
        <f ca="1">IFERROR(__xludf.DUMMYFUNCTION("GOOGLETRANSLATE(B7516,""en"",""ja"")"),"女の子")</f>
        <v>女の子</v>
      </c>
    </row>
    <row r="7415" spans="1:3" ht="18" customHeight="1" x14ac:dyDescent="0.3">
      <c r="A7415" s="1">
        <v>3</v>
      </c>
      <c r="B7415" s="1" t="s">
        <v>6053</v>
      </c>
      <c r="C7415" s="1" t="str">
        <f ca="1">IFERROR(__xludf.DUMMYFUNCTION("GOOGLETRANSLATE(B7517,""en"",""ja"")"),"贈り物")</f>
        <v>贈り物</v>
      </c>
    </row>
    <row r="7416" spans="1:3" ht="18" customHeight="1" x14ac:dyDescent="0.3">
      <c r="A7416" s="1">
        <v>3</v>
      </c>
      <c r="B7416" s="1" t="s">
        <v>6054</v>
      </c>
      <c r="C7416" s="1" t="str">
        <f ca="1">IFERROR(__xludf.DUMMYFUNCTION("GOOGLETRANSLATE(B7518,""en"",""ja"")"),"巨人")</f>
        <v>巨人</v>
      </c>
    </row>
    <row r="7417" spans="1:3" ht="18" customHeight="1" x14ac:dyDescent="0.3">
      <c r="A7417" s="1">
        <v>3</v>
      </c>
      <c r="B7417" s="1" t="s">
        <v>6055</v>
      </c>
      <c r="C7417" s="1" t="str">
        <f ca="1">IFERROR(__xludf.DUMMYFUNCTION("GOOGLETRANSLATE(B7519,""en"",""ja"")"),"ガンジー")</f>
        <v>ガンジー</v>
      </c>
    </row>
    <row r="7418" spans="1:3" ht="18" customHeight="1" x14ac:dyDescent="0.3">
      <c r="A7418" s="1">
        <v>3</v>
      </c>
      <c r="B7418" s="1" t="s">
        <v>251</v>
      </c>
      <c r="C7418" s="1" t="str">
        <f ca="1">IFERROR(__xludf.DUMMYFUNCTION("GOOGLETRANSLATE(B7520,""en"",""ja"")"),"取得する")</f>
        <v>取得する</v>
      </c>
    </row>
    <row r="7419" spans="1:3" ht="18" customHeight="1" x14ac:dyDescent="0.3">
      <c r="A7419" s="1">
        <v>3</v>
      </c>
      <c r="B7419" s="1" t="s">
        <v>1812</v>
      </c>
      <c r="C7419" s="1" t="str">
        <f ca="1">IFERROR(__xludf.DUMMYFUNCTION("GOOGLETRANSLATE(B7521,""en"",""ja"")"),"ドイツ")</f>
        <v>ドイツ</v>
      </c>
    </row>
    <row r="7420" spans="1:3" ht="18" customHeight="1" x14ac:dyDescent="0.3">
      <c r="A7420" s="1">
        <v>3</v>
      </c>
      <c r="B7420" s="1" t="s">
        <v>6056</v>
      </c>
      <c r="C7420" s="1" t="str">
        <f ca="1">IFERROR(__xludf.DUMMYFUNCTION("GOOGLETRANSLATE(B7522,""en"",""ja"")"),"ドイツ人")</f>
        <v>ドイツ人</v>
      </c>
    </row>
    <row r="7421" spans="1:3" ht="18" customHeight="1" x14ac:dyDescent="0.3">
      <c r="A7421" s="1">
        <v>3</v>
      </c>
      <c r="B7421" s="1" t="s">
        <v>6057</v>
      </c>
      <c r="C7421" s="1" t="str">
        <f ca="1">IFERROR(__xludf.DUMMYFUNCTION("GOOGLETRANSLATE(B7523,""en"",""ja"")"),"ジョージ")</f>
        <v>ジョージ</v>
      </c>
    </row>
    <row r="7422" spans="1:3" ht="18" customHeight="1" x14ac:dyDescent="0.3">
      <c r="A7422" s="1">
        <v>3</v>
      </c>
      <c r="B7422" s="1" t="s">
        <v>3516</v>
      </c>
      <c r="C7422" s="1" t="str">
        <f ca="1">IFERROR(__xludf.DUMMYFUNCTION("GOOGLETRANSLATE(B7524,""en"",""ja"")"),"地理")</f>
        <v>地理</v>
      </c>
    </row>
    <row r="7423" spans="1:3" ht="18" customHeight="1" x14ac:dyDescent="0.3">
      <c r="A7423" s="1">
        <v>3</v>
      </c>
      <c r="B7423" s="1" t="s">
        <v>6058</v>
      </c>
      <c r="C7423" s="1" t="str">
        <f ca="1">IFERROR(__xludf.DUMMYFUNCTION("GOOGLETRANSLATE(B7525,""en"",""ja"")"),"地理的に")</f>
        <v>地理的に</v>
      </c>
    </row>
    <row r="7424" spans="1:3" ht="18" customHeight="1" x14ac:dyDescent="0.3">
      <c r="A7424" s="1">
        <v>3</v>
      </c>
      <c r="B7424" s="1" t="s">
        <v>6059</v>
      </c>
      <c r="C7424" s="1" t="str">
        <f ca="1">IFERROR(__xludf.DUMMYFUNCTION("GOOGLETRANSLATE(B7527,""en"",""ja"")"),"純正")</f>
        <v>純正</v>
      </c>
    </row>
    <row r="7425" spans="1:3" ht="18" customHeight="1" x14ac:dyDescent="0.3">
      <c r="A7425" s="1">
        <v>3</v>
      </c>
      <c r="B7425" s="1" t="s">
        <v>6060</v>
      </c>
      <c r="C7425" s="1" t="str">
        <f ca="1">IFERROR(__xludf.DUMMYFUNCTION("GOOGLETRANSLATE(B7528,""en"",""ja"")"),"穏やか")</f>
        <v>穏やか</v>
      </c>
    </row>
    <row r="7426" spans="1:3" ht="18" customHeight="1" x14ac:dyDescent="0.3">
      <c r="A7426" s="1">
        <v>3</v>
      </c>
      <c r="B7426" s="1" t="s">
        <v>4807</v>
      </c>
      <c r="C7426" s="1" t="str">
        <f ca="1">IFERROR(__xludf.DUMMYFUNCTION("GOOGLETRANSLATE(B7529,""en"",""ja"")"),"ゲノミクス")</f>
        <v>ゲノミクス</v>
      </c>
    </row>
    <row r="7427" spans="1:3" ht="18" customHeight="1" x14ac:dyDescent="0.3">
      <c r="A7427" s="1">
        <v>3</v>
      </c>
      <c r="B7427" s="1" t="s">
        <v>6061</v>
      </c>
      <c r="C7427" s="1" t="str">
        <f ca="1">IFERROR(__xludf.DUMMYFUNCTION("GOOGLETRANSLATE(B7530,""en"",""ja"")"),"生成")</f>
        <v>生成</v>
      </c>
    </row>
    <row r="7428" spans="1:3" ht="18" customHeight="1" x14ac:dyDescent="0.3">
      <c r="A7428" s="1">
        <v>3</v>
      </c>
      <c r="B7428" s="1" t="s">
        <v>6062</v>
      </c>
      <c r="C7428" s="1" t="str">
        <f ca="1">IFERROR(__xludf.DUMMYFUNCTION("GOOGLETRANSLATE(B7531,""en"",""ja"")"),"系図の")</f>
        <v>系図の</v>
      </c>
    </row>
    <row r="7429" spans="1:3" ht="18" customHeight="1" x14ac:dyDescent="0.3">
      <c r="A7429" s="1">
        <v>3</v>
      </c>
      <c r="B7429" s="1" t="s">
        <v>6063</v>
      </c>
      <c r="C7429" s="1" t="str">
        <f ca="1">IFERROR(__xludf.DUMMYFUNCTION("GOOGLETRANSLATE(B7533,""en"",""ja"")"),"ゲージ")</f>
        <v>ゲージ</v>
      </c>
    </row>
    <row r="7430" spans="1:3" ht="18" customHeight="1" x14ac:dyDescent="0.3">
      <c r="A7430" s="1">
        <v>3</v>
      </c>
      <c r="B7430" s="1" t="s">
        <v>6064</v>
      </c>
      <c r="C7430" s="1" t="str">
        <f ca="1">IFERROR(__xludf.DUMMYFUNCTION("GOOGLETRANSLATE(B7534,""en"",""ja"")"),"採集")</f>
        <v>採集</v>
      </c>
    </row>
    <row r="7431" spans="1:3" ht="18" customHeight="1" x14ac:dyDescent="0.3">
      <c r="A7431" s="1">
        <v>3</v>
      </c>
      <c r="B7431" s="1" t="s">
        <v>6065</v>
      </c>
      <c r="C7431" s="1" t="str">
        <f ca="1">IFERROR(__xludf.DUMMYFUNCTION("GOOGLETRANSLATE(B7535,""en"",""ja"")"),"植木屋")</f>
        <v>植木屋</v>
      </c>
    </row>
    <row r="7432" spans="1:3" ht="18" customHeight="1" x14ac:dyDescent="0.3">
      <c r="A7432" s="1">
        <v>3</v>
      </c>
      <c r="B7432" s="1" t="s">
        <v>6066</v>
      </c>
      <c r="C7432" s="1" t="str">
        <f ca="1">IFERROR(__xludf.DUMMYFUNCTION("GOOGLETRANSLATE(B7536,""en"",""ja"")"),"ガレージ")</f>
        <v>ガレージ</v>
      </c>
    </row>
    <row r="7433" spans="1:3" ht="18" customHeight="1" x14ac:dyDescent="0.3">
      <c r="A7433" s="1">
        <v>3</v>
      </c>
      <c r="B7433" s="1" t="s">
        <v>6067</v>
      </c>
      <c r="C7433" s="1" t="str">
        <f ca="1">IFERROR(__xludf.DUMMYFUNCTION("GOOGLETRANSLATE(B7537,""en"",""ja"")"),"ガンジス")</f>
        <v>ガンジス</v>
      </c>
    </row>
    <row r="7434" spans="1:3" ht="18" customHeight="1" x14ac:dyDescent="0.3">
      <c r="A7434" s="1">
        <v>3</v>
      </c>
      <c r="B7434" s="1" t="s">
        <v>6068</v>
      </c>
      <c r="C7434" s="1" t="str">
        <f ca="1">IFERROR(__xludf.DUMMYFUNCTION("GOOGLETRANSLATE(B7538,""en"",""ja"")"),"ギャング")</f>
        <v>ギャング</v>
      </c>
    </row>
    <row r="7435" spans="1:3" ht="18" customHeight="1" x14ac:dyDescent="0.3">
      <c r="A7435" s="1">
        <v>3</v>
      </c>
      <c r="B7435" s="1" t="s">
        <v>6069</v>
      </c>
      <c r="C7435" s="1" t="str">
        <f ca="1">IFERROR(__xludf.DUMMYFUNCTION("GOOGLETRANSLATE(B7539,""en"",""ja"")"),"ファジー")</f>
        <v>ファジー</v>
      </c>
    </row>
    <row r="7436" spans="1:3" ht="18" customHeight="1" x14ac:dyDescent="0.3">
      <c r="A7436" s="1">
        <v>3</v>
      </c>
      <c r="B7436" s="1" t="s">
        <v>6070</v>
      </c>
      <c r="C7436" s="1" t="str">
        <f ca="1">IFERROR(__xludf.DUMMYFUNCTION("GOOGLETRANSLATE(B7540,""en"",""ja"")"),"資金")</f>
        <v>資金</v>
      </c>
    </row>
    <row r="7437" spans="1:3" ht="18" customHeight="1" x14ac:dyDescent="0.3">
      <c r="A7437" s="1">
        <v>3</v>
      </c>
      <c r="B7437" s="1" t="s">
        <v>6071</v>
      </c>
      <c r="C7437" s="1" t="str">
        <f ca="1">IFERROR(__xludf.DUMMYFUNCTION("GOOGLETRANSLATE(B7541,""en"",""ja"")"),"基金")</f>
        <v>基金</v>
      </c>
    </row>
    <row r="7438" spans="1:3" ht="18" customHeight="1" x14ac:dyDescent="0.3">
      <c r="A7438" s="1">
        <v>3</v>
      </c>
      <c r="B7438" s="1" t="s">
        <v>2403</v>
      </c>
      <c r="C7438" s="1" t="str">
        <f ca="1">IFERROR(__xludf.DUMMYFUNCTION("GOOGLETRANSLATE(B7542,""en"",""ja"")"),"機能の")</f>
        <v>機能の</v>
      </c>
    </row>
    <row r="7439" spans="1:3" ht="18" customHeight="1" x14ac:dyDescent="0.3">
      <c r="A7439" s="1">
        <v>3</v>
      </c>
      <c r="B7439" s="1" t="s">
        <v>6072</v>
      </c>
      <c r="C7439" s="1" t="str">
        <f ca="1">IFERROR(__xludf.DUMMYFUNCTION("GOOGLETRANSLATE(B7543,""en"",""ja"")"),"遊び")</f>
        <v>遊び</v>
      </c>
    </row>
    <row r="7440" spans="1:3" ht="18" customHeight="1" x14ac:dyDescent="0.3">
      <c r="A7440" s="1">
        <v>3</v>
      </c>
      <c r="B7440" s="1" t="s">
        <v>6073</v>
      </c>
      <c r="C7440" s="1" t="str">
        <f ca="1">IFERROR(__xludf.DUMMYFUNCTION("GOOGLETRANSLATE(B7544,""en"",""ja"")"),"手探り")</f>
        <v>手探り</v>
      </c>
    </row>
    <row r="7441" spans="1:3" ht="18" customHeight="1" x14ac:dyDescent="0.3">
      <c r="A7441" s="1">
        <v>3</v>
      </c>
      <c r="B7441" s="1" t="s">
        <v>6074</v>
      </c>
      <c r="C7441" s="1" t="str">
        <f ca="1">IFERROR(__xludf.DUMMYFUNCTION("GOOGLETRANSLATE(B7545,""en"",""ja"")"),"充実")</f>
        <v>充実</v>
      </c>
    </row>
    <row r="7442" spans="1:3" ht="18" customHeight="1" x14ac:dyDescent="0.3">
      <c r="A7442" s="1">
        <v>3</v>
      </c>
      <c r="B7442" s="1" t="s">
        <v>6075</v>
      </c>
      <c r="C7442" s="1" t="str">
        <f ca="1">IFERROR(__xludf.DUMMYFUNCTION("GOOGLETRANSLATE(B7546,""en"",""ja"")"),"満たす")</f>
        <v>満たす</v>
      </c>
    </row>
    <row r="7443" spans="1:3" ht="18" customHeight="1" x14ac:dyDescent="0.3">
      <c r="A7443" s="1">
        <v>3</v>
      </c>
      <c r="B7443" s="1" t="s">
        <v>6076</v>
      </c>
      <c r="C7443" s="1" t="str">
        <f ca="1">IFERROR(__xludf.DUMMYFUNCTION("GOOGLETRANSLATE(B7547,""en"",""ja"")"),"満たす")</f>
        <v>満たす</v>
      </c>
    </row>
    <row r="7444" spans="1:3" ht="18" customHeight="1" x14ac:dyDescent="0.3">
      <c r="A7444" s="1">
        <v>3</v>
      </c>
      <c r="B7444" s="1" t="s">
        <v>6077</v>
      </c>
      <c r="C7444" s="1" t="str">
        <f ca="1">IFERROR(__xludf.DUMMYFUNCTION("GOOGLETRANSLATE(B7548,""en"",""ja"")"),"煽ら")</f>
        <v>煽ら</v>
      </c>
    </row>
    <row r="7445" spans="1:3" ht="18" customHeight="1" x14ac:dyDescent="0.3">
      <c r="A7445" s="1">
        <v>3</v>
      </c>
      <c r="B7445" s="1" t="s">
        <v>6078</v>
      </c>
      <c r="C7445" s="1" t="str">
        <f ca="1">IFERROR(__xludf.DUMMYFUNCTION("GOOGLETRANSLATE(B7549,""en"",""ja"")"),"イライラ")</f>
        <v>イライラ</v>
      </c>
    </row>
    <row r="7446" spans="1:3" ht="18" customHeight="1" x14ac:dyDescent="0.3">
      <c r="A7446" s="1">
        <v>3</v>
      </c>
      <c r="B7446" s="1" t="s">
        <v>6079</v>
      </c>
      <c r="C7446" s="1" t="str">
        <f ca="1">IFERROR(__xludf.DUMMYFUNCTION("GOOGLETRANSLATE(B7550,""en"",""ja"")"),"実りの多いです")</f>
        <v>実りの多いです</v>
      </c>
    </row>
    <row r="7447" spans="1:3" ht="18" customHeight="1" x14ac:dyDescent="0.3">
      <c r="A7447" s="1">
        <v>3</v>
      </c>
      <c r="B7447" s="1" t="s">
        <v>6080</v>
      </c>
      <c r="C7447" s="1" t="str">
        <f ca="1">IFERROR(__xludf.DUMMYFUNCTION("GOOGLETRANSLATE(B7551,""en"",""ja"")"),"フリーズ")</f>
        <v>フリーズ</v>
      </c>
    </row>
    <row r="7448" spans="1:3" ht="18" customHeight="1" x14ac:dyDescent="0.3">
      <c r="A7448" s="1">
        <v>3</v>
      </c>
      <c r="B7448" s="1" t="s">
        <v>6081</v>
      </c>
      <c r="C7448" s="1" t="str">
        <f ca="1">IFERROR(__xludf.DUMMYFUNCTION("GOOGLETRANSLATE(B7552,""en"",""ja"")"),"しかめ面")</f>
        <v>しかめ面</v>
      </c>
    </row>
    <row r="7449" spans="1:3" ht="18" customHeight="1" x14ac:dyDescent="0.3">
      <c r="A7449" s="1">
        <v>3</v>
      </c>
      <c r="B7449" s="1" t="s">
        <v>6082</v>
      </c>
      <c r="C7449" s="1" t="str">
        <f ca="1">IFERROR(__xludf.DUMMYFUNCTION("GOOGLETRANSLATE(B7553,""en"",""ja"")"),"おびえ")</f>
        <v>おびえ</v>
      </c>
    </row>
    <row r="7450" spans="1:3" ht="18" customHeight="1" x14ac:dyDescent="0.3">
      <c r="A7450" s="1">
        <v>3</v>
      </c>
      <c r="B7450" s="1" t="s">
        <v>6083</v>
      </c>
      <c r="C7450" s="1" t="str">
        <f ca="1">IFERROR(__xludf.DUMMYFUNCTION("GOOGLETRANSLATE(B7554,""en"",""ja"")"),"フレット")</f>
        <v>フレット</v>
      </c>
    </row>
    <row r="7451" spans="1:3" ht="18" customHeight="1" x14ac:dyDescent="0.3">
      <c r="A7451" s="1">
        <v>3</v>
      </c>
      <c r="B7451" s="1" t="s">
        <v>2153</v>
      </c>
      <c r="C7451" s="1" t="str">
        <f ca="1">IFERROR(__xludf.DUMMYFUNCTION("GOOGLETRANSLATE(B7555,""en"",""ja"")"),"しばしば")</f>
        <v>しばしば</v>
      </c>
    </row>
    <row r="7452" spans="1:3" ht="18" customHeight="1" x14ac:dyDescent="0.3">
      <c r="A7452" s="1">
        <v>3</v>
      </c>
      <c r="B7452" s="1" t="s">
        <v>6084</v>
      </c>
      <c r="C7452" s="1" t="str">
        <f ca="1">IFERROR(__xludf.DUMMYFUNCTION("GOOGLETRANSLATE(B7556,""en"",""ja"")"),"メモリ解放")</f>
        <v>メモリ解放</v>
      </c>
    </row>
    <row r="7453" spans="1:3" ht="18" customHeight="1" x14ac:dyDescent="0.3">
      <c r="A7453" s="1">
        <v>3</v>
      </c>
      <c r="B7453" s="1" t="s">
        <v>6085</v>
      </c>
      <c r="C7453" s="1" t="str">
        <f ca="1">IFERROR(__xludf.DUMMYFUNCTION("GOOGLETRANSLATE(B7557,""en"",""ja"")"),"慌しいです")</f>
        <v>慌しいです</v>
      </c>
    </row>
    <row r="7454" spans="1:3" ht="18" customHeight="1" x14ac:dyDescent="0.3">
      <c r="A7454" s="1">
        <v>3</v>
      </c>
      <c r="B7454" s="1" t="s">
        <v>6086</v>
      </c>
      <c r="C7454" s="1" t="str">
        <f ca="1">IFERROR(__xludf.DUMMYFUNCTION("GOOGLETRANSLATE(B7558,""en"",""ja"")"),"戦いました")</f>
        <v>戦いました</v>
      </c>
    </row>
    <row r="7455" spans="1:3" ht="18" customHeight="1" x14ac:dyDescent="0.3">
      <c r="A7455" s="1">
        <v>3</v>
      </c>
      <c r="B7455" s="1" t="s">
        <v>1470</v>
      </c>
      <c r="C7455" s="1" t="str">
        <f ca="1">IFERROR(__xludf.DUMMYFUNCTION("GOOGLETRANSLATE(B7559,""en"",""ja"")"),"幸運な")</f>
        <v>幸運な</v>
      </c>
    </row>
    <row r="7456" spans="1:3" ht="18" customHeight="1" x14ac:dyDescent="0.3">
      <c r="A7456" s="1">
        <v>3</v>
      </c>
      <c r="B7456" s="1" t="s">
        <v>4829</v>
      </c>
      <c r="C7456" s="1" t="str">
        <f ca="1">IFERROR(__xludf.DUMMYFUNCTION("GOOGLETRANSLATE(B7560,""en"",""ja"")"),"策定")</f>
        <v>策定</v>
      </c>
    </row>
    <row r="7457" spans="1:3" ht="18" customHeight="1" x14ac:dyDescent="0.3">
      <c r="A7457" s="1">
        <v>3</v>
      </c>
      <c r="B7457" s="1" t="s">
        <v>6087</v>
      </c>
      <c r="C7457" s="1" t="str">
        <f ca="1">IFERROR(__xludf.DUMMYFUNCTION("GOOGLETRANSLATE(B7561,""en"",""ja"")"),"恐ろしいです")</f>
        <v>恐ろしいです</v>
      </c>
    </row>
    <row r="7458" spans="1:3" ht="18" customHeight="1" x14ac:dyDescent="0.3">
      <c r="A7458" s="1">
        <v>3</v>
      </c>
      <c r="B7458" s="1" t="s">
        <v>6088</v>
      </c>
      <c r="C7458" s="1" t="str">
        <f ca="1">IFERROR(__xludf.DUMMYFUNCTION("GOOGLETRANSLATE(B7562,""en"",""ja"")"),"フォーマット")</f>
        <v>フォーマット</v>
      </c>
    </row>
    <row r="7459" spans="1:3" ht="18" customHeight="1" x14ac:dyDescent="0.3">
      <c r="A7459" s="1">
        <v>3</v>
      </c>
      <c r="B7459" s="1" t="s">
        <v>6089</v>
      </c>
      <c r="C7459" s="1" t="str">
        <f ca="1">IFERROR(__xludf.DUMMYFUNCTION("GOOGLETRANSLATE(B7563,""en"",""ja"")"),"正式に")</f>
        <v>正式に</v>
      </c>
    </row>
    <row r="7460" spans="1:3" ht="18" customHeight="1" x14ac:dyDescent="0.3">
      <c r="A7460" s="1">
        <v>3</v>
      </c>
      <c r="B7460" s="1" t="s">
        <v>6090</v>
      </c>
      <c r="C7460" s="1" t="str">
        <f ca="1">IFERROR(__xludf.DUMMYFUNCTION("GOOGLETRANSLATE(B7564,""en"",""ja"")"),"許します")</f>
        <v>許します</v>
      </c>
    </row>
    <row r="7461" spans="1:3" ht="18" customHeight="1" x14ac:dyDescent="0.3">
      <c r="A7461" s="1">
        <v>3</v>
      </c>
      <c r="B7461" s="1" t="s">
        <v>6091</v>
      </c>
      <c r="C7461" s="1" t="str">
        <f ca="1">IFERROR(__xludf.DUMMYFUNCTION("GOOGLETRANSLATE(B7565,""en"",""ja"")"),"フォーブス")</f>
        <v>フォーブス</v>
      </c>
    </row>
    <row r="7462" spans="1:3" ht="18" customHeight="1" x14ac:dyDescent="0.3">
      <c r="A7462" s="1">
        <v>3</v>
      </c>
      <c r="B7462" s="1" t="s">
        <v>6092</v>
      </c>
      <c r="C7462" s="1" t="str">
        <f ca="1">IFERROR(__xludf.DUMMYFUNCTION("GOOGLETRANSLATE(B7566,""en"",""ja"")"),"折ります")</f>
        <v>折ります</v>
      </c>
    </row>
    <row r="7463" spans="1:3" ht="18" customHeight="1" x14ac:dyDescent="0.3">
      <c r="A7463" s="1">
        <v>3</v>
      </c>
      <c r="B7463" s="1" t="s">
        <v>6093</v>
      </c>
      <c r="C7463" s="1" t="str">
        <f ca="1">IFERROR(__xludf.DUMMYFUNCTION("GOOGLETRANSLATE(B7567,""en"",""ja"")"),"集中")</f>
        <v>集中</v>
      </c>
    </row>
    <row r="7464" spans="1:3" ht="18" customHeight="1" x14ac:dyDescent="0.3">
      <c r="A7464" s="1">
        <v>3</v>
      </c>
      <c r="B7464" s="1" t="s">
        <v>6094</v>
      </c>
      <c r="C7464" s="1" t="str">
        <f ca="1">IFERROR(__xludf.DUMMYFUNCTION("GOOGLETRANSLATE(B7568,""en"",""ja"")"),"フラッシュ")</f>
        <v>フラッシュ</v>
      </c>
    </row>
    <row r="7465" spans="1:3" ht="18" customHeight="1" x14ac:dyDescent="0.3">
      <c r="A7465" s="1">
        <v>3</v>
      </c>
      <c r="B7465" s="1" t="s">
        <v>4837</v>
      </c>
      <c r="C7465" s="1" t="str">
        <f ca="1">IFERROR(__xludf.DUMMYFUNCTION("GOOGLETRANSLATE(B7569,""en"",""ja"")"),"体液")</f>
        <v>体液</v>
      </c>
    </row>
    <row r="7466" spans="1:3" ht="18" customHeight="1" x14ac:dyDescent="0.3">
      <c r="A7466" s="1">
        <v>3</v>
      </c>
      <c r="B7466" s="1" t="s">
        <v>6095</v>
      </c>
      <c r="C7466" s="1" t="str">
        <f ca="1">IFERROR(__xludf.DUMMYFUNCTION("GOOGLETRANSLATE(B7570,""en"",""ja"")"),"床")</f>
        <v>床</v>
      </c>
    </row>
    <row r="7467" spans="1:3" ht="18" customHeight="1" x14ac:dyDescent="0.3">
      <c r="A7467" s="1">
        <v>3</v>
      </c>
      <c r="B7467" s="1" t="s">
        <v>6096</v>
      </c>
      <c r="C7467" s="1" t="str">
        <f ca="1">IFERROR(__xludf.DUMMYFUNCTION("GOOGLETRANSLATE(B7571,""en"",""ja"")"),"洪水")</f>
        <v>洪水</v>
      </c>
    </row>
    <row r="7468" spans="1:3" ht="18" customHeight="1" x14ac:dyDescent="0.3">
      <c r="A7468" s="1">
        <v>3</v>
      </c>
      <c r="B7468" s="1" t="s">
        <v>6097</v>
      </c>
      <c r="C7468" s="1" t="str">
        <f ca="1">IFERROR(__xludf.DUMMYFUNCTION("GOOGLETRANSLATE(B7572,""en"",""ja"")"),"水門")</f>
        <v>水門</v>
      </c>
    </row>
    <row r="7469" spans="1:3" ht="18" customHeight="1" x14ac:dyDescent="0.3">
      <c r="A7469" s="1">
        <v>3</v>
      </c>
      <c r="B7469" s="1" t="s">
        <v>1959</v>
      </c>
      <c r="C7469" s="1" t="str">
        <f ca="1">IFERROR(__xludf.DUMMYFUNCTION("GOOGLETRANSLATE(B7573,""en"",""ja"")"),"フライト")</f>
        <v>フライト</v>
      </c>
    </row>
    <row r="7470" spans="1:3" ht="18" customHeight="1" x14ac:dyDescent="0.3">
      <c r="A7470" s="1">
        <v>3</v>
      </c>
      <c r="B7470" s="1" t="s">
        <v>6098</v>
      </c>
      <c r="C7470" s="1" t="str">
        <f ca="1">IFERROR(__xludf.DUMMYFUNCTION("GOOGLETRANSLATE(B7574,""en"",""ja"")"),"柔軟に")</f>
        <v>柔軟に</v>
      </c>
    </row>
    <row r="7471" spans="1:3" ht="18" customHeight="1" x14ac:dyDescent="0.3">
      <c r="A7471" s="1">
        <v>3</v>
      </c>
      <c r="B7471" s="1" t="s">
        <v>6099</v>
      </c>
      <c r="C7471" s="1" t="str">
        <f ca="1">IFERROR(__xludf.DUMMYFUNCTION("GOOGLETRANSLATE(B7575,""en"",""ja"")"),"肉")</f>
        <v>肉</v>
      </c>
    </row>
    <row r="7472" spans="1:3" ht="18" customHeight="1" x14ac:dyDescent="0.3">
      <c r="A7472" s="1">
        <v>3</v>
      </c>
      <c r="B7472" s="1" t="s">
        <v>6100</v>
      </c>
      <c r="C7472" s="1" t="str">
        <f ca="1">IFERROR(__xludf.DUMMYFUNCTION("GOOGLETRANSLATE(B7576,""en"",""ja"")"),"たるみました")</f>
        <v>たるみました</v>
      </c>
    </row>
    <row r="7473" spans="1:3" ht="18" customHeight="1" x14ac:dyDescent="0.3">
      <c r="A7473" s="1">
        <v>3</v>
      </c>
      <c r="B7473" s="1" t="s">
        <v>6101</v>
      </c>
      <c r="C7473" s="1" t="str">
        <f ca="1">IFERROR(__xludf.DUMMYFUNCTION("GOOGLETRANSLATE(B7577,""en"",""ja"")"),"釣り上げました")</f>
        <v>釣り上げました</v>
      </c>
    </row>
    <row r="7474" spans="1:3" ht="18" customHeight="1" x14ac:dyDescent="0.3">
      <c r="A7474" s="1">
        <v>3</v>
      </c>
      <c r="B7474" s="1" t="s">
        <v>6102</v>
      </c>
      <c r="C7474" s="1" t="str">
        <f ca="1">IFERROR(__xludf.DUMMYFUNCTION("GOOGLETRANSLATE(B7578,""en"",""ja"")"),"当社")</f>
        <v>当社</v>
      </c>
    </row>
    <row r="7475" spans="1:3" ht="18" customHeight="1" x14ac:dyDescent="0.3">
      <c r="A7475" s="1">
        <v>3</v>
      </c>
      <c r="B7475" s="1" t="s">
        <v>6103</v>
      </c>
      <c r="C7475" s="1" t="str">
        <f ca="1">IFERROR(__xludf.DUMMYFUNCTION("GOOGLETRANSLATE(B7579,""en"",""ja"")"),"解雇")</f>
        <v>解雇</v>
      </c>
    </row>
    <row r="7476" spans="1:3" ht="18" customHeight="1" x14ac:dyDescent="0.3">
      <c r="A7476" s="1">
        <v>3</v>
      </c>
      <c r="B7476" s="1" t="s">
        <v>6104</v>
      </c>
      <c r="C7476" s="1" t="str">
        <f ca="1">IFERROR(__xludf.DUMMYFUNCTION("GOOGLETRANSLATE(B7580,""en"",""ja"")"),"指")</f>
        <v>指</v>
      </c>
    </row>
    <row r="7477" spans="1:3" ht="18" customHeight="1" x14ac:dyDescent="0.3">
      <c r="A7477" s="1">
        <v>3</v>
      </c>
      <c r="B7477" s="1" t="s">
        <v>6105</v>
      </c>
      <c r="C7477" s="1" t="str">
        <f ca="1">IFERROR(__xludf.DUMMYFUNCTION("GOOGLETRANSLATE(B7581,""en"",""ja"")"),"発見")</f>
        <v>発見</v>
      </c>
    </row>
    <row r="7478" spans="1:3" ht="18" customHeight="1" x14ac:dyDescent="0.3">
      <c r="A7478" s="1">
        <v>3</v>
      </c>
      <c r="B7478" s="1" t="s">
        <v>6106</v>
      </c>
      <c r="C7478" s="1" t="str">
        <f ca="1">IFERROR(__xludf.DUMMYFUNCTION("GOOGLETRANSLATE(B7582,""en"",""ja"")"),"出資者")</f>
        <v>出資者</v>
      </c>
    </row>
    <row r="7479" spans="1:3" ht="18" customHeight="1" x14ac:dyDescent="0.3">
      <c r="A7479" s="1">
        <v>3</v>
      </c>
      <c r="B7479" s="1" t="s">
        <v>6107</v>
      </c>
      <c r="C7479" s="1" t="str">
        <f ca="1">IFERROR(__xludf.DUMMYFUNCTION("GOOGLETRANSLATE(B7583,""en"",""ja"")"),"財政")</f>
        <v>財政</v>
      </c>
    </row>
    <row r="7480" spans="1:3" ht="18" customHeight="1" x14ac:dyDescent="0.3">
      <c r="A7480" s="1">
        <v>3</v>
      </c>
      <c r="B7480" s="1" t="s">
        <v>6108</v>
      </c>
      <c r="C7480" s="1" t="str">
        <f ca="1">IFERROR(__xludf.DUMMYFUNCTION("GOOGLETRANSLATE(B7584,""en"",""ja"")"),"考え出し")</f>
        <v>考え出し</v>
      </c>
    </row>
    <row r="7481" spans="1:3" ht="18" customHeight="1" x14ac:dyDescent="0.3">
      <c r="A7481" s="1">
        <v>3</v>
      </c>
      <c r="B7481" s="1" t="s">
        <v>6109</v>
      </c>
      <c r="C7481" s="1" t="str">
        <f ca="1">IFERROR(__xludf.DUMMYFUNCTION("GOOGLETRANSLATE(B7585,""en"",""ja"")"),"比喩的な")</f>
        <v>比喩的な</v>
      </c>
    </row>
    <row r="7482" spans="1:3" ht="18" customHeight="1" x14ac:dyDescent="0.3">
      <c r="A7482" s="1">
        <v>3</v>
      </c>
      <c r="B7482" s="1" t="s">
        <v>2711</v>
      </c>
      <c r="C7482" s="1" t="str">
        <f ca="1">IFERROR(__xludf.DUMMYFUNCTION("GOOGLETRANSLATE(B7586,""en"",""ja"")"),"戦い")</f>
        <v>戦い</v>
      </c>
    </row>
    <row r="7483" spans="1:3" ht="18" customHeight="1" x14ac:dyDescent="0.3">
      <c r="A7483" s="1">
        <v>3</v>
      </c>
      <c r="B7483" s="1" t="s">
        <v>6110</v>
      </c>
      <c r="C7483" s="1" t="str">
        <f ca="1">IFERROR(__xludf.DUMMYFUNCTION("GOOGLETRANSLATE(B7587,""en"",""ja"")"),"ファイバ")</f>
        <v>ファイバ</v>
      </c>
    </row>
    <row r="7484" spans="1:3" ht="18" customHeight="1" x14ac:dyDescent="0.3">
      <c r="A7484" s="1">
        <v>3</v>
      </c>
      <c r="B7484" s="1" t="s">
        <v>6111</v>
      </c>
      <c r="C7484" s="1" t="str">
        <f ca="1">IFERROR(__xludf.DUMMYFUNCTION("GOOGLETRANSLATE(B7588,""en"",""ja"")"),"熱")</f>
        <v>熱</v>
      </c>
    </row>
    <row r="7485" spans="1:3" ht="18" customHeight="1" x14ac:dyDescent="0.3">
      <c r="A7485" s="1">
        <v>3</v>
      </c>
      <c r="B7485" s="1" t="s">
        <v>6112</v>
      </c>
      <c r="C7485" s="1" t="str">
        <f ca="1">IFERROR(__xludf.DUMMYFUNCTION("GOOGLETRANSLATE(B7589,""en"",""ja"")"),"足枷")</f>
        <v>足枷</v>
      </c>
    </row>
    <row r="7486" spans="1:3" ht="18" customHeight="1" x14ac:dyDescent="0.3">
      <c r="A7486" s="1">
        <v>3</v>
      </c>
      <c r="B7486" s="1" t="s">
        <v>6113</v>
      </c>
      <c r="C7486" s="1" t="str">
        <f ca="1">IFERROR(__xludf.DUMMYFUNCTION("GOOGLETRANSLATE(B7590,""en"",""ja"")"),"肥えました")</f>
        <v>肥えました</v>
      </c>
    </row>
    <row r="7487" spans="1:3" ht="18" customHeight="1" x14ac:dyDescent="0.3">
      <c r="A7487" s="1">
        <v>3</v>
      </c>
      <c r="B7487" s="1" t="s">
        <v>4847</v>
      </c>
      <c r="C7487" s="1" t="str">
        <f ca="1">IFERROR(__xludf.DUMMYFUNCTION("GOOGLETRANSLATE(B7591,""en"",""ja"")"),"フェミニン")</f>
        <v>フェミニン</v>
      </c>
    </row>
    <row r="7488" spans="1:3" ht="18" customHeight="1" x14ac:dyDescent="0.3">
      <c r="A7488" s="1">
        <v>3</v>
      </c>
      <c r="B7488" s="1" t="s">
        <v>6114</v>
      </c>
      <c r="C7488" s="1" t="str">
        <f ca="1">IFERROR(__xludf.DUMMYFUNCTION("GOOGLETRANSLATE(B7592,""en"",""ja"")"),"フィードバック")</f>
        <v>フィードバック</v>
      </c>
    </row>
    <row r="7489" spans="1:3" ht="18" customHeight="1" x14ac:dyDescent="0.3">
      <c r="A7489" s="1">
        <v>3</v>
      </c>
      <c r="B7489" s="1" t="s">
        <v>6115</v>
      </c>
      <c r="C7489" s="1" t="str">
        <f ca="1">IFERROR(__xludf.DUMMYFUNCTION("GOOGLETRANSLATE(B7593,""en"",""ja"")"),"2月")</f>
        <v>2月</v>
      </c>
    </row>
    <row r="7490" spans="1:3" ht="18" customHeight="1" x14ac:dyDescent="0.3">
      <c r="A7490" s="1">
        <v>3</v>
      </c>
      <c r="B7490" s="1" t="s">
        <v>6116</v>
      </c>
      <c r="C7490" s="1" t="str">
        <f ca="1">IFERROR(__xludf.DUMMYFUNCTION("GOOGLETRANSLATE(B7594,""en"",""ja"")"),"饗宴")</f>
        <v>饗宴</v>
      </c>
    </row>
    <row r="7491" spans="1:3" ht="18" customHeight="1" x14ac:dyDescent="0.3">
      <c r="A7491" s="1">
        <v>3</v>
      </c>
      <c r="B7491" s="1" t="s">
        <v>6117</v>
      </c>
      <c r="C7491" s="1" t="str">
        <f ca="1">IFERROR(__xludf.DUMMYFUNCTION("GOOGLETRANSLATE(B7595,""en"",""ja"")"),"恐怖")</f>
        <v>恐怖</v>
      </c>
    </row>
    <row r="7492" spans="1:3" ht="18" customHeight="1" x14ac:dyDescent="0.3">
      <c r="A7492" s="1">
        <v>3</v>
      </c>
      <c r="B7492" s="1" t="s">
        <v>6118</v>
      </c>
      <c r="C7492" s="1" t="str">
        <f ca="1">IFERROR(__xludf.DUMMYFUNCTION("GOOGLETRANSLATE(B7596,""en"",""ja"")"),"好意")</f>
        <v>好意</v>
      </c>
    </row>
    <row r="7493" spans="1:3" ht="18" customHeight="1" x14ac:dyDescent="0.3">
      <c r="A7493" s="1">
        <v>3</v>
      </c>
      <c r="B7493" s="1" t="s">
        <v>3550</v>
      </c>
      <c r="C7493" s="1" t="str">
        <f ca="1">IFERROR(__xludf.DUMMYFUNCTION("GOOGLETRANSLATE(B7597,""en"",""ja"")"),"運命")</f>
        <v>運命</v>
      </c>
    </row>
    <row r="7494" spans="1:3" ht="18" customHeight="1" x14ac:dyDescent="0.3">
      <c r="A7494" s="1">
        <v>3</v>
      </c>
      <c r="B7494" s="1" t="s">
        <v>6119</v>
      </c>
      <c r="C7494" s="1" t="str">
        <f ca="1">IFERROR(__xludf.DUMMYFUNCTION("GOOGLETRANSLATE(B7598,""en"",""ja"")"),"最速")</f>
        <v>最速</v>
      </c>
    </row>
    <row r="7495" spans="1:3" ht="18" customHeight="1" x14ac:dyDescent="0.3">
      <c r="A7495" s="1">
        <v>3</v>
      </c>
      <c r="B7495" s="1" t="s">
        <v>6120</v>
      </c>
      <c r="C7495" s="1" t="str">
        <f ca="1">IFERROR(__xludf.DUMMYFUNCTION("GOOGLETRANSLATE(B7599,""en"",""ja"")"),"農場")</f>
        <v>農場</v>
      </c>
    </row>
    <row r="7496" spans="1:3" ht="18" customHeight="1" x14ac:dyDescent="0.3">
      <c r="A7496" s="1">
        <v>3</v>
      </c>
      <c r="B7496" s="1" t="s">
        <v>6121</v>
      </c>
      <c r="C7496" s="1" t="str">
        <f ca="1">IFERROR(__xludf.DUMMYFUNCTION("GOOGLETRANSLATE(B7600,""en"",""ja"")"),"こじつけの")</f>
        <v>こじつけの</v>
      </c>
    </row>
    <row r="7497" spans="1:3" ht="18" customHeight="1" x14ac:dyDescent="0.3">
      <c r="A7497" s="1">
        <v>3</v>
      </c>
      <c r="B7497" s="1" t="s">
        <v>6122</v>
      </c>
      <c r="C7497" s="1" t="str">
        <f ca="1">IFERROR(__xludf.DUMMYFUNCTION("GOOGLETRANSLATE(B7601,""en"",""ja"")"),"ファンタジー")</f>
        <v>ファンタジー</v>
      </c>
    </row>
    <row r="7498" spans="1:3" ht="18" customHeight="1" x14ac:dyDescent="0.3">
      <c r="A7498" s="1">
        <v>3</v>
      </c>
      <c r="B7498" s="1" t="s">
        <v>6123</v>
      </c>
      <c r="C7498" s="1" t="str">
        <f ca="1">IFERROR(__xludf.DUMMYFUNCTION("GOOGLETRANSLATE(B7602,""en"",""ja"")"),"誤信")</f>
        <v>誤信</v>
      </c>
    </row>
    <row r="7499" spans="1:3" ht="18" customHeight="1" x14ac:dyDescent="0.3">
      <c r="A7499" s="1">
        <v>3</v>
      </c>
      <c r="B7499" s="1" t="s">
        <v>6124</v>
      </c>
      <c r="C7499" s="1" t="str">
        <f ca="1">IFERROR(__xludf.DUMMYFUNCTION("GOOGLETRANSLATE(B7603,""en"",""ja"")"),"ハヤブサ")</f>
        <v>ハヤブサ</v>
      </c>
    </row>
    <row r="7500" spans="1:3" ht="18" customHeight="1" x14ac:dyDescent="0.3">
      <c r="A7500" s="1">
        <v>3</v>
      </c>
      <c r="B7500" s="1" t="s">
        <v>6125</v>
      </c>
      <c r="C7500" s="1" t="str">
        <f ca="1">IFERROR(__xludf.DUMMYFUNCTION("GOOGLETRANSLATE(B7604,""en"",""ja"")"),"忠実な")</f>
        <v>忠実な</v>
      </c>
    </row>
    <row r="7501" spans="1:3" ht="18" customHeight="1" x14ac:dyDescent="0.3">
      <c r="A7501" s="1">
        <v>3</v>
      </c>
      <c r="B7501" s="1" t="s">
        <v>6126</v>
      </c>
      <c r="C7501" s="1" t="str">
        <f ca="1">IFERROR(__xludf.DUMMYFUNCTION("GOOGLETRANSLATE(B7605,""en"",""ja"")"),"放任")</f>
        <v>放任</v>
      </c>
    </row>
    <row r="7502" spans="1:3" ht="18" customHeight="1" x14ac:dyDescent="0.3">
      <c r="A7502" s="1">
        <v>3</v>
      </c>
      <c r="B7502" s="1" t="s">
        <v>3554</v>
      </c>
      <c r="C7502" s="1" t="str">
        <f ca="1">IFERROR(__xludf.DUMMYFUNCTION("GOOGLETRANSLATE(B7606,""en"",""ja"")"),"公正な")</f>
        <v>公正な</v>
      </c>
    </row>
    <row r="7503" spans="1:3" ht="18" customHeight="1" x14ac:dyDescent="0.3">
      <c r="A7503" s="1">
        <v>3</v>
      </c>
      <c r="B7503" s="1" t="s">
        <v>495</v>
      </c>
      <c r="C7503" s="1" t="str">
        <f ca="1">IFERROR(__xludf.DUMMYFUNCTION("GOOGLETRANSLATE(B7607,""en"",""ja"")"),"故障")</f>
        <v>故障</v>
      </c>
    </row>
    <row r="7504" spans="1:3" ht="18" customHeight="1" x14ac:dyDescent="0.3">
      <c r="A7504" s="1">
        <v>3</v>
      </c>
      <c r="B7504" s="1" t="s">
        <v>6127</v>
      </c>
      <c r="C7504" s="1" t="str">
        <f ca="1">IFERROR(__xludf.DUMMYFUNCTION("GOOGLETRANSLATE(B7608,""en"",""ja"")"),"フェード")</f>
        <v>フェード</v>
      </c>
    </row>
    <row r="7505" spans="1:3" ht="18" customHeight="1" x14ac:dyDescent="0.3">
      <c r="A7505" s="1">
        <v>3</v>
      </c>
      <c r="B7505" s="1" t="s">
        <v>2166</v>
      </c>
      <c r="C7505" s="1" t="str">
        <f ca="1">IFERROR(__xludf.DUMMYFUNCTION("GOOGLETRANSLATE(B7609,""en"",""ja"")"),"工場")</f>
        <v>工場</v>
      </c>
    </row>
    <row r="7506" spans="1:3" ht="18" customHeight="1" x14ac:dyDescent="0.3">
      <c r="A7506" s="1">
        <v>3</v>
      </c>
      <c r="B7506" s="1" t="s">
        <v>6128</v>
      </c>
      <c r="C7506" s="1" t="str">
        <f ca="1">IFERROR(__xludf.DUMMYFUNCTION("GOOGLETRANSLATE(B7610,""en"",""ja"")"),"施設")</f>
        <v>施設</v>
      </c>
    </row>
    <row r="7507" spans="1:3" ht="18" customHeight="1" x14ac:dyDescent="0.3">
      <c r="A7507" s="1">
        <v>3</v>
      </c>
      <c r="B7507" s="1" t="s">
        <v>6129</v>
      </c>
      <c r="C7507" s="1" t="str">
        <f ca="1">IFERROR(__xludf.DUMMYFUNCTION("GOOGLETRANSLATE(B7611,""en"",""ja"")"),"容易にします")</f>
        <v>容易にします</v>
      </c>
    </row>
    <row r="7508" spans="1:3" ht="18" customHeight="1" x14ac:dyDescent="0.3">
      <c r="A7508" s="1">
        <v>3</v>
      </c>
      <c r="B7508" s="1" t="s">
        <v>6130</v>
      </c>
      <c r="C7508" s="1" t="str">
        <f ca="1">IFERROR(__xludf.DUMMYFUNCTION("GOOGLETRANSLATE(B7612,""en"",""ja"")"),"ファサード")</f>
        <v>ファサード</v>
      </c>
    </row>
    <row r="7509" spans="1:3" ht="18" customHeight="1" x14ac:dyDescent="0.3">
      <c r="A7509" s="1">
        <v>3</v>
      </c>
      <c r="B7509" s="1" t="s">
        <v>6131</v>
      </c>
      <c r="C7509" s="1" t="str">
        <f ca="1">IFERROR(__xludf.DUMMYFUNCTION("GOOGLETRANSLATE(B7613,""en"",""ja"")"),"作製しました")</f>
        <v>作製しました</v>
      </c>
    </row>
    <row r="7510" spans="1:3" ht="18" customHeight="1" x14ac:dyDescent="0.3">
      <c r="A7510" s="1">
        <v>3</v>
      </c>
      <c r="B7510" s="1" t="s">
        <v>6132</v>
      </c>
      <c r="C7510" s="1" t="str">
        <f ca="1">IFERROR(__xludf.DUMMYFUNCTION("GOOGLETRANSLATE(B7614,""en"",""ja"")"),"外向性")</f>
        <v>外向性</v>
      </c>
    </row>
    <row r="7511" spans="1:3" ht="18" customHeight="1" x14ac:dyDescent="0.3">
      <c r="A7511" s="1">
        <v>3</v>
      </c>
      <c r="B7511" s="1" t="s">
        <v>6133</v>
      </c>
      <c r="C7511" s="1" t="str">
        <f ca="1">IFERROR(__xludf.DUMMYFUNCTION("GOOGLETRANSLATE(B7615,""en"",""ja"")"),"外向")</f>
        <v>外向</v>
      </c>
    </row>
    <row r="7512" spans="1:3" ht="18" customHeight="1" x14ac:dyDescent="0.3">
      <c r="A7512" s="1">
        <v>3</v>
      </c>
      <c r="B7512" s="1" t="s">
        <v>6134</v>
      </c>
      <c r="C7512" s="1" t="str">
        <f ca="1">IFERROR(__xludf.DUMMYFUNCTION("GOOGLETRANSLATE(B7616,""en"",""ja"")"),"外向性の人")</f>
        <v>外向性の人</v>
      </c>
    </row>
    <row r="7513" spans="1:3" ht="18" customHeight="1" x14ac:dyDescent="0.3">
      <c r="A7513" s="1">
        <v>3</v>
      </c>
      <c r="B7513" s="1" t="s">
        <v>6135</v>
      </c>
      <c r="C7513" s="1" t="str">
        <f ca="1">IFERROR(__xludf.DUMMYFUNCTION("GOOGLETRANSLATE(B7617,""en"",""ja"")"),"外因")</f>
        <v>外因</v>
      </c>
    </row>
    <row r="7514" spans="1:3" ht="18" customHeight="1" x14ac:dyDescent="0.3">
      <c r="A7514" s="1">
        <v>3</v>
      </c>
      <c r="B7514" s="1" t="s">
        <v>4857</v>
      </c>
      <c r="C7514" s="1" t="str">
        <f ca="1">IFERROR(__xludf.DUMMYFUNCTION("GOOGLETRANSLATE(B7618,""en"",""ja"")"),"エキス")</f>
        <v>エキス</v>
      </c>
    </row>
    <row r="7515" spans="1:3" ht="18" customHeight="1" x14ac:dyDescent="0.3">
      <c r="A7515" s="1">
        <v>3</v>
      </c>
      <c r="B7515" s="1" t="s">
        <v>2718</v>
      </c>
      <c r="C7515" s="1" t="str">
        <f ca="1">IFERROR(__xludf.DUMMYFUNCTION("GOOGLETRANSLATE(B7619,""en"",""ja"")"),"絶滅")</f>
        <v>絶滅</v>
      </c>
    </row>
    <row r="7516" spans="1:3" ht="18" customHeight="1" x14ac:dyDescent="0.3">
      <c r="A7516" s="1">
        <v>3</v>
      </c>
      <c r="B7516" s="1" t="s">
        <v>6136</v>
      </c>
      <c r="C7516" s="1" t="str">
        <f ca="1">IFERROR(__xludf.DUMMYFUNCTION("GOOGLETRANSLATE(B7620,""en"",""ja"")"),"外部化")</f>
        <v>外部化</v>
      </c>
    </row>
    <row r="7517" spans="1:3" ht="18" customHeight="1" x14ac:dyDescent="0.3">
      <c r="A7517" s="1">
        <v>3</v>
      </c>
      <c r="B7517" s="1" t="s">
        <v>534</v>
      </c>
      <c r="C7517" s="1" t="str">
        <f ca="1">IFERROR(__xludf.DUMMYFUNCTION("GOOGLETRANSLATE(B7621,""en"",""ja"")"),"外部の")</f>
        <v>外部の</v>
      </c>
    </row>
    <row r="7518" spans="1:3" ht="18" customHeight="1" x14ac:dyDescent="0.3">
      <c r="A7518" s="1">
        <v>3</v>
      </c>
      <c r="B7518" s="1" t="s">
        <v>6137</v>
      </c>
      <c r="C7518" s="1" t="str">
        <f ca="1">IFERROR(__xludf.DUMMYFUNCTION("GOOGLETRANSLATE(B7622,""en"",""ja"")"),"曝露")</f>
        <v>曝露</v>
      </c>
    </row>
    <row r="7519" spans="1:3" ht="18" customHeight="1" x14ac:dyDescent="0.3">
      <c r="A7519" s="1">
        <v>3</v>
      </c>
      <c r="B7519" s="1" t="s">
        <v>6138</v>
      </c>
      <c r="C7519" s="1" t="str">
        <f ca="1">IFERROR(__xludf.DUMMYFUNCTION("GOOGLETRANSLATE(B7623,""en"",""ja"")"),"探究")</f>
        <v>探究</v>
      </c>
    </row>
    <row r="7520" spans="1:3" ht="18" customHeight="1" x14ac:dyDescent="0.3">
      <c r="A7520" s="1">
        <v>3</v>
      </c>
      <c r="B7520" s="1" t="s">
        <v>1472</v>
      </c>
      <c r="C7520" s="1" t="str">
        <f ca="1">IFERROR(__xludf.DUMMYFUNCTION("GOOGLETRANSLATE(B7624,""en"",""ja"")"),"見る")</f>
        <v>見る</v>
      </c>
    </row>
    <row r="7521" spans="1:3" ht="18" customHeight="1" x14ac:dyDescent="0.3">
      <c r="A7521" s="1">
        <v>3</v>
      </c>
      <c r="B7521" s="1" t="s">
        <v>2720</v>
      </c>
      <c r="C7521" s="1" t="str">
        <f ca="1">IFERROR(__xludf.DUMMYFUNCTION("GOOGLETRANSLATE(B7625,""en"",""ja"")"),"開発します")</f>
        <v>開発します</v>
      </c>
    </row>
    <row r="7522" spans="1:3" ht="18" customHeight="1" x14ac:dyDescent="0.3">
      <c r="A7522" s="1">
        <v>3</v>
      </c>
      <c r="B7522" s="1" t="s">
        <v>6139</v>
      </c>
      <c r="C7522" s="1" t="str">
        <f ca="1">IFERROR(__xludf.DUMMYFUNCTION("GOOGLETRANSLATE(B7626,""en"",""ja"")"),"実験者")</f>
        <v>実験者</v>
      </c>
    </row>
    <row r="7523" spans="1:3" ht="18" customHeight="1" x14ac:dyDescent="0.3">
      <c r="A7523" s="1">
        <v>3</v>
      </c>
      <c r="B7523" s="1" t="s">
        <v>6140</v>
      </c>
      <c r="C7523" s="1" t="str">
        <f ca="1">IFERROR(__xludf.DUMMYFUNCTION("GOOGLETRANSLATE(B7627,""en"",""ja"")"),"追い出します")</f>
        <v>追い出します</v>
      </c>
    </row>
    <row r="7524" spans="1:3" ht="18" customHeight="1" x14ac:dyDescent="0.3">
      <c r="A7524" s="1">
        <v>3</v>
      </c>
      <c r="B7524" s="1" t="s">
        <v>6141</v>
      </c>
      <c r="C7524" s="1" t="str">
        <f ca="1">IFERROR(__xludf.DUMMYFUNCTION("GOOGLETRANSLATE(B7628,""en"",""ja"")"),"広がり")</f>
        <v>広がり</v>
      </c>
    </row>
    <row r="7525" spans="1:3" ht="18" customHeight="1" x14ac:dyDescent="0.3">
      <c r="A7525" s="1">
        <v>3</v>
      </c>
      <c r="B7525" s="1" t="s">
        <v>6142</v>
      </c>
      <c r="C7525" s="1" t="str">
        <f ca="1">IFERROR(__xludf.DUMMYFUNCTION("GOOGLETRANSLATE(B7629,""en"",""ja"")"),"膨張します")</f>
        <v>膨張します</v>
      </c>
    </row>
    <row r="7526" spans="1:3" ht="18" customHeight="1" x14ac:dyDescent="0.3">
      <c r="A7526" s="1">
        <v>3</v>
      </c>
      <c r="B7526" s="1" t="s">
        <v>6143</v>
      </c>
      <c r="C7526" s="1" t="str">
        <f ca="1">IFERROR(__xludf.DUMMYFUNCTION("GOOGLETRANSLATE(B7630,""en"",""ja"")"),"拡大")</f>
        <v>拡大</v>
      </c>
    </row>
    <row r="7527" spans="1:3" ht="18" customHeight="1" x14ac:dyDescent="0.3">
      <c r="A7527" s="1">
        <v>3</v>
      </c>
      <c r="B7527" s="1" t="s">
        <v>6144</v>
      </c>
      <c r="C7527" s="1" t="str">
        <f ca="1">IFERROR(__xludf.DUMMYFUNCTION("GOOGLETRANSLATE(B7631,""en"",""ja"")"),"エキゾチック")</f>
        <v>エキゾチック</v>
      </c>
    </row>
    <row r="7528" spans="1:3" ht="18" customHeight="1" x14ac:dyDescent="0.3">
      <c r="A7528" s="1">
        <v>3</v>
      </c>
      <c r="B7528" s="1" t="s">
        <v>6145</v>
      </c>
      <c r="C7528" s="1" t="str">
        <f ca="1">IFERROR(__xludf.DUMMYFUNCTION("GOOGLETRANSLATE(B7632,""en"",""ja"")"),"展示")</f>
        <v>展示</v>
      </c>
    </row>
    <row r="7529" spans="1:3" ht="18" customHeight="1" x14ac:dyDescent="0.3">
      <c r="A7529" s="1">
        <v>3</v>
      </c>
      <c r="B7529" s="1" t="s">
        <v>6146</v>
      </c>
      <c r="C7529" s="1" t="str">
        <f ca="1">IFERROR(__xludf.DUMMYFUNCTION("GOOGLETRANSLATE(B7633,""en"",""ja"")"),"露出症")</f>
        <v>露出症</v>
      </c>
    </row>
    <row r="7530" spans="1:3" ht="18" customHeight="1" x14ac:dyDescent="0.3">
      <c r="A7530" s="1">
        <v>3</v>
      </c>
      <c r="B7530" s="1" t="s">
        <v>6147</v>
      </c>
      <c r="C7530" s="1" t="str">
        <f ca="1">IFERROR(__xludf.DUMMYFUNCTION("GOOGLETRANSLATE(B7634,""en"",""ja"")"),"興奮")</f>
        <v>興奮</v>
      </c>
    </row>
    <row r="7531" spans="1:3" ht="18" customHeight="1" x14ac:dyDescent="0.3">
      <c r="A7531" s="1">
        <v>3</v>
      </c>
      <c r="B7531" s="1" t="s">
        <v>6148</v>
      </c>
      <c r="C7531" s="1" t="str">
        <f ca="1">IFERROR(__xludf.DUMMYFUNCTION("GOOGLETRANSLATE(B7635,""en"",""ja"")"),"異例")</f>
        <v>異例</v>
      </c>
    </row>
    <row r="7532" spans="1:3" ht="18" customHeight="1" x14ac:dyDescent="0.3">
      <c r="A7532" s="1">
        <v>3</v>
      </c>
      <c r="B7532" s="1" t="s">
        <v>6149</v>
      </c>
      <c r="C7532" s="1" t="str">
        <f ca="1">IFERROR(__xludf.DUMMYFUNCTION("GOOGLETRANSLATE(B7636,""en"",""ja"")"),"優れた")</f>
        <v>優れた</v>
      </c>
    </row>
    <row r="7533" spans="1:3" ht="18" customHeight="1" x14ac:dyDescent="0.3">
      <c r="A7533" s="1">
        <v>3</v>
      </c>
      <c r="B7533" s="1" t="s">
        <v>6150</v>
      </c>
      <c r="C7533" s="1" t="str">
        <f ca="1">IFERROR(__xludf.DUMMYFUNCTION("GOOGLETRANSLATE(B7637,""en"",""ja"")"),"極めて")</f>
        <v>極めて</v>
      </c>
    </row>
    <row r="7534" spans="1:3" ht="18" customHeight="1" x14ac:dyDescent="0.3">
      <c r="A7534" s="1">
        <v>3</v>
      </c>
      <c r="B7534" s="1" t="s">
        <v>6151</v>
      </c>
      <c r="C7534" s="1" t="str">
        <f ca="1">IFERROR(__xludf.DUMMYFUNCTION("GOOGLETRANSLATE(B7638,""en"",""ja"")"),"激怒")</f>
        <v>激怒</v>
      </c>
    </row>
    <row r="7535" spans="1:3" ht="18" customHeight="1" x14ac:dyDescent="0.3">
      <c r="A7535" s="1">
        <v>3</v>
      </c>
      <c r="B7535" s="1" t="s">
        <v>6152</v>
      </c>
      <c r="C7535" s="1" t="str">
        <f ca="1">IFERROR(__xludf.DUMMYFUNCTION("GOOGLETRANSLATE(B7639,""en"",""ja"")"),"悪化さ")</f>
        <v>悪化さ</v>
      </c>
    </row>
    <row r="7536" spans="1:3" ht="18" customHeight="1" x14ac:dyDescent="0.3">
      <c r="A7536" s="1">
        <v>3</v>
      </c>
      <c r="B7536" s="1" t="s">
        <v>6153</v>
      </c>
      <c r="C7536" s="1" t="str">
        <f ca="1">IFERROR(__xludf.DUMMYFUNCTION("GOOGLETRANSLATE(B7640,""en"",""ja"")"),"試験")</f>
        <v>試験</v>
      </c>
    </row>
    <row r="7537" spans="1:3" ht="18" customHeight="1" x14ac:dyDescent="0.3">
      <c r="A7537" s="1">
        <v>3</v>
      </c>
      <c r="B7537" s="1" t="s">
        <v>6154</v>
      </c>
      <c r="C7537" s="1" t="str">
        <f ca="1">IFERROR(__xludf.DUMMYFUNCTION("GOOGLETRANSLATE(B7641,""en"",""ja"")"),"悪化")</f>
        <v>悪化</v>
      </c>
    </row>
    <row r="7538" spans="1:3" ht="18" customHeight="1" x14ac:dyDescent="0.3">
      <c r="A7538" s="1">
        <v>3</v>
      </c>
      <c r="B7538" s="1" t="s">
        <v>6155</v>
      </c>
      <c r="C7538" s="1" t="str">
        <f ca="1">IFERROR(__xludf.DUMMYFUNCTION("GOOGLETRANSLATE(B7642,""en"",""ja"")"),"進化論")</f>
        <v>進化論</v>
      </c>
    </row>
    <row r="7539" spans="1:3" ht="18" customHeight="1" x14ac:dyDescent="0.3">
      <c r="A7539" s="1">
        <v>3</v>
      </c>
      <c r="B7539" s="1" t="s">
        <v>634</v>
      </c>
      <c r="C7539" s="1" t="str">
        <f ca="1">IFERROR(__xludf.DUMMYFUNCTION("GOOGLETRANSLATE(B7643,""en"",""ja"")"),"すべて")</f>
        <v>すべて</v>
      </c>
    </row>
    <row r="7540" spans="1:3" ht="18" customHeight="1" x14ac:dyDescent="0.3">
      <c r="A7540" s="1">
        <v>3</v>
      </c>
      <c r="B7540" s="1" t="s">
        <v>2728</v>
      </c>
      <c r="C7540" s="1" t="str">
        <f ca="1">IFERROR(__xludf.DUMMYFUNCTION("GOOGLETRANSLATE(B7644,""en"",""ja"")"),"皆")</f>
        <v>皆</v>
      </c>
    </row>
    <row r="7541" spans="1:3" ht="18" customHeight="1" x14ac:dyDescent="0.3">
      <c r="A7541" s="1">
        <v>3</v>
      </c>
      <c r="B7541" s="1" t="s">
        <v>6156</v>
      </c>
      <c r="C7541" s="1" t="str">
        <f ca="1">IFERROR(__xludf.DUMMYFUNCTION("GOOGLETRANSLATE(B7645,""en"",""ja"")"),"イブニング")</f>
        <v>イブニング</v>
      </c>
    </row>
    <row r="7542" spans="1:3" ht="18" customHeight="1" x14ac:dyDescent="0.3">
      <c r="A7542" s="1">
        <v>3</v>
      </c>
      <c r="B7542" s="1" t="s">
        <v>6157</v>
      </c>
      <c r="C7542" s="1" t="str">
        <f ca="1">IFERROR(__xludf.DUMMYFUNCTION("GOOGLETRANSLATE(B7646,""en"",""ja"")"),"優生")</f>
        <v>優生</v>
      </c>
    </row>
    <row r="7543" spans="1:3" ht="18" customHeight="1" x14ac:dyDescent="0.3">
      <c r="A7543" s="1">
        <v>3</v>
      </c>
      <c r="B7543" s="1" t="s">
        <v>3046</v>
      </c>
      <c r="C7543" s="1" t="str">
        <f ca="1">IFERROR(__xludf.DUMMYFUNCTION("GOOGLETRANSLATE(B7647,""en"",""ja"")"),"エスノセントリズム")</f>
        <v>エスノセントリズム</v>
      </c>
    </row>
    <row r="7544" spans="1:3" ht="18" customHeight="1" x14ac:dyDescent="0.3">
      <c r="A7544" s="1">
        <v>3</v>
      </c>
      <c r="B7544" s="1" t="s">
        <v>1208</v>
      </c>
      <c r="C7544" s="1" t="str">
        <f ca="1">IFERROR(__xludf.DUMMYFUNCTION("GOOGLETRANSLATE(B7648,""en"",""ja"")"),"倫理的な")</f>
        <v>倫理的な</v>
      </c>
    </row>
    <row r="7545" spans="1:3" ht="18" customHeight="1" x14ac:dyDescent="0.3">
      <c r="A7545" s="1">
        <v>3</v>
      </c>
      <c r="B7545" s="1" t="s">
        <v>4876</v>
      </c>
      <c r="C7545" s="1" t="str">
        <f ca="1">IFERROR(__xludf.DUMMYFUNCTION("GOOGLETRANSLATE(B7649,""en"",""ja"")"),"永遠の")</f>
        <v>永遠の</v>
      </c>
    </row>
    <row r="7546" spans="1:3" ht="18" customHeight="1" x14ac:dyDescent="0.3">
      <c r="A7546" s="1">
        <v>3</v>
      </c>
      <c r="B7546" s="1" t="s">
        <v>6158</v>
      </c>
      <c r="C7546" s="1" t="str">
        <f ca="1">IFERROR(__xludf.DUMMYFUNCTION("GOOGLETRANSLATE(B7650,""en"",""ja"")"),"確立")</f>
        <v>確立</v>
      </c>
    </row>
    <row r="7547" spans="1:3" ht="18" customHeight="1" x14ac:dyDescent="0.3">
      <c r="A7547" s="1">
        <v>3</v>
      </c>
      <c r="B7547" s="1" t="s">
        <v>6159</v>
      </c>
      <c r="C7547" s="1" t="str">
        <f ca="1">IFERROR(__xludf.DUMMYFUNCTION("GOOGLETRANSLATE(B7651,""en"",""ja"")"),"浸食します")</f>
        <v>浸食します</v>
      </c>
    </row>
    <row r="7548" spans="1:3" ht="18" customHeight="1" x14ac:dyDescent="0.3">
      <c r="A7548" s="1">
        <v>3</v>
      </c>
      <c r="B7548" s="1" t="s">
        <v>6160</v>
      </c>
      <c r="C7548" s="1" t="str">
        <f ca="1">IFERROR(__xludf.DUMMYFUNCTION("GOOGLETRANSLATE(B7652,""en"",""ja"")"),"エリック")</f>
        <v>エリック</v>
      </c>
    </row>
    <row r="7549" spans="1:3" ht="18" customHeight="1" x14ac:dyDescent="0.3">
      <c r="A7549" s="1">
        <v>3</v>
      </c>
      <c r="B7549" s="1" t="s">
        <v>4878</v>
      </c>
      <c r="C7549" s="1" t="str">
        <f ca="1">IFERROR(__xludf.DUMMYFUNCTION("GOOGLETRANSLATE(B7653,""en"",""ja"")"),"エレクトス")</f>
        <v>エレクトス</v>
      </c>
    </row>
    <row r="7550" spans="1:3" ht="18" customHeight="1" x14ac:dyDescent="0.3">
      <c r="A7550" s="1">
        <v>3</v>
      </c>
      <c r="B7550" s="1" t="s">
        <v>6161</v>
      </c>
      <c r="C7550" s="1" t="str">
        <f ca="1">IFERROR(__xludf.DUMMYFUNCTION("GOOGLETRANSLATE(B7654,""en"",""ja"")"),"消しゴム")</f>
        <v>消しゴム</v>
      </c>
    </row>
    <row r="7551" spans="1:3" ht="18" customHeight="1" x14ac:dyDescent="0.3">
      <c r="A7551" s="1">
        <v>3</v>
      </c>
      <c r="B7551" s="1" t="s">
        <v>6162</v>
      </c>
      <c r="C7551" s="1" t="str">
        <f ca="1">IFERROR(__xludf.DUMMYFUNCTION("GOOGLETRANSLATE(B7655,""en"",""ja"")"),"撲滅")</f>
        <v>撲滅</v>
      </c>
    </row>
    <row r="7552" spans="1:3" ht="18" customHeight="1" x14ac:dyDescent="0.3">
      <c r="A7552" s="1">
        <v>3</v>
      </c>
      <c r="B7552" s="1" t="s">
        <v>4065</v>
      </c>
      <c r="C7552" s="1" t="str">
        <f ca="1">IFERROR(__xludf.DUMMYFUNCTION("GOOGLETRANSLATE(B7656,""en"",""ja"")"),"時代")</f>
        <v>時代</v>
      </c>
    </row>
    <row r="7553" spans="1:3" ht="18" customHeight="1" x14ac:dyDescent="0.3">
      <c r="A7553" s="1">
        <v>3</v>
      </c>
      <c r="B7553" s="1" t="s">
        <v>6163</v>
      </c>
      <c r="C7553" s="1" t="str">
        <f ca="1">IFERROR(__xludf.DUMMYFUNCTION("GOOGLETRANSLATE(B7657,""en"",""ja"")"),"赤道")</f>
        <v>赤道</v>
      </c>
    </row>
    <row r="7554" spans="1:3" ht="18" customHeight="1" x14ac:dyDescent="0.3">
      <c r="A7554" s="1">
        <v>3</v>
      </c>
      <c r="B7554" s="1" t="s">
        <v>6164</v>
      </c>
      <c r="C7554" s="1" t="str">
        <f ca="1">IFERROR(__xludf.DUMMYFUNCTION("GOOGLETRANSLATE(B7658,""en"",""ja"")"),"エンティティ")</f>
        <v>エンティティ</v>
      </c>
    </row>
    <row r="7555" spans="1:3" ht="18" customHeight="1" x14ac:dyDescent="0.3">
      <c r="A7555" s="1">
        <v>3</v>
      </c>
      <c r="B7555" s="1" t="s">
        <v>2183</v>
      </c>
      <c r="C7555" s="1" t="str">
        <f ca="1">IFERROR(__xludf.DUMMYFUNCTION("GOOGLETRANSLATE(B7659,""en"",""ja"")"),"エンターテインメント")</f>
        <v>エンターテインメント</v>
      </c>
    </row>
    <row r="7556" spans="1:3" ht="18" customHeight="1" x14ac:dyDescent="0.3">
      <c r="A7556" s="1">
        <v>3</v>
      </c>
      <c r="B7556" s="1" t="s">
        <v>6165</v>
      </c>
      <c r="C7556" s="1" t="str">
        <f ca="1">IFERROR(__xludf.DUMMYFUNCTION("GOOGLETRANSLATE(B7660,""en"",""ja"")"),"伴い")</f>
        <v>伴い</v>
      </c>
    </row>
    <row r="7557" spans="1:3" ht="18" customHeight="1" x14ac:dyDescent="0.3">
      <c r="A7557" s="1">
        <v>3</v>
      </c>
      <c r="B7557" s="1" t="s">
        <v>6166</v>
      </c>
      <c r="C7557" s="1" t="str">
        <f ca="1">IFERROR(__xludf.DUMMYFUNCTION("GOOGLETRANSLATE(B7661,""en"",""ja"")"),"豊か")</f>
        <v>豊か</v>
      </c>
    </row>
    <row r="7558" spans="1:3" ht="18" customHeight="1" x14ac:dyDescent="0.3">
      <c r="A7558" s="1">
        <v>3</v>
      </c>
      <c r="B7558" s="1" t="s">
        <v>4068</v>
      </c>
      <c r="C7558" s="1" t="str">
        <f ca="1">IFERROR(__xludf.DUMMYFUNCTION("GOOGLETRANSLATE(B7662,""en"",""ja"")"),"エンリッチ")</f>
        <v>エンリッチ</v>
      </c>
    </row>
    <row r="7559" spans="1:3" ht="18" customHeight="1" x14ac:dyDescent="0.3">
      <c r="A7559" s="1">
        <v>3</v>
      </c>
      <c r="B7559" s="1" t="s">
        <v>6167</v>
      </c>
      <c r="C7559" s="1" t="str">
        <f ca="1">IFERROR(__xludf.DUMMYFUNCTION("GOOGLETRANSLATE(B7663,""en"",""ja"")"),"拡大")</f>
        <v>拡大</v>
      </c>
    </row>
    <row r="7560" spans="1:3" ht="18" customHeight="1" x14ac:dyDescent="0.3">
      <c r="A7560" s="1">
        <v>3</v>
      </c>
      <c r="B7560" s="1" t="s">
        <v>6168</v>
      </c>
      <c r="C7560" s="1" t="str">
        <f ca="1">IFERROR(__xludf.DUMMYFUNCTION("GOOGLETRANSLATE(B7664,""en"",""ja"")"),"強化")</f>
        <v>強化</v>
      </c>
    </row>
    <row r="7561" spans="1:3" ht="18" customHeight="1" x14ac:dyDescent="0.3">
      <c r="A7561" s="1">
        <v>3</v>
      </c>
      <c r="B7561" s="1" t="s">
        <v>6169</v>
      </c>
      <c r="C7561" s="1" t="str">
        <f ca="1">IFERROR(__xludf.DUMMYFUNCTION("GOOGLETRANSLATE(B7665,""en"",""ja"")"),"エンハンスメント")</f>
        <v>エンハンスメント</v>
      </c>
    </row>
    <row r="7562" spans="1:3" ht="18" customHeight="1" x14ac:dyDescent="0.3">
      <c r="A7562" s="1">
        <v>3</v>
      </c>
      <c r="B7562" s="1" t="s">
        <v>6170</v>
      </c>
      <c r="C7562" s="1" t="str">
        <f ca="1">IFERROR(__xludf.DUMMYFUNCTION("GOOGLETRANSLATE(B7666,""en"",""ja"")"),"エンジニア")</f>
        <v>エンジニア</v>
      </c>
    </row>
    <row r="7563" spans="1:3" ht="18" customHeight="1" x14ac:dyDescent="0.3">
      <c r="A7563" s="1">
        <v>3</v>
      </c>
      <c r="B7563" s="1" t="s">
        <v>6171</v>
      </c>
      <c r="C7563" s="1" t="str">
        <f ca="1">IFERROR(__xludf.DUMMYFUNCTION("GOOGLETRANSLATE(B7667,""en"",""ja"")"),"エネルギー")</f>
        <v>エネルギー</v>
      </c>
    </row>
    <row r="7564" spans="1:3" ht="18" customHeight="1" x14ac:dyDescent="0.3">
      <c r="A7564" s="1">
        <v>3</v>
      </c>
      <c r="B7564" s="1" t="s">
        <v>6172</v>
      </c>
      <c r="C7564" s="1" t="str">
        <f ca="1">IFERROR(__xludf.DUMMYFUNCTION("GOOGLETRANSLATE(B7668,""en"",""ja"")"),"エンディング")</f>
        <v>エンディング</v>
      </c>
    </row>
    <row r="7565" spans="1:3" ht="18" customHeight="1" x14ac:dyDescent="0.3">
      <c r="A7565" s="1">
        <v>3</v>
      </c>
      <c r="B7565" s="1" t="s">
        <v>6173</v>
      </c>
      <c r="C7565" s="1" t="str">
        <f ca="1">IFERROR(__xludf.DUMMYFUNCTION("GOOGLETRANSLATE(B7669,""en"",""ja"")"),"努力")</f>
        <v>努力</v>
      </c>
    </row>
    <row r="7566" spans="1:3" ht="18" customHeight="1" x14ac:dyDescent="0.3">
      <c r="A7566" s="1">
        <v>3</v>
      </c>
      <c r="B7566" s="1" t="s">
        <v>6174</v>
      </c>
      <c r="C7566" s="1" t="str">
        <f ca="1">IFERROR(__xludf.DUMMYFUNCTION("GOOGLETRANSLATE(B7670,""en"",""ja"")"),"危険にさらします")</f>
        <v>危険にさらします</v>
      </c>
    </row>
    <row r="7567" spans="1:3" ht="18" customHeight="1" x14ac:dyDescent="0.3">
      <c r="A7567" s="1">
        <v>3</v>
      </c>
      <c r="B7567" s="1" t="s">
        <v>6175</v>
      </c>
      <c r="C7567" s="1" t="str">
        <f ca="1">IFERROR(__xludf.DUMMYFUNCTION("GOOGLETRANSLATE(B7671,""en"",""ja"")"),"奨励")</f>
        <v>奨励</v>
      </c>
    </row>
    <row r="7568" spans="1:3" ht="18" customHeight="1" x14ac:dyDescent="0.3">
      <c r="A7568" s="1">
        <v>3</v>
      </c>
      <c r="B7568" s="1" t="s">
        <v>6176</v>
      </c>
      <c r="C7568" s="1" t="str">
        <f ca="1">IFERROR(__xludf.DUMMYFUNCTION("GOOGLETRANSLATE(B7672,""en"",""ja"")"),"包含する")</f>
        <v>包含する</v>
      </c>
    </row>
    <row r="7569" spans="1:3" ht="18" customHeight="1" x14ac:dyDescent="0.3">
      <c r="A7569" s="1">
        <v>3</v>
      </c>
      <c r="B7569" s="1" t="s">
        <v>6177</v>
      </c>
      <c r="C7569" s="1" t="str">
        <f ca="1">IFERROR(__xludf.DUMMYFUNCTION("GOOGLETRANSLATE(B7673,""en"",""ja"")"),"EMPOWER")</f>
        <v>EMPOWER</v>
      </c>
    </row>
    <row r="7570" spans="1:3" ht="18" customHeight="1" x14ac:dyDescent="0.3">
      <c r="A7570" s="1">
        <v>3</v>
      </c>
      <c r="B7570" s="1" t="s">
        <v>6178</v>
      </c>
      <c r="C7570" s="1" t="str">
        <f ca="1">IFERROR(__xludf.DUMMYFUNCTION("GOOGLETRANSLATE(B7674,""en"",""ja"")"),"強調")</f>
        <v>強調</v>
      </c>
    </row>
    <row r="7571" spans="1:3" ht="18" customHeight="1" x14ac:dyDescent="0.3">
      <c r="A7571" s="1">
        <v>3</v>
      </c>
      <c r="B7571" s="1" t="s">
        <v>6179</v>
      </c>
      <c r="C7571" s="1" t="str">
        <f ca="1">IFERROR(__xludf.DUMMYFUNCTION("GOOGLETRANSLATE(B7675,""en"",""ja"")"),"エレン")</f>
        <v>エレン</v>
      </c>
    </row>
    <row r="7572" spans="1:3" ht="18" customHeight="1" x14ac:dyDescent="0.3">
      <c r="A7572" s="1">
        <v>3</v>
      </c>
      <c r="B7572" s="1" t="s">
        <v>6180</v>
      </c>
      <c r="C7572" s="1" t="str">
        <f ca="1">IFERROR(__xludf.DUMMYFUNCTION("GOOGLETRANSLATE(B7676,""en"",""ja"")"),"エリート")</f>
        <v>エリート</v>
      </c>
    </row>
    <row r="7573" spans="1:3" ht="18" customHeight="1" x14ac:dyDescent="0.3">
      <c r="A7573" s="1">
        <v>3</v>
      </c>
      <c r="B7573" s="1" t="s">
        <v>6181</v>
      </c>
      <c r="C7573" s="1" t="str">
        <f ca="1">IFERROR(__xludf.DUMMYFUNCTION("GOOGLETRANSLATE(B7677,""en"",""ja"")"),"排除")</f>
        <v>排除</v>
      </c>
    </row>
    <row r="7574" spans="1:3" ht="18" customHeight="1" x14ac:dyDescent="0.3">
      <c r="A7574" s="1">
        <v>3</v>
      </c>
      <c r="B7574" s="1" t="s">
        <v>6182</v>
      </c>
      <c r="C7574" s="1" t="str">
        <f ca="1">IFERROR(__xludf.DUMMYFUNCTION("GOOGLETRANSLATE(B7678,""en"",""ja"")"),"惹起")</f>
        <v>惹起</v>
      </c>
    </row>
    <row r="7575" spans="1:3" ht="18" customHeight="1" x14ac:dyDescent="0.3">
      <c r="A7575" s="1">
        <v>3</v>
      </c>
      <c r="B7575" s="1" t="s">
        <v>6183</v>
      </c>
      <c r="C7575" s="1" t="str">
        <f ca="1">IFERROR(__xludf.DUMMYFUNCTION("GOOGLETRANSLATE(B7680,""en"",""ja"")"),"エレガント")</f>
        <v>エレガント</v>
      </c>
    </row>
    <row r="7576" spans="1:3" ht="18" customHeight="1" x14ac:dyDescent="0.3">
      <c r="A7576" s="1">
        <v>3</v>
      </c>
      <c r="B7576" s="1" t="s">
        <v>6184</v>
      </c>
      <c r="C7576" s="1" t="str">
        <f ca="1">IFERROR(__xludf.DUMMYFUNCTION("GOOGLETRANSLATE(B7681,""en"",""ja"")"),"仕留めます")</f>
        <v>仕留めます</v>
      </c>
    </row>
    <row r="7577" spans="1:3" ht="18" customHeight="1" x14ac:dyDescent="0.3">
      <c r="A7577" s="1">
        <v>3</v>
      </c>
      <c r="B7577" s="1" t="s">
        <v>6185</v>
      </c>
      <c r="C7577" s="1" t="str">
        <f ca="1">IFERROR(__xludf.DUMMYFUNCTION("GOOGLETRANSLATE(B7682,""en"",""ja"")"),"エイゼンシュテイン")</f>
        <v>エイゼンシュテイン</v>
      </c>
    </row>
    <row r="7578" spans="1:3" ht="18" customHeight="1" x14ac:dyDescent="0.3">
      <c r="A7578" s="1">
        <v>3</v>
      </c>
      <c r="B7578" s="1" t="s">
        <v>6186</v>
      </c>
      <c r="C7578" s="1" t="str">
        <f ca="1">IFERROR(__xludf.DUMMYFUNCTION("GOOGLETRANSLATE(B7683,""en"",""ja"")"),"卵殻")</f>
        <v>卵殻</v>
      </c>
    </row>
    <row r="7579" spans="1:3" ht="18" customHeight="1" x14ac:dyDescent="0.3">
      <c r="A7579" s="1">
        <v>3</v>
      </c>
      <c r="B7579" s="1" t="s">
        <v>4910</v>
      </c>
      <c r="C7579" s="1" t="str">
        <f ca="1">IFERROR(__xludf.DUMMYFUNCTION("GOOGLETRANSLATE(B7684,""en"",""ja"")"),"効率的に")</f>
        <v>効率的に</v>
      </c>
    </row>
    <row r="7580" spans="1:3" ht="18" customHeight="1" x14ac:dyDescent="0.3">
      <c r="A7580" s="1">
        <v>3</v>
      </c>
      <c r="B7580" s="1" t="s">
        <v>6187</v>
      </c>
      <c r="C7580" s="1" t="str">
        <f ca="1">IFERROR(__xludf.DUMMYFUNCTION("GOOGLETRANSLATE(B7685,""en"",""ja"")"),"エドワード")</f>
        <v>エドワード</v>
      </c>
    </row>
    <row r="7581" spans="1:3" ht="18" customHeight="1" x14ac:dyDescent="0.3">
      <c r="A7581" s="1">
        <v>3</v>
      </c>
      <c r="B7581" s="1" t="s">
        <v>6188</v>
      </c>
      <c r="C7581" s="1" t="str">
        <f ca="1">IFERROR(__xludf.DUMMYFUNCTION("GOOGLETRANSLATE(B7686,""en"",""ja"")"),"教育を受けました")</f>
        <v>教育を受けました</v>
      </c>
    </row>
    <row r="7582" spans="1:3" ht="18" customHeight="1" x14ac:dyDescent="0.3">
      <c r="A7582" s="1">
        <v>3</v>
      </c>
      <c r="B7582" s="1" t="s">
        <v>6189</v>
      </c>
      <c r="C7582" s="1" t="str">
        <f ca="1">IFERROR(__xludf.DUMMYFUNCTION("GOOGLETRANSLATE(B7687,""en"",""ja"")"),"版")</f>
        <v>版</v>
      </c>
    </row>
    <row r="7583" spans="1:3" ht="18" customHeight="1" x14ac:dyDescent="0.3">
      <c r="A7583" s="1">
        <v>3</v>
      </c>
      <c r="B7583" s="1" t="s">
        <v>6190</v>
      </c>
      <c r="C7583" s="1" t="str">
        <f ca="1">IFERROR(__xludf.DUMMYFUNCTION("GOOGLETRANSLATE(B7688,""en"",""ja"")"),"版")</f>
        <v>版</v>
      </c>
    </row>
    <row r="7584" spans="1:3" ht="18" customHeight="1" x14ac:dyDescent="0.3">
      <c r="A7584" s="1">
        <v>3</v>
      </c>
      <c r="B7584" s="1" t="s">
        <v>161</v>
      </c>
      <c r="C7584" s="1" t="str">
        <f ca="1">IFERROR(__xludf.DUMMYFUNCTION("GOOGLETRANSLATE(B7689,""en"",""ja"")"),"経済の")</f>
        <v>経済の</v>
      </c>
    </row>
    <row r="7585" spans="1:3" ht="18" customHeight="1" x14ac:dyDescent="0.3">
      <c r="A7585" s="1">
        <v>3</v>
      </c>
      <c r="B7585" s="1" t="s">
        <v>4080</v>
      </c>
      <c r="C7585" s="1" t="str">
        <f ca="1">IFERROR(__xludf.DUMMYFUNCTION("GOOGLETRANSLATE(B7690,""en"",""ja"")"),"エコロジー")</f>
        <v>エコロジー</v>
      </c>
    </row>
    <row r="7586" spans="1:3" ht="18" customHeight="1" x14ac:dyDescent="0.3">
      <c r="A7586" s="1">
        <v>3</v>
      </c>
      <c r="B7586" s="1" t="s">
        <v>6191</v>
      </c>
      <c r="C7586" s="1" t="str">
        <f ca="1">IFERROR(__xludf.DUMMYFUNCTION("GOOGLETRANSLATE(B7691,""en"",""ja"")"),"イースター")</f>
        <v>イースター</v>
      </c>
    </row>
    <row r="7587" spans="1:3" ht="18" customHeight="1" x14ac:dyDescent="0.3">
      <c r="A7587" s="1">
        <v>3</v>
      </c>
      <c r="B7587" s="1" t="s">
        <v>6192</v>
      </c>
      <c r="C7587" s="1" t="str">
        <f ca="1">IFERROR(__xludf.DUMMYFUNCTION("GOOGLETRANSLATE(B7692,""en"",""ja"")"),"耳")</f>
        <v>耳</v>
      </c>
    </row>
    <row r="7588" spans="1:3" ht="18" customHeight="1" x14ac:dyDescent="0.3">
      <c r="A7588" s="1">
        <v>3</v>
      </c>
      <c r="B7588" s="1" t="s">
        <v>6193</v>
      </c>
      <c r="C7588" s="1" t="str">
        <f ca="1">IFERROR(__xludf.DUMMYFUNCTION("GOOGLETRANSLATE(B7693,""en"",""ja"")"),"収益")</f>
        <v>収益</v>
      </c>
    </row>
    <row r="7589" spans="1:3" ht="18" customHeight="1" x14ac:dyDescent="0.3">
      <c r="A7589" s="1">
        <v>3</v>
      </c>
      <c r="B7589" s="1" t="s">
        <v>6194</v>
      </c>
      <c r="C7589" s="1" t="str">
        <f ca="1">IFERROR(__xludf.DUMMYFUNCTION("GOOGLETRANSLATE(B7694,""en"",""ja"")"),"熱心な")</f>
        <v>熱心な</v>
      </c>
    </row>
    <row r="7590" spans="1:3" ht="18" customHeight="1" x14ac:dyDescent="0.3">
      <c r="A7590" s="1">
        <v>3</v>
      </c>
      <c r="B7590" s="1" t="s">
        <v>3594</v>
      </c>
      <c r="C7590" s="1" t="str">
        <f ca="1">IFERROR(__xludf.DUMMYFUNCTION("GOOGLETRANSLATE(B7695,""en"",""ja"")"),"動的")</f>
        <v>動的</v>
      </c>
    </row>
    <row r="7591" spans="1:3" ht="18" customHeight="1" x14ac:dyDescent="0.3">
      <c r="A7591" s="1">
        <v>3</v>
      </c>
      <c r="B7591" s="1" t="s">
        <v>6195</v>
      </c>
      <c r="C7591" s="1" t="str">
        <f ca="1">IFERROR(__xludf.DUMMYFUNCTION("GOOGLETRANSLATE(B7696,""en"",""ja"")"),"小人")</f>
        <v>小人</v>
      </c>
    </row>
    <row r="7592" spans="1:3" ht="18" customHeight="1" x14ac:dyDescent="0.3">
      <c r="A7592" s="1">
        <v>3</v>
      </c>
      <c r="B7592" s="1" t="s">
        <v>6196</v>
      </c>
      <c r="C7592" s="1" t="str">
        <f ca="1">IFERROR(__xludf.DUMMYFUNCTION("GOOGLETRANSLATE(B7697,""en"",""ja"")"),"ほこり")</f>
        <v>ほこり</v>
      </c>
    </row>
    <row r="7593" spans="1:3" ht="18" customHeight="1" x14ac:dyDescent="0.3">
      <c r="A7593" s="1">
        <v>3</v>
      </c>
      <c r="B7593" s="1" t="s">
        <v>1375</v>
      </c>
      <c r="C7593" s="1" t="str">
        <f ca="1">IFERROR(__xludf.DUMMYFUNCTION("GOOGLETRANSLATE(B7698,""en"",""ja"")"),"期間")</f>
        <v>期間</v>
      </c>
    </row>
    <row r="7594" spans="1:3" ht="18" customHeight="1" x14ac:dyDescent="0.3">
      <c r="A7594" s="1">
        <v>3</v>
      </c>
      <c r="B7594" s="1" t="s">
        <v>6197</v>
      </c>
      <c r="C7594" s="1" t="str">
        <f ca="1">IFERROR(__xludf.DUMMYFUNCTION("GOOGLETRANSLATE(B7699,""en"",""ja"")"),"重複")</f>
        <v>重複</v>
      </c>
    </row>
    <row r="7595" spans="1:3" ht="18" customHeight="1" x14ac:dyDescent="0.3">
      <c r="A7595" s="1">
        <v>3</v>
      </c>
      <c r="B7595" s="1" t="s">
        <v>6198</v>
      </c>
      <c r="C7595" s="1" t="str">
        <f ca="1">IFERROR(__xludf.DUMMYFUNCTION("GOOGLETRANSLATE(B7700,""en"",""ja"")"),"干ばつ")</f>
        <v>干ばつ</v>
      </c>
    </row>
    <row r="7596" spans="1:3" ht="18" customHeight="1" x14ac:dyDescent="0.3">
      <c r="A7596" s="1">
        <v>3</v>
      </c>
      <c r="B7596" s="1" t="s">
        <v>6199</v>
      </c>
      <c r="C7596" s="1" t="str">
        <f ca="1">IFERROR(__xludf.DUMMYFUNCTION("GOOGLETRANSLATE(B7701,""en"",""ja"")"),"下降")</f>
        <v>下降</v>
      </c>
    </row>
    <row r="7597" spans="1:3" ht="18" customHeight="1" x14ac:dyDescent="0.3">
      <c r="A7597" s="1">
        <v>3</v>
      </c>
      <c r="B7597" s="1" t="s">
        <v>6200</v>
      </c>
      <c r="C7597" s="1" t="str">
        <f ca="1">IFERROR(__xludf.DUMMYFUNCTION("GOOGLETRANSLATE(B7702,""en"",""ja"")"),"描きます")</f>
        <v>描きます</v>
      </c>
    </row>
    <row r="7598" spans="1:3" ht="18" customHeight="1" x14ac:dyDescent="0.3">
      <c r="A7598" s="1">
        <v>3</v>
      </c>
      <c r="B7598" s="1" t="s">
        <v>6201</v>
      </c>
      <c r="C7598" s="1" t="str">
        <f ca="1">IFERROR(__xludf.DUMMYFUNCTION("GOOGLETRANSLATE(B7703,""en"",""ja"")"),"お絵かき")</f>
        <v>お絵かき</v>
      </c>
    </row>
    <row r="7599" spans="1:3" ht="18" customHeight="1" x14ac:dyDescent="0.3">
      <c r="A7599" s="1">
        <v>3</v>
      </c>
      <c r="B7599" s="1" t="s">
        <v>6202</v>
      </c>
      <c r="C7599" s="1" t="str">
        <f ca="1">IFERROR(__xludf.DUMMYFUNCTION("GOOGLETRANSLATE(B7704,""en"",""ja"")"),"劇的")</f>
        <v>劇的</v>
      </c>
    </row>
    <row r="7600" spans="1:3" ht="18" customHeight="1" x14ac:dyDescent="0.3">
      <c r="A7600" s="1">
        <v>3</v>
      </c>
      <c r="B7600" s="1" t="s">
        <v>6203</v>
      </c>
      <c r="C7600" s="1" t="str">
        <f ca="1">IFERROR(__xludf.DUMMYFUNCTION("GOOGLETRANSLATE(B7705,""en"",""ja"")"),"思い切りました")</f>
        <v>思い切りました</v>
      </c>
    </row>
    <row r="7601" spans="1:3" ht="18" customHeight="1" x14ac:dyDescent="0.3">
      <c r="A7601" s="1">
        <v>3</v>
      </c>
      <c r="B7601" s="1" t="s">
        <v>6204</v>
      </c>
      <c r="C7601" s="1" t="str">
        <f ca="1">IFERROR(__xludf.DUMMYFUNCTION("GOOGLETRANSLATE(B7706,""en"",""ja"")"),"ドラマ")</f>
        <v>ドラマ</v>
      </c>
    </row>
    <row r="7602" spans="1:3" ht="18" customHeight="1" x14ac:dyDescent="0.3">
      <c r="A7602" s="1">
        <v>3</v>
      </c>
      <c r="B7602" s="1" t="s">
        <v>6205</v>
      </c>
      <c r="C7602" s="1" t="str">
        <f ca="1">IFERROR(__xludf.DUMMYFUNCTION("GOOGLETRANSLATE(B7707,""en"",""ja"")"),"ドレイン")</f>
        <v>ドレイン</v>
      </c>
    </row>
    <row r="7603" spans="1:3" ht="18" customHeight="1" x14ac:dyDescent="0.3">
      <c r="A7603" s="1">
        <v>3</v>
      </c>
      <c r="B7603" s="1" t="s">
        <v>6206</v>
      </c>
      <c r="C7603" s="1" t="str">
        <f ca="1">IFERROR(__xludf.DUMMYFUNCTION("GOOGLETRANSLATE(B7708,""en"",""ja"")"),"ドラッグ")</f>
        <v>ドラッグ</v>
      </c>
    </row>
    <row r="7604" spans="1:3" ht="18" customHeight="1" x14ac:dyDescent="0.3">
      <c r="A7604" s="1">
        <v>3</v>
      </c>
      <c r="B7604" s="1" t="s">
        <v>6207</v>
      </c>
      <c r="C7604" s="1" t="str">
        <f ca="1">IFERROR(__xludf.DUMMYFUNCTION("GOOGLETRANSLATE(B7709,""en"",""ja"")"),"下流")</f>
        <v>下流</v>
      </c>
    </row>
    <row r="7605" spans="1:3" ht="18" customHeight="1" x14ac:dyDescent="0.3">
      <c r="A7605" s="1">
        <v>3</v>
      </c>
      <c r="B7605" s="1" t="s">
        <v>6208</v>
      </c>
      <c r="C7605" s="1" t="str">
        <f ca="1">IFERROR(__xludf.DUMMYFUNCTION("GOOGLETRANSLATE(B7710,""en"",""ja"")"),"マイナス面")</f>
        <v>マイナス面</v>
      </c>
    </row>
    <row r="7606" spans="1:3" ht="18" customHeight="1" x14ac:dyDescent="0.3">
      <c r="A7606" s="1">
        <v>3</v>
      </c>
      <c r="B7606" s="1" t="s">
        <v>6209</v>
      </c>
      <c r="C7606" s="1" t="str">
        <f ca="1">IFERROR(__xludf.DUMMYFUNCTION("GOOGLETRANSLATE(B7711,""en"",""ja"")"),"疑わしい")</f>
        <v>疑わしい</v>
      </c>
    </row>
    <row r="7607" spans="1:3" ht="18" customHeight="1" x14ac:dyDescent="0.3">
      <c r="A7607" s="1">
        <v>3</v>
      </c>
      <c r="B7607" s="1" t="s">
        <v>2425</v>
      </c>
      <c r="C7607" s="1" t="str">
        <f ca="1">IFERROR(__xludf.DUMMYFUNCTION("GOOGLETRANSLATE(B7712,""en"",""ja"")"),"疑問に思う")</f>
        <v>疑問に思う</v>
      </c>
    </row>
    <row r="7608" spans="1:3" ht="18" customHeight="1" x14ac:dyDescent="0.3">
      <c r="A7608" s="1">
        <v>3</v>
      </c>
      <c r="B7608" s="1" t="s">
        <v>6210</v>
      </c>
      <c r="C7608" s="1" t="str">
        <f ca="1">IFERROR(__xludf.DUMMYFUNCTION("GOOGLETRANSLATE(B7713,""en"",""ja"")"),"用量")</f>
        <v>用量</v>
      </c>
    </row>
    <row r="7609" spans="1:3" ht="18" customHeight="1" x14ac:dyDescent="0.3">
      <c r="A7609" s="1">
        <v>3</v>
      </c>
      <c r="B7609" s="1" t="s">
        <v>6211</v>
      </c>
      <c r="C7609" s="1" t="str">
        <f ca="1">IFERROR(__xludf.DUMMYFUNCTION("GOOGLETRANSLATE(B7714,""en"",""ja"")"),"運命")</f>
        <v>運命</v>
      </c>
    </row>
    <row r="7610" spans="1:3" ht="18" customHeight="1" x14ac:dyDescent="0.3">
      <c r="A7610" s="1">
        <v>3</v>
      </c>
      <c r="B7610" s="1" t="s">
        <v>6212</v>
      </c>
      <c r="C7610" s="1" t="str">
        <f ca="1">IFERROR(__xludf.DUMMYFUNCTION("GOOGLETRANSLATE(B7715,""en"",""ja"")"),"支配")</f>
        <v>支配</v>
      </c>
    </row>
    <row r="7611" spans="1:3" ht="18" customHeight="1" x14ac:dyDescent="0.3">
      <c r="A7611" s="1">
        <v>3</v>
      </c>
      <c r="B7611" s="1" t="s">
        <v>6213</v>
      </c>
      <c r="C7611" s="1" t="str">
        <f ca="1">IFERROR(__xludf.DUMMYFUNCTION("GOOGLETRANSLATE(B7716,""en"",""ja"")"),"支配")</f>
        <v>支配</v>
      </c>
    </row>
    <row r="7612" spans="1:3" ht="18" customHeight="1" x14ac:dyDescent="0.3">
      <c r="A7612" s="1">
        <v>3</v>
      </c>
      <c r="B7612" s="1" t="s">
        <v>6214</v>
      </c>
      <c r="C7612" s="1" t="str">
        <f ca="1">IFERROR(__xludf.DUMMYFUNCTION("GOOGLETRANSLATE(B7717,""en"",""ja"")"),"ドル")</f>
        <v>ドル</v>
      </c>
    </row>
    <row r="7613" spans="1:3" ht="18" customHeight="1" x14ac:dyDescent="0.3">
      <c r="A7613" s="1">
        <v>3</v>
      </c>
      <c r="B7613" s="1" t="s">
        <v>6215</v>
      </c>
      <c r="C7613" s="1" t="str">
        <f ca="1">IFERROR(__xludf.DUMMYFUNCTION("GOOGLETRANSLATE(B7718,""en"",""ja"")"),"ドキュメンテーション")</f>
        <v>ドキュメンテーション</v>
      </c>
    </row>
    <row r="7614" spans="1:3" ht="18" customHeight="1" x14ac:dyDescent="0.3">
      <c r="A7614" s="1">
        <v>3</v>
      </c>
      <c r="B7614" s="1" t="s">
        <v>6216</v>
      </c>
      <c r="C7614" s="1" t="str">
        <f ca="1">IFERROR(__xludf.DUMMYFUNCTION("GOOGLETRANSLATE(B7719,""en"",""ja"")"),"ドキュメンタリー")</f>
        <v>ドキュメンタリー</v>
      </c>
    </row>
    <row r="7615" spans="1:3" ht="18" customHeight="1" x14ac:dyDescent="0.3">
      <c r="A7615" s="1">
        <v>3</v>
      </c>
      <c r="B7615" s="1" t="s">
        <v>3602</v>
      </c>
      <c r="C7615" s="1" t="str">
        <f ca="1">IFERROR(__xludf.DUMMYFUNCTION("GOOGLETRANSLATE(B7720,""en"",""ja"")"),"分割")</f>
        <v>分割</v>
      </c>
    </row>
    <row r="7616" spans="1:3" ht="18" customHeight="1" x14ac:dyDescent="0.3">
      <c r="A7616" s="1">
        <v>3</v>
      </c>
      <c r="B7616" s="1" t="s">
        <v>6217</v>
      </c>
      <c r="C7616" s="1" t="str">
        <f ca="1">IFERROR(__xludf.DUMMYFUNCTION("GOOGLETRANSLATE(B7721,""en"",""ja"")"),"発散")</f>
        <v>発散</v>
      </c>
    </row>
    <row r="7617" spans="1:3" ht="18" customHeight="1" x14ac:dyDescent="0.3">
      <c r="A7617" s="1">
        <v>3</v>
      </c>
      <c r="B7617" s="1" t="s">
        <v>6218</v>
      </c>
      <c r="C7617" s="1" t="str">
        <f ca="1">IFERROR(__xludf.DUMMYFUNCTION("GOOGLETRANSLATE(B7722,""en"",""ja"")"),"妨害")</f>
        <v>妨害</v>
      </c>
    </row>
    <row r="7618" spans="1:3" ht="18" customHeight="1" x14ac:dyDescent="0.3">
      <c r="A7618" s="1">
        <v>3</v>
      </c>
      <c r="B7618" s="1" t="s">
        <v>6219</v>
      </c>
      <c r="C7618" s="1" t="str">
        <f ca="1">IFERROR(__xludf.DUMMYFUNCTION("GOOGLETRANSLATE(B7723,""en"",""ja"")"),"分散")</f>
        <v>分散</v>
      </c>
    </row>
    <row r="7619" spans="1:3" ht="18" customHeight="1" x14ac:dyDescent="0.3">
      <c r="A7619" s="1">
        <v>3</v>
      </c>
      <c r="B7619" s="1" t="s">
        <v>6220</v>
      </c>
      <c r="C7619" s="1" t="str">
        <f ca="1">IFERROR(__xludf.DUMMYFUNCTION("GOOGLETRANSLATE(B7724,""en"",""ja"")"),"分散")</f>
        <v>分散</v>
      </c>
    </row>
    <row r="7620" spans="1:3" ht="18" customHeight="1" x14ac:dyDescent="0.3">
      <c r="A7620" s="1">
        <v>3</v>
      </c>
      <c r="B7620" s="1" t="s">
        <v>1696</v>
      </c>
      <c r="C7620" s="1" t="str">
        <f ca="1">IFERROR(__xludf.DUMMYFUNCTION("GOOGLETRANSLATE(B7725,""en"",""ja"")"),"分配します")</f>
        <v>分配します</v>
      </c>
    </row>
    <row r="7621" spans="1:3" ht="18" customHeight="1" x14ac:dyDescent="0.3">
      <c r="A7621" s="1">
        <v>3</v>
      </c>
      <c r="B7621" s="1" t="s">
        <v>6221</v>
      </c>
      <c r="C7621" s="1" t="str">
        <f ca="1">IFERROR(__xludf.DUMMYFUNCTION("GOOGLETRANSLATE(B7726,""en"",""ja"")"),"見分けます")</f>
        <v>見分けます</v>
      </c>
    </row>
    <row r="7622" spans="1:3" ht="18" customHeight="1" x14ac:dyDescent="0.3">
      <c r="A7622" s="1">
        <v>3</v>
      </c>
      <c r="B7622" s="1" t="s">
        <v>6222</v>
      </c>
      <c r="C7622" s="1" t="str">
        <f ca="1">IFERROR(__xludf.DUMMYFUNCTION("GOOGLETRANSLATE(B7727,""en"",""ja"")"),"はっきり")</f>
        <v>はっきり</v>
      </c>
    </row>
    <row r="7623" spans="1:3" ht="18" customHeight="1" x14ac:dyDescent="0.3">
      <c r="A7623" s="1">
        <v>3</v>
      </c>
      <c r="B7623" s="1" t="s">
        <v>6223</v>
      </c>
      <c r="C7623" s="1" t="str">
        <f ca="1">IFERROR(__xludf.DUMMYFUNCTION("GOOGLETRANSLATE(B7728,""en"",""ja"")"),"解離")</f>
        <v>解離</v>
      </c>
    </row>
    <row r="7624" spans="1:3" ht="18" customHeight="1" x14ac:dyDescent="0.3">
      <c r="A7624" s="1">
        <v>3</v>
      </c>
      <c r="B7624" s="1" t="s">
        <v>6224</v>
      </c>
      <c r="C7624" s="1" t="str">
        <f ca="1">IFERROR(__xludf.DUMMYFUNCTION("GOOGLETRANSLATE(B7729,""en"",""ja"")"),"異議")</f>
        <v>異議</v>
      </c>
    </row>
    <row r="7625" spans="1:3" ht="18" customHeight="1" x14ac:dyDescent="0.3">
      <c r="A7625" s="1">
        <v>3</v>
      </c>
      <c r="B7625" s="1" t="s">
        <v>6225</v>
      </c>
      <c r="C7625" s="1" t="str">
        <f ca="1">IFERROR(__xludf.DUMMYFUNCTION("GOOGLETRANSLATE(B7730,""en"",""ja"")"),"無視")</f>
        <v>無視</v>
      </c>
    </row>
    <row r="7626" spans="1:3" ht="18" customHeight="1" x14ac:dyDescent="0.3">
      <c r="A7626" s="1">
        <v>3</v>
      </c>
      <c r="B7626" s="1" t="s">
        <v>6226</v>
      </c>
      <c r="C7626" s="1" t="str">
        <f ca="1">IFERROR(__xludf.DUMMYFUNCTION("GOOGLETRANSLATE(B7731,""en"",""ja"")"),"不均衡な")</f>
        <v>不均衡な</v>
      </c>
    </row>
    <row r="7627" spans="1:3" ht="18" customHeight="1" x14ac:dyDescent="0.3">
      <c r="A7627" s="1">
        <v>3</v>
      </c>
      <c r="B7627" s="1" t="s">
        <v>6227</v>
      </c>
      <c r="C7627" s="1" t="str">
        <f ca="1">IFERROR(__xludf.DUMMYFUNCTION("GOOGLETRANSLATE(B7732,""en"",""ja"")"),"使い捨て")</f>
        <v>使い捨て</v>
      </c>
    </row>
    <row r="7628" spans="1:3" ht="18" customHeight="1" x14ac:dyDescent="0.3">
      <c r="A7628" s="1">
        <v>3</v>
      </c>
      <c r="B7628" s="1" t="s">
        <v>6228</v>
      </c>
      <c r="C7628" s="1" t="str">
        <f ca="1">IFERROR(__xludf.DUMMYFUNCTION("GOOGLETRANSLATE(B7733,""en"",""ja"")"),"変位")</f>
        <v>変位</v>
      </c>
    </row>
    <row r="7629" spans="1:3" ht="18" customHeight="1" x14ac:dyDescent="0.3">
      <c r="A7629" s="1">
        <v>3</v>
      </c>
      <c r="B7629" s="1" t="s">
        <v>6229</v>
      </c>
      <c r="C7629" s="1" t="str">
        <f ca="1">IFERROR(__xludf.DUMMYFUNCTION("GOOGLETRANSLATE(B7734,""en"",""ja"")"),"分散")</f>
        <v>分散</v>
      </c>
    </row>
    <row r="7630" spans="1:3" ht="18" customHeight="1" x14ac:dyDescent="0.3">
      <c r="A7630" s="1">
        <v>3</v>
      </c>
      <c r="B7630" s="1" t="s">
        <v>6230</v>
      </c>
      <c r="C7630" s="1" t="str">
        <f ca="1">IFERROR(__xludf.DUMMYFUNCTION("GOOGLETRANSLATE(B7735,""en"",""ja"")"),"分散")</f>
        <v>分散</v>
      </c>
    </row>
    <row r="7631" spans="1:3" ht="18" customHeight="1" x14ac:dyDescent="0.3">
      <c r="A7631" s="1">
        <v>3</v>
      </c>
      <c r="B7631" s="1" t="s">
        <v>6231</v>
      </c>
      <c r="C7631" s="1" t="str">
        <f ca="1">IFERROR(__xludf.DUMMYFUNCTION("GOOGLETRANSLATE(B7736,""en"",""ja"")"),"方向感覚を失わ")</f>
        <v>方向感覚を失わ</v>
      </c>
    </row>
    <row r="7632" spans="1:3" ht="18" customHeight="1" x14ac:dyDescent="0.3">
      <c r="A7632" s="1">
        <v>3</v>
      </c>
      <c r="B7632" s="1" t="s">
        <v>6232</v>
      </c>
      <c r="C7632" s="1" t="str">
        <f ca="1">IFERROR(__xludf.DUMMYFUNCTION("GOOGLETRANSLATE(B7737,""en"",""ja"")"),"退出させる")</f>
        <v>退出させる</v>
      </c>
    </row>
    <row r="7633" spans="1:3" ht="18" customHeight="1" x14ac:dyDescent="0.3">
      <c r="A7633" s="1">
        <v>3</v>
      </c>
      <c r="B7633" s="1" t="s">
        <v>6233</v>
      </c>
      <c r="C7633" s="1" t="str">
        <f ca="1">IFERROR(__xludf.DUMMYFUNCTION("GOOGLETRANSLATE(B7738,""en"",""ja"")"),"切り放します")</f>
        <v>切り放します</v>
      </c>
    </row>
    <row r="7634" spans="1:3" ht="18" customHeight="1" x14ac:dyDescent="0.3">
      <c r="A7634" s="1">
        <v>3</v>
      </c>
      <c r="B7634" s="1" t="s">
        <v>6234</v>
      </c>
      <c r="C7634" s="1" t="str">
        <f ca="1">IFERROR(__xludf.DUMMYFUNCTION("GOOGLETRANSLATE(B7739,""en"",""ja"")"),"不正直")</f>
        <v>不正直</v>
      </c>
    </row>
    <row r="7635" spans="1:3" ht="18" customHeight="1" x14ac:dyDescent="0.3">
      <c r="A7635" s="1">
        <v>3</v>
      </c>
      <c r="B7635" s="1" t="s">
        <v>6235</v>
      </c>
      <c r="C7635" s="1" t="str">
        <f ca="1">IFERROR(__xludf.DUMMYFUNCTION("GOOGLETRANSLATE(B7740,""en"",""ja"")"),"皿")</f>
        <v>皿</v>
      </c>
    </row>
    <row r="7636" spans="1:3" ht="18" customHeight="1" x14ac:dyDescent="0.3">
      <c r="A7636" s="1">
        <v>3</v>
      </c>
      <c r="B7636" s="1" t="s">
        <v>6236</v>
      </c>
      <c r="C7636" s="1" t="str">
        <f ca="1">IFERROR(__xludf.DUMMYFUNCTION("GOOGLETRANSLATE(B7741,""en"",""ja"")"),"偽装")</f>
        <v>偽装</v>
      </c>
    </row>
    <row r="7637" spans="1:3" ht="18" customHeight="1" x14ac:dyDescent="0.3">
      <c r="A7637" s="1">
        <v>3</v>
      </c>
      <c r="B7637" s="1" t="s">
        <v>6237</v>
      </c>
      <c r="C7637" s="1" t="str">
        <f ca="1">IFERROR(__xludf.DUMMYFUNCTION("GOOGLETRANSLATE(B7742,""en"",""ja"")"),"病気")</f>
        <v>病気</v>
      </c>
    </row>
    <row r="7638" spans="1:3" ht="18" customHeight="1" x14ac:dyDescent="0.3">
      <c r="A7638" s="1">
        <v>3</v>
      </c>
      <c r="B7638" s="1" t="s">
        <v>6238</v>
      </c>
      <c r="C7638" s="1" t="str">
        <f ca="1">IFERROR(__xludf.DUMMYFUNCTION("GOOGLETRANSLATE(B7743,""en"",""ja"")"),"判別")</f>
        <v>判別</v>
      </c>
    </row>
    <row r="7639" spans="1:3" ht="18" customHeight="1" x14ac:dyDescent="0.3">
      <c r="A7639" s="1">
        <v>3</v>
      </c>
      <c r="B7639" s="1" t="s">
        <v>1836</v>
      </c>
      <c r="C7639" s="1" t="str">
        <f ca="1">IFERROR(__xludf.DUMMYFUNCTION("GOOGLETRANSLATE(B7744,""en"",""ja"")"),"講話")</f>
        <v>講話</v>
      </c>
    </row>
    <row r="7640" spans="1:3" ht="18" customHeight="1" x14ac:dyDescent="0.3">
      <c r="A7640" s="1">
        <v>3</v>
      </c>
      <c r="B7640" s="1" t="s">
        <v>6239</v>
      </c>
      <c r="C7640" s="1" t="str">
        <f ca="1">IFERROR(__xludf.DUMMYFUNCTION("GOOGLETRANSLATE(B7745,""en"",""ja"")"),"中止")</f>
        <v>中止</v>
      </c>
    </row>
    <row r="7641" spans="1:3" ht="18" customHeight="1" x14ac:dyDescent="0.3">
      <c r="A7641" s="1">
        <v>3</v>
      </c>
      <c r="B7641" s="1" t="s">
        <v>6240</v>
      </c>
      <c r="C7641" s="1" t="str">
        <f ca="1">IFERROR(__xludf.DUMMYFUNCTION("GOOGLETRANSLATE(B7746,""en"",""ja"")"),"ディスコネクト")</f>
        <v>ディスコネクト</v>
      </c>
    </row>
    <row r="7642" spans="1:3" ht="18" customHeight="1" x14ac:dyDescent="0.3">
      <c r="A7642" s="1">
        <v>3</v>
      </c>
      <c r="B7642" s="1" t="s">
        <v>6241</v>
      </c>
      <c r="C7642" s="1" t="str">
        <f ca="1">IFERROR(__xludf.DUMMYFUNCTION("GOOGLETRANSLATE(B7747,""en"",""ja"")"),"廃棄されました")</f>
        <v>廃棄されました</v>
      </c>
    </row>
    <row r="7643" spans="1:3" ht="18" customHeight="1" x14ac:dyDescent="0.3">
      <c r="A7643" s="1">
        <v>3</v>
      </c>
      <c r="B7643" s="1" t="s">
        <v>6242</v>
      </c>
      <c r="C7643" s="1" t="str">
        <f ca="1">IFERROR(__xludf.DUMMYFUNCTION("GOOGLETRANSLATE(B7748,""en"",""ja"")"),"消失")</f>
        <v>消失</v>
      </c>
    </row>
    <row r="7644" spans="1:3" ht="18" customHeight="1" x14ac:dyDescent="0.3">
      <c r="A7644" s="1">
        <v>3</v>
      </c>
      <c r="B7644" s="1" t="s">
        <v>6243</v>
      </c>
      <c r="C7644" s="1" t="str">
        <f ca="1">IFERROR(__xludf.DUMMYFUNCTION("GOOGLETRANSLATE(B7749,""en"",""ja"")"),"disangcopan")</f>
        <v>disangcopan</v>
      </c>
    </row>
    <row r="7645" spans="1:3" ht="18" customHeight="1" x14ac:dyDescent="0.3">
      <c r="A7645" s="1">
        <v>3</v>
      </c>
      <c r="B7645" s="1" t="s">
        <v>6244</v>
      </c>
      <c r="C7645" s="1" t="str">
        <f ca="1">IFERROR(__xludf.DUMMYFUNCTION("GOOGLETRANSLATE(B7750,""en"",""ja"")"),"不一致")</f>
        <v>不一致</v>
      </c>
    </row>
    <row r="7646" spans="1:3" ht="18" customHeight="1" x14ac:dyDescent="0.3">
      <c r="A7646" s="1">
        <v>3</v>
      </c>
      <c r="B7646" s="1" t="s">
        <v>6245</v>
      </c>
      <c r="C7646" s="1" t="str">
        <f ca="1">IFERROR(__xludf.DUMMYFUNCTION("GOOGLETRANSLATE(B7751,""en"",""ja"")"),"減少")</f>
        <v>減少</v>
      </c>
    </row>
    <row r="7647" spans="1:3" ht="18" customHeight="1" x14ac:dyDescent="0.3">
      <c r="A7647" s="1">
        <v>3</v>
      </c>
      <c r="B7647" s="1" t="s">
        <v>3612</v>
      </c>
      <c r="C7647" s="1" t="str">
        <f ca="1">IFERROR(__xludf.DUMMYFUNCTION("GOOGLETRANSLATE(B7752,""en"",""ja"")"),"減らします")</f>
        <v>減らします</v>
      </c>
    </row>
    <row r="7648" spans="1:3" ht="18" customHeight="1" x14ac:dyDescent="0.3">
      <c r="A7648" s="1">
        <v>3</v>
      </c>
      <c r="B7648" s="1" t="s">
        <v>4938</v>
      </c>
      <c r="C7648" s="1" t="str">
        <f ca="1">IFERROR(__xludf.DUMMYFUNCTION("GOOGLETRANSLATE(B7753,""en"",""ja"")"),"次元の")</f>
        <v>次元の</v>
      </c>
    </row>
    <row r="7649" spans="1:3" ht="18" customHeight="1" x14ac:dyDescent="0.3">
      <c r="A7649" s="1">
        <v>3</v>
      </c>
      <c r="B7649" s="1" t="s">
        <v>2194</v>
      </c>
      <c r="C7649" s="1" t="str">
        <f ca="1">IFERROR(__xludf.DUMMYFUNCTION("GOOGLETRANSLATE(B7754,""en"",""ja"")"),"ジレンマ")</f>
        <v>ジレンマ</v>
      </c>
    </row>
    <row r="7650" spans="1:3" ht="18" customHeight="1" x14ac:dyDescent="0.3">
      <c r="A7650" s="1">
        <v>3</v>
      </c>
      <c r="B7650" s="1" t="s">
        <v>6246</v>
      </c>
      <c r="C7650" s="1" t="str">
        <f ca="1">IFERROR(__xludf.DUMMYFUNCTION("GOOGLETRANSLATE(B7755,""en"",""ja"")"),"脱線します")</f>
        <v>脱線します</v>
      </c>
    </row>
    <row r="7651" spans="1:3" ht="18" customHeight="1" x14ac:dyDescent="0.3">
      <c r="A7651" s="1">
        <v>3</v>
      </c>
      <c r="B7651" s="1" t="s">
        <v>6247</v>
      </c>
      <c r="C7651" s="1" t="str">
        <f ca="1">IFERROR(__xludf.DUMMYFUNCTION("GOOGLETRANSLATE(B7756,""en"",""ja"")"),"尊厳")</f>
        <v>尊厳</v>
      </c>
    </row>
    <row r="7652" spans="1:3" ht="18" customHeight="1" x14ac:dyDescent="0.3">
      <c r="A7652" s="1">
        <v>3</v>
      </c>
      <c r="B7652" s="1" t="s">
        <v>6248</v>
      </c>
      <c r="C7652" s="1" t="str">
        <f ca="1">IFERROR(__xludf.DUMMYFUNCTION("GOOGLETRANSLATE(B7757,""en"",""ja"")"),"掘る")</f>
        <v>掘る</v>
      </c>
    </row>
    <row r="7653" spans="1:3" ht="18" customHeight="1" x14ac:dyDescent="0.3">
      <c r="A7653" s="1">
        <v>3</v>
      </c>
      <c r="B7653" s="1" t="s">
        <v>6249</v>
      </c>
      <c r="C7653" s="1" t="str">
        <f ca="1">IFERROR(__xludf.DUMMYFUNCTION("GOOGLETRANSLATE(B7758,""en"",""ja"")"),"びまん")</f>
        <v>びまん</v>
      </c>
    </row>
    <row r="7654" spans="1:3" ht="18" customHeight="1" x14ac:dyDescent="0.3">
      <c r="A7654" s="1">
        <v>3</v>
      </c>
      <c r="B7654" s="1" t="s">
        <v>6250</v>
      </c>
      <c r="C7654" s="1" t="str">
        <f ca="1">IFERROR(__xludf.DUMMYFUNCTION("GOOGLETRANSLATE(B7759,""en"",""ja"")"),"差別")</f>
        <v>差別</v>
      </c>
    </row>
    <row r="7655" spans="1:3" ht="18" customHeight="1" x14ac:dyDescent="0.3">
      <c r="A7655" s="1">
        <v>3</v>
      </c>
      <c r="B7655" s="1" t="s">
        <v>6251</v>
      </c>
      <c r="C7655" s="1" t="str">
        <f ca="1">IFERROR(__xludf.DUMMYFUNCTION("GOOGLETRANSLATE(B7760,""en"",""ja"")"),"差別化")</f>
        <v>差別化</v>
      </c>
    </row>
    <row r="7656" spans="1:3" ht="18" customHeight="1" x14ac:dyDescent="0.3">
      <c r="A7656" s="1">
        <v>3</v>
      </c>
      <c r="B7656" s="1" t="s">
        <v>6252</v>
      </c>
      <c r="C7656" s="1" t="str">
        <f ca="1">IFERROR(__xludf.DUMMYFUNCTION("GOOGLETRANSLATE(B7761,""en"",""ja"")"),"独裁者")</f>
        <v>独裁者</v>
      </c>
    </row>
    <row r="7657" spans="1:3" ht="18" customHeight="1" x14ac:dyDescent="0.3">
      <c r="A7657" s="1">
        <v>3</v>
      </c>
      <c r="B7657" s="1" t="s">
        <v>6253</v>
      </c>
      <c r="C7657" s="1" t="str">
        <f ca="1">IFERROR(__xludf.DUMMYFUNCTION("GOOGLETRANSLATE(B7762,""en"",""ja"")"),"ディクテーション")</f>
        <v>ディクテーション</v>
      </c>
    </row>
    <row r="7658" spans="1:3" ht="18" customHeight="1" x14ac:dyDescent="0.3">
      <c r="A7658" s="1">
        <v>3</v>
      </c>
      <c r="B7658" s="1" t="s">
        <v>6254</v>
      </c>
      <c r="C7658" s="1" t="str">
        <f ca="1">IFERROR(__xludf.DUMMYFUNCTION("GOOGLETRANSLATE(B7763,""en"",""ja"")"),"下痢")</f>
        <v>下痢</v>
      </c>
    </row>
    <row r="7659" spans="1:3" ht="18" customHeight="1" x14ac:dyDescent="0.3">
      <c r="A7659" s="1">
        <v>3</v>
      </c>
      <c r="B7659" s="1" t="s">
        <v>6255</v>
      </c>
      <c r="C7659" s="1" t="str">
        <f ca="1">IFERROR(__xludf.DUMMYFUNCTION("GOOGLETRANSLATE(B7764,""en"",""ja"")"),"ダイアル")</f>
        <v>ダイアル</v>
      </c>
    </row>
    <row r="7660" spans="1:3" ht="18" customHeight="1" x14ac:dyDescent="0.3">
      <c r="A7660" s="1">
        <v>3</v>
      </c>
      <c r="B7660" s="1" t="s">
        <v>6256</v>
      </c>
      <c r="C7660" s="1" t="str">
        <f ca="1">IFERROR(__xludf.DUMMYFUNCTION("GOOGLETRANSLATE(B7765,""en"",""ja"")"),"工夫")</f>
        <v>工夫</v>
      </c>
    </row>
    <row r="7661" spans="1:3" ht="18" customHeight="1" x14ac:dyDescent="0.3">
      <c r="A7661" s="1">
        <v>3</v>
      </c>
      <c r="B7661" s="1" t="s">
        <v>6257</v>
      </c>
      <c r="C7661" s="1" t="str">
        <f ca="1">IFERROR(__xludf.DUMMYFUNCTION("GOOGLETRANSLATE(B7766,""en"",""ja"")"),"偏差")</f>
        <v>偏差</v>
      </c>
    </row>
    <row r="7662" spans="1:3" ht="18" customHeight="1" x14ac:dyDescent="0.3">
      <c r="A7662" s="1">
        <v>3</v>
      </c>
      <c r="B7662" s="1" t="s">
        <v>6258</v>
      </c>
      <c r="C7662" s="1" t="str">
        <f ca="1">IFERROR(__xludf.DUMMYFUNCTION("GOOGLETRANSLATE(B7767,""en"",""ja"")"),"荒廃")</f>
        <v>荒廃</v>
      </c>
    </row>
    <row r="7663" spans="1:3" ht="18" customHeight="1" x14ac:dyDescent="0.3">
      <c r="A7663" s="1">
        <v>3</v>
      </c>
      <c r="B7663" s="1" t="s">
        <v>6259</v>
      </c>
      <c r="C7663" s="1" t="str">
        <f ca="1">IFERROR(__xludf.DUMMYFUNCTION("GOOGLETRANSLATE(B7768,""en"",""ja"")"),"決定")</f>
        <v>決定</v>
      </c>
    </row>
    <row r="7664" spans="1:3" ht="18" customHeight="1" x14ac:dyDescent="0.3">
      <c r="A7664" s="1">
        <v>3</v>
      </c>
      <c r="B7664" s="1" t="s">
        <v>6260</v>
      </c>
      <c r="C7664" s="1" t="str">
        <f ca="1">IFERROR(__xludf.DUMMYFUNCTION("GOOGLETRANSLATE(B7769,""en"",""ja"")"),"行列式")</f>
        <v>行列式</v>
      </c>
    </row>
    <row r="7665" spans="1:3" ht="18" customHeight="1" x14ac:dyDescent="0.3">
      <c r="A7665" s="1">
        <v>3</v>
      </c>
      <c r="B7665" s="1" t="s">
        <v>6261</v>
      </c>
      <c r="C7665" s="1" t="str">
        <f ca="1">IFERROR(__xludf.DUMMYFUNCTION("GOOGLETRANSLATE(B7770,""en"",""ja"")"),"悪くなります")</f>
        <v>悪くなります</v>
      </c>
    </row>
    <row r="7666" spans="1:3" ht="18" customHeight="1" x14ac:dyDescent="0.3">
      <c r="A7666" s="1">
        <v>3</v>
      </c>
      <c r="B7666" s="1" t="s">
        <v>6262</v>
      </c>
      <c r="C7666" s="1" t="str">
        <f ca="1">IFERROR(__xludf.DUMMYFUNCTION("GOOGLETRANSLATE(B7771,""en"",""ja"")"),"ディテール")</f>
        <v>ディテール</v>
      </c>
    </row>
    <row r="7667" spans="1:3" ht="18" customHeight="1" x14ac:dyDescent="0.3">
      <c r="A7667" s="1">
        <v>3</v>
      </c>
      <c r="B7667" s="1" t="s">
        <v>6263</v>
      </c>
      <c r="C7667" s="1" t="str">
        <f ca="1">IFERROR(__xludf.DUMMYFUNCTION("GOOGLETRANSLATE(B7772,""en"",""ja"")"),"破棄")</f>
        <v>破棄</v>
      </c>
    </row>
    <row r="7668" spans="1:3" ht="18" customHeight="1" x14ac:dyDescent="0.3">
      <c r="A7668" s="1">
        <v>3</v>
      </c>
      <c r="B7668" s="1" t="s">
        <v>6264</v>
      </c>
      <c r="C7668" s="1" t="str">
        <f ca="1">IFERROR(__xludf.DUMMYFUNCTION("GOOGLETRANSLATE(B7773,""en"",""ja"")"),"やけくその")</f>
        <v>やけくその</v>
      </c>
    </row>
    <row r="7669" spans="1:3" ht="18" customHeight="1" x14ac:dyDescent="0.3">
      <c r="A7669" s="1">
        <v>3</v>
      </c>
      <c r="B7669" s="1" t="s">
        <v>6265</v>
      </c>
      <c r="C7669" s="1" t="str">
        <f ca="1">IFERROR(__xludf.DUMMYFUNCTION("GOOGLETRANSLATE(B7774,""en"",""ja"")"),"欲望")</f>
        <v>欲望</v>
      </c>
    </row>
    <row r="7670" spans="1:3" ht="18" customHeight="1" x14ac:dyDescent="0.3">
      <c r="A7670" s="1">
        <v>3</v>
      </c>
      <c r="B7670" s="1" t="s">
        <v>6266</v>
      </c>
      <c r="C7670" s="1" t="str">
        <f ca="1">IFERROR(__xludf.DUMMYFUNCTION("GOOGLETRANSLATE(B7775,""en"",""ja"")"),"望ましい")</f>
        <v>望ましい</v>
      </c>
    </row>
    <row r="7671" spans="1:3" ht="18" customHeight="1" x14ac:dyDescent="0.3">
      <c r="A7671" s="1">
        <v>3</v>
      </c>
      <c r="B7671" s="1" t="s">
        <v>6267</v>
      </c>
      <c r="C7671" s="1" t="str">
        <f ca="1">IFERROR(__xludf.DUMMYFUNCTION("GOOGLETRANSLATE(B7776,""en"",""ja"")"),"望まし")</f>
        <v>望まし</v>
      </c>
    </row>
    <row r="7672" spans="1:3" ht="18" customHeight="1" x14ac:dyDescent="0.3">
      <c r="A7672" s="1">
        <v>3</v>
      </c>
      <c r="B7672" s="1" t="s">
        <v>6268</v>
      </c>
      <c r="C7672" s="1" t="str">
        <f ca="1">IFERROR(__xludf.DUMMYFUNCTION("GOOGLETRANSLATE(B7777,""en"",""ja"")"),"指定")</f>
        <v>指定</v>
      </c>
    </row>
    <row r="7673" spans="1:3" ht="18" customHeight="1" x14ac:dyDescent="0.3">
      <c r="A7673" s="1">
        <v>3</v>
      </c>
      <c r="B7673" s="1" t="s">
        <v>6269</v>
      </c>
      <c r="C7673" s="1" t="str">
        <f ca="1">IFERROR(__xludf.DUMMYFUNCTION("GOOGLETRANSLATE(B7778,""en"",""ja"")"),"さびれ")</f>
        <v>さびれ</v>
      </c>
    </row>
    <row r="7674" spans="1:3" ht="18" customHeight="1" x14ac:dyDescent="0.3">
      <c r="A7674" s="1">
        <v>3</v>
      </c>
      <c r="B7674" s="1" t="s">
        <v>6270</v>
      </c>
      <c r="C7674" s="1" t="str">
        <f ca="1">IFERROR(__xludf.DUMMYFUNCTION("GOOGLETRANSLATE(B7779,""en"",""ja"")"),"脱感作")</f>
        <v>脱感作</v>
      </c>
    </row>
    <row r="7675" spans="1:3" ht="18" customHeight="1" x14ac:dyDescent="0.3">
      <c r="A7675" s="1">
        <v>3</v>
      </c>
      <c r="B7675" s="1" t="s">
        <v>6271</v>
      </c>
      <c r="C7675" s="1" t="str">
        <f ca="1">IFERROR(__xludf.DUMMYFUNCTION("GOOGLETRANSLATE(B7780,""en"",""ja"")"),"奪っ")</f>
        <v>奪っ</v>
      </c>
    </row>
    <row r="7676" spans="1:3" ht="18" customHeight="1" x14ac:dyDescent="0.3">
      <c r="A7676" s="1">
        <v>3</v>
      </c>
      <c r="B7676" s="1" t="s">
        <v>6272</v>
      </c>
      <c r="C7676" s="1" t="str">
        <f ca="1">IFERROR(__xludf.DUMMYFUNCTION("GOOGLETRANSLATE(B7781,""en"",""ja"")"),"描写")</f>
        <v>描写</v>
      </c>
    </row>
    <row r="7677" spans="1:3" ht="18" customHeight="1" x14ac:dyDescent="0.3">
      <c r="A7677" s="1">
        <v>3</v>
      </c>
      <c r="B7677" s="1" t="s">
        <v>6273</v>
      </c>
      <c r="C7677" s="1" t="str">
        <f ca="1">IFERROR(__xludf.DUMMYFUNCTION("GOOGLETRANSLATE(B7782,""en"",""ja"")"),"描きました")</f>
        <v>描きました</v>
      </c>
    </row>
    <row r="7678" spans="1:3" ht="18" customHeight="1" x14ac:dyDescent="0.3">
      <c r="A7678" s="1">
        <v>3</v>
      </c>
      <c r="B7678" s="1" t="s">
        <v>6274</v>
      </c>
      <c r="C7678" s="1" t="str">
        <f ca="1">IFERROR(__xludf.DUMMYFUNCTION("GOOGLETRANSLATE(B7783,""en"",""ja"")"),"密度")</f>
        <v>密度</v>
      </c>
    </row>
    <row r="7679" spans="1:3" ht="18" customHeight="1" x14ac:dyDescent="0.3">
      <c r="A7679" s="1">
        <v>3</v>
      </c>
      <c r="B7679" s="1" t="s">
        <v>6275</v>
      </c>
      <c r="C7679" s="1" t="str">
        <f ca="1">IFERROR(__xludf.DUMMYFUNCTION("GOOGLETRANSLATE(B7784,""en"",""ja"")"),"侮辱します")</f>
        <v>侮辱します</v>
      </c>
    </row>
    <row r="7680" spans="1:3" ht="18" customHeight="1" x14ac:dyDescent="0.3">
      <c r="A7680" s="1">
        <v>3</v>
      </c>
      <c r="B7680" s="1" t="s">
        <v>6276</v>
      </c>
      <c r="C7680" s="1" t="str">
        <f ca="1">IFERROR(__xludf.DUMMYFUNCTION("GOOGLETRANSLATE(B7785,""en"",""ja"")"),"実証")</f>
        <v>実証</v>
      </c>
    </row>
    <row r="7681" spans="1:3" ht="18" customHeight="1" x14ac:dyDescent="0.3">
      <c r="A7681" s="1">
        <v>3</v>
      </c>
      <c r="B7681" s="1" t="s">
        <v>6277</v>
      </c>
      <c r="C7681" s="1" t="str">
        <f ca="1">IFERROR(__xludf.DUMMYFUNCTION("GOOGLETRANSLATE(B7786,""en"",""ja"")"),"実証")</f>
        <v>実証</v>
      </c>
    </row>
    <row r="7682" spans="1:3" ht="18" customHeight="1" x14ac:dyDescent="0.3">
      <c r="A7682" s="1">
        <v>3</v>
      </c>
      <c r="B7682" s="1" t="s">
        <v>6278</v>
      </c>
      <c r="C7682" s="1" t="str">
        <f ca="1">IFERROR(__xludf.DUMMYFUNCTION("GOOGLETRANSLATE(B7787,""en"",""ja"")"),"解体")</f>
        <v>解体</v>
      </c>
    </row>
    <row r="7683" spans="1:3" ht="18" customHeight="1" x14ac:dyDescent="0.3">
      <c r="A7683" s="1">
        <v>3</v>
      </c>
      <c r="B7683" s="1" t="s">
        <v>1379</v>
      </c>
      <c r="C7683" s="1" t="str">
        <f ca="1">IFERROR(__xludf.DUMMYFUNCTION("GOOGLETRANSLATE(B7788,""en"",""ja"")"),"民主主義")</f>
        <v>民主主義</v>
      </c>
    </row>
    <row r="7684" spans="1:3" ht="18" customHeight="1" x14ac:dyDescent="0.3">
      <c r="A7684" s="1">
        <v>3</v>
      </c>
      <c r="B7684" s="1" t="s">
        <v>6279</v>
      </c>
      <c r="C7684" s="1" t="str">
        <f ca="1">IFERROR(__xludf.DUMMYFUNCTION("GOOGLETRANSLATE(B7789,""en"",""ja"")"),"厳しいです")</f>
        <v>厳しいです</v>
      </c>
    </row>
    <row r="7685" spans="1:3" ht="18" customHeight="1" x14ac:dyDescent="0.3">
      <c r="A7685" s="1">
        <v>3</v>
      </c>
      <c r="B7685" s="1" t="s">
        <v>6280</v>
      </c>
      <c r="C7685" s="1" t="str">
        <f ca="1">IFERROR(__xludf.DUMMYFUNCTION("GOOGLETRANSLATE(B7790,""en"",""ja"")"),"デルタ")</f>
        <v>デルタ</v>
      </c>
    </row>
    <row r="7686" spans="1:3" ht="18" customHeight="1" x14ac:dyDescent="0.3">
      <c r="A7686" s="1">
        <v>3</v>
      </c>
      <c r="B7686" s="1" t="s">
        <v>6281</v>
      </c>
      <c r="C7686" s="1" t="str">
        <f ca="1">IFERROR(__xludf.DUMMYFUNCTION("GOOGLETRANSLATE(B7791,""en"",""ja"")"),"繊細")</f>
        <v>繊細</v>
      </c>
    </row>
    <row r="7687" spans="1:3" ht="18" customHeight="1" x14ac:dyDescent="0.3">
      <c r="A7687" s="1">
        <v>3</v>
      </c>
      <c r="B7687" s="1" t="s">
        <v>6282</v>
      </c>
      <c r="C7687" s="1" t="str">
        <f ca="1">IFERROR(__xludf.DUMMYFUNCTION("GOOGLETRANSLATE(B7793,""en"",""ja"")"),"削除")</f>
        <v>削除</v>
      </c>
    </row>
    <row r="7688" spans="1:3" ht="18" customHeight="1" x14ac:dyDescent="0.3">
      <c r="A7688" s="1">
        <v>3</v>
      </c>
      <c r="B7688" s="1" t="s">
        <v>6283</v>
      </c>
      <c r="C7688" s="1" t="str">
        <f ca="1">IFERROR(__xludf.DUMMYFUNCTION("GOOGLETRANSLATE(B7794,""en"",""ja"")"),"遅延")</f>
        <v>遅延</v>
      </c>
    </row>
    <row r="7689" spans="1:3" ht="18" customHeight="1" x14ac:dyDescent="0.3">
      <c r="A7689" s="1">
        <v>3</v>
      </c>
      <c r="B7689" s="1" t="s">
        <v>6284</v>
      </c>
      <c r="C7689" s="1" t="str">
        <f ca="1">IFERROR(__xludf.DUMMYFUNCTION("GOOGLETRANSLATE(B7795,""en"",""ja"")"),"deindustrialized")</f>
        <v>deindustrialized</v>
      </c>
    </row>
    <row r="7690" spans="1:3" ht="18" customHeight="1" x14ac:dyDescent="0.3">
      <c r="A7690" s="1">
        <v>3</v>
      </c>
      <c r="B7690" s="1" t="s">
        <v>6285</v>
      </c>
      <c r="C7690" s="1" t="str">
        <f ca="1">IFERROR(__xludf.DUMMYFUNCTION("GOOGLETRANSLATE(B7796,""en"",""ja"")"),"非人間的")</f>
        <v>非人間的</v>
      </c>
    </row>
    <row r="7691" spans="1:3" ht="18" customHeight="1" x14ac:dyDescent="0.3">
      <c r="A7691" s="1">
        <v>3</v>
      </c>
      <c r="B7691" s="1" t="s">
        <v>6286</v>
      </c>
      <c r="C7691" s="1" t="str">
        <f ca="1">IFERROR(__xludf.DUMMYFUNCTION("GOOGLETRANSLATE(B7797,""en"",""ja"")"),"劣化しました")</f>
        <v>劣化しました</v>
      </c>
    </row>
    <row r="7692" spans="1:3" ht="18" customHeight="1" x14ac:dyDescent="0.3">
      <c r="A7692" s="1">
        <v>3</v>
      </c>
      <c r="B7692" s="1" t="s">
        <v>3624</v>
      </c>
      <c r="C7692" s="1" t="str">
        <f ca="1">IFERROR(__xludf.DUMMYFUNCTION("GOOGLETRANSLATE(B7798,""en"",""ja"")"),"劣化")</f>
        <v>劣化</v>
      </c>
    </row>
    <row r="7693" spans="1:3" ht="18" customHeight="1" x14ac:dyDescent="0.3">
      <c r="A7693" s="1">
        <v>3</v>
      </c>
      <c r="B7693" s="1" t="s">
        <v>6287</v>
      </c>
      <c r="C7693" s="1" t="str">
        <f ca="1">IFERROR(__xludf.DUMMYFUNCTION("GOOGLETRANSLATE(B7799,""en"",""ja"")"),"仑")</f>
        <v>仑</v>
      </c>
    </row>
    <row r="7694" spans="1:3" ht="18" customHeight="1" x14ac:dyDescent="0.3">
      <c r="A7694" s="1">
        <v>3</v>
      </c>
      <c r="B7694" s="1" t="s">
        <v>6288</v>
      </c>
      <c r="C7694" s="1" t="str">
        <f ca="1">IFERROR(__xludf.DUMMYFUNCTION("GOOGLETRANSLATE(B7800,""en"",""ja"")"),"欠乏")</f>
        <v>欠乏</v>
      </c>
    </row>
    <row r="7695" spans="1:3" ht="18" customHeight="1" x14ac:dyDescent="0.3">
      <c r="A7695" s="1">
        <v>3</v>
      </c>
      <c r="B7695" s="1" t="s">
        <v>6289</v>
      </c>
      <c r="C7695" s="1" t="str">
        <f ca="1">IFERROR(__xludf.DUMMYFUNCTION("GOOGLETRANSLATE(B7801,""en"",""ja"")"),"除細動器")</f>
        <v>除細動器</v>
      </c>
    </row>
    <row r="7696" spans="1:3" ht="18" customHeight="1" x14ac:dyDescent="0.3">
      <c r="A7696" s="1">
        <v>3</v>
      </c>
      <c r="B7696" s="1" t="s">
        <v>6290</v>
      </c>
      <c r="C7696" s="1" t="str">
        <f ca="1">IFERROR(__xludf.DUMMYFUNCTION("GOOGLETRANSLATE(B7803,""en"",""ja"")"),"延期")</f>
        <v>延期</v>
      </c>
    </row>
    <row r="7697" spans="1:3" ht="18" customHeight="1" x14ac:dyDescent="0.3">
      <c r="A7697" s="1">
        <v>3</v>
      </c>
      <c r="B7697" s="1" t="s">
        <v>6291</v>
      </c>
      <c r="C7697" s="1" t="str">
        <f ca="1">IFERROR(__xludf.DUMMYFUNCTION("GOOGLETRANSLATE(B7804,""en"",""ja"")"),"無防備")</f>
        <v>無防備</v>
      </c>
    </row>
    <row r="7698" spans="1:3" ht="18" customHeight="1" x14ac:dyDescent="0.3">
      <c r="A7698" s="1">
        <v>3</v>
      </c>
      <c r="B7698" s="1" t="s">
        <v>6292</v>
      </c>
      <c r="C7698" s="1" t="str">
        <f ca="1">IFERROR(__xludf.DUMMYFUNCTION("GOOGLETRANSLATE(B7806,""en"",""ja"")"),"防衛")</f>
        <v>防衛</v>
      </c>
    </row>
    <row r="7699" spans="1:3" ht="18" customHeight="1" x14ac:dyDescent="0.3">
      <c r="A7699" s="1">
        <v>3</v>
      </c>
      <c r="B7699" s="1" t="s">
        <v>4965</v>
      </c>
      <c r="C7699" s="1" t="str">
        <f ca="1">IFERROR(__xludf.DUMMYFUNCTION("GOOGLETRANSLATE(B7807,""en"",""ja"")"),"守る")</f>
        <v>守る</v>
      </c>
    </row>
    <row r="7700" spans="1:3" ht="18" customHeight="1" x14ac:dyDescent="0.3">
      <c r="A7700" s="1">
        <v>3</v>
      </c>
      <c r="B7700" s="1" t="s">
        <v>6293</v>
      </c>
      <c r="C7700" s="1" t="str">
        <f ca="1">IFERROR(__xludf.DUMMYFUNCTION("GOOGLETRANSLATE(B7808,""en"",""ja"")"),"排便")</f>
        <v>排便</v>
      </c>
    </row>
    <row r="7701" spans="1:3" ht="18" customHeight="1" x14ac:dyDescent="0.3">
      <c r="A7701" s="1">
        <v>3</v>
      </c>
      <c r="B7701" s="1" t="s">
        <v>6294</v>
      </c>
      <c r="C7701" s="1" t="str">
        <f ca="1">IFERROR(__xludf.DUMMYFUNCTION("GOOGLETRANSLATE(B7809,""en"",""ja"")"),"減少しました")</f>
        <v>減少しました</v>
      </c>
    </row>
    <row r="7702" spans="1:3" ht="18" customHeight="1" x14ac:dyDescent="0.3">
      <c r="A7702" s="1">
        <v>3</v>
      </c>
      <c r="B7702" s="1" t="s">
        <v>6295</v>
      </c>
      <c r="C7702" s="1" t="str">
        <f ca="1">IFERROR(__xludf.DUMMYFUNCTION("GOOGLETRANSLATE(B7810,""en"",""ja"")"),"宣言する")</f>
        <v>宣言する</v>
      </c>
    </row>
    <row r="7703" spans="1:3" ht="18" customHeight="1" x14ac:dyDescent="0.3">
      <c r="A7703" s="1">
        <v>3</v>
      </c>
      <c r="B7703" s="1" t="s">
        <v>2765</v>
      </c>
      <c r="C7703" s="1" t="str">
        <f ca="1">IFERROR(__xludf.DUMMYFUNCTION("GOOGLETRANSLATE(B7811,""en"",""ja"")"),"宣言")</f>
        <v>宣言</v>
      </c>
    </row>
    <row r="7704" spans="1:3" ht="18" customHeight="1" x14ac:dyDescent="0.3">
      <c r="A7704" s="1">
        <v>3</v>
      </c>
      <c r="B7704" s="1" t="s">
        <v>6296</v>
      </c>
      <c r="C7704" s="1" t="str">
        <f ca="1">IFERROR(__xludf.DUMMYFUNCTION("GOOGLETRANSLATE(B7812,""en"",""ja"")"),"まともな")</f>
        <v>まともな</v>
      </c>
    </row>
    <row r="7705" spans="1:3" ht="18" customHeight="1" x14ac:dyDescent="0.3">
      <c r="A7705" s="1">
        <v>3</v>
      </c>
      <c r="B7705" s="1" t="s">
        <v>6297</v>
      </c>
      <c r="C7705" s="1" t="str">
        <f ca="1">IFERROR(__xludf.DUMMYFUNCTION("GOOGLETRANSLATE(B7813,""en"",""ja"")"),"欺きます")</f>
        <v>欺きます</v>
      </c>
    </row>
    <row r="7706" spans="1:3" ht="18" customHeight="1" x14ac:dyDescent="0.3">
      <c r="A7706" s="1">
        <v>3</v>
      </c>
      <c r="B7706" s="1" t="s">
        <v>4971</v>
      </c>
      <c r="C7706" s="1" t="str">
        <f ca="1">IFERROR(__xludf.DUMMYFUNCTION("GOOGLETRANSLATE(B7814,""en"",""ja"")"),"数十年")</f>
        <v>数十年</v>
      </c>
    </row>
    <row r="7707" spans="1:3" ht="18" customHeight="1" x14ac:dyDescent="0.3">
      <c r="A7707" s="1">
        <v>3</v>
      </c>
      <c r="B7707" s="1" t="s">
        <v>6298</v>
      </c>
      <c r="C7707" s="1" t="str">
        <f ca="1">IFERROR(__xludf.DUMMYFUNCTION("GOOGLETRANSLATE(B7815,""en"",""ja"")"),"債務")</f>
        <v>債務</v>
      </c>
    </row>
    <row r="7708" spans="1:3" ht="18" customHeight="1" x14ac:dyDescent="0.3">
      <c r="A7708" s="1">
        <v>3</v>
      </c>
      <c r="B7708" s="1" t="s">
        <v>6299</v>
      </c>
      <c r="C7708" s="1" t="str">
        <f ca="1">IFERROR(__xludf.DUMMYFUNCTION("GOOGLETRANSLATE(B7816,""en"",""ja"")"),"死亡者（数")</f>
        <v>死亡者（数</v>
      </c>
    </row>
    <row r="7709" spans="1:3" ht="18" customHeight="1" x14ac:dyDescent="0.3">
      <c r="A7709" s="1">
        <v>3</v>
      </c>
      <c r="B7709" s="1" t="s">
        <v>1590</v>
      </c>
      <c r="C7709" s="1" t="str">
        <f ca="1">IFERROR(__xludf.DUMMYFUNCTION("GOOGLETRANSLATE(B7817,""en"",""ja"")"),"デ")</f>
        <v>デ</v>
      </c>
    </row>
    <row r="7710" spans="1:3" ht="18" customHeight="1" x14ac:dyDescent="0.3">
      <c r="A7710" s="1">
        <v>3</v>
      </c>
      <c r="B7710" s="1" t="s">
        <v>6300</v>
      </c>
      <c r="C7710" s="1" t="str">
        <f ca="1">IFERROR(__xludf.DUMMYFUNCTION("GOOGLETRANSLATE(B7818,""en"",""ja"")"),"日付")</f>
        <v>日付</v>
      </c>
    </row>
    <row r="7711" spans="1:3" ht="18" customHeight="1" x14ac:dyDescent="0.3">
      <c r="A7711" s="1">
        <v>3</v>
      </c>
      <c r="B7711" s="1" t="s">
        <v>6301</v>
      </c>
      <c r="C7711" s="1" t="str">
        <f ca="1">IFERROR(__xludf.DUMMYFUNCTION("GOOGLETRANSLATE(B7819,""en"",""ja"")"),"データベース")</f>
        <v>データベース</v>
      </c>
    </row>
    <row r="7712" spans="1:3" ht="18" customHeight="1" x14ac:dyDescent="0.3">
      <c r="A7712" s="1">
        <v>3</v>
      </c>
      <c r="B7712" s="1" t="s">
        <v>6302</v>
      </c>
      <c r="C7712" s="1" t="str">
        <f ca="1">IFERROR(__xludf.DUMMYFUNCTION("GOOGLETRANSLATE(B7820,""en"",""ja"")"),"データベース")</f>
        <v>データベース</v>
      </c>
    </row>
    <row r="7713" spans="1:3" ht="18" customHeight="1" x14ac:dyDescent="0.3">
      <c r="A7713" s="1">
        <v>3</v>
      </c>
      <c r="B7713" s="1" t="s">
        <v>6303</v>
      </c>
      <c r="C7713" s="1" t="str">
        <f ca="1">IFERROR(__xludf.DUMMYFUNCTION("GOOGLETRANSLATE(B7821,""en"",""ja"")"),"暗いです")</f>
        <v>暗いです</v>
      </c>
    </row>
    <row r="7714" spans="1:3" ht="18" customHeight="1" x14ac:dyDescent="0.3">
      <c r="A7714" s="1">
        <v>3</v>
      </c>
      <c r="B7714" s="1" t="s">
        <v>6304</v>
      </c>
      <c r="C7714" s="1" t="str">
        <f ca="1">IFERROR(__xludf.DUMMYFUNCTION("GOOGLETRANSLATE(B7822,""en"",""ja"")"),"暗く")</f>
        <v>暗く</v>
      </c>
    </row>
    <row r="7715" spans="1:3" ht="18" customHeight="1" x14ac:dyDescent="0.3">
      <c r="A7715" s="1">
        <v>3</v>
      </c>
      <c r="B7715" s="1" t="s">
        <v>965</v>
      </c>
      <c r="C7715" s="1" t="str">
        <f ca="1">IFERROR(__xludf.DUMMYFUNCTION("GOOGLETRANSLATE(B7823,""en"",""ja"")"),"危険")</f>
        <v>危険</v>
      </c>
    </row>
    <row r="7716" spans="1:3" ht="18" customHeight="1" x14ac:dyDescent="0.3">
      <c r="A7716" s="1">
        <v>3</v>
      </c>
      <c r="B7716" s="1" t="s">
        <v>6305</v>
      </c>
      <c r="C7716" s="1" t="str">
        <f ca="1">IFERROR(__xludf.DUMMYFUNCTION("GOOGLETRANSLATE(B7824,""en"",""ja"")"),"お客様")</f>
        <v>お客様</v>
      </c>
    </row>
    <row r="7717" spans="1:3" ht="18" customHeight="1" x14ac:dyDescent="0.3">
      <c r="A7717" s="1">
        <v>3</v>
      </c>
      <c r="B7717" s="1" t="s">
        <v>6306</v>
      </c>
      <c r="C7717" s="1" t="str">
        <f ca="1">IFERROR(__xludf.DUMMYFUNCTION("GOOGLETRANSLATE(B7825,""en"",""ja"")"),"奇妙な")</f>
        <v>奇妙な</v>
      </c>
    </row>
    <row r="7718" spans="1:3" ht="18" customHeight="1" x14ac:dyDescent="0.3">
      <c r="A7718" s="1">
        <v>3</v>
      </c>
      <c r="B7718" s="1" t="s">
        <v>6307</v>
      </c>
      <c r="C7718" s="1" t="str">
        <f ca="1">IFERROR(__xludf.DUMMYFUNCTION("GOOGLETRANSLATE(B7826,""en"",""ja"")"),"累積的な")</f>
        <v>累積的な</v>
      </c>
    </row>
    <row r="7719" spans="1:3" ht="18" customHeight="1" x14ac:dyDescent="0.3">
      <c r="A7719" s="1">
        <v>3</v>
      </c>
      <c r="B7719" s="1" t="s">
        <v>6308</v>
      </c>
      <c r="C7719" s="1" t="str">
        <f ca="1">IFERROR(__xludf.DUMMYFUNCTION("GOOGLETRANSLATE(B7827,""en"",""ja"")"),"カルト")</f>
        <v>カルト</v>
      </c>
    </row>
    <row r="7720" spans="1:3" ht="18" customHeight="1" x14ac:dyDescent="0.3">
      <c r="A7720" s="1">
        <v>3</v>
      </c>
      <c r="B7720" s="1" t="s">
        <v>6309</v>
      </c>
      <c r="C7720" s="1" t="str">
        <f ca="1">IFERROR(__xludf.DUMMYFUNCTION("GOOGLETRANSLATE(B7828,""en"",""ja"")"),"最も生々しいです")</f>
        <v>最も生々しいです</v>
      </c>
    </row>
    <row r="7721" spans="1:3" ht="18" customHeight="1" x14ac:dyDescent="0.3">
      <c r="A7721" s="1">
        <v>3</v>
      </c>
      <c r="B7721" s="1" t="s">
        <v>1079</v>
      </c>
      <c r="C7721" s="1" t="str">
        <f ca="1">IFERROR(__xludf.DUMMYFUNCTION("GOOGLETRANSLATE(B7829,""en"",""ja"")"),"重要")</f>
        <v>重要</v>
      </c>
    </row>
    <row r="7722" spans="1:3" ht="18" customHeight="1" x14ac:dyDescent="0.3">
      <c r="A7722" s="1">
        <v>3</v>
      </c>
      <c r="B7722" s="1" t="s">
        <v>2439</v>
      </c>
      <c r="C7722" s="1" t="str">
        <f ca="1">IFERROR(__xludf.DUMMYFUNCTION("GOOGLETRANSLATE(B7830,""en"",""ja"")"),"クロス")</f>
        <v>クロス</v>
      </c>
    </row>
    <row r="7723" spans="1:3" ht="18" customHeight="1" x14ac:dyDescent="0.3">
      <c r="A7723" s="1">
        <v>3</v>
      </c>
      <c r="B7723" s="1" t="s">
        <v>6310</v>
      </c>
      <c r="C7723" s="1" t="str">
        <f ca="1">IFERROR(__xludf.DUMMYFUNCTION("GOOGLETRANSLATE(B7831,""en"",""ja"")"),"トリミングされました")</f>
        <v>トリミングされました</v>
      </c>
    </row>
    <row r="7724" spans="1:3" ht="18" customHeight="1" x14ac:dyDescent="0.3">
      <c r="A7724" s="1">
        <v>3</v>
      </c>
      <c r="B7724" s="1" t="s">
        <v>6311</v>
      </c>
      <c r="C7724" s="1" t="str">
        <f ca="1">IFERROR(__xludf.DUMMYFUNCTION("GOOGLETRANSLATE(B7832,""en"",""ja"")"),"croaked")</f>
        <v>croaked</v>
      </c>
    </row>
    <row r="7725" spans="1:3" ht="18" customHeight="1" x14ac:dyDescent="0.3">
      <c r="A7725" s="1">
        <v>3</v>
      </c>
      <c r="B7725" s="1" t="s">
        <v>6312</v>
      </c>
      <c r="C7725" s="1" t="str">
        <f ca="1">IFERROR(__xludf.DUMMYFUNCTION("GOOGLETRANSLATE(B7833,""en"",""ja"")"),"批判")</f>
        <v>批判</v>
      </c>
    </row>
    <row r="7726" spans="1:3" ht="18" customHeight="1" x14ac:dyDescent="0.3">
      <c r="A7726" s="1">
        <v>3</v>
      </c>
      <c r="B7726" s="1" t="s">
        <v>2769</v>
      </c>
      <c r="C7726" s="1" t="str">
        <f ca="1">IFERROR(__xludf.DUMMYFUNCTION("GOOGLETRANSLATE(B7834,""en"",""ja"")"),"基準")</f>
        <v>基準</v>
      </c>
    </row>
    <row r="7727" spans="1:3" ht="18" customHeight="1" x14ac:dyDescent="0.3">
      <c r="A7727" s="1">
        <v>3</v>
      </c>
      <c r="B7727" s="1" t="s">
        <v>6313</v>
      </c>
      <c r="C7727" s="1" t="str">
        <f ca="1">IFERROR(__xludf.DUMMYFUNCTION("GOOGLETRANSLATE(B7835,""en"",""ja"")"),"critcherused")</f>
        <v>critcherused</v>
      </c>
    </row>
    <row r="7728" spans="1:3" ht="18" customHeight="1" x14ac:dyDescent="0.3">
      <c r="A7728" s="1">
        <v>3</v>
      </c>
      <c r="B7728" s="1" t="s">
        <v>6314</v>
      </c>
      <c r="C7728" s="1" t="str">
        <f ca="1">IFERROR(__xludf.DUMMYFUNCTION("GOOGLETRANSLATE(B7836,""en"",""ja"")"),"犯罪者")</f>
        <v>犯罪者</v>
      </c>
    </row>
    <row r="7729" spans="1:3" ht="18" customHeight="1" x14ac:dyDescent="0.3">
      <c r="A7729" s="1">
        <v>3</v>
      </c>
      <c r="B7729" s="1" t="s">
        <v>6315</v>
      </c>
      <c r="C7729" s="1" t="str">
        <f ca="1">IFERROR(__xludf.DUMMYFUNCTION("GOOGLETRANSLATE(B7837,""en"",""ja"")"),"犯罪")</f>
        <v>犯罪</v>
      </c>
    </row>
    <row r="7730" spans="1:3" ht="18" customHeight="1" x14ac:dyDescent="0.3">
      <c r="A7730" s="1">
        <v>3</v>
      </c>
      <c r="B7730" s="1" t="s">
        <v>1843</v>
      </c>
      <c r="C7730" s="1" t="str">
        <f ca="1">IFERROR(__xludf.DUMMYFUNCTION("GOOGLETRANSLATE(B7838,""en"",""ja"")"),"クレジット")</f>
        <v>クレジット</v>
      </c>
    </row>
    <row r="7731" spans="1:3" ht="18" customHeight="1" x14ac:dyDescent="0.3">
      <c r="A7731" s="1">
        <v>3</v>
      </c>
      <c r="B7731" s="1" t="s">
        <v>6316</v>
      </c>
      <c r="C7731" s="1" t="str">
        <f ca="1">IFERROR(__xludf.DUMMYFUNCTION("GOOGLETRANSLATE(B7839,""en"",""ja"")"),"クリエイター")</f>
        <v>クリエイター</v>
      </c>
    </row>
    <row r="7732" spans="1:3" ht="18" customHeight="1" x14ac:dyDescent="0.3">
      <c r="A7732" s="1">
        <v>3</v>
      </c>
      <c r="B7732" s="1" t="s">
        <v>6317</v>
      </c>
      <c r="C7732" s="1" t="str">
        <f ca="1">IFERROR(__xludf.DUMMYFUNCTION("GOOGLETRANSLATE(B7840,""en"",""ja"")"),"クレーン")</f>
        <v>クレーン</v>
      </c>
    </row>
    <row r="7733" spans="1:3" ht="18" customHeight="1" x14ac:dyDescent="0.3">
      <c r="A7733" s="1">
        <v>3</v>
      </c>
      <c r="B7733" s="1" t="s">
        <v>6318</v>
      </c>
      <c r="C7733" s="1" t="str">
        <f ca="1">IFERROR(__xludf.DUMMYFUNCTION("GOOGLETRANSLATE(B7841,""en"",""ja"")"),"カバー")</f>
        <v>カバー</v>
      </c>
    </row>
    <row r="7734" spans="1:3" ht="18" customHeight="1" x14ac:dyDescent="0.3">
      <c r="A7734" s="1">
        <v>3</v>
      </c>
      <c r="B7734" s="1" t="s">
        <v>6319</v>
      </c>
      <c r="C7734" s="1" t="str">
        <f ca="1">IFERROR(__xludf.DUMMYFUNCTION("GOOGLETRANSLATE(B7842,""en"",""ja"")"),"裁判所")</f>
        <v>裁判所</v>
      </c>
    </row>
    <row r="7735" spans="1:3" ht="18" customHeight="1" x14ac:dyDescent="0.3">
      <c r="A7735" s="1">
        <v>3</v>
      </c>
      <c r="B7735" s="1" t="s">
        <v>4990</v>
      </c>
      <c r="C7735" s="1" t="str">
        <f ca="1">IFERROR(__xludf.DUMMYFUNCTION("GOOGLETRANSLATE(B7843,""en"",""ja"")"),"カップル")</f>
        <v>カップル</v>
      </c>
    </row>
    <row r="7736" spans="1:3" ht="18" customHeight="1" x14ac:dyDescent="0.3">
      <c r="A7736" s="1">
        <v>3</v>
      </c>
      <c r="B7736" s="1" t="s">
        <v>2206</v>
      </c>
      <c r="C7736" s="1" t="str">
        <f ca="1">IFERROR(__xludf.DUMMYFUNCTION("GOOGLETRANSLATE(B7844,""en"",""ja"")"),"田舎")</f>
        <v>田舎</v>
      </c>
    </row>
    <row r="7737" spans="1:3" ht="18" customHeight="1" x14ac:dyDescent="0.3">
      <c r="A7737" s="1">
        <v>3</v>
      </c>
      <c r="B7737" s="1" t="s">
        <v>3646</v>
      </c>
      <c r="C7737" s="1" t="str">
        <f ca="1">IFERROR(__xludf.DUMMYFUNCTION("GOOGLETRANSLATE(B7845,""en"",""ja"")"),"カウント")</f>
        <v>カウント</v>
      </c>
    </row>
    <row r="7738" spans="1:3" ht="18" customHeight="1" x14ac:dyDescent="0.3">
      <c r="A7738" s="1">
        <v>3</v>
      </c>
      <c r="B7738" s="1" t="s">
        <v>6320</v>
      </c>
      <c r="C7738" s="1" t="str">
        <f ca="1">IFERROR(__xludf.DUMMYFUNCTION("GOOGLETRANSLATE(B7846,""en"",""ja"")"),"COUN")</f>
        <v>COUN</v>
      </c>
    </row>
    <row r="7739" spans="1:3" ht="18" customHeight="1" x14ac:dyDescent="0.3">
      <c r="A7739" s="1">
        <v>3</v>
      </c>
      <c r="B7739" s="1" t="s">
        <v>6321</v>
      </c>
      <c r="C7739" s="1" t="str">
        <f ca="1">IFERROR(__xludf.DUMMYFUNCTION("GOOGLETRANSLATE(B7848,""en"",""ja"")"),"コスチューム")</f>
        <v>コスチューム</v>
      </c>
    </row>
    <row r="7740" spans="1:3" ht="18" customHeight="1" x14ac:dyDescent="0.3">
      <c r="A7740" s="1">
        <v>3</v>
      </c>
      <c r="B7740" s="1" t="s">
        <v>6322</v>
      </c>
      <c r="C7740" s="1" t="str">
        <f ca="1">IFERROR(__xludf.DUMMYFUNCTION("GOOGLETRANSLATE(B7849,""en"",""ja"")"),"原価計算")</f>
        <v>原価計算</v>
      </c>
    </row>
    <row r="7741" spans="1:3" ht="18" customHeight="1" x14ac:dyDescent="0.3">
      <c r="A7741" s="1">
        <v>3</v>
      </c>
      <c r="B7741" s="1" t="s">
        <v>6323</v>
      </c>
      <c r="C7741" s="1" t="str">
        <f ca="1">IFERROR(__xludf.DUMMYFUNCTION("GOOGLETRANSLATE(B7850,""en"",""ja"")"),"廊下")</f>
        <v>廊下</v>
      </c>
    </row>
    <row r="7742" spans="1:3" ht="18" customHeight="1" x14ac:dyDescent="0.3">
      <c r="A7742" s="1">
        <v>3</v>
      </c>
      <c r="B7742" s="1" t="s">
        <v>2772</v>
      </c>
      <c r="C7742" s="1" t="str">
        <f ca="1">IFERROR(__xludf.DUMMYFUNCTION("GOOGLETRANSLATE(B7851,""en"",""ja"")"),"相関")</f>
        <v>相関</v>
      </c>
    </row>
    <row r="7743" spans="1:3" ht="18" customHeight="1" x14ac:dyDescent="0.3">
      <c r="A7743" s="1">
        <v>3</v>
      </c>
      <c r="B7743" s="1" t="s">
        <v>6324</v>
      </c>
      <c r="C7743" s="1" t="str">
        <f ca="1">IFERROR(__xludf.DUMMYFUNCTION("GOOGLETRANSLATE(B7852,""en"",""ja"")"),"corre")</f>
        <v>corre</v>
      </c>
    </row>
    <row r="7744" spans="1:3" ht="18" customHeight="1" x14ac:dyDescent="0.3">
      <c r="A7744" s="1">
        <v>3</v>
      </c>
      <c r="B7744" s="1" t="s">
        <v>6325</v>
      </c>
      <c r="C7744" s="1" t="str">
        <f ca="1">IFERROR(__xludf.DUMMYFUNCTION("GOOGLETRANSLATE(B7853,""en"",""ja"")"),"部隊")</f>
        <v>部隊</v>
      </c>
    </row>
    <row r="7745" spans="1:3" ht="18" customHeight="1" x14ac:dyDescent="0.3">
      <c r="A7745" s="1">
        <v>3</v>
      </c>
      <c r="B7745" s="1" t="s">
        <v>6326</v>
      </c>
      <c r="C7745" s="1" t="str">
        <f ca="1">IFERROR(__xludf.DUMMYFUNCTION("GOOGLETRANSLATE(B7854,""en"",""ja"")"),"礎石")</f>
        <v>礎石</v>
      </c>
    </row>
    <row r="7746" spans="1:3" ht="18" customHeight="1" x14ac:dyDescent="0.3">
      <c r="A7746" s="1">
        <v>3</v>
      </c>
      <c r="B7746" s="1" t="s">
        <v>6327</v>
      </c>
      <c r="C7746" s="1" t="str">
        <f ca="1">IFERROR(__xludf.DUMMYFUNCTION("GOOGLETRANSLATE(B7855,""en"",""ja"")"),"コーン")</f>
        <v>コーン</v>
      </c>
    </row>
    <row r="7747" spans="1:3" ht="18" customHeight="1" x14ac:dyDescent="0.3">
      <c r="A7747" s="1">
        <v>3</v>
      </c>
      <c r="B7747" s="1" t="s">
        <v>6328</v>
      </c>
      <c r="C7747" s="1" t="str">
        <f ca="1">IFERROR(__xludf.DUMMYFUNCTION("GOOGLETRANSLATE(B7856,""en"",""ja"")"),"コピー")</f>
        <v>コピー</v>
      </c>
    </row>
    <row r="7748" spans="1:3" ht="18" customHeight="1" x14ac:dyDescent="0.3">
      <c r="A7748" s="1">
        <v>3</v>
      </c>
      <c r="B7748" s="1" t="s">
        <v>6329</v>
      </c>
      <c r="C7748" s="1" t="str">
        <f ca="1">IFERROR(__xludf.DUMMYFUNCTION("GOOGLETRANSLATE(B7857,""en"",""ja"")"),"対処")</f>
        <v>対処</v>
      </c>
    </row>
    <row r="7749" spans="1:3" ht="18" customHeight="1" x14ac:dyDescent="0.3">
      <c r="A7749" s="1">
        <v>3</v>
      </c>
      <c r="B7749" s="1" t="s">
        <v>6330</v>
      </c>
      <c r="C7749" s="1" t="str">
        <f ca="1">IFERROR(__xludf.DUMMYFUNCTION("GOOGLETRANSLATE(B7858,""en"",""ja"")"),"コーディネート")</f>
        <v>コーディネート</v>
      </c>
    </row>
    <row r="7750" spans="1:3" ht="18" customHeight="1" x14ac:dyDescent="0.3">
      <c r="A7750" s="1">
        <v>3</v>
      </c>
      <c r="B7750" s="1" t="s">
        <v>4128</v>
      </c>
      <c r="C7750" s="1" t="str">
        <f ca="1">IFERROR(__xludf.DUMMYFUNCTION("GOOGLETRANSLATE(B7859,""en"",""ja"")"),"連携")</f>
        <v>連携</v>
      </c>
    </row>
    <row r="7751" spans="1:3" ht="18" customHeight="1" x14ac:dyDescent="0.3">
      <c r="A7751" s="1">
        <v>3</v>
      </c>
      <c r="B7751" s="1" t="s">
        <v>6331</v>
      </c>
      <c r="C7751" s="1" t="str">
        <f ca="1">IFERROR(__xludf.DUMMYFUNCTION("GOOGLETRANSLATE(B7860,""en"",""ja"")"),"確信して")</f>
        <v>確信して</v>
      </c>
    </row>
    <row r="7752" spans="1:3" ht="18" customHeight="1" x14ac:dyDescent="0.3">
      <c r="A7752" s="1">
        <v>3</v>
      </c>
      <c r="B7752" s="1" t="s">
        <v>3653</v>
      </c>
      <c r="C7752" s="1" t="str">
        <f ca="1">IFERROR(__xludf.DUMMYFUNCTION("GOOGLETRANSLATE(B7861,""en"",""ja"")"),"伝える")</f>
        <v>伝える</v>
      </c>
    </row>
    <row r="7753" spans="1:3" ht="18" customHeight="1" x14ac:dyDescent="0.3">
      <c r="A7753" s="1">
        <v>3</v>
      </c>
      <c r="B7753" s="1" t="s">
        <v>6332</v>
      </c>
      <c r="C7753" s="1" t="str">
        <f ca="1">IFERROR(__xludf.DUMMYFUNCTION("GOOGLETRANSLATE(B7862,""en"",""ja"")"),"コントロール")</f>
        <v>コントロール</v>
      </c>
    </row>
    <row r="7754" spans="1:3" ht="18" customHeight="1" x14ac:dyDescent="0.3">
      <c r="A7754" s="1">
        <v>3</v>
      </c>
      <c r="B7754" s="1" t="s">
        <v>6333</v>
      </c>
      <c r="C7754" s="1" t="str">
        <f ca="1">IFERROR(__xludf.DUMMYFUNCTION("GOOGLETRANSLATE(B7863,""en"",""ja"")"),"貢献")</f>
        <v>貢献</v>
      </c>
    </row>
    <row r="7755" spans="1:3" ht="18" customHeight="1" x14ac:dyDescent="0.3">
      <c r="A7755" s="1">
        <v>3</v>
      </c>
      <c r="B7755" s="1" t="s">
        <v>6334</v>
      </c>
      <c r="C7755" s="1" t="str">
        <f ca="1">IFERROR(__xludf.DUMMYFUNCTION("GOOGLETRANSLATE(B7864,""en"",""ja"")"),"貢献")</f>
        <v>貢献</v>
      </c>
    </row>
    <row r="7756" spans="1:3" ht="18" customHeight="1" x14ac:dyDescent="0.3">
      <c r="A7756" s="1">
        <v>3</v>
      </c>
      <c r="B7756" s="1" t="s">
        <v>5007</v>
      </c>
      <c r="C7756" s="1" t="str">
        <f ca="1">IFERROR(__xludf.DUMMYFUNCTION("GOOGLETRANSLATE(B7865,""en"",""ja"")"),"連続")</f>
        <v>連続</v>
      </c>
    </row>
    <row r="7757" spans="1:3" ht="18" customHeight="1" x14ac:dyDescent="0.3">
      <c r="A7757" s="1">
        <v>3</v>
      </c>
      <c r="B7757" s="1" t="s">
        <v>1986</v>
      </c>
      <c r="C7757" s="1" t="str">
        <f ca="1">IFERROR(__xludf.DUMMYFUNCTION("GOOGLETRANSLATE(B7866,""en"",""ja"")"),"絶えず")</f>
        <v>絶えず</v>
      </c>
    </row>
    <row r="7758" spans="1:3" ht="18" customHeight="1" x14ac:dyDescent="0.3">
      <c r="A7758" s="1">
        <v>3</v>
      </c>
      <c r="B7758" s="1" t="s">
        <v>6335</v>
      </c>
      <c r="C7758" s="1" t="str">
        <f ca="1">IFERROR(__xludf.DUMMYFUNCTION("GOOGLETRANSLATE(B7867,""en"",""ja"")"),"連続しました")</f>
        <v>連続しました</v>
      </c>
    </row>
    <row r="7759" spans="1:3" ht="18" customHeight="1" x14ac:dyDescent="0.3">
      <c r="A7759" s="1">
        <v>3</v>
      </c>
      <c r="B7759" s="1" t="s">
        <v>6336</v>
      </c>
      <c r="C7759" s="1" t="str">
        <f ca="1">IFERROR(__xludf.DUMMYFUNCTION("GOOGLETRANSLATE(B7868,""en"",""ja"")"),"出場者")</f>
        <v>出場者</v>
      </c>
    </row>
    <row r="7760" spans="1:3" ht="18" customHeight="1" x14ac:dyDescent="0.3">
      <c r="A7760" s="1">
        <v>3</v>
      </c>
      <c r="B7760" s="1" t="s">
        <v>6337</v>
      </c>
      <c r="C7760" s="1" t="str">
        <f ca="1">IFERROR(__xludf.DUMMYFUNCTION("GOOGLETRANSLATE(B7869,""en"",""ja"")"),"瞑想")</f>
        <v>瞑想</v>
      </c>
    </row>
    <row r="7761" spans="1:3" ht="18" customHeight="1" x14ac:dyDescent="0.3">
      <c r="A7761" s="1">
        <v>3</v>
      </c>
      <c r="B7761" s="1" t="s">
        <v>6338</v>
      </c>
      <c r="C7761" s="1" t="str">
        <f ca="1">IFERROR(__xludf.DUMMYFUNCTION("GOOGLETRANSLATE(B7870,""en"",""ja"")"),"含まれています")</f>
        <v>含まれています</v>
      </c>
    </row>
    <row r="7762" spans="1:3" ht="18" customHeight="1" x14ac:dyDescent="0.3">
      <c r="A7762" s="1">
        <v>3</v>
      </c>
      <c r="B7762" s="1" t="s">
        <v>3090</v>
      </c>
      <c r="C7762" s="1" t="str">
        <f ca="1">IFERROR(__xludf.DUMMYFUNCTION("GOOGLETRANSLATE(B7871,""en"",""ja"")"),"含む")</f>
        <v>含む</v>
      </c>
    </row>
    <row r="7763" spans="1:3" ht="18" customHeight="1" x14ac:dyDescent="0.3">
      <c r="A7763" s="1">
        <v>3</v>
      </c>
      <c r="B7763" s="1" t="s">
        <v>6339</v>
      </c>
      <c r="C7763" s="1" t="str">
        <f ca="1">IFERROR(__xludf.DUMMYFUNCTION("GOOGLETRANSLATE(B7872,""en"",""ja"")"),"相談します")</f>
        <v>相談します</v>
      </c>
    </row>
    <row r="7764" spans="1:3" ht="18" customHeight="1" x14ac:dyDescent="0.3">
      <c r="A7764" s="1">
        <v>3</v>
      </c>
      <c r="B7764" s="1" t="s">
        <v>2781</v>
      </c>
      <c r="C7764" s="1" t="str">
        <f ca="1">IFERROR(__xludf.DUMMYFUNCTION("GOOGLETRANSLATE(B7873,""en"",""ja"")"),"一貫して")</f>
        <v>一貫して</v>
      </c>
    </row>
    <row r="7765" spans="1:3" ht="18" customHeight="1" x14ac:dyDescent="0.3">
      <c r="A7765" s="1">
        <v>3</v>
      </c>
      <c r="B7765" s="1" t="s">
        <v>6340</v>
      </c>
      <c r="C7765" s="1" t="str">
        <f ca="1">IFERROR(__xludf.DUMMYFUNCTION("GOOGLETRANSLATE(B7874,""en"",""ja"")"),"保守主義")</f>
        <v>保守主義</v>
      </c>
    </row>
    <row r="7766" spans="1:3" ht="18" customHeight="1" x14ac:dyDescent="0.3">
      <c r="A7766" s="1">
        <v>3</v>
      </c>
      <c r="B7766" s="1" t="s">
        <v>1989</v>
      </c>
      <c r="C7766" s="1" t="str">
        <f ca="1">IFERROR(__xludf.DUMMYFUNCTION("GOOGLETRANSLATE(B7875,""en"",""ja"")"),"保全")</f>
        <v>保全</v>
      </c>
    </row>
    <row r="7767" spans="1:3" ht="18" customHeight="1" x14ac:dyDescent="0.3">
      <c r="A7767" s="1">
        <v>3</v>
      </c>
      <c r="B7767" s="1" t="s">
        <v>1991</v>
      </c>
      <c r="C7767" s="1" t="str">
        <f ca="1">IFERROR(__xludf.DUMMYFUNCTION("GOOGLETRANSLATE(B7876,""en"",""ja"")"),"同意")</f>
        <v>同意</v>
      </c>
    </row>
    <row r="7768" spans="1:3" ht="18" customHeight="1" x14ac:dyDescent="0.3">
      <c r="A7768" s="1">
        <v>3</v>
      </c>
      <c r="B7768" s="1" t="s">
        <v>2450</v>
      </c>
      <c r="C7768" s="1" t="str">
        <f ca="1">IFERROR(__xludf.DUMMYFUNCTION("GOOGLETRANSLATE(B7877,""en"",""ja"")"),"意識して")</f>
        <v>意識して</v>
      </c>
    </row>
    <row r="7769" spans="1:3" ht="18" customHeight="1" x14ac:dyDescent="0.3">
      <c r="A7769" s="1">
        <v>3</v>
      </c>
      <c r="B7769" s="1" t="s">
        <v>4142</v>
      </c>
      <c r="C7769" s="1" t="str">
        <f ca="1">IFERROR(__xludf.DUMMYFUNCTION("GOOGLETRANSLATE(B7878,""en"",""ja"")"),"含蓄")</f>
        <v>含蓄</v>
      </c>
    </row>
    <row r="7770" spans="1:3" ht="18" customHeight="1" x14ac:dyDescent="0.3">
      <c r="A7770" s="1">
        <v>3</v>
      </c>
      <c r="B7770" s="1" t="s">
        <v>6341</v>
      </c>
      <c r="C7770" s="1" t="str">
        <f ca="1">IFERROR(__xludf.DUMMYFUNCTION("GOOGLETRANSLATE(B7879,""en"",""ja"")"),"接続")</f>
        <v>接続</v>
      </c>
    </row>
    <row r="7771" spans="1:3" ht="18" customHeight="1" x14ac:dyDescent="0.3">
      <c r="A7771" s="1">
        <v>3</v>
      </c>
      <c r="B7771" s="1" t="s">
        <v>6342</v>
      </c>
      <c r="C7771" s="1" t="str">
        <f ca="1">IFERROR(__xludf.DUMMYFUNCTION("GOOGLETRANSLATE(B7880,""en"",""ja"")"),"お祝いの")</f>
        <v>お祝いの</v>
      </c>
    </row>
    <row r="7772" spans="1:3" ht="18" customHeight="1" x14ac:dyDescent="0.3">
      <c r="A7772" s="1">
        <v>3</v>
      </c>
      <c r="B7772" s="1" t="s">
        <v>6343</v>
      </c>
      <c r="C7772" s="1" t="str">
        <f ca="1">IFERROR(__xludf.DUMMYFUNCTION("GOOGLETRANSLATE(B7881,""en"",""ja"")"),"混雑")</f>
        <v>混雑</v>
      </c>
    </row>
    <row r="7773" spans="1:3" ht="18" customHeight="1" x14ac:dyDescent="0.3">
      <c r="A7773" s="1">
        <v>3</v>
      </c>
      <c r="B7773" s="1" t="s">
        <v>6344</v>
      </c>
      <c r="C7773" s="1" t="str">
        <f ca="1">IFERROR(__xludf.DUMMYFUNCTION("GOOGLETRANSLATE(B7882,""en"",""ja"")"),"混乱")</f>
        <v>混乱</v>
      </c>
    </row>
    <row r="7774" spans="1:3" ht="18" customHeight="1" x14ac:dyDescent="0.3">
      <c r="A7774" s="1">
        <v>3</v>
      </c>
      <c r="B7774" s="1" t="s">
        <v>6345</v>
      </c>
      <c r="C7774" s="1" t="str">
        <f ca="1">IFERROR(__xludf.DUMMYFUNCTION("GOOGLETRANSLATE(B7883,""en"",""ja"")"),"対峙し")</f>
        <v>対峙し</v>
      </c>
    </row>
    <row r="7775" spans="1:3" ht="18" customHeight="1" x14ac:dyDescent="0.3">
      <c r="A7775" s="1">
        <v>3</v>
      </c>
      <c r="B7775" s="1" t="s">
        <v>6346</v>
      </c>
      <c r="C7775" s="1" t="str">
        <f ca="1">IFERROR(__xludf.DUMMYFUNCTION("GOOGLETRANSLATE(B7884,""en"",""ja"")"),"対面")</f>
        <v>対面</v>
      </c>
    </row>
    <row r="7776" spans="1:3" ht="18" customHeight="1" x14ac:dyDescent="0.3">
      <c r="A7776" s="1">
        <v>3</v>
      </c>
      <c r="B7776" s="1" t="s">
        <v>6347</v>
      </c>
      <c r="C7776" s="1" t="str">
        <f ca="1">IFERROR(__xludf.DUMMYFUNCTION("GOOGLETRANSLATE(B7885,""en"",""ja"")"),"確認")</f>
        <v>確認</v>
      </c>
    </row>
    <row r="7777" spans="1:3" ht="18" customHeight="1" x14ac:dyDescent="0.3">
      <c r="A7777" s="1">
        <v>3</v>
      </c>
      <c r="B7777" s="1" t="s">
        <v>6348</v>
      </c>
      <c r="C7777" s="1" t="str">
        <f ca="1">IFERROR(__xludf.DUMMYFUNCTION("GOOGLETRANSLATE(B7886,""en"",""ja"")"),"確認")</f>
        <v>確認</v>
      </c>
    </row>
    <row r="7778" spans="1:3" ht="18" customHeight="1" x14ac:dyDescent="0.3">
      <c r="A7778" s="1">
        <v>3</v>
      </c>
      <c r="B7778" s="1" t="s">
        <v>2783</v>
      </c>
      <c r="C7778" s="1" t="str">
        <f ca="1">IFERROR(__xludf.DUMMYFUNCTION("GOOGLETRANSLATE(B7887,""en"",""ja"")"),"確認")</f>
        <v>確認</v>
      </c>
    </row>
    <row r="7779" spans="1:3" ht="18" customHeight="1" x14ac:dyDescent="0.3">
      <c r="A7779" s="1">
        <v>3</v>
      </c>
      <c r="B7779" s="1" t="s">
        <v>6349</v>
      </c>
      <c r="C7779" s="1" t="str">
        <f ca="1">IFERROR(__xludf.DUMMYFUNCTION("GOOGLETRANSLATE(B7888,""en"",""ja"")"),"閉じ込めます")</f>
        <v>閉じ込めます</v>
      </c>
    </row>
    <row r="7780" spans="1:3" ht="18" customHeight="1" x14ac:dyDescent="0.3">
      <c r="A7780" s="1">
        <v>3</v>
      </c>
      <c r="B7780" s="1" t="s">
        <v>6350</v>
      </c>
      <c r="C7780" s="1" t="str">
        <f ca="1">IFERROR(__xludf.DUMMYFUNCTION("GOOGLETRANSLATE(B7889,""en"",""ja"")"),"閉じ込めます")</f>
        <v>閉じ込めます</v>
      </c>
    </row>
    <row r="7781" spans="1:3" ht="18" customHeight="1" x14ac:dyDescent="0.3">
      <c r="A7781" s="1">
        <v>3</v>
      </c>
      <c r="B7781" s="1" t="s">
        <v>6351</v>
      </c>
      <c r="C7781" s="1" t="str">
        <f ca="1">IFERROR(__xludf.DUMMYFUNCTION("GOOGLETRANSLATE(B7890,""en"",""ja"")"),"助長")</f>
        <v>助長</v>
      </c>
    </row>
    <row r="7782" spans="1:3" ht="18" customHeight="1" x14ac:dyDescent="0.3">
      <c r="A7782" s="1">
        <v>3</v>
      </c>
      <c r="B7782" s="1" t="s">
        <v>6352</v>
      </c>
      <c r="C7782" s="1" t="str">
        <f ca="1">IFERROR(__xludf.DUMMYFUNCTION("GOOGLETRANSLATE(B7891,""en"",""ja"")"),"コンデンス")</f>
        <v>コンデンス</v>
      </c>
    </row>
    <row r="7783" spans="1:3" ht="18" customHeight="1" x14ac:dyDescent="0.3">
      <c r="A7783" s="1">
        <v>3</v>
      </c>
      <c r="B7783" s="1" t="s">
        <v>6353</v>
      </c>
      <c r="C7783" s="1" t="str">
        <f ca="1">IFERROR(__xludf.DUMMYFUNCTION("GOOGLETRANSLATE(B7892,""en"",""ja"")"),"凝集")</f>
        <v>凝集</v>
      </c>
    </row>
    <row r="7784" spans="1:3" ht="18" customHeight="1" x14ac:dyDescent="0.3">
      <c r="A7784" s="1">
        <v>3</v>
      </c>
      <c r="B7784" s="1" t="s">
        <v>6354</v>
      </c>
      <c r="C7784" s="1" t="str">
        <f ca="1">IFERROR(__xludf.DUMMYFUNCTION("GOOGLETRANSLATE(B7894,""en"",""ja"")"),"責めます")</f>
        <v>責めます</v>
      </c>
    </row>
    <row r="7785" spans="1:3" ht="18" customHeight="1" x14ac:dyDescent="0.3">
      <c r="A7785" s="1">
        <v>3</v>
      </c>
      <c r="B7785" s="1" t="s">
        <v>6355</v>
      </c>
      <c r="C7785" s="1" t="str">
        <f ca="1">IFERROR(__xludf.DUMMYFUNCTION("GOOGLETRANSLATE(B7895,""en"",""ja"")"),"結論")</f>
        <v>結論</v>
      </c>
    </row>
    <row r="7786" spans="1:3" ht="18" customHeight="1" x14ac:dyDescent="0.3">
      <c r="A7786" s="1">
        <v>3</v>
      </c>
      <c r="B7786" s="1" t="s">
        <v>6356</v>
      </c>
      <c r="C7786" s="1" t="str">
        <f ca="1">IFERROR(__xludf.DUMMYFUNCTION("GOOGLETRANSLATE(B7896,""en"",""ja"")"),"濃度")</f>
        <v>濃度</v>
      </c>
    </row>
    <row r="7787" spans="1:3" ht="18" customHeight="1" x14ac:dyDescent="0.3">
      <c r="A7787" s="1">
        <v>3</v>
      </c>
      <c r="B7787" s="1" t="s">
        <v>6357</v>
      </c>
      <c r="C7787" s="1" t="str">
        <f ca="1">IFERROR(__xludf.DUMMYFUNCTION("GOOGLETRANSLATE(B7897,""en"",""ja"")"),"濃度")</f>
        <v>濃度</v>
      </c>
    </row>
    <row r="7788" spans="1:3" ht="18" customHeight="1" x14ac:dyDescent="0.3">
      <c r="A7788" s="1">
        <v>3</v>
      </c>
      <c r="B7788" s="1" t="s">
        <v>6358</v>
      </c>
      <c r="C7788" s="1" t="str">
        <f ca="1">IFERROR(__xludf.DUMMYFUNCTION("GOOGLETRANSLATE(B7898,""en"",""ja"")"),"隠し")</f>
        <v>隠し</v>
      </c>
    </row>
    <row r="7789" spans="1:3" ht="18" customHeight="1" x14ac:dyDescent="0.3">
      <c r="A7789" s="1">
        <v>3</v>
      </c>
      <c r="B7789" s="1" t="s">
        <v>6359</v>
      </c>
      <c r="C7789" s="1" t="str">
        <f ca="1">IFERROR(__xludf.DUMMYFUNCTION("GOOGLETRANSLATE(B7899,""en"",""ja"")"),"隠し")</f>
        <v>隠し</v>
      </c>
    </row>
    <row r="7790" spans="1:3" ht="18" customHeight="1" x14ac:dyDescent="0.3">
      <c r="A7790" s="1">
        <v>3</v>
      </c>
      <c r="B7790" s="1" t="s">
        <v>6360</v>
      </c>
      <c r="C7790" s="1" t="str">
        <f ca="1">IFERROR(__xludf.DUMMYFUNCTION("GOOGLETRANSLATE(B7900,""en"",""ja"")"),"強制")</f>
        <v>強制</v>
      </c>
    </row>
    <row r="7791" spans="1:3" ht="18" customHeight="1" x14ac:dyDescent="0.3">
      <c r="A7791" s="1">
        <v>3</v>
      </c>
      <c r="B7791" s="1" t="s">
        <v>6361</v>
      </c>
      <c r="C7791" s="1" t="str">
        <f ca="1">IFERROR(__xludf.DUMMYFUNCTION("GOOGLETRANSLATE(B7901,""en"",""ja"")"),"備え")</f>
        <v>備え</v>
      </c>
    </row>
    <row r="7792" spans="1:3" ht="18" customHeight="1" x14ac:dyDescent="0.3">
      <c r="A7792" s="1">
        <v>3</v>
      </c>
      <c r="B7792" s="1" t="s">
        <v>6362</v>
      </c>
      <c r="C7792" s="1" t="str">
        <f ca="1">IFERROR(__xludf.DUMMYFUNCTION("GOOGLETRANSLATE(B7902,""en"",""ja"")"),"組成")</f>
        <v>組成</v>
      </c>
    </row>
    <row r="7793" spans="1:3" ht="18" customHeight="1" x14ac:dyDescent="0.3">
      <c r="A7793" s="1">
        <v>3</v>
      </c>
      <c r="B7793" s="1" t="s">
        <v>6363</v>
      </c>
      <c r="C7793" s="1" t="str">
        <f ca="1">IFERROR(__xludf.DUMMYFUNCTION("GOOGLETRANSLATE(B7903,""en"",""ja"")"),"構成")</f>
        <v>構成</v>
      </c>
    </row>
    <row r="7794" spans="1:3" ht="18" customHeight="1" x14ac:dyDescent="0.3">
      <c r="A7794" s="1">
        <v>3</v>
      </c>
      <c r="B7794" s="1" t="s">
        <v>6364</v>
      </c>
      <c r="C7794" s="1" t="str">
        <f ca="1">IFERROR(__xludf.DUMMYFUNCTION("GOOGLETRANSLATE(B7904,""en"",""ja"")"),"コン")</f>
        <v>コン</v>
      </c>
    </row>
    <row r="7795" spans="1:3" ht="18" customHeight="1" x14ac:dyDescent="0.3">
      <c r="A7795" s="1">
        <v>3</v>
      </c>
      <c r="B7795" s="1" t="s">
        <v>6365</v>
      </c>
      <c r="C7795" s="1" t="str">
        <f ca="1">IFERROR(__xludf.DUMMYFUNCTION("GOOGLETRANSLATE(B7905,""en"",""ja"")"),"複雑")</f>
        <v>複雑</v>
      </c>
    </row>
    <row r="7796" spans="1:3" ht="18" customHeight="1" x14ac:dyDescent="0.3">
      <c r="A7796" s="1">
        <v>3</v>
      </c>
      <c r="B7796" s="1" t="s">
        <v>4147</v>
      </c>
      <c r="C7796" s="1" t="str">
        <f ca="1">IFERROR(__xludf.DUMMYFUNCTION("GOOGLETRANSLATE(B7906,""en"",""ja"")"),"完了")</f>
        <v>完了</v>
      </c>
    </row>
    <row r="7797" spans="1:3" ht="18" customHeight="1" x14ac:dyDescent="0.3">
      <c r="A7797" s="1">
        <v>3</v>
      </c>
      <c r="B7797" s="1" t="s">
        <v>6366</v>
      </c>
      <c r="C7797" s="1" t="str">
        <f ca="1">IFERROR(__xludf.DUMMYFUNCTION("GOOGLETRANSLATE(B7907,""en"",""ja"")"),"苦情文句")</f>
        <v>苦情文句</v>
      </c>
    </row>
    <row r="7798" spans="1:3" ht="18" customHeight="1" x14ac:dyDescent="0.3">
      <c r="A7798" s="1">
        <v>3</v>
      </c>
      <c r="B7798" s="1" t="s">
        <v>6367</v>
      </c>
      <c r="C7798" s="1" t="str">
        <f ca="1">IFERROR(__xludf.DUMMYFUNCTION("GOOGLETRANSLATE(B7908,""en"",""ja"")"),"コンテスト")</f>
        <v>コンテスト</v>
      </c>
    </row>
    <row r="7799" spans="1:3" ht="18" customHeight="1" x14ac:dyDescent="0.3">
      <c r="A7799" s="1">
        <v>3</v>
      </c>
      <c r="B7799" s="1" t="s">
        <v>1385</v>
      </c>
      <c r="C7799" s="1" t="str">
        <f ca="1">IFERROR(__xludf.DUMMYFUNCTION("GOOGLETRANSLATE(B7909,""en"",""ja"")"),"主務")</f>
        <v>主務</v>
      </c>
    </row>
    <row r="7800" spans="1:3" ht="18" customHeight="1" x14ac:dyDescent="0.3">
      <c r="A7800" s="1">
        <v>3</v>
      </c>
      <c r="B7800" s="1" t="s">
        <v>3100</v>
      </c>
      <c r="C7800" s="1" t="str">
        <f ca="1">IFERROR(__xludf.DUMMYFUNCTION("GOOGLETRANSLATE(B7910,""en"",""ja"")"),"比較")</f>
        <v>比較</v>
      </c>
    </row>
    <row r="7801" spans="1:3" ht="18" customHeight="1" x14ac:dyDescent="0.3">
      <c r="A7801" s="1">
        <v>3</v>
      </c>
      <c r="B7801" s="1" t="s">
        <v>6368</v>
      </c>
      <c r="C7801" s="1" t="str">
        <f ca="1">IFERROR(__xludf.DUMMYFUNCTION("GOOGLETRANSLATE(B7911,""en"",""ja"")"),"比較例")</f>
        <v>比較例</v>
      </c>
    </row>
    <row r="7802" spans="1:3" ht="18" customHeight="1" x14ac:dyDescent="0.3">
      <c r="A7802" s="1">
        <v>3</v>
      </c>
      <c r="B7802" s="1" t="s">
        <v>6369</v>
      </c>
      <c r="C7802" s="1" t="str">
        <f ca="1">IFERROR(__xludf.DUMMYFUNCTION("GOOGLETRANSLATE(B7913,""en"",""ja"")"),"通信")</f>
        <v>通信</v>
      </c>
    </row>
    <row r="7803" spans="1:3" ht="18" customHeight="1" x14ac:dyDescent="0.3">
      <c r="A7803" s="1">
        <v>3</v>
      </c>
      <c r="B7803" s="1" t="s">
        <v>1599</v>
      </c>
      <c r="C7803" s="1" t="str">
        <f ca="1">IFERROR(__xludf.DUMMYFUNCTION("GOOGLETRANSLATE(B7914,""en"",""ja"")"),"一般に")</f>
        <v>一般に</v>
      </c>
    </row>
    <row r="7804" spans="1:3" ht="18" customHeight="1" x14ac:dyDescent="0.3">
      <c r="A7804" s="1">
        <v>3</v>
      </c>
      <c r="B7804" s="1" t="s">
        <v>6370</v>
      </c>
      <c r="C7804" s="1" t="str">
        <f ca="1">IFERROR(__xludf.DUMMYFUNCTION("GOOGLETRANSLATE(B7915,""en"",""ja"")"),"コミッショナー")</f>
        <v>コミッショナー</v>
      </c>
    </row>
    <row r="7805" spans="1:3" ht="18" customHeight="1" x14ac:dyDescent="0.3">
      <c r="A7805" s="1">
        <v>3</v>
      </c>
      <c r="B7805" s="1" t="s">
        <v>6371</v>
      </c>
      <c r="C7805" s="1" t="str">
        <f ca="1">IFERROR(__xludf.DUMMYFUNCTION("GOOGLETRANSLATE(B7916,""en"",""ja"")"),"commer")</f>
        <v>commer</v>
      </c>
    </row>
    <row r="7806" spans="1:3" ht="18" customHeight="1" x14ac:dyDescent="0.3">
      <c r="A7806" s="1">
        <v>3</v>
      </c>
      <c r="B7806" s="1" t="s">
        <v>6372</v>
      </c>
      <c r="C7806" s="1" t="str">
        <f ca="1">IFERROR(__xludf.DUMMYFUNCTION("GOOGLETRANSLATE(B7917,""en"",""ja"")"),"快適")</f>
        <v>快適</v>
      </c>
    </row>
    <row r="7807" spans="1:3" ht="18" customHeight="1" x14ac:dyDescent="0.3">
      <c r="A7807" s="1">
        <v>3</v>
      </c>
      <c r="B7807" s="1" t="s">
        <v>6373</v>
      </c>
      <c r="C7807" s="1" t="str">
        <f ca="1">IFERROR(__xludf.DUMMYFUNCTION("GOOGLETRANSLATE(B7918,""en"",""ja"")"),"戻ってくる")</f>
        <v>戻ってくる</v>
      </c>
    </row>
    <row r="7808" spans="1:3" ht="18" customHeight="1" x14ac:dyDescent="0.3">
      <c r="A7808" s="1">
        <v>3</v>
      </c>
      <c r="B7808" s="1" t="s">
        <v>6374</v>
      </c>
      <c r="C7808" s="1" t="str">
        <f ca="1">IFERROR(__xludf.DUMMYFUNCTION("GOOGLETRANSLATE(B7919,""en"",""ja"")"),"コム")</f>
        <v>コム</v>
      </c>
    </row>
    <row r="7809" spans="1:3" ht="18" customHeight="1" x14ac:dyDescent="0.3">
      <c r="A7809" s="1">
        <v>3</v>
      </c>
      <c r="B7809" s="1" t="s">
        <v>6375</v>
      </c>
      <c r="C7809" s="1" t="str">
        <f ca="1">IFERROR(__xludf.DUMMYFUNCTION("GOOGLETRANSLATE(B7920,""en"",""ja"")"),"衝突")</f>
        <v>衝突</v>
      </c>
    </row>
    <row r="7810" spans="1:3" ht="18" customHeight="1" x14ac:dyDescent="0.3">
      <c r="A7810" s="1">
        <v>3</v>
      </c>
      <c r="B7810" s="1" t="s">
        <v>6376</v>
      </c>
      <c r="C7810" s="1" t="str">
        <f ca="1">IFERROR(__xludf.DUMMYFUNCTION("GOOGLETRANSLATE(B7921,""en"",""ja"")"),"共同")</f>
        <v>共同</v>
      </c>
    </row>
    <row r="7811" spans="1:3" ht="18" customHeight="1" x14ac:dyDescent="0.3">
      <c r="A7811" s="1">
        <v>3</v>
      </c>
      <c r="B7811" s="1" t="s">
        <v>6377</v>
      </c>
      <c r="C7811" s="1" t="str">
        <f ca="1">IFERROR(__xludf.DUMMYFUNCTION("GOOGLETRANSLATE(B7922,""en"",""ja"")"),"一致")</f>
        <v>一致</v>
      </c>
    </row>
    <row r="7812" spans="1:3" ht="18" customHeight="1" x14ac:dyDescent="0.3">
      <c r="A7812" s="1">
        <v>3</v>
      </c>
      <c r="B7812" s="1" t="s">
        <v>6378</v>
      </c>
      <c r="C7812" s="1" t="str">
        <f ca="1">IFERROR(__xludf.DUMMYFUNCTION("GOOGLETRANSLATE(B7923,""en"",""ja"")"),"共存")</f>
        <v>共存</v>
      </c>
    </row>
    <row r="7813" spans="1:3" ht="18" customHeight="1" x14ac:dyDescent="0.3">
      <c r="A7813" s="1">
        <v>3</v>
      </c>
      <c r="B7813" s="1" t="s">
        <v>2793</v>
      </c>
      <c r="C7813" s="1" t="str">
        <f ca="1">IFERROR(__xludf.DUMMYFUNCTION("GOOGLETRANSLATE(B7924,""en"",""ja"")"),"威圧")</f>
        <v>威圧</v>
      </c>
    </row>
    <row r="7814" spans="1:3" ht="18" customHeight="1" x14ac:dyDescent="0.3">
      <c r="A7814" s="1">
        <v>3</v>
      </c>
      <c r="B7814" s="1" t="s">
        <v>6379</v>
      </c>
      <c r="C7814" s="1" t="str">
        <f ca="1">IFERROR(__xludf.DUMMYFUNCTION("GOOGLETRANSLATE(B7925,""en"",""ja"")"),"コート")</f>
        <v>コート</v>
      </c>
    </row>
    <row r="7815" spans="1:3" ht="18" customHeight="1" x14ac:dyDescent="0.3">
      <c r="A7815" s="1">
        <v>3</v>
      </c>
      <c r="B7815" s="1" t="s">
        <v>5043</v>
      </c>
      <c r="C7815" s="1" t="str">
        <f ca="1">IFERROR(__xludf.DUMMYFUNCTION("GOOGLETRANSLATE(B7926,""en"",""ja"")"),"海岸")</f>
        <v>海岸</v>
      </c>
    </row>
    <row r="7816" spans="1:3" ht="18" customHeight="1" x14ac:dyDescent="0.3">
      <c r="A7816" s="1">
        <v>3</v>
      </c>
      <c r="B7816" s="1" t="s">
        <v>6380</v>
      </c>
      <c r="C7816" s="1" t="str">
        <f ca="1">IFERROR(__xludf.DUMMYFUNCTION("GOOGLETRANSLATE(B7927,""en"",""ja"")"),"コ")</f>
        <v>コ</v>
      </c>
    </row>
    <row r="7817" spans="1:3" ht="18" customHeight="1" x14ac:dyDescent="0.3">
      <c r="A7817" s="1">
        <v>3</v>
      </c>
      <c r="B7817" s="1" t="s">
        <v>6381</v>
      </c>
      <c r="C7817" s="1" t="str">
        <f ca="1">IFERROR(__xludf.DUMMYFUNCTION("GOOGLETRANSLATE(B7928,""en"",""ja"")"),"クラスター")</f>
        <v>クラスター</v>
      </c>
    </row>
    <row r="7818" spans="1:3" ht="18" customHeight="1" x14ac:dyDescent="0.3">
      <c r="A7818" s="1">
        <v>3</v>
      </c>
      <c r="B7818" s="1" t="s">
        <v>2795</v>
      </c>
      <c r="C7818" s="1" t="str">
        <f ca="1">IFERROR(__xludf.DUMMYFUNCTION("GOOGLETRANSLATE(B7929,""en"",""ja"")"),"集まる")</f>
        <v>集まる</v>
      </c>
    </row>
    <row r="7819" spans="1:3" ht="18" customHeight="1" x14ac:dyDescent="0.3">
      <c r="A7819" s="1">
        <v>3</v>
      </c>
      <c r="B7819" s="1" t="s">
        <v>6382</v>
      </c>
      <c r="C7819" s="1" t="str">
        <f ca="1">IFERROR(__xludf.DUMMYFUNCTION("GOOGLETRANSLATE(B7930,""en"",""ja"")"),"不器用")</f>
        <v>不器用</v>
      </c>
    </row>
    <row r="7820" spans="1:3" ht="18" customHeight="1" x14ac:dyDescent="0.3">
      <c r="A7820" s="1">
        <v>3</v>
      </c>
      <c r="B7820" s="1" t="s">
        <v>6383</v>
      </c>
      <c r="C7820" s="1" t="str">
        <f ca="1">IFERROR(__xludf.DUMMYFUNCTION("GOOGLETRANSLATE(B7931,""en"",""ja"")"),"クラブ")</f>
        <v>クラブ</v>
      </c>
    </row>
    <row r="7821" spans="1:3" ht="18" customHeight="1" x14ac:dyDescent="0.3">
      <c r="A7821" s="1">
        <v>3</v>
      </c>
      <c r="B7821" s="1" t="s">
        <v>6384</v>
      </c>
      <c r="C7821" s="1" t="str">
        <f ca="1">IFERROR(__xludf.DUMMYFUNCTION("GOOGLETRANSLATE(B7932,""en"",""ja"")"),"ピエロ")</f>
        <v>ピエロ</v>
      </c>
    </row>
    <row r="7822" spans="1:3" ht="18" customHeight="1" x14ac:dyDescent="0.3">
      <c r="A7822" s="1">
        <v>3</v>
      </c>
      <c r="B7822" s="1" t="s">
        <v>6385</v>
      </c>
      <c r="C7822" s="1" t="str">
        <f ca="1">IFERROR(__xludf.DUMMYFUNCTION("GOOGLETRANSLATE(B7933,""en"",""ja"")"),"クローゼット")</f>
        <v>クローゼット</v>
      </c>
    </row>
    <row r="7823" spans="1:3" ht="18" customHeight="1" x14ac:dyDescent="0.3">
      <c r="A7823" s="1">
        <v>3</v>
      </c>
      <c r="B7823" s="1" t="s">
        <v>6386</v>
      </c>
      <c r="C7823" s="1" t="str">
        <f ca="1">IFERROR(__xludf.DUMMYFUNCTION("GOOGLETRANSLATE(B7934,""en"",""ja"")"),"臨床の")</f>
        <v>臨床の</v>
      </c>
    </row>
    <row r="7824" spans="1:3" ht="18" customHeight="1" x14ac:dyDescent="0.3">
      <c r="A7824" s="1">
        <v>3</v>
      </c>
      <c r="B7824" s="1" t="s">
        <v>6387</v>
      </c>
      <c r="C7824" s="1" t="str">
        <f ca="1">IFERROR(__xludf.DUMMYFUNCTION("GOOGLETRANSLATE(B7935,""en"",""ja"")"),"診療所")</f>
        <v>診療所</v>
      </c>
    </row>
    <row r="7825" spans="1:3" ht="18" customHeight="1" x14ac:dyDescent="0.3">
      <c r="A7825" s="1">
        <v>3</v>
      </c>
      <c r="B7825" s="1" t="s">
        <v>6388</v>
      </c>
      <c r="C7825" s="1" t="str">
        <f ca="1">IFERROR(__xludf.DUMMYFUNCTION("GOOGLETRANSLATE(B7936,""en"",""ja"")"),"掃除")</f>
        <v>掃除</v>
      </c>
    </row>
    <row r="7826" spans="1:3" ht="18" customHeight="1" x14ac:dyDescent="0.3">
      <c r="A7826" s="1">
        <v>3</v>
      </c>
      <c r="B7826" s="1" t="s">
        <v>6389</v>
      </c>
      <c r="C7826" s="1" t="str">
        <f ca="1">IFERROR(__xludf.DUMMYFUNCTION("GOOGLETRANSLATE(B7937,""en"",""ja"")"),"爪")</f>
        <v>爪</v>
      </c>
    </row>
    <row r="7827" spans="1:3" ht="18" customHeight="1" x14ac:dyDescent="0.3">
      <c r="A7827" s="1">
        <v>3</v>
      </c>
      <c r="B7827" s="1" t="s">
        <v>6390</v>
      </c>
      <c r="C7827" s="1" t="str">
        <f ca="1">IFERROR(__xludf.DUMMYFUNCTION("GOOGLETRANSLATE(B7938,""en"",""ja"")"),"衝突")</f>
        <v>衝突</v>
      </c>
    </row>
    <row r="7828" spans="1:3" ht="18" customHeight="1" x14ac:dyDescent="0.3">
      <c r="A7828" s="1">
        <v>3</v>
      </c>
      <c r="B7828" s="1" t="s">
        <v>6391</v>
      </c>
      <c r="C7828" s="1" t="str">
        <f ca="1">IFERROR(__xludf.DUMMYFUNCTION("GOOGLETRANSLATE(B7939,""en"",""ja"")"),"クラッパー")</f>
        <v>クラッパー</v>
      </c>
    </row>
    <row r="7829" spans="1:3" ht="18" customHeight="1" x14ac:dyDescent="0.3">
      <c r="A7829" s="1">
        <v>3</v>
      </c>
      <c r="B7829" s="1" t="s">
        <v>6392</v>
      </c>
      <c r="C7829" s="1" t="str">
        <f ca="1">IFERROR(__xludf.DUMMYFUNCTION("GOOGLETRANSLATE(B7940,""en"",""ja"")"),"一族")</f>
        <v>一族</v>
      </c>
    </row>
    <row r="7830" spans="1:3" ht="18" customHeight="1" x14ac:dyDescent="0.3">
      <c r="A7830" s="1">
        <v>3</v>
      </c>
      <c r="B7830" s="1" t="s">
        <v>6393</v>
      </c>
      <c r="C7830" s="1" t="str">
        <f ca="1">IFERROR(__xludf.DUMMYFUNCTION("GOOGLETRANSLATE(B7941,""en"",""ja"")"),"民事")</f>
        <v>民事</v>
      </c>
    </row>
    <row r="7831" spans="1:3" ht="18" customHeight="1" x14ac:dyDescent="0.3">
      <c r="A7831" s="1">
        <v>3</v>
      </c>
      <c r="B7831" s="1" t="s">
        <v>6394</v>
      </c>
      <c r="C7831" s="1" t="str">
        <f ca="1">IFERROR(__xludf.DUMMYFUNCTION("GOOGLETRANSLATE(B7942,""en"",""ja"")"),"住民")</f>
        <v>住民</v>
      </c>
    </row>
    <row r="7832" spans="1:3" ht="18" customHeight="1" x14ac:dyDescent="0.3">
      <c r="A7832" s="1">
        <v>3</v>
      </c>
      <c r="B7832" s="1" t="s">
        <v>6395</v>
      </c>
      <c r="C7832" s="1" t="str">
        <f ca="1">IFERROR(__xludf.DUMMYFUNCTION("GOOGLETRANSLATE(B7943,""en"",""ja"")"),"市民")</f>
        <v>市民</v>
      </c>
    </row>
    <row r="7833" spans="1:3" ht="18" customHeight="1" x14ac:dyDescent="0.3">
      <c r="A7833" s="1">
        <v>3</v>
      </c>
      <c r="B7833" s="1" t="s">
        <v>6396</v>
      </c>
      <c r="C7833" s="1" t="str">
        <f ca="1">IFERROR(__xludf.DUMMYFUNCTION("GOOGLETRANSLATE(B7944,""en"",""ja"")"),"状況的")</f>
        <v>状況的</v>
      </c>
    </row>
    <row r="7834" spans="1:3" ht="18" customHeight="1" x14ac:dyDescent="0.3">
      <c r="A7834" s="1">
        <v>3</v>
      </c>
      <c r="B7834" s="1" t="s">
        <v>6397</v>
      </c>
      <c r="C7834" s="1" t="str">
        <f ca="1">IFERROR(__xludf.DUMMYFUNCTION("GOOGLETRANSLATE(B7945,""en"",""ja"")"),"回路")</f>
        <v>回路</v>
      </c>
    </row>
    <row r="7835" spans="1:3" ht="18" customHeight="1" x14ac:dyDescent="0.3">
      <c r="A7835" s="1">
        <v>3</v>
      </c>
      <c r="B7835" s="1" t="s">
        <v>6398</v>
      </c>
      <c r="C7835" s="1" t="str">
        <f ca="1">IFERROR(__xludf.DUMMYFUNCTION("GOOGLETRANSLATE(B7946,""en"",""ja"")"),"カメラマン")</f>
        <v>カメラマン</v>
      </c>
    </row>
    <row r="7836" spans="1:3" ht="18" customHeight="1" x14ac:dyDescent="0.3">
      <c r="A7836" s="1">
        <v>3</v>
      </c>
      <c r="B7836" s="1" t="s">
        <v>6399</v>
      </c>
      <c r="C7836" s="1" t="str">
        <f ca="1">IFERROR(__xludf.DUMMYFUNCTION("GOOGLETRANSLATE(B7947,""en"",""ja"")"),"シネマ")</f>
        <v>シネマ</v>
      </c>
    </row>
    <row r="7837" spans="1:3" ht="18" customHeight="1" x14ac:dyDescent="0.3">
      <c r="A7837" s="1">
        <v>3</v>
      </c>
      <c r="B7837" s="1" t="s">
        <v>6400</v>
      </c>
      <c r="C7837" s="1" t="str">
        <f ca="1">IFERROR(__xludf.DUMMYFUNCTION("GOOGLETRANSLATE(B7948,""en"",""ja"")"),"CIAL")</f>
        <v>CIAL</v>
      </c>
    </row>
    <row r="7838" spans="1:3" ht="18" customHeight="1" x14ac:dyDescent="0.3">
      <c r="A7838" s="1">
        <v>3</v>
      </c>
      <c r="B7838" s="1" t="s">
        <v>6401</v>
      </c>
      <c r="C7838" s="1" t="str">
        <f ca="1">IFERROR(__xludf.DUMMYFUNCTION("GOOGLETRANSLATE(B7949,""en"",""ja"")"),"時系列")</f>
        <v>時系列</v>
      </c>
    </row>
    <row r="7839" spans="1:3" ht="18" customHeight="1" x14ac:dyDescent="0.3">
      <c r="A7839" s="1">
        <v>3</v>
      </c>
      <c r="B7839" s="1" t="s">
        <v>5055</v>
      </c>
      <c r="C7839" s="1" t="str">
        <f ca="1">IFERROR(__xludf.DUMMYFUNCTION("GOOGLETRANSLATE(B7950,""en"",""ja"")"),"クリスマス")</f>
        <v>クリスマス</v>
      </c>
    </row>
    <row r="7840" spans="1:3" ht="18" customHeight="1" x14ac:dyDescent="0.3">
      <c r="A7840" s="1">
        <v>3</v>
      </c>
      <c r="B7840" s="1" t="s">
        <v>6402</v>
      </c>
      <c r="C7840" s="1" t="str">
        <f ca="1">IFERROR(__xludf.DUMMYFUNCTION("GOOGLETRANSLATE(B7951,""en"",""ja"")"),"育児")</f>
        <v>育児</v>
      </c>
    </row>
    <row r="7841" spans="1:3" ht="18" customHeight="1" x14ac:dyDescent="0.3">
      <c r="A7841" s="1">
        <v>3</v>
      </c>
      <c r="B7841" s="1" t="s">
        <v>6403</v>
      </c>
      <c r="C7841" s="1" t="str">
        <f ca="1">IFERROR(__xludf.DUMMYFUNCTION("GOOGLETRANSLATE(B7952,""en"",""ja"")"),"カイ")</f>
        <v>カイ</v>
      </c>
    </row>
    <row r="7842" spans="1:3" ht="18" customHeight="1" x14ac:dyDescent="0.3">
      <c r="A7842" s="1">
        <v>3</v>
      </c>
      <c r="B7842" s="1" t="s">
        <v>6404</v>
      </c>
      <c r="C7842" s="1" t="str">
        <f ca="1">IFERROR(__xludf.DUMMYFUNCTION("GOOGLETRANSLATE(B7953,""en"",""ja"")"),"胸")</f>
        <v>胸</v>
      </c>
    </row>
    <row r="7843" spans="1:3" ht="18" customHeight="1" x14ac:dyDescent="0.3">
      <c r="A7843" s="1">
        <v>3</v>
      </c>
      <c r="B7843" s="1" t="s">
        <v>6405</v>
      </c>
      <c r="C7843" s="1" t="str">
        <f ca="1">IFERROR(__xludf.DUMMYFUNCTION("GOOGLETRANSLATE(B7954,""en"",""ja"")"),"化学者")</f>
        <v>化学者</v>
      </c>
    </row>
    <row r="7844" spans="1:3" ht="18" customHeight="1" x14ac:dyDescent="0.3">
      <c r="A7844" s="1">
        <v>3</v>
      </c>
      <c r="B7844" s="1" t="s">
        <v>6406</v>
      </c>
      <c r="C7844" s="1" t="str">
        <f ca="1">IFERROR(__xludf.DUMMYFUNCTION("GOOGLETRANSLATE(B7955,""en"",""ja"")"),"安いです")</f>
        <v>安いです</v>
      </c>
    </row>
    <row r="7845" spans="1:3" ht="18" customHeight="1" x14ac:dyDescent="0.3">
      <c r="A7845" s="1">
        <v>3</v>
      </c>
      <c r="B7845" s="1" t="s">
        <v>6407</v>
      </c>
      <c r="C7845" s="1" t="str">
        <f ca="1">IFERROR(__xludf.DUMMYFUNCTION("GOOGLETRANSLATE(B7956,""en"",""ja"")"),"チャート")</f>
        <v>チャート</v>
      </c>
    </row>
    <row r="7846" spans="1:3" ht="18" customHeight="1" x14ac:dyDescent="0.3">
      <c r="A7846" s="1">
        <v>3</v>
      </c>
      <c r="B7846" s="1" t="s">
        <v>6408</v>
      </c>
      <c r="C7846" s="1" t="str">
        <f ca="1">IFERROR(__xludf.DUMMYFUNCTION("GOOGLETRANSLATE(B7957,""en"",""ja"")"),"充電")</f>
        <v>充電</v>
      </c>
    </row>
    <row r="7847" spans="1:3" ht="18" customHeight="1" x14ac:dyDescent="0.3">
      <c r="A7847" s="1">
        <v>3</v>
      </c>
      <c r="B7847" s="1" t="s">
        <v>6409</v>
      </c>
      <c r="C7847" s="1" t="str">
        <f ca="1">IFERROR(__xludf.DUMMYFUNCTION("GOOGLETRANSLATE(B7958,""en"",""ja"")"),"文字")</f>
        <v>文字</v>
      </c>
    </row>
    <row r="7848" spans="1:3" ht="18" customHeight="1" x14ac:dyDescent="0.3">
      <c r="A7848" s="1">
        <v>3</v>
      </c>
      <c r="B7848" s="1" t="s">
        <v>6410</v>
      </c>
      <c r="C7848" s="1" t="str">
        <f ca="1">IFERROR(__xludf.DUMMYFUNCTION("GOOGLETRANSLATE(B7959,""en"",""ja"")"),"黒板")</f>
        <v>黒板</v>
      </c>
    </row>
    <row r="7849" spans="1:3" ht="18" customHeight="1" x14ac:dyDescent="0.3">
      <c r="A7849" s="1">
        <v>3</v>
      </c>
      <c r="B7849" s="1" t="s">
        <v>6411</v>
      </c>
      <c r="C7849" s="1" t="str">
        <f ca="1">IFERROR(__xludf.DUMMYFUNCTION("GOOGLETRANSLATE(B7960,""en"",""ja"")"),"一元化")</f>
        <v>一元化</v>
      </c>
    </row>
    <row r="7850" spans="1:3" ht="18" customHeight="1" x14ac:dyDescent="0.3">
      <c r="A7850" s="1">
        <v>3</v>
      </c>
      <c r="B7850" s="1" t="s">
        <v>6412</v>
      </c>
      <c r="C7850" s="1" t="str">
        <f ca="1">IFERROR(__xludf.DUMMYFUNCTION("GOOGLETRANSLATE(B7961,""en"",""ja"")"),"人口調査")</f>
        <v>人口調査</v>
      </c>
    </row>
    <row r="7851" spans="1:3" ht="18" customHeight="1" x14ac:dyDescent="0.3">
      <c r="A7851" s="1">
        <v>3</v>
      </c>
      <c r="B7851" s="1" t="s">
        <v>6413</v>
      </c>
      <c r="C7851" s="1" t="str">
        <f ca="1">IFERROR(__xludf.DUMMYFUNCTION("GOOGLETRANSLATE(B7962,""en"",""ja"")"),"細胞充実")</f>
        <v>細胞充実</v>
      </c>
    </row>
    <row r="7852" spans="1:3" ht="18" customHeight="1" x14ac:dyDescent="0.3">
      <c r="A7852" s="1">
        <v>3</v>
      </c>
      <c r="B7852" s="1" t="s">
        <v>6414</v>
      </c>
      <c r="C7852" s="1" t="str">
        <f ca="1">IFERROR(__xludf.DUMMYFUNCTION("GOOGLETRANSLATE(B7963,""en"",""ja"")"),"お祝い")</f>
        <v>お祝い</v>
      </c>
    </row>
    <row r="7853" spans="1:3" ht="18" customHeight="1" x14ac:dyDescent="0.3">
      <c r="A7853" s="1">
        <v>3</v>
      </c>
      <c r="B7853" s="1" t="s">
        <v>6415</v>
      </c>
      <c r="C7853" s="1" t="str">
        <f ca="1">IFERROR(__xludf.DUMMYFUNCTION("GOOGLETRANSLATE(B7964,""en"",""ja"")"),"カタログ")</f>
        <v>カタログ</v>
      </c>
    </row>
    <row r="7854" spans="1:3" ht="18" customHeight="1" x14ac:dyDescent="0.3">
      <c r="A7854" s="1">
        <v>3</v>
      </c>
      <c r="B7854" s="1" t="s">
        <v>6416</v>
      </c>
      <c r="C7854" s="1" t="str">
        <f ca="1">IFERROR(__xludf.DUMMYFUNCTION("GOOGLETRANSLATE(B7965,""en"",""ja"")"),"車")</f>
        <v>車</v>
      </c>
    </row>
    <row r="7855" spans="1:3" ht="18" customHeight="1" x14ac:dyDescent="0.3">
      <c r="A7855" s="1">
        <v>3</v>
      </c>
      <c r="B7855" s="1" t="s">
        <v>6417</v>
      </c>
      <c r="C7855" s="1" t="str">
        <f ca="1">IFERROR(__xludf.DUMMYFUNCTION("GOOGLETRANSLATE(B7966,""en"",""ja"")"),"運びます")</f>
        <v>運びます</v>
      </c>
    </row>
    <row r="7856" spans="1:3" ht="18" customHeight="1" x14ac:dyDescent="0.3">
      <c r="A7856" s="1">
        <v>3</v>
      </c>
      <c r="B7856" s="1" t="s">
        <v>6418</v>
      </c>
      <c r="C7856" s="1" t="str">
        <f ca="1">IFERROR(__xludf.DUMMYFUNCTION("GOOGLETRANSLATE(B7967,""en"",""ja"")"),"肉食動物")</f>
        <v>肉食動物</v>
      </c>
    </row>
    <row r="7857" spans="1:3" ht="18" customHeight="1" x14ac:dyDescent="0.3">
      <c r="A7857" s="1">
        <v>3</v>
      </c>
      <c r="B7857" s="1" t="s">
        <v>6419</v>
      </c>
      <c r="C7857" s="1" t="str">
        <f ca="1">IFERROR(__xludf.DUMMYFUNCTION("GOOGLETRANSLATE(B7968,""en"",""ja"")"),"心配事")</f>
        <v>心配事</v>
      </c>
    </row>
    <row r="7858" spans="1:3" ht="18" customHeight="1" x14ac:dyDescent="0.3">
      <c r="A7858" s="1">
        <v>3</v>
      </c>
      <c r="B7858" s="1" t="s">
        <v>6420</v>
      </c>
      <c r="C7858" s="1" t="str">
        <f ca="1">IFERROR(__xludf.DUMMYFUNCTION("GOOGLETRANSLATE(B7969,""en"",""ja"")"),"不注意な")</f>
        <v>不注意な</v>
      </c>
    </row>
    <row r="7859" spans="1:3" ht="18" customHeight="1" x14ac:dyDescent="0.3">
      <c r="A7859" s="1">
        <v>3</v>
      </c>
      <c r="B7859" s="1" t="s">
        <v>6421</v>
      </c>
      <c r="C7859" s="1" t="str">
        <f ca="1">IFERROR(__xludf.DUMMYFUNCTION("GOOGLETRANSLATE(B7970,""en"",""ja"")"),"心臓除細動器")</f>
        <v>心臓除細動器</v>
      </c>
    </row>
    <row r="7860" spans="1:3" ht="18" customHeight="1" x14ac:dyDescent="0.3">
      <c r="A7860" s="1">
        <v>3</v>
      </c>
      <c r="B7860" s="1" t="s">
        <v>6422</v>
      </c>
      <c r="C7860" s="1" t="str">
        <f ca="1">IFERROR(__xludf.DUMMYFUNCTION("GOOGLETRANSLATE(B7971,""en"",""ja"")"),"カード")</f>
        <v>カード</v>
      </c>
    </row>
    <row r="7861" spans="1:3" ht="18" customHeight="1" x14ac:dyDescent="0.3">
      <c r="A7861" s="1">
        <v>3</v>
      </c>
      <c r="B7861" s="1" t="s">
        <v>6423</v>
      </c>
      <c r="C7861" s="1" t="str">
        <f ca="1">IFERROR(__xludf.DUMMYFUNCTION("GOOGLETRANSLATE(B7972,""en"",""ja"")"),"キャプチャ")</f>
        <v>キャプチャ</v>
      </c>
    </row>
    <row r="7862" spans="1:3" ht="18" customHeight="1" x14ac:dyDescent="0.3">
      <c r="A7862" s="1">
        <v>3</v>
      </c>
      <c r="B7862" s="1" t="s">
        <v>6424</v>
      </c>
      <c r="C7862" s="1" t="str">
        <f ca="1">IFERROR(__xludf.DUMMYFUNCTION("GOOGLETRANSLATE(B7973,""en"",""ja"")"),"資本")</f>
        <v>資本</v>
      </c>
    </row>
    <row r="7863" spans="1:3" ht="18" customHeight="1" x14ac:dyDescent="0.3">
      <c r="A7863" s="1">
        <v>3</v>
      </c>
      <c r="B7863" s="1" t="s">
        <v>6425</v>
      </c>
      <c r="C7863" s="1" t="str">
        <f ca="1">IFERROR(__xludf.DUMMYFUNCTION("GOOGLETRANSLATE(B7974,""en"",""ja"")"),"能力")</f>
        <v>能力</v>
      </c>
    </row>
    <row r="7864" spans="1:3" ht="18" customHeight="1" x14ac:dyDescent="0.3">
      <c r="A7864" s="1">
        <v>3</v>
      </c>
      <c r="B7864" s="1" t="s">
        <v>186</v>
      </c>
      <c r="C7864" s="1" t="str">
        <f ca="1">IFERROR(__xludf.DUMMYFUNCTION("GOOGLETRANSLATE(B7975,""en"",""ja"")"),"できません")</f>
        <v>できません</v>
      </c>
    </row>
    <row r="7865" spans="1:3" ht="18" customHeight="1" x14ac:dyDescent="0.3">
      <c r="A7865" s="1">
        <v>3</v>
      </c>
      <c r="B7865" s="1" t="s">
        <v>6426</v>
      </c>
      <c r="C7865" s="1" t="str">
        <f ca="1">IFERROR(__xludf.DUMMYFUNCTION("GOOGLETRANSLATE(B7976,""en"",""ja"")"),"キャンセル")</f>
        <v>キャンセル</v>
      </c>
    </row>
    <row r="7866" spans="1:3" ht="18" customHeight="1" x14ac:dyDescent="0.3">
      <c r="A7866" s="1">
        <v>3</v>
      </c>
      <c r="B7866" s="1" t="s">
        <v>6427</v>
      </c>
      <c r="C7866" s="1" t="str">
        <f ca="1">IFERROR(__xludf.DUMMYFUNCTION("GOOGLETRANSLATE(B7977,""en"",""ja"")"),"運動")</f>
        <v>運動</v>
      </c>
    </row>
    <row r="7867" spans="1:3" ht="18" customHeight="1" x14ac:dyDescent="0.3">
      <c r="A7867" s="1">
        <v>3</v>
      </c>
      <c r="B7867" s="1" t="s">
        <v>6428</v>
      </c>
      <c r="C7867" s="1" t="str">
        <f ca="1">IFERROR(__xludf.DUMMYFUNCTION("GOOGLETRANSLATE(B7978,""en"",""ja"")"),"カメラ")</f>
        <v>カメラ</v>
      </c>
    </row>
    <row r="7868" spans="1:3" ht="18" customHeight="1" x14ac:dyDescent="0.3">
      <c r="A7868" s="1">
        <v>3</v>
      </c>
      <c r="B7868" s="1" t="s">
        <v>6429</v>
      </c>
      <c r="C7868" s="1" t="str">
        <f ca="1">IFERROR(__xludf.DUMMYFUNCTION("GOOGLETRANSLATE(B7979,""en"",""ja"")"),"ケンブリッジ")</f>
        <v>ケンブリッジ</v>
      </c>
    </row>
    <row r="7869" spans="1:3" ht="18" customHeight="1" x14ac:dyDescent="0.3">
      <c r="A7869" s="1">
        <v>3</v>
      </c>
      <c r="B7869" s="1" t="s">
        <v>5076</v>
      </c>
      <c r="C7869" s="1" t="str">
        <f ca="1">IFERROR(__xludf.DUMMYFUNCTION("GOOGLETRANSLATE(B7980,""en"",""ja"")"),"静けさ")</f>
        <v>静けさ</v>
      </c>
    </row>
    <row r="7870" spans="1:3" ht="18" customHeight="1" x14ac:dyDescent="0.3">
      <c r="A7870" s="1">
        <v>3</v>
      </c>
      <c r="B7870" s="1" t="s">
        <v>6430</v>
      </c>
      <c r="C7870" s="1" t="str">
        <f ca="1">IFERROR(__xludf.DUMMYFUNCTION("GOOGLETRANSLATE(B7981,""en"",""ja"")"),"通話")</f>
        <v>通話</v>
      </c>
    </row>
    <row r="7871" spans="1:3" ht="18" customHeight="1" x14ac:dyDescent="0.3">
      <c r="A7871" s="1">
        <v>3</v>
      </c>
      <c r="B7871" s="1" t="s">
        <v>6431</v>
      </c>
      <c r="C7871" s="1" t="str">
        <f ca="1">IFERROR(__xludf.DUMMYFUNCTION("GOOGLETRANSLATE(B7982,""en"",""ja"")"),"呼び出し側")</f>
        <v>呼び出し側</v>
      </c>
    </row>
    <row r="7872" spans="1:3" ht="18" customHeight="1" x14ac:dyDescent="0.3">
      <c r="A7872" s="1">
        <v>3</v>
      </c>
      <c r="B7872" s="1" t="s">
        <v>6432</v>
      </c>
      <c r="C7872" s="1" t="str">
        <f ca="1">IFERROR(__xludf.DUMMYFUNCTION("GOOGLETRANSLATE(B7983,""en"",""ja"")"),"calendrically")</f>
        <v>calendrically</v>
      </c>
    </row>
    <row r="7873" spans="1:3" ht="18" customHeight="1" x14ac:dyDescent="0.3">
      <c r="A7873" s="1">
        <v>3</v>
      </c>
      <c r="B7873" s="1" t="s">
        <v>4169</v>
      </c>
      <c r="C7873" s="1" t="str">
        <f ca="1">IFERROR(__xludf.DUMMYFUNCTION("GOOGLETRANSLATE(B7984,""en"",""ja"")"),"計算")</f>
        <v>計算</v>
      </c>
    </row>
    <row r="7874" spans="1:3" ht="18" customHeight="1" x14ac:dyDescent="0.3">
      <c r="A7874" s="1">
        <v>3</v>
      </c>
      <c r="B7874" s="1" t="s">
        <v>6433</v>
      </c>
      <c r="C7874" s="1" t="str">
        <f ca="1">IFERROR(__xludf.DUMMYFUNCTION("GOOGLETRANSLATE(B7985,""en"",""ja"")"),"計算")</f>
        <v>計算</v>
      </c>
    </row>
    <row r="7875" spans="1:3" ht="18" customHeight="1" x14ac:dyDescent="0.3">
      <c r="A7875" s="1">
        <v>3</v>
      </c>
      <c r="B7875" s="1" t="s">
        <v>16</v>
      </c>
      <c r="C7875" s="1" t="str">
        <f ca="1">IFERROR(__xludf.DUMMYFUNCTION("GOOGLETRANSLATE(B7986,""en"",""ja"")"),"沿って")</f>
        <v>沿って</v>
      </c>
    </row>
    <row r="7876" spans="1:3" ht="18" customHeight="1" x14ac:dyDescent="0.3">
      <c r="A7876" s="1">
        <v>3</v>
      </c>
      <c r="B7876" s="1" t="s">
        <v>6434</v>
      </c>
      <c r="C7876" s="1" t="str">
        <f ca="1">IFERROR(__xludf.DUMMYFUNCTION("GOOGLETRANSLATE(B7987,""en"",""ja"")"),"副産物")</f>
        <v>副産物</v>
      </c>
    </row>
    <row r="7877" spans="1:3" ht="18" customHeight="1" x14ac:dyDescent="0.3">
      <c r="A7877" s="1">
        <v>3</v>
      </c>
      <c r="B7877" s="1" t="s">
        <v>24</v>
      </c>
      <c r="C7877" s="1" t="str">
        <f ca="1">IFERROR(__xludf.DUMMYFUNCTION("GOOGLETRANSLATE(B7988,""en"",""ja"")"),"だが")</f>
        <v>だが</v>
      </c>
    </row>
    <row r="7878" spans="1:3" ht="18" customHeight="1" x14ac:dyDescent="0.3">
      <c r="A7878" s="1">
        <v>3</v>
      </c>
      <c r="B7878" s="1" t="s">
        <v>6435</v>
      </c>
      <c r="C7878" s="1" t="str">
        <f ca="1">IFERROR(__xludf.DUMMYFUNCTION("GOOGLETRANSLATE(B7989,""en"",""ja"")"),"ビジネスパーソン")</f>
        <v>ビジネスパーソン</v>
      </c>
    </row>
    <row r="7879" spans="1:3" ht="18" customHeight="1" x14ac:dyDescent="0.3">
      <c r="A7879" s="1">
        <v>3</v>
      </c>
      <c r="B7879" s="1" t="s">
        <v>6436</v>
      </c>
      <c r="C7879" s="1" t="str">
        <f ca="1">IFERROR(__xludf.DUMMYFUNCTION("GOOGLETRANSLATE(B7990,""en"",""ja"")"),"ビジネスマン")</f>
        <v>ビジネスマン</v>
      </c>
    </row>
    <row r="7880" spans="1:3" ht="18" customHeight="1" x14ac:dyDescent="0.3">
      <c r="A7880" s="1">
        <v>3</v>
      </c>
      <c r="B7880" s="1" t="s">
        <v>582</v>
      </c>
      <c r="C7880" s="1" t="str">
        <f ca="1">IFERROR(__xludf.DUMMYFUNCTION("GOOGLETRANSLATE(B7991,""en"",""ja"")"),"ビジネス")</f>
        <v>ビジネス</v>
      </c>
    </row>
    <row r="7881" spans="1:3" ht="18" customHeight="1" x14ac:dyDescent="0.3">
      <c r="A7881" s="1">
        <v>3</v>
      </c>
      <c r="B7881" s="1" t="s">
        <v>4172</v>
      </c>
      <c r="C7881" s="1" t="str">
        <f ca="1">IFERROR(__xludf.DUMMYFUNCTION("GOOGLETRANSLATE(B7992,""en"",""ja"")"),"バースト")</f>
        <v>バースト</v>
      </c>
    </row>
    <row r="7882" spans="1:3" ht="18" customHeight="1" x14ac:dyDescent="0.3">
      <c r="A7882" s="1">
        <v>3</v>
      </c>
      <c r="B7882" s="1" t="s">
        <v>6437</v>
      </c>
      <c r="C7882" s="1" t="str">
        <f ca="1">IFERROR(__xludf.DUMMYFUNCTION("GOOGLETRANSLATE(B7993,""en"",""ja"")"),"埋葬")</f>
        <v>埋葬</v>
      </c>
    </row>
    <row r="7883" spans="1:3" ht="18" customHeight="1" x14ac:dyDescent="0.3">
      <c r="A7883" s="1">
        <v>3</v>
      </c>
      <c r="B7883" s="1" t="s">
        <v>6438</v>
      </c>
      <c r="C7883" s="1" t="str">
        <f ca="1">IFERROR(__xludf.DUMMYFUNCTION("GOOGLETRANSLATE(B7994,""en"",""ja"")"),"バルブ")</f>
        <v>バルブ</v>
      </c>
    </row>
    <row r="7884" spans="1:3" ht="18" customHeight="1" x14ac:dyDescent="0.3">
      <c r="A7884" s="1">
        <v>3</v>
      </c>
      <c r="B7884" s="1" t="s">
        <v>6439</v>
      </c>
      <c r="C7884" s="1" t="str">
        <f ca="1">IFERROR(__xludf.DUMMYFUNCTION("GOOGLETRANSLATE(B7995,""en"",""ja"")"),"ビルダー")</f>
        <v>ビルダー</v>
      </c>
    </row>
    <row r="7885" spans="1:3" ht="18" customHeight="1" x14ac:dyDescent="0.3">
      <c r="A7885" s="1">
        <v>3</v>
      </c>
      <c r="B7885" s="1" t="s">
        <v>6440</v>
      </c>
      <c r="C7885" s="1" t="str">
        <f ca="1">IFERROR(__xludf.DUMMYFUNCTION("GOOGLETRANSLATE(B7996,""en"",""ja"")"),"バグ")</f>
        <v>バグ</v>
      </c>
    </row>
    <row r="7886" spans="1:3" ht="18" customHeight="1" x14ac:dyDescent="0.3">
      <c r="A7886" s="1">
        <v>3</v>
      </c>
      <c r="B7886" s="1" t="s">
        <v>6441</v>
      </c>
      <c r="C7886" s="1" t="str">
        <f ca="1">IFERROR(__xludf.DUMMYFUNCTION("GOOGLETRANSLATE(B7997,""en"",""ja"")"),"バッファ")</f>
        <v>バッファ</v>
      </c>
    </row>
    <row r="7887" spans="1:3" ht="18" customHeight="1" x14ac:dyDescent="0.3">
      <c r="A7887" s="1">
        <v>3</v>
      </c>
      <c r="B7887" s="1" t="s">
        <v>6442</v>
      </c>
      <c r="C7887" s="1" t="str">
        <f ca="1">IFERROR(__xludf.DUMMYFUNCTION("GOOGLETRANSLATE(B7998,""en"",""ja"")"),"仏教徒")</f>
        <v>仏教徒</v>
      </c>
    </row>
    <row r="7888" spans="1:3" ht="18" customHeight="1" x14ac:dyDescent="0.3">
      <c r="A7888" s="1">
        <v>3</v>
      </c>
      <c r="B7888" s="1" t="s">
        <v>2464</v>
      </c>
      <c r="C7888" s="1" t="str">
        <f ca="1">IFERROR(__xludf.DUMMYFUNCTION("GOOGLETRANSLATE(B7999,""en"",""ja"")"),"BTO")</f>
        <v>BTO</v>
      </c>
    </row>
    <row r="7889" spans="1:3" ht="18" customHeight="1" x14ac:dyDescent="0.3">
      <c r="A7889" s="1">
        <v>3</v>
      </c>
      <c r="B7889" s="1" t="s">
        <v>5085</v>
      </c>
      <c r="C7889" s="1" t="str">
        <f ca="1">IFERROR(__xludf.DUMMYFUNCTION("GOOGLETRANSLATE(B8000,""en"",""ja"")"),"brynjolfsson")</f>
        <v>brynjolfsson</v>
      </c>
    </row>
    <row r="7890" spans="1:3" ht="18" customHeight="1" x14ac:dyDescent="0.3">
      <c r="A7890" s="1">
        <v>3</v>
      </c>
      <c r="B7890" s="1" t="s">
        <v>6443</v>
      </c>
      <c r="C7890" s="1" t="str">
        <f ca="1">IFERROR(__xludf.DUMMYFUNCTION("GOOGLETRANSLATE(B8001,""en"",""ja"")"),"残酷な")</f>
        <v>残酷な</v>
      </c>
    </row>
    <row r="7891" spans="1:3" ht="18" customHeight="1" x14ac:dyDescent="0.3">
      <c r="A7891" s="1">
        <v>3</v>
      </c>
      <c r="B7891" s="1" t="s">
        <v>6444</v>
      </c>
      <c r="C7891" s="1" t="str">
        <f ca="1">IFERROR(__xludf.DUMMYFUNCTION("GOOGLETRANSLATE(B8002,""en"",""ja"")"),"みがきます")</f>
        <v>みがきます</v>
      </c>
    </row>
    <row r="7892" spans="1:3" ht="18" customHeight="1" x14ac:dyDescent="0.3">
      <c r="A7892" s="1">
        <v>3</v>
      </c>
      <c r="B7892" s="1" t="s">
        <v>6445</v>
      </c>
      <c r="C7892" s="1" t="str">
        <f ca="1">IFERROR(__xludf.DUMMYFUNCTION("GOOGLETRANSLATE(B8003,""en"",""ja"")"),"あざ")</f>
        <v>あざ</v>
      </c>
    </row>
    <row r="7893" spans="1:3" ht="18" customHeight="1" x14ac:dyDescent="0.3">
      <c r="A7893" s="1">
        <v>3</v>
      </c>
      <c r="B7893" s="1" t="s">
        <v>6446</v>
      </c>
      <c r="C7893" s="1" t="str">
        <f ca="1">IFERROR(__xludf.DUMMYFUNCTION("GOOGLETRANSLATE(B8004,""en"",""ja"")"),"ブラウザ")</f>
        <v>ブラウザ</v>
      </c>
    </row>
    <row r="7894" spans="1:3" ht="18" customHeight="1" x14ac:dyDescent="0.3">
      <c r="A7894" s="1">
        <v>3</v>
      </c>
      <c r="B7894" s="1" t="s">
        <v>6447</v>
      </c>
      <c r="C7894" s="1" t="str">
        <f ca="1">IFERROR(__xludf.DUMMYFUNCTION("GOOGLETRANSLATE(B8005,""en"",""ja"")"),"ブルックス")</f>
        <v>ブルックス</v>
      </c>
    </row>
    <row r="7895" spans="1:3" ht="18" customHeight="1" x14ac:dyDescent="0.3">
      <c r="A7895" s="1">
        <v>3</v>
      </c>
      <c r="B7895" s="1" t="s">
        <v>6448</v>
      </c>
      <c r="C7895" s="1" t="str">
        <f ca="1">IFERROR(__xludf.DUMMYFUNCTION("GOOGLETRANSLATE(B8006,""en"",""ja"")"),"もたらします")</f>
        <v>もたらします</v>
      </c>
    </row>
    <row r="7896" spans="1:3" ht="18" customHeight="1" x14ac:dyDescent="0.3">
      <c r="A7896" s="1">
        <v>3</v>
      </c>
      <c r="B7896" s="1" t="s">
        <v>6449</v>
      </c>
      <c r="C7896" s="1" t="str">
        <f ca="1">IFERROR(__xludf.DUMMYFUNCTION("GOOGLETRANSLATE(B8007,""en"",""ja"")"),"持参")</f>
        <v>持参</v>
      </c>
    </row>
    <row r="7897" spans="1:3" ht="18" customHeight="1" x14ac:dyDescent="0.3">
      <c r="A7897" s="1">
        <v>3</v>
      </c>
      <c r="B7897" s="1" t="s">
        <v>6450</v>
      </c>
      <c r="C7897" s="1" t="str">
        <f ca="1">IFERROR(__xludf.DUMMYFUNCTION("GOOGLETRANSLATE(B8008,""en"",""ja"")"),"煉瓦")</f>
        <v>煉瓦</v>
      </c>
    </row>
    <row r="7898" spans="1:3" ht="18" customHeight="1" x14ac:dyDescent="0.3">
      <c r="A7898" s="1">
        <v>3</v>
      </c>
      <c r="B7898" s="1" t="s">
        <v>6451</v>
      </c>
      <c r="C7898" s="1" t="str">
        <f ca="1">IFERROR(__xludf.DUMMYFUNCTION("GOOGLETRANSLATE(B8009,""en"",""ja"")"),"息をします")</f>
        <v>息をします</v>
      </c>
    </row>
    <row r="7899" spans="1:3" ht="18" customHeight="1" x14ac:dyDescent="0.3">
      <c r="A7899" s="1">
        <v>3</v>
      </c>
      <c r="B7899" s="1" t="s">
        <v>6452</v>
      </c>
      <c r="C7899" s="1" t="str">
        <f ca="1">IFERROR(__xludf.DUMMYFUNCTION("GOOGLETRANSLATE(B8010,""en"",""ja"")"),"呼吸")</f>
        <v>呼吸</v>
      </c>
    </row>
    <row r="7900" spans="1:3" ht="18" customHeight="1" x14ac:dyDescent="0.3">
      <c r="A7900" s="1">
        <v>3</v>
      </c>
      <c r="B7900" s="1" t="s">
        <v>3128</v>
      </c>
      <c r="C7900" s="1" t="str">
        <f ca="1">IFERROR(__xludf.DUMMYFUNCTION("GOOGLETRANSLATE(B8011,""en"",""ja"")"),"突破口")</f>
        <v>突破口</v>
      </c>
    </row>
    <row r="7901" spans="1:3" ht="18" customHeight="1" x14ac:dyDescent="0.3">
      <c r="A7901" s="1">
        <v>3</v>
      </c>
      <c r="B7901" s="1" t="s">
        <v>6453</v>
      </c>
      <c r="C7901" s="1" t="str">
        <f ca="1">IFERROR(__xludf.DUMMYFUNCTION("GOOGLETRANSLATE(B8012,""en"",""ja"")"),"休憩")</f>
        <v>休憩</v>
      </c>
    </row>
    <row r="7902" spans="1:3" ht="18" customHeight="1" x14ac:dyDescent="0.3">
      <c r="A7902" s="1">
        <v>3</v>
      </c>
      <c r="B7902" s="1" t="s">
        <v>6454</v>
      </c>
      <c r="C7902" s="1" t="str">
        <f ca="1">IFERROR(__xludf.DUMMYFUNCTION("GOOGLETRANSLATE(B8013,""en"",""ja"")"),"速報")</f>
        <v>速報</v>
      </c>
    </row>
    <row r="7903" spans="1:3" ht="18" customHeight="1" x14ac:dyDescent="0.3">
      <c r="A7903" s="1">
        <v>3</v>
      </c>
      <c r="B7903" s="1" t="s">
        <v>6455</v>
      </c>
      <c r="C7903" s="1" t="str">
        <f ca="1">IFERROR(__xludf.DUMMYFUNCTION("GOOGLETRANSLATE(B8014,""en"",""ja"")"),"故障")</f>
        <v>故障</v>
      </c>
    </row>
    <row r="7904" spans="1:3" ht="18" customHeight="1" x14ac:dyDescent="0.3">
      <c r="A7904" s="1">
        <v>3</v>
      </c>
      <c r="B7904" s="1" t="s">
        <v>6456</v>
      </c>
      <c r="C7904" s="1" t="str">
        <f ca="1">IFERROR(__xludf.DUMMYFUNCTION("GOOGLETRANSLATE(B8015,""en"",""ja"")"),"お辞儀")</f>
        <v>お辞儀</v>
      </c>
    </row>
    <row r="7905" spans="1:3" ht="18" customHeight="1" x14ac:dyDescent="0.3">
      <c r="A7905" s="1">
        <v>3</v>
      </c>
      <c r="B7905" s="1" t="s">
        <v>4178</v>
      </c>
      <c r="C7905" s="1" t="str">
        <f ca="1">IFERROR(__xludf.DUMMYFUNCTION("GOOGLETRANSLATE(B8016,""en"",""ja"")"),"境界")</f>
        <v>境界</v>
      </c>
    </row>
    <row r="7906" spans="1:3" ht="18" customHeight="1" x14ac:dyDescent="0.3">
      <c r="A7906" s="1">
        <v>3</v>
      </c>
      <c r="B7906" s="1" t="s">
        <v>6457</v>
      </c>
      <c r="C7906" s="1" t="str">
        <f ca="1">IFERROR(__xludf.DUMMYFUNCTION("GOOGLETRANSLATE(B8017,""en"",""ja"")"),"跳ねる、弾む")</f>
        <v>跳ねる、弾む</v>
      </c>
    </row>
    <row r="7907" spans="1:3" ht="18" customHeight="1" x14ac:dyDescent="0.3">
      <c r="A7907" s="1">
        <v>3</v>
      </c>
      <c r="B7907" s="1" t="s">
        <v>4179</v>
      </c>
      <c r="C7907" s="1" t="str">
        <f ca="1">IFERROR(__xludf.DUMMYFUNCTION("GOOGLETRANSLATE(B8018,""en"",""ja"")"),"ボトム")</f>
        <v>ボトム</v>
      </c>
    </row>
    <row r="7908" spans="1:3" ht="18" customHeight="1" x14ac:dyDescent="0.3">
      <c r="A7908" s="1">
        <v>3</v>
      </c>
      <c r="B7908" s="1" t="s">
        <v>6458</v>
      </c>
      <c r="C7908" s="1" t="str">
        <f ca="1">IFERROR(__xludf.DUMMYFUNCTION("GOOGLETRANSLATE(B8019,""en"",""ja"")"),"ボーダー")</f>
        <v>ボーダー</v>
      </c>
    </row>
    <row r="7909" spans="1:3" ht="18" customHeight="1" x14ac:dyDescent="0.3">
      <c r="A7909" s="1">
        <v>3</v>
      </c>
      <c r="B7909" s="1" t="s">
        <v>6459</v>
      </c>
      <c r="C7909" s="1" t="str">
        <f ca="1">IFERROR(__xludf.DUMMYFUNCTION("GOOGLETRANSLATE(B8020,""en"",""ja"")"),"ブースト")</f>
        <v>ブースト</v>
      </c>
    </row>
    <row r="7910" spans="1:3" ht="18" customHeight="1" x14ac:dyDescent="0.3">
      <c r="A7910" s="1">
        <v>3</v>
      </c>
      <c r="B7910" s="1" t="s">
        <v>6460</v>
      </c>
      <c r="C7910" s="1" t="str">
        <f ca="1">IFERROR(__xludf.DUMMYFUNCTION("GOOGLETRANSLATE(B8021,""en"",""ja"")"),"boomtowns")</f>
        <v>boomtowns</v>
      </c>
    </row>
    <row r="7911" spans="1:3" ht="18" customHeight="1" x14ac:dyDescent="0.3">
      <c r="A7911" s="1">
        <v>3</v>
      </c>
      <c r="B7911" s="1" t="s">
        <v>6461</v>
      </c>
      <c r="C7911" s="1" t="str">
        <f ca="1">IFERROR(__xludf.DUMMYFUNCTION("GOOGLETRANSLATE(B8022,""en"",""ja"")"),"ブーマー")</f>
        <v>ブーマー</v>
      </c>
    </row>
    <row r="7912" spans="1:3" ht="18" customHeight="1" x14ac:dyDescent="0.3">
      <c r="A7912" s="1">
        <v>3</v>
      </c>
      <c r="B7912" s="1" t="s">
        <v>6462</v>
      </c>
      <c r="C7912" s="1" t="str">
        <f ca="1">IFERROR(__xludf.DUMMYFUNCTION("GOOGLETRANSLATE(B8023,""en"",""ja"")"),"絆")</f>
        <v>絆</v>
      </c>
    </row>
    <row r="7913" spans="1:3" ht="18" customHeight="1" x14ac:dyDescent="0.3">
      <c r="A7913" s="1">
        <v>3</v>
      </c>
      <c r="B7913" s="1" t="s">
        <v>6463</v>
      </c>
      <c r="C7913" s="1" t="str">
        <f ca="1">IFERROR(__xludf.DUMMYFUNCTION("GOOGLETRANSLATE(B8024,""en"",""ja"")"),"爆弾")</f>
        <v>爆弾</v>
      </c>
    </row>
    <row r="7914" spans="1:3" ht="18" customHeight="1" x14ac:dyDescent="0.3">
      <c r="A7914" s="1">
        <v>3</v>
      </c>
      <c r="B7914" s="1" t="s">
        <v>6464</v>
      </c>
      <c r="C7914" s="1" t="str">
        <f ca="1">IFERROR(__xludf.DUMMYFUNCTION("GOOGLETRANSLATE(B8025,""en"",""ja"")"),"ボルスター")</f>
        <v>ボルスター</v>
      </c>
    </row>
    <row r="7915" spans="1:3" ht="18" customHeight="1" x14ac:dyDescent="0.3">
      <c r="A7915" s="1">
        <v>3</v>
      </c>
      <c r="B7915" s="1" t="s">
        <v>6465</v>
      </c>
      <c r="C7915" s="1" t="str">
        <f ca="1">IFERROR(__xludf.DUMMYFUNCTION("GOOGLETRANSLATE(B8026,""en"",""ja"")"),"身体の")</f>
        <v>身体の</v>
      </c>
    </row>
    <row r="7916" spans="1:3" ht="18" customHeight="1" x14ac:dyDescent="0.3">
      <c r="A7916" s="1">
        <v>3</v>
      </c>
      <c r="B7916" s="1" t="s">
        <v>6466</v>
      </c>
      <c r="C7916" s="1" t="str">
        <f ca="1">IFERROR(__xludf.DUMMYFUNCTION("GOOGLETRANSLATE(B8027,""en"",""ja"")"),"ボード")</f>
        <v>ボード</v>
      </c>
    </row>
    <row r="7917" spans="1:3" ht="18" customHeight="1" x14ac:dyDescent="0.3">
      <c r="A7917" s="1">
        <v>3</v>
      </c>
      <c r="B7917" s="1" t="s">
        <v>5095</v>
      </c>
      <c r="C7917" s="1" t="str">
        <f ca="1">IFERROR(__xludf.DUMMYFUNCTION("GOOGLETRANSLATE(B8028,""en"",""ja"")"),"血液")</f>
        <v>血液</v>
      </c>
    </row>
    <row r="7918" spans="1:3" ht="18" customHeight="1" x14ac:dyDescent="0.3">
      <c r="A7918" s="1">
        <v>3</v>
      </c>
      <c r="B7918" s="1" t="s">
        <v>6467</v>
      </c>
      <c r="C7918" s="1" t="str">
        <f ca="1">IFERROR(__xludf.DUMMYFUNCTION("GOOGLETRANSLATE(B8029,""en"",""ja"")"),"ブロッキング")</f>
        <v>ブロッキング</v>
      </c>
    </row>
    <row r="7919" spans="1:3" ht="18" customHeight="1" x14ac:dyDescent="0.3">
      <c r="A7919" s="1">
        <v>3</v>
      </c>
      <c r="B7919" s="1" t="s">
        <v>6468</v>
      </c>
      <c r="C7919" s="1" t="str">
        <f ca="1">IFERROR(__xludf.DUMMYFUNCTION("GOOGLETRANSLATE(B8030,""en"",""ja"")"),"キズつきます")</f>
        <v>キズつきます</v>
      </c>
    </row>
    <row r="7920" spans="1:3" ht="18" customHeight="1" x14ac:dyDescent="0.3">
      <c r="A7920" s="1">
        <v>3</v>
      </c>
      <c r="B7920" s="1" t="s">
        <v>6469</v>
      </c>
      <c r="C7920" s="1" t="str">
        <f ca="1">IFERROR(__xludf.DUMMYFUNCTION("GOOGLETRANSLATE(B8031,""en"",""ja"")"),"ブランク")</f>
        <v>ブランク</v>
      </c>
    </row>
    <row r="7921" spans="1:3" ht="18" customHeight="1" x14ac:dyDescent="0.3">
      <c r="A7921" s="1">
        <v>3</v>
      </c>
      <c r="B7921" s="1" t="s">
        <v>6470</v>
      </c>
      <c r="C7921" s="1" t="str">
        <f ca="1">IFERROR(__xludf.DUMMYFUNCTION("GOOGLETRANSLATE(B8032,""en"",""ja"")"),"非難")</f>
        <v>非難</v>
      </c>
    </row>
    <row r="7922" spans="1:3" ht="18" customHeight="1" x14ac:dyDescent="0.3">
      <c r="A7922" s="1">
        <v>3</v>
      </c>
      <c r="B7922" s="1" t="s">
        <v>920</v>
      </c>
      <c r="C7922" s="1" t="str">
        <f ca="1">IFERROR(__xludf.DUMMYFUNCTION("GOOGLETRANSLATE(B8033,""en"",""ja"")"),"誕生")</f>
        <v>誕生</v>
      </c>
    </row>
    <row r="7923" spans="1:3" ht="18" customHeight="1" x14ac:dyDescent="0.3">
      <c r="A7923" s="1">
        <v>3</v>
      </c>
      <c r="B7923" s="1" t="s">
        <v>6471</v>
      </c>
      <c r="C7923" s="1" t="str">
        <f ca="1">IFERROR(__xludf.DUMMYFUNCTION("GOOGLETRANSLATE(B8034,""en"",""ja"")"),"バイオ")</f>
        <v>バイオ</v>
      </c>
    </row>
    <row r="7924" spans="1:3" ht="18" customHeight="1" x14ac:dyDescent="0.3">
      <c r="A7924" s="1">
        <v>3</v>
      </c>
      <c r="B7924" s="1" t="s">
        <v>6472</v>
      </c>
      <c r="C7924" s="1" t="str">
        <f ca="1">IFERROR(__xludf.DUMMYFUNCTION("GOOGLETRANSLATE(B8035,""en"",""ja"")"),"バインド")</f>
        <v>バインド</v>
      </c>
    </row>
    <row r="7925" spans="1:3" ht="18" customHeight="1" x14ac:dyDescent="0.3">
      <c r="A7925" s="1">
        <v>3</v>
      </c>
      <c r="B7925" s="1" t="s">
        <v>4186</v>
      </c>
      <c r="C7925" s="1" t="str">
        <f ca="1">IFERROR(__xludf.DUMMYFUNCTION("GOOGLETRANSLATE(B8036,""en"",""ja"")"),"練る")</f>
        <v>練る</v>
      </c>
    </row>
    <row r="7926" spans="1:3" ht="18" customHeight="1" x14ac:dyDescent="0.3">
      <c r="A7926" s="1">
        <v>3</v>
      </c>
      <c r="B7926" s="1" t="s">
        <v>6473</v>
      </c>
      <c r="C7926" s="1" t="str">
        <f ca="1">IFERROR(__xludf.DUMMYFUNCTION("GOOGLETRANSLATE(B8037,""en"",""ja"")"),"BIDE")</f>
        <v>BIDE</v>
      </c>
    </row>
    <row r="7927" spans="1:3" ht="18" customHeight="1" x14ac:dyDescent="0.3">
      <c r="A7927" s="1">
        <v>3</v>
      </c>
      <c r="B7927" s="1" t="s">
        <v>6474</v>
      </c>
      <c r="C7927" s="1" t="str">
        <f ca="1">IFERROR(__xludf.DUMMYFUNCTION("GOOGLETRANSLATE(B8038,""en"",""ja"")"),"bidaai")</f>
        <v>bidaai</v>
      </c>
    </row>
    <row r="7928" spans="1:3" ht="18" customHeight="1" x14ac:dyDescent="0.3">
      <c r="A7928" s="1">
        <v>3</v>
      </c>
      <c r="B7928" s="1" t="s">
        <v>6475</v>
      </c>
      <c r="C7928" s="1" t="str">
        <f ca="1">IFERROR(__xludf.DUMMYFUNCTION("GOOGLETRANSLATE(B8039,""en"",""ja"")"),"入札")</f>
        <v>入札</v>
      </c>
    </row>
    <row r="7929" spans="1:3" ht="18" customHeight="1" x14ac:dyDescent="0.3">
      <c r="A7929" s="1">
        <v>3</v>
      </c>
      <c r="B7929" s="1" t="s">
        <v>6476</v>
      </c>
      <c r="C7929" s="1" t="str">
        <f ca="1">IFERROR(__xludf.DUMMYFUNCTION("GOOGLETRANSLATE(B8040,""en"",""ja"")"),"Bhattさん")</f>
        <v>Bhattさん</v>
      </c>
    </row>
    <row r="7930" spans="1:3" ht="18" customHeight="1" x14ac:dyDescent="0.3">
      <c r="A7930" s="1">
        <v>3</v>
      </c>
      <c r="B7930" s="1" t="s">
        <v>6477</v>
      </c>
      <c r="C7930" s="1" t="str">
        <f ca="1">IFERROR(__xludf.DUMMYFUNCTION("GOOGLETRANSLATE(B8041,""en"",""ja"")"),"良性の")</f>
        <v>良性の</v>
      </c>
    </row>
    <row r="7931" spans="1:3" ht="18" customHeight="1" x14ac:dyDescent="0.3">
      <c r="A7931" s="1">
        <v>3</v>
      </c>
      <c r="B7931" s="1" t="s">
        <v>4189</v>
      </c>
      <c r="C7931" s="1" t="str">
        <f ca="1">IFERROR(__xludf.DUMMYFUNCTION("GOOGLETRANSLATE(B8042,""en"",""ja"")"),"未満")</f>
        <v>未満</v>
      </c>
    </row>
    <row r="7932" spans="1:3" ht="18" customHeight="1" x14ac:dyDescent="0.3">
      <c r="A7932" s="1">
        <v>3</v>
      </c>
      <c r="B7932" s="1" t="s">
        <v>6478</v>
      </c>
      <c r="C7932" s="1" t="str">
        <f ca="1">IFERROR(__xludf.DUMMYFUNCTION("GOOGLETRANSLATE(B8043,""en"",""ja"")"),"腹")</f>
        <v>腹</v>
      </c>
    </row>
    <row r="7933" spans="1:3" ht="18" customHeight="1" x14ac:dyDescent="0.3">
      <c r="A7933" s="1">
        <v>3</v>
      </c>
      <c r="B7933" s="1" t="s">
        <v>6479</v>
      </c>
      <c r="C7933" s="1" t="str">
        <f ca="1">IFERROR(__xludf.DUMMYFUNCTION("GOOGLETRANSLATE(B8044,""en"",""ja"")"),"信じられません")</f>
        <v>信じられません</v>
      </c>
    </row>
    <row r="7934" spans="1:3" ht="18" customHeight="1" x14ac:dyDescent="0.3">
      <c r="A7934" s="1">
        <v>3</v>
      </c>
      <c r="B7934" s="1" t="s">
        <v>6480</v>
      </c>
      <c r="C7934" s="1" t="str">
        <f ca="1">IFERROR(__xludf.DUMMYFUNCTION("GOOGLETRANSLATE(B8045,""en"",""ja"")"),"振る舞います")</f>
        <v>振る舞います</v>
      </c>
    </row>
    <row r="7935" spans="1:3" ht="18" customHeight="1" x14ac:dyDescent="0.3">
      <c r="A7935" s="1">
        <v>3</v>
      </c>
      <c r="B7935" s="1" t="s">
        <v>6481</v>
      </c>
      <c r="C7935" s="1" t="str">
        <f ca="1">IFERROR(__xludf.DUMMYFUNCTION("GOOGLETRANSLATE(B8046,""en"",""ja"")"),"予め")</f>
        <v>予め</v>
      </c>
    </row>
    <row r="7936" spans="1:3" ht="18" customHeight="1" x14ac:dyDescent="0.3">
      <c r="A7936" s="1">
        <v>3</v>
      </c>
      <c r="B7936" s="1" t="s">
        <v>6482</v>
      </c>
      <c r="C7936" s="1" t="str">
        <f ca="1">IFERROR(__xludf.DUMMYFUNCTION("GOOGLETRANSLATE(B8047,""en"",""ja"")"),"獣")</f>
        <v>獣</v>
      </c>
    </row>
    <row r="7937" spans="1:3" ht="18" customHeight="1" x14ac:dyDescent="0.3">
      <c r="A7937" s="1">
        <v>3</v>
      </c>
      <c r="B7937" s="1" t="s">
        <v>6483</v>
      </c>
      <c r="C7937" s="1" t="str">
        <f ca="1">IFERROR(__xludf.DUMMYFUNCTION("GOOGLETRANSLATE(B8048,""en"",""ja"")"),"ベアラ")</f>
        <v>ベアラ</v>
      </c>
    </row>
    <row r="7938" spans="1:3" ht="18" customHeight="1" x14ac:dyDescent="0.3">
      <c r="A7938" s="1">
        <v>3</v>
      </c>
      <c r="B7938" s="1" t="s">
        <v>6484</v>
      </c>
      <c r="C7938" s="1" t="str">
        <f ca="1">IFERROR(__xludf.DUMMYFUNCTION("GOOGLETRANSLATE(B8049,""en"",""ja"")"),"電池")</f>
        <v>電池</v>
      </c>
    </row>
    <row r="7939" spans="1:3" ht="18" customHeight="1" x14ac:dyDescent="0.3">
      <c r="A7939" s="1">
        <v>3</v>
      </c>
      <c r="B7939" s="1" t="s">
        <v>6485</v>
      </c>
      <c r="C7939" s="1" t="str">
        <f ca="1">IFERROR(__xludf.DUMMYFUNCTION("GOOGLETRANSLATE(B8050,""en"",""ja"")"),"バッテリー")</f>
        <v>バッテリー</v>
      </c>
    </row>
    <row r="7940" spans="1:3" ht="18" customHeight="1" x14ac:dyDescent="0.3">
      <c r="A7940" s="1">
        <v>3</v>
      </c>
      <c r="B7940" s="1" t="s">
        <v>1392</v>
      </c>
      <c r="C7940" s="1" t="str">
        <f ca="1">IFERROR(__xludf.DUMMYFUNCTION("GOOGLETRANSLATE(B8051,""en"",""ja"")"),"基本的な")</f>
        <v>基本的な</v>
      </c>
    </row>
    <row r="7941" spans="1:3" ht="18" customHeight="1" x14ac:dyDescent="0.3">
      <c r="A7941" s="1">
        <v>3</v>
      </c>
      <c r="B7941" s="1" t="s">
        <v>6486</v>
      </c>
      <c r="C7941" s="1" t="str">
        <f ca="1">IFERROR(__xludf.DUMMYFUNCTION("GOOGLETRANSLATE(B8052,""en"",""ja"")"),"地下")</f>
        <v>地下</v>
      </c>
    </row>
    <row r="7942" spans="1:3" ht="18" customHeight="1" x14ac:dyDescent="0.3">
      <c r="A7942" s="1">
        <v>3</v>
      </c>
      <c r="B7942" s="1" t="s">
        <v>6487</v>
      </c>
      <c r="C7942" s="1" t="str">
        <f ca="1">IFERROR(__xludf.DUMMYFUNCTION("GOOGLETRANSLATE(B8053,""en"",""ja"")"),"障壁")</f>
        <v>障壁</v>
      </c>
    </row>
    <row r="7943" spans="1:3" ht="18" customHeight="1" x14ac:dyDescent="0.3">
      <c r="A7943" s="1">
        <v>3</v>
      </c>
      <c r="B7943" s="1" t="s">
        <v>6488</v>
      </c>
      <c r="C7943" s="1" t="str">
        <f ca="1">IFERROR(__xludf.DUMMYFUNCTION("GOOGLETRANSLATE(B8054,""en"",""ja"")"),"蛮行")</f>
        <v>蛮行</v>
      </c>
    </row>
    <row r="7944" spans="1:3" ht="18" customHeight="1" x14ac:dyDescent="0.3">
      <c r="A7944" s="1">
        <v>3</v>
      </c>
      <c r="B7944" s="1" t="s">
        <v>6489</v>
      </c>
      <c r="C7944" s="1" t="str">
        <f ca="1">IFERROR(__xludf.DUMMYFUNCTION("GOOGLETRANSLATE(B8055,""en"",""ja"")"),"禁止された")</f>
        <v>禁止された</v>
      </c>
    </row>
    <row r="7945" spans="1:3" ht="18" customHeight="1" x14ac:dyDescent="0.3">
      <c r="A7945" s="1">
        <v>3</v>
      </c>
      <c r="B7945" s="1" t="s">
        <v>6490</v>
      </c>
      <c r="C7945" s="1" t="str">
        <f ca="1">IFERROR(__xludf.DUMMYFUNCTION("GOOGLETRANSLATE(B8056,""en"",""ja"")"),"銀行")</f>
        <v>銀行</v>
      </c>
    </row>
    <row r="7946" spans="1:3" ht="18" customHeight="1" x14ac:dyDescent="0.3">
      <c r="A7946" s="1">
        <v>3</v>
      </c>
      <c r="B7946" s="1" t="s">
        <v>6491</v>
      </c>
      <c r="C7946" s="1" t="str">
        <f ca="1">IFERROR(__xludf.DUMMYFUNCTION("GOOGLETRANSLATE(B8057,""en"",""ja"")"),"バンガロール")</f>
        <v>バンガロール</v>
      </c>
    </row>
    <row r="7947" spans="1:3" ht="18" customHeight="1" x14ac:dyDescent="0.3">
      <c r="A7947" s="1">
        <v>3</v>
      </c>
      <c r="B7947" s="1" t="s">
        <v>6492</v>
      </c>
      <c r="C7947" s="1" t="str">
        <f ca="1">IFERROR(__xludf.DUMMYFUNCTION("GOOGLETRANSLATE(B8058,""en"",""ja"")"),"強打")</f>
        <v>強打</v>
      </c>
    </row>
    <row r="7948" spans="1:3" ht="18" customHeight="1" x14ac:dyDescent="0.3">
      <c r="A7948" s="1">
        <v>3</v>
      </c>
      <c r="B7948" s="1" t="s">
        <v>6493</v>
      </c>
      <c r="C7948" s="1" t="str">
        <f ca="1">IFERROR(__xludf.DUMMYFUNCTION("GOOGLETRANSLATE(B8059,""en"",""ja"")"),"バンダ")</f>
        <v>バンダ</v>
      </c>
    </row>
    <row r="7949" spans="1:3" ht="18" customHeight="1" x14ac:dyDescent="0.3">
      <c r="A7949" s="1">
        <v>3</v>
      </c>
      <c r="B7949" s="1" t="s">
        <v>6494</v>
      </c>
      <c r="C7949" s="1" t="str">
        <f ca="1">IFERROR(__xludf.DUMMYFUNCTION("GOOGLETRANSLATE(B8060,""en"",""ja"")"),"balkiness")</f>
        <v>balkiness</v>
      </c>
    </row>
    <row r="7950" spans="1:3" ht="18" customHeight="1" x14ac:dyDescent="0.3">
      <c r="A7950" s="1">
        <v>3</v>
      </c>
      <c r="B7950" s="1" t="s">
        <v>6495</v>
      </c>
      <c r="C7950" s="1" t="str">
        <f ca="1">IFERROR(__xludf.DUMMYFUNCTION("GOOGLETRANSLATE(B8061,""en"",""ja"")"),"残高")</f>
        <v>残高</v>
      </c>
    </row>
    <row r="7951" spans="1:3" ht="18" customHeight="1" x14ac:dyDescent="0.3">
      <c r="A7951" s="1">
        <v>3</v>
      </c>
      <c r="B7951" s="1" t="s">
        <v>6496</v>
      </c>
      <c r="C7951" s="1" t="str">
        <f ca="1">IFERROR(__xludf.DUMMYFUNCTION("GOOGLETRANSLATE(B8062,""en"",""ja"")"),"バフチン")</f>
        <v>バフチン</v>
      </c>
    </row>
    <row r="7952" spans="1:3" ht="18" customHeight="1" x14ac:dyDescent="0.3">
      <c r="A7952" s="1">
        <v>3</v>
      </c>
      <c r="B7952" s="1" t="s">
        <v>6497</v>
      </c>
      <c r="C7952" s="1" t="str">
        <f ca="1">IFERROR(__xludf.DUMMYFUNCTION("GOOGLETRANSLATE(B8063,""en"",""ja"")"),"荷物")</f>
        <v>荷物</v>
      </c>
    </row>
    <row r="7953" spans="1:3" ht="18" customHeight="1" x14ac:dyDescent="0.3">
      <c r="A7953" s="1">
        <v>3</v>
      </c>
      <c r="B7953" s="1" t="s">
        <v>6498</v>
      </c>
      <c r="C7953" s="1" t="str">
        <f ca="1">IFERROR(__xludf.DUMMYFUNCTION("GOOGLETRANSLATE(B8064,""en"",""ja"")"),"ベビーシッター")</f>
        <v>ベビーシッター</v>
      </c>
    </row>
    <row r="7954" spans="1:3" ht="18" customHeight="1" x14ac:dyDescent="0.3">
      <c r="A7954" s="1">
        <v>3</v>
      </c>
      <c r="B7954" s="1" t="s">
        <v>6499</v>
      </c>
      <c r="C7954" s="1" t="str">
        <f ca="1">IFERROR(__xludf.DUMMYFUNCTION("GOOGLETRANSLATE(B8065,""en"",""ja"")"),"軸索")</f>
        <v>軸索</v>
      </c>
    </row>
    <row r="7955" spans="1:3" ht="18" customHeight="1" x14ac:dyDescent="0.3">
      <c r="A7955" s="1">
        <v>3</v>
      </c>
      <c r="B7955" s="1" t="s">
        <v>4195</v>
      </c>
      <c r="C7955" s="1" t="str">
        <f ca="1">IFERROR(__xludf.DUMMYFUNCTION("GOOGLETRANSLATE(B8066,""en"",""ja"")"),"ぎこちありません")</f>
        <v>ぎこちありません</v>
      </c>
    </row>
    <row r="7956" spans="1:3" ht="18" customHeight="1" x14ac:dyDescent="0.3">
      <c r="A7956" s="1">
        <v>3</v>
      </c>
      <c r="B7956" s="1" t="s">
        <v>6500</v>
      </c>
      <c r="C7956" s="1" t="str">
        <f ca="1">IFERROR(__xludf.DUMMYFUNCTION("GOOGLETRANSLATE(B8067,""en"",""ja"")"),"驚くばかり")</f>
        <v>驚くばかり</v>
      </c>
    </row>
    <row r="7957" spans="1:3" ht="18" customHeight="1" x14ac:dyDescent="0.3">
      <c r="A7957" s="1">
        <v>3</v>
      </c>
      <c r="B7957" s="1" t="s">
        <v>6501</v>
      </c>
      <c r="C7957" s="1" t="str">
        <f ca="1">IFERROR(__xludf.DUMMYFUNCTION("GOOGLETRANSLATE(B8068,""en"",""ja"")"),"回避")</f>
        <v>回避</v>
      </c>
    </row>
    <row r="7958" spans="1:3" ht="18" customHeight="1" x14ac:dyDescent="0.3">
      <c r="A7958" s="1">
        <v>3</v>
      </c>
      <c r="B7958" s="1" t="s">
        <v>6502</v>
      </c>
      <c r="C7958" s="1" t="str">
        <f ca="1">IFERROR(__xludf.DUMMYFUNCTION("GOOGLETRANSLATE(B8069,""en"",""ja"")"),"回避")</f>
        <v>回避</v>
      </c>
    </row>
    <row r="7959" spans="1:3" ht="18" customHeight="1" x14ac:dyDescent="0.3">
      <c r="A7959" s="1">
        <v>3</v>
      </c>
      <c r="B7959" s="1" t="s">
        <v>6503</v>
      </c>
      <c r="C7959" s="1" t="str">
        <f ca="1">IFERROR(__xludf.DUMMYFUNCTION("GOOGLETRANSLATE(B8070,""en"",""ja"")"),"秋")</f>
        <v>秋</v>
      </c>
    </row>
    <row r="7960" spans="1:3" ht="18" customHeight="1" x14ac:dyDescent="0.3">
      <c r="A7960" s="1">
        <v>3</v>
      </c>
      <c r="B7960" s="1" t="s">
        <v>6504</v>
      </c>
      <c r="C7960" s="1" t="str">
        <f ca="1">IFERROR(__xludf.DUMMYFUNCTION("GOOGLETRANSLATE(B8071,""en"",""ja"")"),"認可")</f>
        <v>認可</v>
      </c>
    </row>
    <row r="7961" spans="1:3" ht="18" customHeight="1" x14ac:dyDescent="0.3">
      <c r="A7961" s="1">
        <v>3</v>
      </c>
      <c r="B7961" s="1" t="s">
        <v>6505</v>
      </c>
      <c r="C7961" s="1" t="str">
        <f ca="1">IFERROR(__xludf.DUMMYFUNCTION("GOOGLETRANSLATE(B8072,""en"",""ja"")"),"オーサリング")</f>
        <v>オーサリング</v>
      </c>
    </row>
    <row r="7962" spans="1:3" ht="18" customHeight="1" x14ac:dyDescent="0.3">
      <c r="A7962" s="1">
        <v>3</v>
      </c>
      <c r="B7962" s="1" t="s">
        <v>5121</v>
      </c>
      <c r="C7962" s="1" t="str">
        <f ca="1">IFERROR(__xludf.DUMMYFUNCTION("GOOGLETRANSLATE(B8073,""en"",""ja"")"),"信憑性")</f>
        <v>信憑性</v>
      </c>
    </row>
    <row r="7963" spans="1:3" ht="18" customHeight="1" x14ac:dyDescent="0.3">
      <c r="A7963" s="1">
        <v>3</v>
      </c>
      <c r="B7963" s="1" t="s">
        <v>6506</v>
      </c>
      <c r="C7963" s="1" t="str">
        <f ca="1">IFERROR(__xludf.DUMMYFUNCTION("GOOGLETRANSLATE(B8074,""en"",""ja"")"),"引き付けます")</f>
        <v>引き付けます</v>
      </c>
    </row>
    <row r="7964" spans="1:3" ht="18" customHeight="1" x14ac:dyDescent="0.3">
      <c r="A7964" s="1">
        <v>3</v>
      </c>
      <c r="B7964" s="1" t="s">
        <v>6507</v>
      </c>
      <c r="C7964" s="1" t="str">
        <f ca="1">IFERROR(__xludf.DUMMYFUNCTION("GOOGLETRANSLATE(B8075,""en"",""ja"")"),"代理人")</f>
        <v>代理人</v>
      </c>
    </row>
    <row r="7965" spans="1:3" ht="18" customHeight="1" x14ac:dyDescent="0.3">
      <c r="A7965" s="1">
        <v>3</v>
      </c>
      <c r="B7965" s="1" t="s">
        <v>1713</v>
      </c>
      <c r="C7965" s="1" t="str">
        <f ca="1">IFERROR(__xludf.DUMMYFUNCTION("GOOGLETRANSLATE(B8076,""en"",""ja"")"),"姿勢")</f>
        <v>姿勢</v>
      </c>
    </row>
    <row r="7966" spans="1:3" ht="18" customHeight="1" x14ac:dyDescent="0.3">
      <c r="A7966" s="1">
        <v>3</v>
      </c>
      <c r="B7966" s="1" t="s">
        <v>6508</v>
      </c>
      <c r="C7966" s="1" t="str">
        <f ca="1">IFERROR(__xludf.DUMMYFUNCTION("GOOGLETRANSLATE(B8077,""en"",""ja"")"),"出席")</f>
        <v>出席</v>
      </c>
    </row>
    <row r="7967" spans="1:3" ht="18" customHeight="1" x14ac:dyDescent="0.3">
      <c r="A7967" s="1">
        <v>3</v>
      </c>
      <c r="B7967" s="1" t="s">
        <v>6509</v>
      </c>
      <c r="C7967" s="1" t="str">
        <f ca="1">IFERROR(__xludf.DUMMYFUNCTION("GOOGLETRANSLATE(B8078,""en"",""ja"")"),"到達")</f>
        <v>到達</v>
      </c>
    </row>
    <row r="7968" spans="1:3" ht="18" customHeight="1" x14ac:dyDescent="0.3">
      <c r="A7968" s="1">
        <v>3</v>
      </c>
      <c r="B7968" s="1" t="s">
        <v>6510</v>
      </c>
      <c r="C7968" s="1" t="str">
        <f ca="1">IFERROR(__xludf.DUMMYFUNCTION("GOOGLETRANSLATE(B8079,""en"",""ja"")"),"到達できます")</f>
        <v>到達できます</v>
      </c>
    </row>
    <row r="7969" spans="1:3" ht="18" customHeight="1" x14ac:dyDescent="0.3">
      <c r="A7969" s="1">
        <v>3</v>
      </c>
      <c r="B7969" s="1" t="s">
        <v>6511</v>
      </c>
      <c r="C7969" s="1" t="str">
        <f ca="1">IFERROR(__xludf.DUMMYFUNCTION("GOOGLETRANSLATE(B8080,""en"",""ja"")"),"攻撃")</f>
        <v>攻撃</v>
      </c>
    </row>
    <row r="7970" spans="1:3" ht="18" customHeight="1" x14ac:dyDescent="0.3">
      <c r="A7970" s="1">
        <v>3</v>
      </c>
      <c r="B7970" s="1" t="s">
        <v>6512</v>
      </c>
      <c r="C7970" s="1" t="str">
        <f ca="1">IFERROR(__xludf.DUMMYFUNCTION("GOOGLETRANSLATE(B8081,""en"",""ja"")"),"雰囲気")</f>
        <v>雰囲気</v>
      </c>
    </row>
    <row r="7971" spans="1:3" ht="18" customHeight="1" x14ac:dyDescent="0.3">
      <c r="A7971" s="1">
        <v>3</v>
      </c>
      <c r="B7971" s="1" t="s">
        <v>6513</v>
      </c>
      <c r="C7971" s="1" t="str">
        <f ca="1">IFERROR(__xludf.DUMMYFUNCTION("GOOGLETRANSLATE(B8082,""en"",""ja"")"),"アトモス")</f>
        <v>アトモス</v>
      </c>
    </row>
    <row r="7972" spans="1:3" ht="18" customHeight="1" x14ac:dyDescent="0.3">
      <c r="A7972" s="1">
        <v>3</v>
      </c>
      <c r="B7972" s="1" t="s">
        <v>5127</v>
      </c>
      <c r="C7972" s="1" t="str">
        <f ca="1">IFERROR(__xludf.DUMMYFUNCTION("GOOGLETRANSLATE(B8083,""en"",""ja"")"),"大西洋の")</f>
        <v>大西洋の</v>
      </c>
    </row>
    <row r="7973" spans="1:3" ht="18" customHeight="1" x14ac:dyDescent="0.3">
      <c r="A7973" s="1">
        <v>3</v>
      </c>
      <c r="B7973" s="1" t="s">
        <v>6514</v>
      </c>
      <c r="C7973" s="1" t="str">
        <f ca="1">IFERROR(__xludf.DUMMYFUNCTION("GOOGLETRANSLATE(B8084,""en"",""ja"")"),"atiq")</f>
        <v>atiq</v>
      </c>
    </row>
    <row r="7974" spans="1:3" ht="18" customHeight="1" x14ac:dyDescent="0.3">
      <c r="A7974" s="1">
        <v>3</v>
      </c>
      <c r="B7974" s="1" t="s">
        <v>6515</v>
      </c>
      <c r="C7974" s="1" t="str">
        <f ca="1">IFERROR(__xludf.DUMMYFUNCTION("GOOGLETRANSLATE(B8085,""en"",""ja"")"),"食べました")</f>
        <v>食べました</v>
      </c>
    </row>
    <row r="7975" spans="1:3" ht="18" customHeight="1" x14ac:dyDescent="0.3">
      <c r="A7975" s="1">
        <v>3</v>
      </c>
      <c r="B7975" s="1" t="s">
        <v>6516</v>
      </c>
      <c r="C7975" s="1" t="str">
        <f ca="1">IFERROR(__xludf.DUMMYFUNCTION("GOOGLETRANSLATE(B8086,""en"",""ja"")"),"天体物理学")</f>
        <v>天体物理学</v>
      </c>
    </row>
    <row r="7976" spans="1:3" ht="18" customHeight="1" x14ac:dyDescent="0.3">
      <c r="A7976" s="1">
        <v>3</v>
      </c>
      <c r="B7976" s="1" t="s">
        <v>6517</v>
      </c>
      <c r="C7976" s="1" t="str">
        <f ca="1">IFERROR(__xludf.DUMMYFUNCTION("GOOGLETRANSLATE(B8087,""en"",""ja"")"),"天文学")</f>
        <v>天文学</v>
      </c>
    </row>
    <row r="7977" spans="1:3" ht="18" customHeight="1" x14ac:dyDescent="0.3">
      <c r="A7977" s="1">
        <v>3</v>
      </c>
      <c r="B7977" s="1" t="s">
        <v>6518</v>
      </c>
      <c r="C7977" s="1" t="str">
        <f ca="1">IFERROR(__xludf.DUMMYFUNCTION("GOOGLETRANSLATE(B8088,""en"",""ja"")"),"またがって")</f>
        <v>またがって</v>
      </c>
    </row>
    <row r="7978" spans="1:3" ht="18" customHeight="1" x14ac:dyDescent="0.3">
      <c r="A7978" s="1">
        <v>3</v>
      </c>
      <c r="B7978" s="1" t="s">
        <v>6519</v>
      </c>
      <c r="C7978" s="1" t="str">
        <f ca="1">IFERROR(__xludf.DUMMYFUNCTION("GOOGLETRANSLATE(B8089,""en"",""ja"")"),"驚くべき")</f>
        <v>驚くべき</v>
      </c>
    </row>
    <row r="7979" spans="1:3" ht="18" customHeight="1" x14ac:dyDescent="0.3">
      <c r="A7979" s="1">
        <v>3</v>
      </c>
      <c r="B7979" s="1" t="s">
        <v>6520</v>
      </c>
      <c r="C7979" s="1" t="str">
        <f ca="1">IFERROR(__xludf.DUMMYFUNCTION("GOOGLETRANSLATE(B8090,""en"",""ja"")"),"保証")</f>
        <v>保証</v>
      </c>
    </row>
    <row r="7980" spans="1:3" ht="18" customHeight="1" x14ac:dyDescent="0.3">
      <c r="A7980" s="1">
        <v>3</v>
      </c>
      <c r="B7980" s="1" t="s">
        <v>810</v>
      </c>
      <c r="C7980" s="1" t="str">
        <f ca="1">IFERROR(__xludf.DUMMYFUNCTION("GOOGLETRANSLATE(B8091,""en"",""ja"")"),"仮定")</f>
        <v>仮定</v>
      </c>
    </row>
    <row r="7981" spans="1:3" ht="18" customHeight="1" x14ac:dyDescent="0.3">
      <c r="A7981" s="1">
        <v>3</v>
      </c>
      <c r="B7981" s="1" t="s">
        <v>6521</v>
      </c>
      <c r="C7981" s="1" t="str">
        <f ca="1">IFERROR(__xludf.DUMMYFUNCTION("GOOGLETRANSLATE(B8092,""en"",""ja"")"),"アシスタント")</f>
        <v>アシスタント</v>
      </c>
    </row>
    <row r="7982" spans="1:3" ht="18" customHeight="1" x14ac:dyDescent="0.3">
      <c r="A7982" s="1">
        <v>3</v>
      </c>
      <c r="B7982" s="1" t="s">
        <v>6522</v>
      </c>
      <c r="C7982" s="1" t="str">
        <f ca="1">IFERROR(__xludf.DUMMYFUNCTION("GOOGLETRANSLATE(B8093,""en"",""ja"")"),"断定")</f>
        <v>断定</v>
      </c>
    </row>
    <row r="7983" spans="1:3" ht="18" customHeight="1" x14ac:dyDescent="0.3">
      <c r="A7983" s="1">
        <v>3</v>
      </c>
      <c r="B7983" s="1" t="s">
        <v>6523</v>
      </c>
      <c r="C7983" s="1" t="str">
        <f ca="1">IFERROR(__xludf.DUMMYFUNCTION("GOOGLETRANSLATE(B8094,""en"",""ja"")"),"暴行")</f>
        <v>暴行</v>
      </c>
    </row>
    <row r="7984" spans="1:3" ht="18" customHeight="1" x14ac:dyDescent="0.3">
      <c r="A7984" s="1">
        <v>3</v>
      </c>
      <c r="B7984" s="1" t="s">
        <v>6524</v>
      </c>
      <c r="C7984" s="1" t="str">
        <f ca="1">IFERROR(__xludf.DUMMYFUNCTION("GOOGLETRANSLATE(B8095,""en"",""ja"")"),"願望")</f>
        <v>願望</v>
      </c>
    </row>
    <row r="7985" spans="1:3" ht="18" customHeight="1" x14ac:dyDescent="0.3">
      <c r="A7985" s="1">
        <v>3</v>
      </c>
      <c r="B7985" s="1" t="s">
        <v>3141</v>
      </c>
      <c r="C7985" s="1" t="str">
        <f ca="1">IFERROR(__xludf.DUMMYFUNCTION("GOOGLETRANSLATE(B8096,""en"",""ja"")"),"せいにします")</f>
        <v>せいにします</v>
      </c>
    </row>
    <row r="7986" spans="1:3" ht="18" customHeight="1" x14ac:dyDescent="0.3">
      <c r="A7986" s="1">
        <v>3</v>
      </c>
      <c r="B7986" s="1" t="s">
        <v>6525</v>
      </c>
      <c r="C7986" s="1" t="str">
        <f ca="1">IFERROR(__xludf.DUMMYFUNCTION("GOOGLETRANSLATE(B8097,""en"",""ja"")"),"芸術作品")</f>
        <v>芸術作品</v>
      </c>
    </row>
    <row r="7987" spans="1:3" ht="18" customHeight="1" x14ac:dyDescent="0.3">
      <c r="A7987" s="1">
        <v>3</v>
      </c>
      <c r="B7987" s="1" t="s">
        <v>6526</v>
      </c>
      <c r="C7987" s="1" t="str">
        <f ca="1">IFERROR(__xludf.DUMMYFUNCTION("GOOGLETRANSLATE(B8098,""en"",""ja"")"),"人工的")</f>
        <v>人工的</v>
      </c>
    </row>
    <row r="7988" spans="1:3" ht="18" customHeight="1" x14ac:dyDescent="0.3">
      <c r="A7988" s="1">
        <v>3</v>
      </c>
      <c r="B7988" s="1" t="s">
        <v>6527</v>
      </c>
      <c r="C7988" s="1" t="str">
        <f ca="1">IFERROR(__xludf.DUMMYFUNCTION("GOOGLETRANSLATE(B8099,""en"",""ja"")"),"人工的な")</f>
        <v>人工的な</v>
      </c>
    </row>
    <row r="7989" spans="1:3" ht="18" customHeight="1" x14ac:dyDescent="0.3">
      <c r="A7989" s="1">
        <v>3</v>
      </c>
      <c r="B7989" s="1" t="s">
        <v>6528</v>
      </c>
      <c r="C7989" s="1" t="str">
        <f ca="1">IFERROR(__xludf.DUMMYFUNCTION("GOOGLETRANSLATE(B8100,""en"",""ja"")"),"用品")</f>
        <v>用品</v>
      </c>
    </row>
    <row r="7990" spans="1:3" ht="18" customHeight="1" x14ac:dyDescent="0.3">
      <c r="A7990" s="1">
        <v>3</v>
      </c>
      <c r="B7990" s="1" t="s">
        <v>6529</v>
      </c>
      <c r="C7990" s="1" t="str">
        <f ca="1">IFERROR(__xludf.DUMMYFUNCTION("GOOGLETRANSLATE(B8101,""en"",""ja"")"),"傲慢")</f>
        <v>傲慢</v>
      </c>
    </row>
    <row r="7991" spans="1:3" ht="18" customHeight="1" x14ac:dyDescent="0.3">
      <c r="A7991" s="1">
        <v>3</v>
      </c>
      <c r="B7991" s="1" t="s">
        <v>6530</v>
      </c>
      <c r="C7991" s="1" t="str">
        <f ca="1">IFERROR(__xludf.DUMMYFUNCTION("GOOGLETRANSLATE(B8102,""en"",""ja"")"),"到着")</f>
        <v>到着</v>
      </c>
    </row>
    <row r="7992" spans="1:3" ht="18" customHeight="1" x14ac:dyDescent="0.3">
      <c r="A7992" s="1">
        <v>3</v>
      </c>
      <c r="B7992" s="1" t="s">
        <v>6531</v>
      </c>
      <c r="C7992" s="1" t="str">
        <f ca="1">IFERROR(__xludf.DUMMYFUNCTION("GOOGLETRANSLATE(B8103,""en"",""ja"")"),"軍")</f>
        <v>軍</v>
      </c>
    </row>
    <row r="7993" spans="1:3" ht="18" customHeight="1" x14ac:dyDescent="0.3">
      <c r="A7993" s="1">
        <v>3</v>
      </c>
      <c r="B7993" s="1" t="s">
        <v>3737</v>
      </c>
      <c r="C7993" s="1" t="str">
        <f ca="1">IFERROR(__xludf.DUMMYFUNCTION("GOOGLETRANSLATE(B8104,""en"",""ja"")"),"貴族の")</f>
        <v>貴族の</v>
      </c>
    </row>
    <row r="7994" spans="1:3" ht="18" customHeight="1" x14ac:dyDescent="0.3">
      <c r="A7994" s="1">
        <v>3</v>
      </c>
      <c r="B7994" s="1" t="s">
        <v>6532</v>
      </c>
      <c r="C7994" s="1" t="str">
        <f ca="1">IFERROR(__xludf.DUMMYFUNCTION("GOOGLETRANSLATE(B8105,""en"",""ja"")"),"乾燥")</f>
        <v>乾燥</v>
      </c>
    </row>
    <row r="7995" spans="1:3" ht="18" customHeight="1" x14ac:dyDescent="0.3">
      <c r="A7995" s="1">
        <v>3</v>
      </c>
      <c r="B7995" s="1" t="s">
        <v>6533</v>
      </c>
      <c r="C7995" s="1" t="str">
        <f ca="1">IFERROR(__xludf.DUMMYFUNCTION("GOOGLETRANSLATE(B8106,""en"",""ja"")"),"引数")</f>
        <v>引数</v>
      </c>
    </row>
    <row r="7996" spans="1:3" ht="18" customHeight="1" x14ac:dyDescent="0.3">
      <c r="A7996" s="1">
        <v>3</v>
      </c>
      <c r="B7996" s="1" t="s">
        <v>6534</v>
      </c>
      <c r="C7996" s="1" t="str">
        <f ca="1">IFERROR(__xludf.DUMMYFUNCTION("GOOGLETRANSLATE(B8107,""en"",""ja"")"),"侃々諤々")</f>
        <v>侃々諤々</v>
      </c>
    </row>
    <row r="7997" spans="1:3" ht="18" customHeight="1" x14ac:dyDescent="0.3">
      <c r="A7997" s="1">
        <v>3</v>
      </c>
      <c r="B7997" s="1" t="s">
        <v>6535</v>
      </c>
      <c r="C7997" s="1" t="str">
        <f ca="1">IFERROR(__xludf.DUMMYFUNCTION("GOOGLETRANSLATE(B8108,""en"",""ja"")"),"建築家")</f>
        <v>建築家</v>
      </c>
    </row>
    <row r="7998" spans="1:3" ht="18" customHeight="1" x14ac:dyDescent="0.3">
      <c r="A7998" s="1">
        <v>3</v>
      </c>
      <c r="B7998" s="1" t="s">
        <v>6536</v>
      </c>
      <c r="C7998" s="1" t="str">
        <f ca="1">IFERROR(__xludf.DUMMYFUNCTION("GOOGLETRANSLATE(B8109,""en"",""ja"")"),"近似")</f>
        <v>近似</v>
      </c>
    </row>
    <row r="7999" spans="1:3" ht="18" customHeight="1" x14ac:dyDescent="0.3">
      <c r="A7999" s="1">
        <v>3</v>
      </c>
      <c r="B7999" s="1" t="s">
        <v>5146</v>
      </c>
      <c r="C7999" s="1" t="str">
        <f ca="1">IFERROR(__xludf.DUMMYFUNCTION("GOOGLETRANSLATE(B8110,""en"",""ja"")"),"承認")</f>
        <v>承認</v>
      </c>
    </row>
    <row r="8000" spans="1:3" ht="18" customHeight="1" x14ac:dyDescent="0.3">
      <c r="A8000" s="1">
        <v>3</v>
      </c>
      <c r="B8000" s="1" t="s">
        <v>6537</v>
      </c>
      <c r="C8000" s="1" t="str">
        <f ca="1">IFERROR(__xludf.DUMMYFUNCTION("GOOGLETRANSLATE(B8111,""en"",""ja"")"),"appropria")</f>
        <v>appropria</v>
      </c>
    </row>
    <row r="8001" spans="1:3" ht="18" customHeight="1" x14ac:dyDescent="0.3">
      <c r="A8001" s="1">
        <v>3</v>
      </c>
      <c r="B8001" s="1" t="s">
        <v>6538</v>
      </c>
      <c r="C8001" s="1" t="str">
        <f ca="1">IFERROR(__xludf.DUMMYFUNCTION("GOOGLETRANSLATE(B8112,""en"",""ja"")"),"任命")</f>
        <v>任命</v>
      </c>
    </row>
    <row r="8002" spans="1:3" ht="18" customHeight="1" x14ac:dyDescent="0.3">
      <c r="A8002" s="1">
        <v>3</v>
      </c>
      <c r="B8002" s="1" t="s">
        <v>1394</v>
      </c>
      <c r="C8002" s="1" t="str">
        <f ca="1">IFERROR(__xludf.DUMMYFUNCTION("GOOGLETRANSLATE(B8113,""en"",""ja"")"),"適用します")</f>
        <v>適用します</v>
      </c>
    </row>
    <row r="8003" spans="1:3" ht="18" customHeight="1" x14ac:dyDescent="0.3">
      <c r="A8003" s="1">
        <v>3</v>
      </c>
      <c r="B8003" s="1" t="s">
        <v>6539</v>
      </c>
      <c r="C8003" s="1" t="str">
        <f ca="1">IFERROR(__xludf.DUMMYFUNCTION("GOOGLETRANSLATE(B8114,""en"",""ja"")"),"応用")</f>
        <v>応用</v>
      </c>
    </row>
    <row r="8004" spans="1:3" ht="18" customHeight="1" x14ac:dyDescent="0.3">
      <c r="A8004" s="1">
        <v>3</v>
      </c>
      <c r="B8004" s="1" t="s">
        <v>6540</v>
      </c>
      <c r="C8004" s="1" t="str">
        <f ca="1">IFERROR(__xludf.DUMMYFUNCTION("GOOGLETRANSLATE(B8116,""en"",""ja"")"),"家電")</f>
        <v>家電</v>
      </c>
    </row>
    <row r="8005" spans="1:3" ht="18" customHeight="1" x14ac:dyDescent="0.3">
      <c r="A8005" s="1">
        <v>3</v>
      </c>
      <c r="B8005" s="1" t="s">
        <v>6541</v>
      </c>
      <c r="C8005" s="1" t="str">
        <f ca="1">IFERROR(__xludf.DUMMYFUNCTION("GOOGLETRANSLATE(B8117,""en"",""ja"")"),"登場")</f>
        <v>登場</v>
      </c>
    </row>
    <row r="8006" spans="1:3" ht="18" customHeight="1" x14ac:dyDescent="0.3">
      <c r="A8006" s="1">
        <v>3</v>
      </c>
      <c r="B8006" s="1" t="s">
        <v>4205</v>
      </c>
      <c r="C8006" s="1" t="str">
        <f ca="1">IFERROR(__xludf.DUMMYFUNCTION("GOOGLETRANSLATE(B8118,""en"",""ja"")"),"どこでも")</f>
        <v>どこでも</v>
      </c>
    </row>
    <row r="8007" spans="1:3" ht="18" customHeight="1" x14ac:dyDescent="0.3">
      <c r="A8007" s="1">
        <v>3</v>
      </c>
      <c r="B8007" s="1" t="s">
        <v>6542</v>
      </c>
      <c r="C8007" s="1" t="str">
        <f ca="1">IFERROR(__xludf.DUMMYFUNCTION("GOOGLETRANSLATE(B8119,""en"",""ja"")"),"どんなときも")</f>
        <v>どんなときも</v>
      </c>
    </row>
    <row r="8008" spans="1:3" ht="18" customHeight="1" x14ac:dyDescent="0.3">
      <c r="A8008" s="1">
        <v>3</v>
      </c>
      <c r="B8008" s="1" t="s">
        <v>6543</v>
      </c>
      <c r="C8008" s="1" t="str">
        <f ca="1">IFERROR(__xludf.DUMMYFUNCTION("GOOGLETRANSLATE(B8120,""en"",""ja"")"),"心配して")</f>
        <v>心配して</v>
      </c>
    </row>
    <row r="8009" spans="1:3" ht="18" customHeight="1" x14ac:dyDescent="0.3">
      <c r="A8009" s="1">
        <v>3</v>
      </c>
      <c r="B8009" s="1" t="s">
        <v>6544</v>
      </c>
      <c r="C8009" s="1" t="str">
        <f ca="1">IFERROR(__xludf.DUMMYFUNCTION("GOOGLETRANSLATE(B8121,""en"",""ja"")"),"予想")</f>
        <v>予想</v>
      </c>
    </row>
    <row r="8010" spans="1:3" ht="18" customHeight="1" x14ac:dyDescent="0.3">
      <c r="A8010" s="1">
        <v>3</v>
      </c>
      <c r="B8010" s="1" t="s">
        <v>6545</v>
      </c>
      <c r="C8010" s="1" t="str">
        <f ca="1">IFERROR(__xludf.DUMMYFUNCTION("GOOGLETRANSLATE(B8122,""en"",""ja"")"),"予想します")</f>
        <v>予想します</v>
      </c>
    </row>
    <row r="8011" spans="1:3" ht="18" customHeight="1" x14ac:dyDescent="0.3">
      <c r="A8011" s="1">
        <v>3</v>
      </c>
      <c r="B8011" s="1" t="s">
        <v>6546</v>
      </c>
      <c r="C8011" s="1" t="str">
        <f ca="1">IFERROR(__xludf.DUMMYFUNCTION("GOOGLETRANSLATE(B8123,""en"",""ja"")"),"抗")</f>
        <v>抗</v>
      </c>
    </row>
    <row r="8012" spans="1:3" ht="18" customHeight="1" x14ac:dyDescent="0.3">
      <c r="A8012" s="1">
        <v>3</v>
      </c>
      <c r="B8012" s="1" t="s">
        <v>6547</v>
      </c>
      <c r="C8012" s="1" t="str">
        <f ca="1">IFERROR(__xludf.DUMMYFUNCTION("GOOGLETRANSLATE(B8124,""en"",""ja"")"),"答え")</f>
        <v>答え</v>
      </c>
    </row>
    <row r="8013" spans="1:3" ht="18" customHeight="1" x14ac:dyDescent="0.3">
      <c r="A8013" s="1">
        <v>3</v>
      </c>
      <c r="B8013" s="1" t="s">
        <v>6548</v>
      </c>
      <c r="C8013" s="1" t="str">
        <f ca="1">IFERROR(__xludf.DUMMYFUNCTION("GOOGLETRANSLATE(B8125,""en"",""ja"")"),"異常")</f>
        <v>異常</v>
      </c>
    </row>
    <row r="8014" spans="1:3" ht="18" customHeight="1" x14ac:dyDescent="0.3">
      <c r="A8014" s="1">
        <v>3</v>
      </c>
      <c r="B8014" s="1" t="s">
        <v>6549</v>
      </c>
      <c r="C8014" s="1" t="str">
        <f ca="1">IFERROR(__xludf.DUMMYFUNCTION("GOOGLETRANSLATE(B8126,""en"",""ja"")"),"毎年")</f>
        <v>毎年</v>
      </c>
    </row>
    <row r="8015" spans="1:3" ht="18" customHeight="1" x14ac:dyDescent="0.3">
      <c r="A8015" s="1">
        <v>3</v>
      </c>
      <c r="B8015" s="1" t="s">
        <v>6550</v>
      </c>
      <c r="C8015" s="1" t="str">
        <f ca="1">IFERROR(__xludf.DUMMYFUNCTION("GOOGLETRANSLATE(B8127,""en"",""ja"")"),"迷惑な")</f>
        <v>迷惑な</v>
      </c>
    </row>
    <row r="8016" spans="1:3" ht="18" customHeight="1" x14ac:dyDescent="0.3">
      <c r="A8016" s="1">
        <v>3</v>
      </c>
      <c r="B8016" s="1" t="s">
        <v>6551</v>
      </c>
      <c r="C8016" s="1" t="str">
        <f ca="1">IFERROR(__xludf.DUMMYFUNCTION("GOOGLETRANSLATE(B8128,""en"",""ja"")"),"記念日")</f>
        <v>記念日</v>
      </c>
    </row>
    <row r="8017" spans="1:3" ht="18" customHeight="1" x14ac:dyDescent="0.3">
      <c r="A8017" s="1">
        <v>3</v>
      </c>
      <c r="B8017" s="1" t="s">
        <v>6552</v>
      </c>
      <c r="C8017" s="1" t="str">
        <f ca="1">IFERROR(__xludf.DUMMYFUNCTION("GOOGLETRANSLATE(B8129,""en"",""ja"")"),"アネンバーグ")</f>
        <v>アネンバーグ</v>
      </c>
    </row>
    <row r="8018" spans="1:3" ht="18" customHeight="1" x14ac:dyDescent="0.3">
      <c r="A8018" s="1">
        <v>3</v>
      </c>
      <c r="B8018" s="1" t="s">
        <v>6553</v>
      </c>
      <c r="C8018" s="1" t="str">
        <f ca="1">IFERROR(__xludf.DUMMYFUNCTION("GOOGLETRANSLATE(B8130,""en"",""ja"")"),"怒りました")</f>
        <v>怒りました</v>
      </c>
    </row>
    <row r="8019" spans="1:3" ht="18" customHeight="1" x14ac:dyDescent="0.3">
      <c r="A8019" s="1">
        <v>3</v>
      </c>
      <c r="B8019" s="1" t="s">
        <v>3</v>
      </c>
      <c r="C8019" s="1" t="str">
        <f ca="1">IFERROR(__xludf.DUMMYFUNCTION("GOOGLETRANSLATE(B8132,""en"",""ja"")"),"そして")</f>
        <v>そして</v>
      </c>
    </row>
    <row r="8020" spans="1:3" ht="18" customHeight="1" x14ac:dyDescent="0.3">
      <c r="A8020" s="1">
        <v>3</v>
      </c>
      <c r="B8020" s="1" t="s">
        <v>6554</v>
      </c>
      <c r="C8020" s="1" t="str">
        <f ca="1">IFERROR(__xludf.DUMMYFUNCTION("GOOGLETRANSLATE(B8133,""en"",""ja"")"),"アンダース")</f>
        <v>アンダース</v>
      </c>
    </row>
    <row r="8021" spans="1:3" ht="18" customHeight="1" x14ac:dyDescent="0.3">
      <c r="A8021" s="1">
        <v>3</v>
      </c>
      <c r="B8021" s="1" t="s">
        <v>6555</v>
      </c>
      <c r="C8021" s="1" t="str">
        <f ca="1">IFERROR(__xludf.DUMMYFUNCTION("GOOGLETRANSLATE(B8134,""en"",""ja"")"),"AMPLIFY")</f>
        <v>AMPLIFY</v>
      </c>
    </row>
    <row r="8022" spans="1:3" ht="18" customHeight="1" x14ac:dyDescent="0.3">
      <c r="A8022" s="1">
        <v>3</v>
      </c>
      <c r="B8022" s="1" t="s">
        <v>6556</v>
      </c>
      <c r="C8022" s="1" t="str">
        <f ca="1">IFERROR(__xludf.DUMMYFUNCTION("GOOGLETRANSLATE(B8136,""en"",""ja"")"),"増幅")</f>
        <v>増幅</v>
      </c>
    </row>
    <row r="8023" spans="1:3" ht="18" customHeight="1" x14ac:dyDescent="0.3">
      <c r="A8023" s="1">
        <v>3</v>
      </c>
      <c r="B8023" s="1" t="s">
        <v>6557</v>
      </c>
      <c r="C8023" s="1" t="str">
        <f ca="1">IFERROR(__xludf.DUMMYFUNCTION("GOOGLETRANSLATE(B8137,""en"",""ja"")"),"金額")</f>
        <v>金額</v>
      </c>
    </row>
    <row r="8024" spans="1:3" ht="18" customHeight="1" x14ac:dyDescent="0.3">
      <c r="A8024" s="1">
        <v>3</v>
      </c>
      <c r="B8024" s="1" t="s">
        <v>6558</v>
      </c>
      <c r="C8024" s="1" t="str">
        <f ca="1">IFERROR(__xludf.DUMMYFUNCTION("GOOGLETRANSLATE(B8138,""en"",""ja"")"),"額")</f>
        <v>額</v>
      </c>
    </row>
    <row r="8025" spans="1:3" ht="18" customHeight="1" x14ac:dyDescent="0.3">
      <c r="A8025" s="1">
        <v>3</v>
      </c>
      <c r="B8025" s="1" t="s">
        <v>6559</v>
      </c>
      <c r="C8025" s="1" t="str">
        <f ca="1">IFERROR(__xludf.DUMMYFUNCTION("GOOGLETRANSLATE(B8139,""en"",""ja"")"),"アメリカの")</f>
        <v>アメリカの</v>
      </c>
    </row>
    <row r="8026" spans="1:3" ht="18" customHeight="1" x14ac:dyDescent="0.3">
      <c r="A8026" s="1">
        <v>3</v>
      </c>
      <c r="B8026" s="1" t="s">
        <v>5160</v>
      </c>
      <c r="C8026" s="1" t="str">
        <f ca="1">IFERROR(__xludf.DUMMYFUNCTION("GOOGLETRANSLATE(B8140,""en"",""ja"")"),"アメリカ")</f>
        <v>アメリカ</v>
      </c>
    </row>
    <row r="8027" spans="1:3" ht="18" customHeight="1" x14ac:dyDescent="0.3">
      <c r="A8027" s="1">
        <v>3</v>
      </c>
      <c r="B8027" s="1" t="s">
        <v>6560</v>
      </c>
      <c r="C8027" s="1" t="str">
        <f ca="1">IFERROR(__xludf.DUMMYFUNCTION("GOOGLETRANSLATE(B8141,""en"",""ja"")"),"驚か")</f>
        <v>驚か</v>
      </c>
    </row>
    <row r="8028" spans="1:3" ht="18" customHeight="1" x14ac:dyDescent="0.3">
      <c r="A8028" s="1">
        <v>3</v>
      </c>
      <c r="B8028" s="1" t="s">
        <v>6561</v>
      </c>
      <c r="C8028" s="1" t="str">
        <f ca="1">IFERROR(__xludf.DUMMYFUNCTION("GOOGLETRANSLATE(B8142,""en"",""ja"")"),"合併")</f>
        <v>合併</v>
      </c>
    </row>
    <row r="8029" spans="1:3" ht="18" customHeight="1" x14ac:dyDescent="0.3">
      <c r="A8029" s="1">
        <v>3</v>
      </c>
      <c r="B8029" s="1" t="s">
        <v>157</v>
      </c>
      <c r="C8029" s="1" t="str">
        <f ca="1">IFERROR(__xludf.DUMMYFUNCTION("GOOGLETRANSLATE(B8143,""en"",""ja"")"),"常に")</f>
        <v>常に</v>
      </c>
    </row>
    <row r="8030" spans="1:3" ht="18" customHeight="1" x14ac:dyDescent="0.3">
      <c r="A8030" s="1">
        <v>3</v>
      </c>
      <c r="B8030" s="1" t="s">
        <v>5164</v>
      </c>
      <c r="C8030" s="1" t="str">
        <f ca="1">IFERROR(__xludf.DUMMYFUNCTION("GOOGLETRANSLATE(B8144,""en"",""ja"")"),"全く")</f>
        <v>全く</v>
      </c>
    </row>
    <row r="8031" spans="1:3" ht="18" customHeight="1" x14ac:dyDescent="0.3">
      <c r="A8031" s="1">
        <v>3</v>
      </c>
      <c r="B8031" s="1" t="s">
        <v>6562</v>
      </c>
      <c r="C8031" s="1" t="str">
        <f ca="1">IFERROR(__xludf.DUMMYFUNCTION("GOOGLETRANSLATE(B8145,""en"",""ja"")"),"祭壇")</f>
        <v>祭壇</v>
      </c>
    </row>
    <row r="8032" spans="1:3" ht="18" customHeight="1" x14ac:dyDescent="0.3">
      <c r="A8032" s="1">
        <v>3</v>
      </c>
      <c r="B8032" s="1" t="s">
        <v>6563</v>
      </c>
      <c r="C8032" s="1" t="str">
        <f ca="1">IFERROR(__xludf.DUMMYFUNCTION("GOOGLETRANSLATE(B8146,""en"",""ja"")"),"独居")</f>
        <v>独居</v>
      </c>
    </row>
    <row r="8033" spans="1:3" ht="18" customHeight="1" x14ac:dyDescent="0.3">
      <c r="A8033" s="1">
        <v>3</v>
      </c>
      <c r="B8033" s="1" t="s">
        <v>6564</v>
      </c>
      <c r="C8033" s="1" t="str">
        <f ca="1">IFERROR(__xludf.DUMMYFUNCTION("GOOGLETRANSLATE(B8147,""en"",""ja"")"),"対立")</f>
        <v>対立</v>
      </c>
    </row>
    <row r="8034" spans="1:3" ht="18" customHeight="1" x14ac:dyDescent="0.3">
      <c r="A8034" s="1">
        <v>3</v>
      </c>
      <c r="B8034" s="1" t="s">
        <v>6565</v>
      </c>
      <c r="C8034" s="1" t="str">
        <f ca="1">IFERROR(__xludf.DUMMYFUNCTION("GOOGLETRANSLATE(B8148,""en"",""ja"")"),"遠ざけます")</f>
        <v>遠ざけます</v>
      </c>
    </row>
    <row r="8035" spans="1:3" ht="18" customHeight="1" x14ac:dyDescent="0.3">
      <c r="A8035" s="1">
        <v>3</v>
      </c>
      <c r="B8035" s="1" t="s">
        <v>6566</v>
      </c>
      <c r="C8035" s="1" t="str">
        <f ca="1">IFERROR(__xludf.DUMMYFUNCTION("GOOGLETRANSLATE(B8149,""en"",""ja"")"),"警告")</f>
        <v>警告</v>
      </c>
    </row>
    <row r="8036" spans="1:3" ht="18" customHeight="1" x14ac:dyDescent="0.3">
      <c r="A8036" s="1">
        <v>3</v>
      </c>
      <c r="B8036" s="1" t="s">
        <v>6567</v>
      </c>
      <c r="C8036" s="1" t="str">
        <f ca="1">IFERROR(__xludf.DUMMYFUNCTION("GOOGLETRANSLATE(B8150,""en"",""ja"")"),"オルダス")</f>
        <v>オルダス</v>
      </c>
    </row>
    <row r="8037" spans="1:3" ht="18" customHeight="1" x14ac:dyDescent="0.3">
      <c r="A8037" s="1">
        <v>3</v>
      </c>
      <c r="B8037" s="1" t="s">
        <v>6568</v>
      </c>
      <c r="C8037" s="1" t="str">
        <f ca="1">IFERROR(__xludf.DUMMYFUNCTION("GOOGLETRANSLATE(B8151,""en"",""ja"")"),"錬金術")</f>
        <v>錬金術</v>
      </c>
    </row>
    <row r="8038" spans="1:3" ht="18" customHeight="1" x14ac:dyDescent="0.3">
      <c r="A8038" s="1">
        <v>3</v>
      </c>
      <c r="B8038" s="1" t="s">
        <v>6569</v>
      </c>
      <c r="C8038" s="1" t="str">
        <f ca="1">IFERROR(__xludf.DUMMYFUNCTION("GOOGLETRANSLATE(B8152,""en"",""ja"")"),"いえ")</f>
        <v>いえ</v>
      </c>
    </row>
    <row r="8039" spans="1:3" ht="18" customHeight="1" x14ac:dyDescent="0.3">
      <c r="A8039" s="1">
        <v>3</v>
      </c>
      <c r="B8039" s="1" t="s">
        <v>6570</v>
      </c>
      <c r="C8039" s="1" t="str">
        <f ca="1">IFERROR(__xludf.DUMMYFUNCTION("GOOGLETRANSLATE(B8153,""en"",""ja"")"),"飛行機")</f>
        <v>飛行機</v>
      </c>
    </row>
    <row r="8040" spans="1:3" ht="18" customHeight="1" x14ac:dyDescent="0.3">
      <c r="A8040" s="1">
        <v>3</v>
      </c>
      <c r="B8040" s="1" t="s">
        <v>6571</v>
      </c>
      <c r="C8040" s="1" t="str">
        <f ca="1">IFERROR(__xludf.DUMMYFUNCTION("GOOGLETRANSLATE(B8154,""en"",""ja"")"),"航空機")</f>
        <v>航空機</v>
      </c>
    </row>
    <row r="8041" spans="1:3" ht="18" customHeight="1" x14ac:dyDescent="0.3">
      <c r="A8041" s="1">
        <v>3</v>
      </c>
      <c r="B8041" s="1" t="s">
        <v>6572</v>
      </c>
      <c r="C8041" s="1" t="str">
        <f ca="1">IFERROR(__xludf.DUMMYFUNCTION("GOOGLETRANSLATE(B8155,""en"",""ja"")"),"目的")</f>
        <v>目的</v>
      </c>
    </row>
    <row r="8042" spans="1:3" ht="18" customHeight="1" x14ac:dyDescent="0.3">
      <c r="A8042" s="1">
        <v>3</v>
      </c>
      <c r="B8042" s="1" t="s">
        <v>1609</v>
      </c>
      <c r="C8042" s="1" t="str">
        <f ca="1">IFERROR(__xludf.DUMMYFUNCTION("GOOGLETRANSLATE(B8156,""en"",""ja"")"),"目的")</f>
        <v>目的</v>
      </c>
    </row>
    <row r="8043" spans="1:3" ht="18" customHeight="1" x14ac:dyDescent="0.3">
      <c r="A8043" s="1">
        <v>3</v>
      </c>
      <c r="B8043" s="1" t="s">
        <v>6573</v>
      </c>
      <c r="C8043" s="1" t="str">
        <f ca="1">IFERROR(__xludf.DUMMYFUNCTION("GOOGLETRANSLATE(B8157,""en"",""ja"")"),"アフマド")</f>
        <v>アフマド</v>
      </c>
    </row>
    <row r="8044" spans="1:3" ht="18" customHeight="1" x14ac:dyDescent="0.3">
      <c r="A8044" s="1">
        <v>3</v>
      </c>
      <c r="B8044" s="1" t="s">
        <v>6574</v>
      </c>
      <c r="C8044" s="1" t="str">
        <f ca="1">IFERROR(__xludf.DUMMYFUNCTION("GOOGLETRANSLATE(B8158,""en"",""ja"")"),"敏捷")</f>
        <v>敏捷</v>
      </c>
    </row>
    <row r="8045" spans="1:3" ht="18" customHeight="1" x14ac:dyDescent="0.3">
      <c r="A8045" s="1">
        <v>3</v>
      </c>
      <c r="B8045" s="1" t="s">
        <v>5170</v>
      </c>
      <c r="C8045" s="1" t="str">
        <f ca="1">IFERROR(__xludf.DUMMYFUNCTION("GOOGLETRANSLATE(B8159,""en"",""ja"")"),"エージェント")</f>
        <v>エージェント</v>
      </c>
    </row>
    <row r="8046" spans="1:3" ht="18" customHeight="1" x14ac:dyDescent="0.3">
      <c r="A8046" s="1">
        <v>3</v>
      </c>
      <c r="B8046" s="1" t="s">
        <v>162</v>
      </c>
      <c r="C8046" s="1" t="str">
        <f ca="1">IFERROR(__xludf.DUMMYFUNCTION("GOOGLETRANSLATE(B8160,""en"",""ja"")"),"に対して")</f>
        <v>に対して</v>
      </c>
    </row>
    <row r="8047" spans="1:3" ht="18" customHeight="1" x14ac:dyDescent="0.3">
      <c r="A8047" s="1">
        <v>3</v>
      </c>
      <c r="B8047" s="1" t="s">
        <v>6575</v>
      </c>
      <c r="C8047" s="1" t="str">
        <f ca="1">IFERROR(__xludf.DUMMYFUNCTION("GOOGLETRANSLATE(B8161,""en"",""ja"")"),"与え")</f>
        <v>与え</v>
      </c>
    </row>
    <row r="8048" spans="1:3" ht="18" customHeight="1" x14ac:dyDescent="0.3">
      <c r="A8048" s="1">
        <v>3</v>
      </c>
      <c r="B8048" s="1" t="s">
        <v>6576</v>
      </c>
      <c r="C8048" s="1" t="str">
        <f ca="1">IFERROR(__xludf.DUMMYFUNCTION("GOOGLETRANSLATE(B8162,""en"",""ja"")"),"被災")</f>
        <v>被災</v>
      </c>
    </row>
    <row r="8049" spans="1:3" ht="18" customHeight="1" x14ac:dyDescent="0.3">
      <c r="A8049" s="1">
        <v>3</v>
      </c>
      <c r="B8049" s="1" t="s">
        <v>6577</v>
      </c>
      <c r="C8049" s="1" t="str">
        <f ca="1">IFERROR(__xludf.DUMMYFUNCTION("GOOGLETRANSLATE(B8163,""en"",""ja"")"),"肯定")</f>
        <v>肯定</v>
      </c>
    </row>
    <row r="8050" spans="1:3" ht="18" customHeight="1" x14ac:dyDescent="0.3">
      <c r="A8050" s="1">
        <v>3</v>
      </c>
      <c r="B8050" s="1" t="s">
        <v>6578</v>
      </c>
      <c r="C8050" s="1" t="str">
        <f ca="1">IFERROR(__xludf.DUMMYFUNCTION("GOOGLETRANSLATE(B8164,""en"",""ja"")"),"提携")</f>
        <v>提携</v>
      </c>
    </row>
    <row r="8051" spans="1:3" ht="18" customHeight="1" x14ac:dyDescent="0.3">
      <c r="A8051" s="1">
        <v>3</v>
      </c>
      <c r="B8051" s="1" t="s">
        <v>6579</v>
      </c>
      <c r="C8051" s="1" t="str">
        <f ca="1">IFERROR(__xludf.DUMMYFUNCTION("GOOGLETRANSLATE(B8165,""en"",""ja"")"),"影響")</f>
        <v>影響</v>
      </c>
    </row>
    <row r="8052" spans="1:3" ht="18" customHeight="1" x14ac:dyDescent="0.3">
      <c r="A8052" s="1">
        <v>3</v>
      </c>
      <c r="B8052" s="1" t="s">
        <v>6580</v>
      </c>
      <c r="C8052" s="1" t="str">
        <f ca="1">IFERROR(__xludf.DUMMYFUNCTION("GOOGLETRANSLATE(B8166,""en"",""ja"")"),"空力")</f>
        <v>空力</v>
      </c>
    </row>
    <row r="8053" spans="1:3" ht="18" customHeight="1" x14ac:dyDescent="0.3">
      <c r="A8053" s="1">
        <v>3</v>
      </c>
      <c r="B8053" s="1" t="s">
        <v>4221</v>
      </c>
      <c r="C8053" s="1" t="str">
        <f ca="1">IFERROR(__xludf.DUMMYFUNCTION("GOOGLETRANSLATE(B8167,""en"",""ja"")"),"提唱する")</f>
        <v>提唱する</v>
      </c>
    </row>
    <row r="8054" spans="1:3" ht="18" customHeight="1" x14ac:dyDescent="0.3">
      <c r="A8054" s="1">
        <v>3</v>
      </c>
      <c r="B8054" s="1" t="s">
        <v>6581</v>
      </c>
      <c r="C8054" s="1" t="str">
        <f ca="1">IFERROR(__xludf.DUMMYFUNCTION("GOOGLETRANSLATE(B8168,""en"",""ja"")"),"助言")</f>
        <v>助言</v>
      </c>
    </row>
    <row r="8055" spans="1:3" ht="18" customHeight="1" x14ac:dyDescent="0.3">
      <c r="A8055" s="1">
        <v>3</v>
      </c>
      <c r="B8055" s="1" t="s">
        <v>6582</v>
      </c>
      <c r="C8055" s="1" t="str">
        <f ca="1">IFERROR(__xludf.DUMMYFUNCTION("GOOGLETRANSLATE(B8170,""en"",""ja"")"),"アドバタイズ")</f>
        <v>アドバタイズ</v>
      </c>
    </row>
    <row r="8056" spans="1:3" ht="18" customHeight="1" x14ac:dyDescent="0.3">
      <c r="A8056" s="1">
        <v>3</v>
      </c>
      <c r="B8056" s="1" t="s">
        <v>6583</v>
      </c>
      <c r="C8056" s="1" t="str">
        <f ca="1">IFERROR(__xludf.DUMMYFUNCTION("GOOGLETRANSLATE(B8172,""en"",""ja"")"),"広告")</f>
        <v>広告</v>
      </c>
    </row>
    <row r="8057" spans="1:3" ht="18" customHeight="1" x14ac:dyDescent="0.3">
      <c r="A8057" s="1">
        <v>3</v>
      </c>
      <c r="B8057" s="1" t="s">
        <v>6584</v>
      </c>
      <c r="C8057" s="1" t="str">
        <f ca="1">IFERROR(__xludf.DUMMYFUNCTION("GOOGLETRANSLATE(B8173,""en"",""ja"")"),"悪")</f>
        <v>悪</v>
      </c>
    </row>
    <row r="8058" spans="1:3" ht="18" customHeight="1" x14ac:dyDescent="0.3">
      <c r="A8058" s="1">
        <v>3</v>
      </c>
      <c r="B8058" s="1" t="s">
        <v>6585</v>
      </c>
      <c r="C8058" s="1" t="str">
        <f ca="1">IFERROR(__xludf.DUMMYFUNCTION("GOOGLETRANSLATE(B8174,""en"",""ja"")"),"不利な")</f>
        <v>不利な</v>
      </c>
    </row>
    <row r="8059" spans="1:3" ht="18" customHeight="1" x14ac:dyDescent="0.3">
      <c r="A8059" s="1">
        <v>3</v>
      </c>
      <c r="B8059" s="1" t="s">
        <v>6586</v>
      </c>
      <c r="C8059" s="1" t="str">
        <f ca="1">IFERROR(__xludf.DUMMYFUNCTION("GOOGLETRANSLATE(B8175,""en"",""ja"")"),"青年")</f>
        <v>青年</v>
      </c>
    </row>
    <row r="8060" spans="1:3" ht="18" customHeight="1" x14ac:dyDescent="0.3">
      <c r="A8060" s="1">
        <v>3</v>
      </c>
      <c r="B8060" s="1" t="s">
        <v>2014</v>
      </c>
      <c r="C8060" s="1" t="str">
        <f ca="1">IFERROR(__xludf.DUMMYFUNCTION("GOOGLETRANSLATE(B8176,""en"",""ja"")"),"隣接")</f>
        <v>隣接</v>
      </c>
    </row>
    <row r="8061" spans="1:3" ht="18" customHeight="1" x14ac:dyDescent="0.3">
      <c r="A8061" s="1">
        <v>3</v>
      </c>
      <c r="B8061" s="1" t="s">
        <v>6587</v>
      </c>
      <c r="C8061" s="1" t="str">
        <f ca="1">IFERROR(__xludf.DUMMYFUNCTION("GOOGLETRANSLATE(B8177,""en"",""ja"")"),"遵守する")</f>
        <v>遵守する</v>
      </c>
    </row>
    <row r="8062" spans="1:3" ht="18" customHeight="1" x14ac:dyDescent="0.3">
      <c r="A8062" s="1">
        <v>3</v>
      </c>
      <c r="B8062" s="1" t="s">
        <v>6588</v>
      </c>
      <c r="C8062" s="1" t="str">
        <f ca="1">IFERROR(__xludf.DUMMYFUNCTION("GOOGLETRANSLATE(B8178,""en"",""ja"")"),"適切")</f>
        <v>適切</v>
      </c>
    </row>
    <row r="8063" spans="1:3" ht="18" customHeight="1" x14ac:dyDescent="0.3">
      <c r="A8063" s="1">
        <v>3</v>
      </c>
      <c r="B8063" s="1" t="s">
        <v>4224</v>
      </c>
      <c r="C8063" s="1" t="str">
        <f ca="1">IFERROR(__xludf.DUMMYFUNCTION("GOOGLETRANSLATE(B8179,""en"",""ja"")"),"十分な")</f>
        <v>十分な</v>
      </c>
    </row>
    <row r="8064" spans="1:3" ht="18" customHeight="1" x14ac:dyDescent="0.3">
      <c r="A8064" s="1">
        <v>3</v>
      </c>
      <c r="B8064" s="1" t="s">
        <v>5180</v>
      </c>
      <c r="C8064" s="1" t="str">
        <f ca="1">IFERROR(__xludf.DUMMYFUNCTION("GOOGLETRANSLATE(B8180,""en"",""ja"")"),"追加")</f>
        <v>追加</v>
      </c>
    </row>
    <row r="8065" spans="1:3" ht="18" customHeight="1" x14ac:dyDescent="0.3">
      <c r="A8065" s="1">
        <v>3</v>
      </c>
      <c r="B8065" s="1" t="s">
        <v>6589</v>
      </c>
      <c r="C8065" s="1" t="str">
        <f ca="1">IFERROR(__xludf.DUMMYFUNCTION("GOOGLETRANSLATE(B8181,""en"",""ja"")"),"適応")</f>
        <v>適応</v>
      </c>
    </row>
    <row r="8066" spans="1:3" ht="18" customHeight="1" x14ac:dyDescent="0.3">
      <c r="A8066" s="1">
        <v>3</v>
      </c>
      <c r="B8066" s="1" t="s">
        <v>6590</v>
      </c>
      <c r="C8066" s="1" t="str">
        <f ca="1">IFERROR(__xludf.DUMMYFUNCTION("GOOGLETRANSLATE(B8182,""en"",""ja"")"),"適応性")</f>
        <v>適応性</v>
      </c>
    </row>
    <row r="8067" spans="1:3" ht="18" customHeight="1" x14ac:dyDescent="0.3">
      <c r="A8067" s="1">
        <v>3</v>
      </c>
      <c r="B8067" s="1" t="s">
        <v>6591</v>
      </c>
      <c r="C8067" s="1" t="str">
        <f ca="1">IFERROR(__xludf.DUMMYFUNCTION("GOOGLETRANSLATE(B8183,""en"",""ja"")"),"積極的に")</f>
        <v>積極的に</v>
      </c>
    </row>
    <row r="8068" spans="1:3" ht="18" customHeight="1" x14ac:dyDescent="0.3">
      <c r="A8068" s="1">
        <v>3</v>
      </c>
      <c r="B8068" s="1" t="s">
        <v>6592</v>
      </c>
      <c r="C8068" s="1" t="str">
        <f ca="1">IFERROR(__xludf.DUMMYFUNCTION("GOOGLETRANSLATE(B8184,""en"",""ja"")"),"活性化")</f>
        <v>活性化</v>
      </c>
    </row>
    <row r="8069" spans="1:3" ht="18" customHeight="1" x14ac:dyDescent="0.3">
      <c r="A8069" s="1">
        <v>3</v>
      </c>
      <c r="B8069" s="1" t="s">
        <v>6593</v>
      </c>
      <c r="C8069" s="1" t="str">
        <f ca="1">IFERROR(__xludf.DUMMYFUNCTION("GOOGLETRANSLATE(B8185,""en"",""ja"")"),"取得")</f>
        <v>取得</v>
      </c>
    </row>
    <row r="8070" spans="1:3" ht="18" customHeight="1" x14ac:dyDescent="0.3">
      <c r="A8070" s="1">
        <v>3</v>
      </c>
      <c r="B8070" s="1" t="s">
        <v>6594</v>
      </c>
      <c r="C8070" s="1" t="str">
        <f ca="1">IFERROR(__xludf.DUMMYFUNCTION("GOOGLETRANSLATE(B8186,""en"",""ja"")"),"認めます")</f>
        <v>認めます</v>
      </c>
    </row>
    <row r="8071" spans="1:3" ht="18" customHeight="1" x14ac:dyDescent="0.3">
      <c r="A8071" s="1">
        <v>3</v>
      </c>
      <c r="B8071" s="1" t="s">
        <v>6595</v>
      </c>
      <c r="C8071" s="1" t="str">
        <f ca="1">IFERROR(__xludf.DUMMYFUNCTION("GOOGLETRANSLATE(B8187,""en"",""ja"")"),"認める")</f>
        <v>認める</v>
      </c>
    </row>
    <row r="8072" spans="1:3" ht="18" customHeight="1" x14ac:dyDescent="0.3">
      <c r="A8072" s="1">
        <v>3</v>
      </c>
      <c r="B8072" s="1" t="s">
        <v>6596</v>
      </c>
      <c r="C8072" s="1" t="str">
        <f ca="1">IFERROR(__xludf.DUMMYFUNCTION("GOOGLETRANSLATE(B8188,""en"",""ja"")"),"達成")</f>
        <v>達成</v>
      </c>
    </row>
    <row r="8073" spans="1:3" ht="18" customHeight="1" x14ac:dyDescent="0.3">
      <c r="A8073" s="1">
        <v>3</v>
      </c>
      <c r="B8073" s="1" t="s">
        <v>6597</v>
      </c>
      <c r="C8073" s="1" t="str">
        <f ca="1">IFERROR(__xludf.DUMMYFUNCTION("GOOGLETRANSLATE(B8189,""en"",""ja"")"),"アチェ")</f>
        <v>アチェ</v>
      </c>
    </row>
    <row r="8074" spans="1:3" ht="18" customHeight="1" x14ac:dyDescent="0.3">
      <c r="A8074" s="1">
        <v>3</v>
      </c>
      <c r="B8074" s="1" t="s">
        <v>6598</v>
      </c>
      <c r="C8074" s="1" t="str">
        <f ca="1">IFERROR(__xludf.DUMMYFUNCTION("GOOGLETRANSLATE(B8190,""en"",""ja"")"),"非難")</f>
        <v>非難</v>
      </c>
    </row>
    <row r="8075" spans="1:3" ht="18" customHeight="1" x14ac:dyDescent="0.3">
      <c r="A8075" s="1">
        <v>3</v>
      </c>
      <c r="B8075" s="1" t="s">
        <v>6599</v>
      </c>
      <c r="C8075" s="1" t="str">
        <f ca="1">IFERROR(__xludf.DUMMYFUNCTION("GOOGLETRANSLATE(B8191,""en"",""ja"")"),"被告")</f>
        <v>被告</v>
      </c>
    </row>
    <row r="8076" spans="1:3" ht="18" customHeight="1" x14ac:dyDescent="0.3">
      <c r="A8076" s="1">
        <v>3</v>
      </c>
      <c r="B8076" s="1" t="s">
        <v>6600</v>
      </c>
      <c r="C8076" s="1" t="str">
        <f ca="1">IFERROR(__xludf.DUMMYFUNCTION("GOOGLETRANSLATE(B8192,""en"",""ja"")"),"蓄積")</f>
        <v>蓄積</v>
      </c>
    </row>
    <row r="8077" spans="1:3" ht="18" customHeight="1" x14ac:dyDescent="0.3">
      <c r="A8077" s="1">
        <v>3</v>
      </c>
      <c r="B8077" s="1" t="s">
        <v>6601</v>
      </c>
      <c r="C8077" s="1" t="str">
        <f ca="1">IFERROR(__xludf.DUMMYFUNCTION("GOOGLETRANSLATE(B8193,""en"",""ja"")"),"完成")</f>
        <v>完成</v>
      </c>
    </row>
    <row r="8078" spans="1:3" ht="18" customHeight="1" x14ac:dyDescent="0.3">
      <c r="A8078" s="1">
        <v>3</v>
      </c>
      <c r="B8078" s="1" t="s">
        <v>2484</v>
      </c>
      <c r="C8078" s="1" t="str">
        <f ca="1">IFERROR(__xludf.DUMMYFUNCTION("GOOGLETRANSLATE(B8194,""en"",""ja"")"),"収容します")</f>
        <v>収容します</v>
      </c>
    </row>
    <row r="8079" spans="1:3" ht="18" customHeight="1" x14ac:dyDescent="0.3">
      <c r="A8079" s="1">
        <v>3</v>
      </c>
      <c r="B8079" s="1" t="s">
        <v>6602</v>
      </c>
      <c r="C8079" s="1" t="str">
        <f ca="1">IFERROR(__xludf.DUMMYFUNCTION("GOOGLETRANSLATE(B8195,""en"",""ja"")"),"加速度")</f>
        <v>加速度</v>
      </c>
    </row>
    <row r="8080" spans="1:3" ht="18" customHeight="1" x14ac:dyDescent="0.3">
      <c r="A8080" s="1">
        <v>3</v>
      </c>
      <c r="B8080" s="1" t="s">
        <v>6603</v>
      </c>
      <c r="C8080" s="1" t="str">
        <f ca="1">IFERROR(__xludf.DUMMYFUNCTION("GOOGLETRANSLATE(B8196,""en"",""ja"")"),"不在の")</f>
        <v>不在の</v>
      </c>
    </row>
    <row r="8081" spans="1:3" ht="18" customHeight="1" x14ac:dyDescent="0.3">
      <c r="A8081" s="1">
        <v>3</v>
      </c>
      <c r="B8081" s="1" t="s">
        <v>6604</v>
      </c>
      <c r="C8081" s="1" t="str">
        <f ca="1">IFERROR(__xludf.DUMMYFUNCTION("GOOGLETRANSLATE(B8197,""en"",""ja"")"),"アブドラ")</f>
        <v>アブドラ</v>
      </c>
    </row>
    <row r="8082" spans="1:3" ht="18" customHeight="1" x14ac:dyDescent="0.3">
      <c r="A8082" s="1">
        <v>3</v>
      </c>
      <c r="B8082" s="1" t="s">
        <v>6605</v>
      </c>
      <c r="C8082" s="1" t="str">
        <f ca="1">IFERROR(__xludf.DUMMYFUNCTION("GOOGLETRANSLATE(B8198,""en"",""ja"")"),"アブデル")</f>
        <v>アブデル</v>
      </c>
    </row>
    <row r="8083" spans="1:3" ht="18" customHeight="1" x14ac:dyDescent="0.3">
      <c r="A8083" s="1">
        <v>3</v>
      </c>
      <c r="B8083" s="1" t="s">
        <v>6606</v>
      </c>
      <c r="C8083" s="1" t="str">
        <f ca="1">IFERROR(__xludf.DUMMYFUNCTION("GOOGLETRANSLATE(B8199,""en"",""ja"")"),"オーフス")</f>
        <v>オーフス</v>
      </c>
    </row>
    <row r="8084" spans="1:3" ht="18" customHeight="1" x14ac:dyDescent="0.3">
      <c r="A8084" s="1">
        <v>2</v>
      </c>
      <c r="B8084" s="1" t="s">
        <v>1613</v>
      </c>
      <c r="C8084" s="1" t="str">
        <f ca="1">IFERROR(__xludf.DUMMYFUNCTION("GOOGLETRANSLATE(B8200,""en"",""ja"")"),"若者")</f>
        <v>若者</v>
      </c>
    </row>
    <row r="8085" spans="1:3" ht="18" customHeight="1" x14ac:dyDescent="0.3">
      <c r="A8085" s="1">
        <v>2</v>
      </c>
      <c r="B8085" s="1" t="s">
        <v>6607</v>
      </c>
      <c r="C8085" s="1" t="str">
        <f ca="1">IFERROR(__xludf.DUMMYFUNCTION("GOOGLETRANSLATE(B8201,""en"",""ja"")"),"あなたました")</f>
        <v>あなたました</v>
      </c>
    </row>
    <row r="8086" spans="1:3" ht="18" customHeight="1" x14ac:dyDescent="0.3">
      <c r="A8086" s="1">
        <v>2</v>
      </c>
      <c r="B8086" s="1" t="s">
        <v>3771</v>
      </c>
      <c r="C8086" s="1" t="str">
        <f ca="1">IFERROR(__xludf.DUMMYFUNCTION("GOOGLETRANSLATE(B8202,""en"",""ja"")"),"ヨーク")</f>
        <v>ヨーク</v>
      </c>
    </row>
    <row r="8087" spans="1:3" ht="18" customHeight="1" x14ac:dyDescent="0.3">
      <c r="A8087" s="1">
        <v>2</v>
      </c>
      <c r="B8087" s="1" t="s">
        <v>6608</v>
      </c>
      <c r="C8087" s="1" t="str">
        <f ca="1">IFERROR(__xludf.DUMMYFUNCTION("GOOGLETRANSLATE(B8203,""en"",""ja"")"),"昨日")</f>
        <v>昨日</v>
      </c>
    </row>
    <row r="8088" spans="1:3" ht="18" customHeight="1" x14ac:dyDescent="0.3">
      <c r="A8088" s="1">
        <v>2</v>
      </c>
      <c r="B8088" s="1" t="s">
        <v>6609</v>
      </c>
      <c r="C8088" s="1" t="str">
        <f ca="1">IFERROR(__xludf.DUMMYFUNCTION("GOOGLETRANSLATE(B8204,""en"",""ja"")"),"ライジング")</f>
        <v>ライジング</v>
      </c>
    </row>
    <row r="8089" spans="1:3" ht="18" customHeight="1" x14ac:dyDescent="0.3">
      <c r="A8089" s="1">
        <v>2</v>
      </c>
      <c r="B8089" s="1" t="s">
        <v>1724</v>
      </c>
      <c r="C8089" s="1" t="str">
        <f ca="1">IFERROR(__xludf.DUMMYFUNCTION("GOOGLETRANSLATE(B8205,""en"",""ja"")"),"崇拝")</f>
        <v>崇拝</v>
      </c>
    </row>
    <row r="8090" spans="1:3" ht="18" customHeight="1" x14ac:dyDescent="0.3">
      <c r="A8090" s="1">
        <v>2</v>
      </c>
      <c r="B8090" s="1" t="s">
        <v>6610</v>
      </c>
      <c r="C8090" s="1" t="str">
        <f ca="1">IFERROR(__xludf.DUMMYFUNCTION("GOOGLETRANSLATE(B8206,""en"",""ja"")"),"悪くなります")</f>
        <v>悪くなります</v>
      </c>
    </row>
    <row r="8091" spans="1:3" ht="18" customHeight="1" x14ac:dyDescent="0.3">
      <c r="A8091" s="1">
        <v>2</v>
      </c>
      <c r="B8091" s="1" t="s">
        <v>6611</v>
      </c>
      <c r="C8091" s="1" t="str">
        <f ca="1">IFERROR(__xludf.DUMMYFUNCTION("GOOGLETRANSLATE(B8207,""en"",""ja"")"),"心配")</f>
        <v>心配</v>
      </c>
    </row>
    <row r="8092" spans="1:3" ht="18" customHeight="1" x14ac:dyDescent="0.3">
      <c r="A8092" s="1">
        <v>2</v>
      </c>
      <c r="B8092" s="1" t="s">
        <v>6612</v>
      </c>
      <c r="C8092" s="1" t="str">
        <f ca="1">IFERROR(__xludf.DUMMYFUNCTION("GOOGLETRANSLATE(B8208,""en"",""ja"")"),"やっかいな")</f>
        <v>やっかいな</v>
      </c>
    </row>
    <row r="8093" spans="1:3" ht="18" customHeight="1" x14ac:dyDescent="0.3">
      <c r="A8093" s="1">
        <v>2</v>
      </c>
      <c r="B8093" s="1" t="s">
        <v>6613</v>
      </c>
      <c r="C8093" s="1" t="str">
        <f ca="1">IFERROR(__xludf.DUMMYFUNCTION("GOOGLETRANSLATE(B8209,""en"",""ja"")"),"労働力")</f>
        <v>労働力</v>
      </c>
    </row>
    <row r="8094" spans="1:3" ht="18" customHeight="1" x14ac:dyDescent="0.3">
      <c r="A8094" s="1">
        <v>2</v>
      </c>
      <c r="B8094" s="1" t="s">
        <v>6614</v>
      </c>
      <c r="C8094" s="1" t="str">
        <f ca="1">IFERROR(__xludf.DUMMYFUNCTION("GOOGLETRANSLATE(B8210,""en"",""ja"")"),"ウール")</f>
        <v>ウール</v>
      </c>
    </row>
    <row r="8095" spans="1:3" ht="18" customHeight="1" x14ac:dyDescent="0.3">
      <c r="A8095" s="1">
        <v>2</v>
      </c>
      <c r="B8095" s="1" t="s">
        <v>131</v>
      </c>
      <c r="C8095" s="1" t="str">
        <f ca="1">IFERROR(__xludf.DUMMYFUNCTION("GOOGLETRANSLATE(B8211,""en"",""ja"")"),"以内に")</f>
        <v>以内に</v>
      </c>
    </row>
    <row r="8096" spans="1:3" ht="18" customHeight="1" x14ac:dyDescent="0.3">
      <c r="A8096" s="1">
        <v>2</v>
      </c>
      <c r="B8096" s="1" t="s">
        <v>6615</v>
      </c>
      <c r="C8096" s="1" t="str">
        <f ca="1">IFERROR(__xludf.DUMMYFUNCTION("GOOGLETRANSLATE(B8212,""en"",""ja"")"),"ウィスコンシン州")</f>
        <v>ウィスコンシン州</v>
      </c>
    </row>
    <row r="8097" spans="1:3" ht="18" customHeight="1" x14ac:dyDescent="0.3">
      <c r="A8097" s="1">
        <v>2</v>
      </c>
      <c r="B8097" s="1" t="s">
        <v>6616</v>
      </c>
      <c r="C8097" s="1" t="str">
        <f ca="1">IFERROR(__xludf.DUMMYFUNCTION("GOOGLETRANSLATE(B8213,""en"",""ja"")"),"受賞")</f>
        <v>受賞</v>
      </c>
    </row>
    <row r="8098" spans="1:3" ht="18" customHeight="1" x14ac:dyDescent="0.3">
      <c r="A8098" s="1">
        <v>2</v>
      </c>
      <c r="B8098" s="1" t="s">
        <v>3156</v>
      </c>
      <c r="C8098" s="1" t="str">
        <f ca="1">IFERROR(__xludf.DUMMYFUNCTION("GOOGLETRANSLATE(B8214,""en"",""ja"")"),"羽")</f>
        <v>羽</v>
      </c>
    </row>
    <row r="8099" spans="1:3" ht="18" customHeight="1" x14ac:dyDescent="0.3">
      <c r="A8099" s="1">
        <v>2</v>
      </c>
      <c r="B8099" s="1" t="s">
        <v>6617</v>
      </c>
      <c r="C8099" s="1" t="str">
        <f ca="1">IFERROR(__xludf.DUMMYFUNCTION("GOOGLETRANSLATE(B8215,""en"",""ja"")"),"ウィリアム")</f>
        <v>ウィリアム</v>
      </c>
    </row>
    <row r="8100" spans="1:3" ht="18" customHeight="1" x14ac:dyDescent="0.3">
      <c r="A8100" s="1">
        <v>2</v>
      </c>
      <c r="B8100" s="1" t="s">
        <v>6618</v>
      </c>
      <c r="C8100" s="1" t="str">
        <f ca="1">IFERROR(__xludf.DUMMYFUNCTION("GOOGLETRANSLATE(B8216,""en"",""ja"")"),"ホイッグ党")</f>
        <v>ホイッグ党</v>
      </c>
    </row>
    <row r="8101" spans="1:3" ht="18" customHeight="1" x14ac:dyDescent="0.3">
      <c r="A8101" s="1">
        <v>2</v>
      </c>
      <c r="B8101" s="1" t="s">
        <v>4245</v>
      </c>
      <c r="C8101" s="1" t="str">
        <f ca="1">IFERROR(__xludf.DUMMYFUNCTION("GOOGLETRANSLATE(B8217,""en"",""ja"")"),"ホイッグ")</f>
        <v>ホイッグ</v>
      </c>
    </row>
    <row r="8102" spans="1:3" ht="18" customHeight="1" x14ac:dyDescent="0.3">
      <c r="A8102" s="1">
        <v>2</v>
      </c>
      <c r="B8102" s="1" t="s">
        <v>6619</v>
      </c>
      <c r="C8102" s="1" t="str">
        <f ca="1">IFERROR(__xludf.DUMMYFUNCTION("GOOGLETRANSLATE(B8218,""en"",""ja"")"),"西洋")</f>
        <v>西洋</v>
      </c>
    </row>
    <row r="8103" spans="1:3" ht="18" customHeight="1" x14ac:dyDescent="0.3">
      <c r="A8103" s="1">
        <v>2</v>
      </c>
      <c r="B8103" s="1" t="s">
        <v>6620</v>
      </c>
      <c r="C8103" s="1" t="str">
        <f ca="1">IFERROR(__xludf.DUMMYFUNCTION("GOOGLETRANSLATE(B8219,""en"",""ja"")"),"ワトソン")</f>
        <v>ワトソン</v>
      </c>
    </row>
    <row r="8104" spans="1:3" ht="18" customHeight="1" x14ac:dyDescent="0.3">
      <c r="A8104" s="1">
        <v>2</v>
      </c>
      <c r="B8104" s="1" t="s">
        <v>6621</v>
      </c>
      <c r="C8104" s="1" t="str">
        <f ca="1">IFERROR(__xludf.DUMMYFUNCTION("GOOGLETRANSLATE(B8220,""en"",""ja"")"),"ワシントン")</f>
        <v>ワシントン</v>
      </c>
    </row>
    <row r="8105" spans="1:3" ht="18" customHeight="1" x14ac:dyDescent="0.3">
      <c r="A8105" s="1">
        <v>2</v>
      </c>
      <c r="B8105" s="1" t="s">
        <v>6622</v>
      </c>
      <c r="C8105" s="1" t="str">
        <f ca="1">IFERROR(__xludf.DUMMYFUNCTION("GOOGLETRANSLATE(B8221,""en"",""ja"")"),"戦時")</f>
        <v>戦時</v>
      </c>
    </row>
    <row r="8106" spans="1:3" ht="18" customHeight="1" x14ac:dyDescent="0.3">
      <c r="A8106" s="1">
        <v>2</v>
      </c>
      <c r="B8106" s="1" t="s">
        <v>6623</v>
      </c>
      <c r="C8106" s="1" t="str">
        <f ca="1">IFERROR(__xludf.DUMMYFUNCTION("GOOGLETRANSLATE(B8222,""en"",""ja"")"),"戦争")</f>
        <v>戦争</v>
      </c>
    </row>
    <row r="8107" spans="1:3" ht="18" customHeight="1" x14ac:dyDescent="0.3">
      <c r="A8107" s="1">
        <v>2</v>
      </c>
      <c r="B8107" s="1" t="s">
        <v>6624</v>
      </c>
      <c r="C8107" s="1" t="str">
        <f ca="1">IFERROR(__xludf.DUMMYFUNCTION("GOOGLETRANSLATE(B8223,""en"",""ja"")"),"警告")</f>
        <v>警告</v>
      </c>
    </row>
    <row r="8108" spans="1:3" ht="18" customHeight="1" x14ac:dyDescent="0.3">
      <c r="A8108" s="1">
        <v>2</v>
      </c>
      <c r="B8108" s="1" t="s">
        <v>5234</v>
      </c>
      <c r="C8108" s="1" t="str">
        <f ca="1">IFERROR(__xludf.DUMMYFUNCTION("GOOGLETRANSLATE(B8224,""en"",""ja"")"),"暖かさ")</f>
        <v>暖かさ</v>
      </c>
    </row>
    <row r="8109" spans="1:3" ht="18" customHeight="1" x14ac:dyDescent="0.3">
      <c r="A8109" s="1">
        <v>2</v>
      </c>
      <c r="B8109" s="1" t="s">
        <v>5237</v>
      </c>
      <c r="C8109" s="1" t="str">
        <f ca="1">IFERROR(__xludf.DUMMYFUNCTION("GOOGLETRANSLATE(B8225,""en"",""ja"")"),"待つ")</f>
        <v>待つ</v>
      </c>
    </row>
    <row r="8110" spans="1:3" ht="18" customHeight="1" x14ac:dyDescent="0.3">
      <c r="A8110" s="1">
        <v>2</v>
      </c>
      <c r="B8110" s="1" t="s">
        <v>3163</v>
      </c>
      <c r="C8110" s="1" t="str">
        <f ca="1">IFERROR(__xludf.DUMMYFUNCTION("GOOGLETRANSLATE(B8226,""en"",""ja"")"),"ヴォルテール")</f>
        <v>ヴォルテール</v>
      </c>
    </row>
    <row r="8111" spans="1:3" ht="18" customHeight="1" x14ac:dyDescent="0.3">
      <c r="A8111" s="1">
        <v>2</v>
      </c>
      <c r="B8111" s="1" t="s">
        <v>6625</v>
      </c>
      <c r="C8111" s="1" t="str">
        <f ca="1">IFERROR(__xludf.DUMMYFUNCTION("GOOGLETRANSLATE(B8227,""en"",""ja"")"),"意志")</f>
        <v>意志</v>
      </c>
    </row>
    <row r="8112" spans="1:3" ht="18" customHeight="1" x14ac:dyDescent="0.3">
      <c r="A8112" s="1">
        <v>2</v>
      </c>
      <c r="B8112" s="1" t="s">
        <v>6626</v>
      </c>
      <c r="C8112" s="1" t="str">
        <f ca="1">IFERROR(__xludf.DUMMYFUNCTION("GOOGLETRANSLATE(B8228,""en"",""ja"")"),"鮮やか")</f>
        <v>鮮やか</v>
      </c>
    </row>
    <row r="8113" spans="1:3" ht="18" customHeight="1" x14ac:dyDescent="0.3">
      <c r="A8113" s="1">
        <v>2</v>
      </c>
      <c r="B8113" s="1" t="s">
        <v>6627</v>
      </c>
      <c r="C8113" s="1" t="str">
        <f ca="1">IFERROR(__xludf.DUMMYFUNCTION("GOOGLETRANSLATE(B8229,""en"",""ja"")"),"徳の高いです")</f>
        <v>徳の高いです</v>
      </c>
    </row>
    <row r="8114" spans="1:3" ht="18" customHeight="1" x14ac:dyDescent="0.3">
      <c r="A8114" s="1">
        <v>2</v>
      </c>
      <c r="B8114" s="1" t="s">
        <v>1037</v>
      </c>
      <c r="C8114" s="1" t="str">
        <f ca="1">IFERROR(__xludf.DUMMYFUNCTION("GOOGLETRANSLATE(B8230,""en"",""ja"")"),"実際に")</f>
        <v>実際に</v>
      </c>
    </row>
    <row r="8115" spans="1:3" ht="18" customHeight="1" x14ac:dyDescent="0.3">
      <c r="A8115" s="1">
        <v>2</v>
      </c>
      <c r="B8115" s="1" t="s">
        <v>5247</v>
      </c>
      <c r="C8115" s="1" t="str">
        <f ca="1">IFERROR(__xludf.DUMMYFUNCTION("GOOGLETRANSLATE(B8231,""en"",""ja"")"),"バイオリン")</f>
        <v>バイオリン</v>
      </c>
    </row>
    <row r="8116" spans="1:3" ht="18" customHeight="1" x14ac:dyDescent="0.3">
      <c r="A8116" s="1">
        <v>2</v>
      </c>
      <c r="B8116" s="1" t="s">
        <v>6628</v>
      </c>
      <c r="C8116" s="1" t="str">
        <f ca="1">IFERROR(__xludf.DUMMYFUNCTION("GOOGLETRANSLATE(B8232,""en"",""ja"")"),"可能性")</f>
        <v>可能性</v>
      </c>
    </row>
    <row r="8117" spans="1:3" ht="18" customHeight="1" x14ac:dyDescent="0.3">
      <c r="A8117" s="1">
        <v>2</v>
      </c>
      <c r="B8117" s="1" t="s">
        <v>6629</v>
      </c>
      <c r="C8117" s="1" t="str">
        <f ca="1">IFERROR(__xludf.DUMMYFUNCTION("GOOGLETRANSLATE(B8233,""en"",""ja"")"),"金星")</f>
        <v>金星</v>
      </c>
    </row>
    <row r="8118" spans="1:3" ht="18" customHeight="1" x14ac:dyDescent="0.3">
      <c r="A8118" s="1">
        <v>2</v>
      </c>
      <c r="B8118" s="1" t="s">
        <v>3169</v>
      </c>
      <c r="C8118" s="1" t="str">
        <f ca="1">IFERROR(__xludf.DUMMYFUNCTION("GOOGLETRANSLATE(B8234,""en"",""ja"")"),"大幅に")</f>
        <v>大幅に</v>
      </c>
    </row>
    <row r="8119" spans="1:3" ht="18" customHeight="1" x14ac:dyDescent="0.3">
      <c r="A8119" s="1">
        <v>2</v>
      </c>
      <c r="B8119" s="1" t="s">
        <v>6630</v>
      </c>
      <c r="C8119" s="1" t="str">
        <f ca="1">IFERROR(__xludf.DUMMYFUNCTION("GOOGLETRANSLATE(B8235,""en"",""ja"")"),"有効")</f>
        <v>有効</v>
      </c>
    </row>
    <row r="8120" spans="1:3" ht="18" customHeight="1" x14ac:dyDescent="0.3">
      <c r="A8120" s="1">
        <v>2</v>
      </c>
      <c r="B8120" s="1" t="s">
        <v>4269</v>
      </c>
      <c r="C8120" s="1" t="str">
        <f ca="1">IFERROR(__xludf.DUMMYFUNCTION("GOOGLETRANSLATE(B8237,""en"",""ja"")"),"全く")</f>
        <v>全く</v>
      </c>
    </row>
    <row r="8121" spans="1:3" ht="18" customHeight="1" x14ac:dyDescent="0.3">
      <c r="A8121" s="1">
        <v>2</v>
      </c>
      <c r="B8121" s="1" t="s">
        <v>6631</v>
      </c>
      <c r="C8121" s="1" t="str">
        <f ca="1">IFERROR(__xludf.DUMMYFUNCTION("GOOGLETRANSLATE(B8238,""en"",""ja"")"),"ユートピア")</f>
        <v>ユートピア</v>
      </c>
    </row>
    <row r="8122" spans="1:3" ht="18" customHeight="1" x14ac:dyDescent="0.3">
      <c r="A8122" s="1">
        <v>2</v>
      </c>
      <c r="B8122" s="1" t="s">
        <v>6632</v>
      </c>
      <c r="C8122" s="1" t="str">
        <f ca="1">IFERROR(__xludf.DUMMYFUNCTION("GOOGLETRANSLATE(B8239,""en"",""ja"")"),"使用法")</f>
        <v>使用法</v>
      </c>
    </row>
    <row r="8123" spans="1:3" ht="18" customHeight="1" x14ac:dyDescent="0.3">
      <c r="A8123" s="1">
        <v>2</v>
      </c>
      <c r="B8123" s="1" t="s">
        <v>6633</v>
      </c>
      <c r="C8123" s="1" t="str">
        <f ca="1">IFERROR(__xludf.DUMMYFUNCTION("GOOGLETRANSLATE(B8240,""en"",""ja"")"),"促しました")</f>
        <v>促しました</v>
      </c>
    </row>
    <row r="8124" spans="1:3" ht="18" customHeight="1" x14ac:dyDescent="0.3">
      <c r="A8124" s="1">
        <v>2</v>
      </c>
      <c r="B8124" s="1" t="s">
        <v>2501</v>
      </c>
      <c r="C8124" s="1" t="str">
        <f ca="1">IFERROR(__xludf.DUMMYFUNCTION("GOOGLETRANSLATE(B8241,""en"",""ja"")"),"都市化")</f>
        <v>都市化</v>
      </c>
    </row>
    <row r="8125" spans="1:3" ht="18" customHeight="1" x14ac:dyDescent="0.3">
      <c r="A8125" s="1">
        <v>2</v>
      </c>
      <c r="B8125" s="1" t="s">
        <v>257</v>
      </c>
      <c r="C8125" s="1" t="str">
        <f ca="1">IFERROR(__xludf.DUMMYFUNCTION("GOOGLETRANSLATE(B8242,""en"",""ja"")"),"に")</f>
        <v>に</v>
      </c>
    </row>
    <row r="8126" spans="1:3" ht="18" customHeight="1" x14ac:dyDescent="0.3">
      <c r="A8126" s="1">
        <v>2</v>
      </c>
      <c r="B8126" s="1" t="s">
        <v>6634</v>
      </c>
      <c r="C8126" s="1" t="str">
        <f ca="1">IFERROR(__xludf.DUMMYFUNCTION("GOOGLETRANSLATE(B8243,""en"",""ja"")"),"支持します")</f>
        <v>支持します</v>
      </c>
    </row>
    <row r="8127" spans="1:3" ht="18" customHeight="1" x14ac:dyDescent="0.3">
      <c r="A8127" s="1">
        <v>2</v>
      </c>
      <c r="B8127" s="1" t="s">
        <v>6635</v>
      </c>
      <c r="C8127" s="1" t="str">
        <f ca="1">IFERROR(__xludf.DUMMYFUNCTION("GOOGLETRANSLATE(B8244,""en"",""ja"")"),"更新")</f>
        <v>更新</v>
      </c>
    </row>
    <row r="8128" spans="1:3" ht="18" customHeight="1" x14ac:dyDescent="0.3">
      <c r="A8128" s="1">
        <v>2</v>
      </c>
      <c r="B8128" s="1" t="s">
        <v>6636</v>
      </c>
      <c r="C8128" s="1" t="str">
        <f ca="1">IFERROR(__xludf.DUMMYFUNCTION("GOOGLETRANSLATE(B8245,""en"",""ja"")"),"知らず知らずのうちに")</f>
        <v>知らず知らずのうちに</v>
      </c>
    </row>
    <row r="8129" spans="1:3" ht="18" customHeight="1" x14ac:dyDescent="0.3">
      <c r="A8129" s="1">
        <v>2</v>
      </c>
      <c r="B8129" s="1" t="s">
        <v>6637</v>
      </c>
      <c r="C8129" s="1" t="str">
        <f ca="1">IFERROR(__xludf.DUMMYFUNCTION("GOOGLETRANSLATE(B8246,""en"",""ja"")"),"暗黙")</f>
        <v>暗黙</v>
      </c>
    </row>
    <row r="8130" spans="1:3" ht="18" customHeight="1" x14ac:dyDescent="0.3">
      <c r="A8130" s="1">
        <v>2</v>
      </c>
      <c r="B8130" s="1" t="s">
        <v>6638</v>
      </c>
      <c r="C8130" s="1" t="str">
        <f ca="1">IFERROR(__xludf.DUMMYFUNCTION("GOOGLETRANSLATE(B8247,""en"",""ja"")"),"暗黙")</f>
        <v>暗黙</v>
      </c>
    </row>
    <row r="8131" spans="1:3" ht="18" customHeight="1" x14ac:dyDescent="0.3">
      <c r="A8131" s="1">
        <v>2</v>
      </c>
      <c r="B8131" s="1" t="s">
        <v>4284</v>
      </c>
      <c r="C8131" s="1" t="str">
        <f ca="1">IFERROR(__xludf.DUMMYFUNCTION("GOOGLETRANSLATE(B8248,""en"",""ja"")"),"無資格の")</f>
        <v>無資格の</v>
      </c>
    </row>
    <row r="8132" spans="1:3" ht="18" customHeight="1" x14ac:dyDescent="0.3">
      <c r="A8132" s="1">
        <v>2</v>
      </c>
      <c r="B8132" s="1" t="s">
        <v>6639</v>
      </c>
      <c r="C8132" s="1" t="str">
        <f ca="1">IFERROR(__xludf.DUMMYFUNCTION("GOOGLETRANSLATE(B8249,""en"",""ja"")"),"専門外の")</f>
        <v>専門外の</v>
      </c>
    </row>
    <row r="8133" spans="1:3" ht="18" customHeight="1" x14ac:dyDescent="0.3">
      <c r="A8133" s="1">
        <v>2</v>
      </c>
      <c r="B8133" s="1" t="s">
        <v>3174</v>
      </c>
      <c r="C8133" s="1" t="str">
        <f ca="1">IFERROR(__xludf.DUMMYFUNCTION("GOOGLETRANSLATE(B8250,""en"",""ja"")"),"非摂動")</f>
        <v>非摂動</v>
      </c>
    </row>
    <row r="8134" spans="1:3" ht="18" customHeight="1" x14ac:dyDescent="0.3">
      <c r="A8134" s="1">
        <v>2</v>
      </c>
      <c r="B8134" s="1" t="s">
        <v>3175</v>
      </c>
      <c r="C8134" s="1" t="str">
        <f ca="1">IFERROR(__xludf.DUMMYFUNCTION("GOOGLETRANSLATE(B8251,""en"",""ja"")"),"人目に付きません")</f>
        <v>人目に付きません</v>
      </c>
    </row>
    <row r="8135" spans="1:3" ht="18" customHeight="1" x14ac:dyDescent="0.3">
      <c r="A8135" s="1">
        <v>2</v>
      </c>
      <c r="B8135" s="1" t="s">
        <v>6640</v>
      </c>
      <c r="C8135" s="1" t="str">
        <f ca="1">IFERROR(__xludf.DUMMYFUNCTION("GOOGLETRANSLATE(B8252,""en"",""ja"")"),"一元")</f>
        <v>一元</v>
      </c>
    </row>
    <row r="8136" spans="1:3" ht="18" customHeight="1" x14ac:dyDescent="0.3">
      <c r="A8136" s="1">
        <v>2</v>
      </c>
      <c r="B8136" s="1" t="s">
        <v>6641</v>
      </c>
      <c r="C8136" s="1" t="str">
        <f ca="1">IFERROR(__xludf.DUMMYFUNCTION("GOOGLETRANSLATE(B8253,""en"",""ja"")"),"一意")</f>
        <v>一意</v>
      </c>
    </row>
    <row r="8137" spans="1:3" ht="18" customHeight="1" x14ac:dyDescent="0.3">
      <c r="A8137" s="1">
        <v>2</v>
      </c>
      <c r="B8137" s="1" t="s">
        <v>3178</v>
      </c>
      <c r="C8137" s="1" t="str">
        <f ca="1">IFERROR(__xludf.DUMMYFUNCTION("GOOGLETRANSLATE(B8254,""en"",""ja"")"),"展開]")</f>
        <v>展開]</v>
      </c>
    </row>
    <row r="8138" spans="1:3" ht="18" customHeight="1" x14ac:dyDescent="0.3">
      <c r="A8138" s="1">
        <v>2</v>
      </c>
      <c r="B8138" s="1" t="s">
        <v>6642</v>
      </c>
      <c r="C8138" s="1" t="str">
        <f ca="1">IFERROR(__xludf.DUMMYFUNCTION("GOOGLETRANSLATE(B8255,""en"",""ja"")"),"未開発")</f>
        <v>未開発</v>
      </c>
    </row>
    <row r="8139" spans="1:3" ht="18" customHeight="1" x14ac:dyDescent="0.3">
      <c r="A8139" s="1">
        <v>2</v>
      </c>
      <c r="B8139" s="1" t="s">
        <v>6643</v>
      </c>
      <c r="C8139" s="1" t="str">
        <f ca="1">IFERROR(__xludf.DUMMYFUNCTION("GOOGLETRANSLATE(B8256,""en"",""ja"")"),"underpriviledged")</f>
        <v>underpriviledged</v>
      </c>
    </row>
    <row r="8140" spans="1:3" ht="18" customHeight="1" x14ac:dyDescent="0.3">
      <c r="A8140" s="1">
        <v>2</v>
      </c>
      <c r="B8140" s="1" t="s">
        <v>6644</v>
      </c>
      <c r="C8140" s="1" t="str">
        <f ca="1">IFERROR(__xludf.DUMMYFUNCTION("GOOGLETRANSLATE(B8257,""en"",""ja"")"),"underexpectancy")</f>
        <v>underexpectancy</v>
      </c>
    </row>
    <row r="8141" spans="1:3" ht="18" customHeight="1" x14ac:dyDescent="0.3">
      <c r="A8141" s="1">
        <v>2</v>
      </c>
      <c r="B8141" s="1" t="s">
        <v>6645</v>
      </c>
      <c r="C8141" s="1" t="str">
        <f ca="1">IFERROR(__xludf.DUMMYFUNCTION("GOOGLETRANSLATE(B8258,""en"",""ja"")"),"UNCOVER")</f>
        <v>UNCOVER</v>
      </c>
    </row>
    <row r="8142" spans="1:3" ht="18" customHeight="1" x14ac:dyDescent="0.3">
      <c r="A8142" s="1">
        <v>2</v>
      </c>
      <c r="B8142" s="1" t="s">
        <v>6646</v>
      </c>
      <c r="C8142" s="1" t="str">
        <f ca="1">IFERROR(__xludf.DUMMYFUNCTION("GOOGLETRANSLATE(B8259,""en"",""ja"")"),"手に負えない")</f>
        <v>手に負えない</v>
      </c>
    </row>
    <row r="8143" spans="1:3" ht="18" customHeight="1" x14ac:dyDescent="0.3">
      <c r="A8143" s="1">
        <v>2</v>
      </c>
      <c r="B8143" s="1" t="s">
        <v>6647</v>
      </c>
      <c r="C8143" s="1" t="str">
        <f ca="1">IFERROR(__xludf.DUMMYFUNCTION("GOOGLETRANSLATE(B8260,""en"",""ja"")"),"拘束されていません")</f>
        <v>拘束されていません</v>
      </c>
    </row>
    <row r="8144" spans="1:3" ht="18" customHeight="1" x14ac:dyDescent="0.3">
      <c r="A8144" s="1">
        <v>2</v>
      </c>
      <c r="B8144" s="1" t="s">
        <v>3798</v>
      </c>
      <c r="C8144" s="1" t="str">
        <f ca="1">IFERROR(__xludf.DUMMYFUNCTION("GOOGLETRANSLATE(B8261,""en"",""ja"")"),"無意識")</f>
        <v>無意識</v>
      </c>
    </row>
    <row r="8145" spans="1:3" ht="18" customHeight="1" x14ac:dyDescent="0.3">
      <c r="A8145" s="1">
        <v>2</v>
      </c>
      <c r="B8145" s="1" t="s">
        <v>6648</v>
      </c>
      <c r="C8145" s="1" t="str">
        <f ca="1">IFERROR(__xludf.DUMMYFUNCTION("GOOGLETRANSLATE(B8262,""en"",""ja"")"),"uncon")</f>
        <v>uncon</v>
      </c>
    </row>
    <row r="8146" spans="1:3" ht="18" customHeight="1" x14ac:dyDescent="0.3">
      <c r="A8146" s="1">
        <v>2</v>
      </c>
      <c r="B8146" s="1" t="s">
        <v>6649</v>
      </c>
      <c r="C8146" s="1" t="str">
        <f ca="1">IFERROR(__xludf.DUMMYFUNCTION("GOOGLETRANSLATE(B8263,""en"",""ja"")"),"不確実")</f>
        <v>不確実</v>
      </c>
    </row>
    <row r="8147" spans="1:3" ht="18" customHeight="1" x14ac:dyDescent="0.3">
      <c r="A8147" s="1">
        <v>2</v>
      </c>
      <c r="B8147" s="1" t="s">
        <v>6650</v>
      </c>
      <c r="C8147" s="1" t="str">
        <f ca="1">IFERROR(__xludf.DUMMYFUNCTION("GOOGLETRANSLATE(B8265,""en"",""ja"")"),"unassertive")</f>
        <v>unassertive</v>
      </c>
    </row>
    <row r="8148" spans="1:3" ht="18" customHeight="1" x14ac:dyDescent="0.3">
      <c r="A8148" s="1">
        <v>2</v>
      </c>
      <c r="B8148" s="1" t="s">
        <v>6651</v>
      </c>
      <c r="C8148" s="1" t="str">
        <f ca="1">IFERROR(__xludf.DUMMYFUNCTION("GOOGLETRANSLATE(B8266,""en"",""ja"")"),"全会一致")</f>
        <v>全会一致</v>
      </c>
    </row>
    <row r="8149" spans="1:3" ht="18" customHeight="1" x14ac:dyDescent="0.3">
      <c r="A8149" s="1">
        <v>2</v>
      </c>
      <c r="B8149" s="1" t="s">
        <v>6652</v>
      </c>
      <c r="C8149" s="1" t="str">
        <f ca="1">IFERROR(__xludf.DUMMYFUNCTION("GOOGLETRANSLATE(B8267,""en"",""ja"")"),"不慣れな")</f>
        <v>不慣れな</v>
      </c>
    </row>
    <row r="8150" spans="1:3" ht="18" customHeight="1" x14ac:dyDescent="0.3">
      <c r="A8150" s="1">
        <v>2</v>
      </c>
      <c r="B8150" s="1" t="s">
        <v>6653</v>
      </c>
      <c r="C8150" s="1" t="str">
        <f ca="1">IFERROR(__xludf.DUMMYFUNCTION("GOOGLETRANSLATE(B8268,""en"",""ja"")"),"容認できません")</f>
        <v>容認できません</v>
      </c>
    </row>
    <row r="8151" spans="1:3" ht="18" customHeight="1" x14ac:dyDescent="0.3">
      <c r="A8151" s="1">
        <v>2</v>
      </c>
      <c r="B8151" s="1" t="s">
        <v>6654</v>
      </c>
      <c r="C8151" s="1" t="str">
        <f ca="1">IFERROR(__xludf.DUMMYFUNCTION("GOOGLETRANSLATE(B8269,""en"",""ja"")"),"横暴")</f>
        <v>横暴</v>
      </c>
    </row>
    <row r="8152" spans="1:3" ht="18" customHeight="1" x14ac:dyDescent="0.3">
      <c r="A8152" s="1">
        <v>2</v>
      </c>
      <c r="B8152" s="1" t="s">
        <v>6655</v>
      </c>
      <c r="C8152" s="1" t="str">
        <f ca="1">IFERROR(__xludf.DUMMYFUNCTION("GOOGLETRANSLATE(B8270,""en"",""ja"")"),"ねじれ")</f>
        <v>ねじれ</v>
      </c>
    </row>
    <row r="8153" spans="1:3" ht="18" customHeight="1" x14ac:dyDescent="0.3">
      <c r="A8153" s="1">
        <v>2</v>
      </c>
      <c r="B8153" s="1" t="s">
        <v>4303</v>
      </c>
      <c r="C8153" s="1" t="str">
        <f ca="1">IFERROR(__xludf.DUMMYFUNCTION("GOOGLETRANSLATE(B8271,""en"",""ja"")"),"二十")</f>
        <v>二十</v>
      </c>
    </row>
    <row r="8154" spans="1:3" ht="18" customHeight="1" x14ac:dyDescent="0.3">
      <c r="A8154" s="1">
        <v>2</v>
      </c>
      <c r="B8154" s="1" t="s">
        <v>814</v>
      </c>
      <c r="C8154" s="1" t="str">
        <f ca="1">IFERROR(__xludf.DUMMYFUNCTION("GOOGLETRANSLATE(B8272,""en"",""ja"")"),"テレビ")</f>
        <v>テレビ</v>
      </c>
    </row>
    <row r="8155" spans="1:3" ht="18" customHeight="1" x14ac:dyDescent="0.3">
      <c r="A8155" s="1">
        <v>2</v>
      </c>
      <c r="B8155" s="1" t="s">
        <v>6656</v>
      </c>
      <c r="C8155" s="1" t="str">
        <f ca="1">IFERROR(__xludf.DUMMYFUNCTION("GOOGLETRANSLATE(B8273,""en"",""ja"")"),"売上高")</f>
        <v>売上高</v>
      </c>
    </row>
    <row r="8156" spans="1:3" ht="18" customHeight="1" x14ac:dyDescent="0.3">
      <c r="A8156" s="1">
        <v>2</v>
      </c>
      <c r="B8156" s="1" t="s">
        <v>6657</v>
      </c>
      <c r="C8156" s="1" t="str">
        <f ca="1">IFERROR(__xludf.DUMMYFUNCTION("GOOGLETRANSLATE(B8274,""en"",""ja"")"),"トゥーレス")</f>
        <v>トゥーレス</v>
      </c>
    </row>
    <row r="8157" spans="1:3" ht="18" customHeight="1" x14ac:dyDescent="0.3">
      <c r="A8157" s="1">
        <v>2</v>
      </c>
      <c r="B8157" s="1" t="s">
        <v>3186</v>
      </c>
      <c r="C8157" s="1" t="str">
        <f ca="1">IFERROR(__xludf.DUMMYFUNCTION("GOOGLETRANSLATE(B8275,""en"",""ja"")"),"大騒ぎ")</f>
        <v>大騒ぎ</v>
      </c>
    </row>
    <row r="8158" spans="1:3" ht="18" customHeight="1" x14ac:dyDescent="0.3">
      <c r="A8158" s="1">
        <v>2</v>
      </c>
      <c r="B8158" s="1" t="s">
        <v>4304</v>
      </c>
      <c r="C8158" s="1" t="str">
        <f ca="1">IFERROR(__xludf.DUMMYFUNCTION("GOOGLETRANSLATE(B8276,""en"",""ja"")"),"学費")</f>
        <v>学費</v>
      </c>
    </row>
    <row r="8159" spans="1:3" ht="18" customHeight="1" x14ac:dyDescent="0.3">
      <c r="A8159" s="1">
        <v>2</v>
      </c>
      <c r="B8159" s="1" t="s">
        <v>4305</v>
      </c>
      <c r="C8159" s="1" t="str">
        <f ca="1">IFERROR(__xludf.DUMMYFUNCTION("GOOGLETRANSLATE(B8277,""en"",""ja"")"),"真実")</f>
        <v>真実</v>
      </c>
    </row>
    <row r="8160" spans="1:3" ht="18" customHeight="1" x14ac:dyDescent="0.3">
      <c r="A8160" s="1">
        <v>2</v>
      </c>
      <c r="B8160" s="1" t="s">
        <v>4306</v>
      </c>
      <c r="C8160" s="1" t="str">
        <f ca="1">IFERROR(__xludf.DUMMYFUNCTION("GOOGLETRANSLATE(B8278,""en"",""ja"")"),"やっかいな")</f>
        <v>やっかいな</v>
      </c>
    </row>
    <row r="8161" spans="1:3" ht="18" customHeight="1" x14ac:dyDescent="0.3">
      <c r="A8161" s="1">
        <v>2</v>
      </c>
      <c r="B8161" s="1" t="s">
        <v>6658</v>
      </c>
      <c r="C8161" s="1" t="str">
        <f ca="1">IFERROR(__xludf.DUMMYFUNCTION("GOOGLETRANSLATE(B8279,""en"",""ja"")"),"回帰線")</f>
        <v>回帰線</v>
      </c>
    </row>
    <row r="8162" spans="1:3" ht="18" customHeight="1" x14ac:dyDescent="0.3">
      <c r="A8162" s="1">
        <v>2</v>
      </c>
      <c r="B8162" s="1" t="s">
        <v>6659</v>
      </c>
      <c r="C8162" s="1" t="str">
        <f ca="1">IFERROR(__xludf.DUMMYFUNCTION("GOOGLETRANSLATE(B8280,""en"",""ja"")"),"軍")</f>
        <v>軍</v>
      </c>
    </row>
    <row r="8163" spans="1:3" ht="18" customHeight="1" x14ac:dyDescent="0.3">
      <c r="A8163" s="1">
        <v>2</v>
      </c>
      <c r="B8163" s="1" t="s">
        <v>6660</v>
      </c>
      <c r="C8163" s="1" t="str">
        <f ca="1">IFERROR(__xludf.DUMMYFUNCTION("GOOGLETRANSLATE(B8281,""en"",""ja"")"),"御馳走")</f>
        <v>御馳走</v>
      </c>
    </row>
    <row r="8164" spans="1:3" ht="18" customHeight="1" x14ac:dyDescent="0.3">
      <c r="A8164" s="1">
        <v>2</v>
      </c>
      <c r="B8164" s="1" t="s">
        <v>6661</v>
      </c>
      <c r="C8164" s="1" t="str">
        <f ca="1">IFERROR(__xludf.DUMMYFUNCTION("GOOGLETRANSLATE(B8282,""en"",""ja"")"),"秘蔵")</f>
        <v>秘蔵</v>
      </c>
    </row>
    <row r="8165" spans="1:3" ht="18" customHeight="1" x14ac:dyDescent="0.3">
      <c r="A8165" s="1">
        <v>2</v>
      </c>
      <c r="B8165" s="1" t="s">
        <v>5306</v>
      </c>
      <c r="C8165" s="1" t="str">
        <f ca="1">IFERROR(__xludf.DUMMYFUNCTION("GOOGLETRANSLATE(B8283,""en"",""ja"")"),"ルームランナー")</f>
        <v>ルームランナー</v>
      </c>
    </row>
    <row r="8166" spans="1:3" ht="18" customHeight="1" x14ac:dyDescent="0.3">
      <c r="A8166" s="1">
        <v>2</v>
      </c>
      <c r="B8166" s="1" t="s">
        <v>3808</v>
      </c>
      <c r="C8166" s="1" t="str">
        <f ca="1">IFERROR(__xludf.DUMMYFUNCTION("GOOGLETRANSLATE(B8284,""en"",""ja"")"),"送信")</f>
        <v>送信</v>
      </c>
    </row>
    <row r="8167" spans="1:3" ht="18" customHeight="1" x14ac:dyDescent="0.3">
      <c r="A8167" s="1">
        <v>2</v>
      </c>
      <c r="B8167" s="1" t="s">
        <v>6662</v>
      </c>
      <c r="C8167" s="1" t="str">
        <f ca="1">IFERROR(__xludf.DUMMYFUNCTION("GOOGLETRANSLATE(B8285,""en"",""ja"")"),"訳します")</f>
        <v>訳します</v>
      </c>
    </row>
    <row r="8168" spans="1:3" ht="18" customHeight="1" x14ac:dyDescent="0.3">
      <c r="A8168" s="1">
        <v>2</v>
      </c>
      <c r="B8168" s="1" t="s">
        <v>2512</v>
      </c>
      <c r="C8168" s="1" t="str">
        <f ca="1">IFERROR(__xludf.DUMMYFUNCTION("GOOGLETRANSLATE(B8286,""en"",""ja"")"),"遷移")</f>
        <v>遷移</v>
      </c>
    </row>
    <row r="8169" spans="1:3" ht="18" customHeight="1" x14ac:dyDescent="0.3">
      <c r="A8169" s="1">
        <v>2</v>
      </c>
      <c r="B8169" s="1" t="s">
        <v>6663</v>
      </c>
      <c r="C8169" s="1" t="str">
        <f ca="1">IFERROR(__xludf.DUMMYFUNCTION("GOOGLETRANSLATE(B8287,""en"",""ja"")"),"トランス")</f>
        <v>トランス</v>
      </c>
    </row>
    <row r="8170" spans="1:3" ht="18" customHeight="1" x14ac:dyDescent="0.3">
      <c r="A8170" s="1">
        <v>2</v>
      </c>
      <c r="B8170" s="1" t="s">
        <v>878</v>
      </c>
      <c r="C8170" s="1" t="str">
        <f ca="1">IFERROR(__xludf.DUMMYFUNCTION("GOOGLETRANSLATE(B8288,""en"",""ja"")"),"トレイト")</f>
        <v>トレイト</v>
      </c>
    </row>
    <row r="8171" spans="1:3" ht="18" customHeight="1" x14ac:dyDescent="0.3">
      <c r="A8171" s="1">
        <v>2</v>
      </c>
      <c r="B8171" s="1" t="s">
        <v>6664</v>
      </c>
      <c r="C8171" s="1" t="str">
        <f ca="1">IFERROR(__xludf.DUMMYFUNCTION("GOOGLETRANSLATE(B8289,""en"",""ja"")"),"トラック")</f>
        <v>トラック</v>
      </c>
    </row>
    <row r="8172" spans="1:3" ht="18" customHeight="1" x14ac:dyDescent="0.3">
      <c r="A8172" s="1">
        <v>2</v>
      </c>
      <c r="B8172" s="1" t="s">
        <v>6665</v>
      </c>
      <c r="C8172" s="1" t="str">
        <f ca="1">IFERROR(__xludf.DUMMYFUNCTION("GOOGLETRANSLATE(B8290,""en"",""ja"")"),"タッチ")</f>
        <v>タッチ</v>
      </c>
    </row>
    <row r="8173" spans="1:3" ht="18" customHeight="1" x14ac:dyDescent="0.3">
      <c r="A8173" s="1">
        <v>2</v>
      </c>
      <c r="B8173" s="1" t="s">
        <v>6666</v>
      </c>
      <c r="C8173" s="1" t="str">
        <f ca="1">IFERROR(__xludf.DUMMYFUNCTION("GOOGLETRANSLATE(B8291,""en"",""ja"")"),"保守党")</f>
        <v>保守党</v>
      </c>
    </row>
    <row r="8174" spans="1:3" ht="18" customHeight="1" x14ac:dyDescent="0.3">
      <c r="A8174" s="1">
        <v>2</v>
      </c>
      <c r="B8174" s="1" t="s">
        <v>4312</v>
      </c>
      <c r="C8174" s="1" t="str">
        <f ca="1">IFERROR(__xludf.DUMMYFUNCTION("GOOGLETRANSLATE(B8293,""en"",""ja"")"),"表土")</f>
        <v>表土</v>
      </c>
    </row>
    <row r="8175" spans="1:3" ht="18" customHeight="1" x14ac:dyDescent="0.3">
      <c r="A8175" s="1">
        <v>2</v>
      </c>
      <c r="B8175" s="1" t="s">
        <v>6667</v>
      </c>
      <c r="C8175" s="1" t="str">
        <f ca="1">IFERROR(__xludf.DUMMYFUNCTION("GOOGLETRANSLATE(B8294,""en"",""ja"")"),"歯磨")</f>
        <v>歯磨</v>
      </c>
    </row>
    <row r="8176" spans="1:3" ht="18" customHeight="1" x14ac:dyDescent="0.3">
      <c r="A8176" s="1">
        <v>2</v>
      </c>
      <c r="B8176" s="1" t="s">
        <v>6668</v>
      </c>
      <c r="C8176" s="1" t="str">
        <f ca="1">IFERROR(__xludf.DUMMYFUNCTION("GOOGLETRANSLATE(B8295,""en"",""ja"")"),"トーン")</f>
        <v>トーン</v>
      </c>
    </row>
    <row r="8177" spans="1:3" ht="18" customHeight="1" x14ac:dyDescent="0.3">
      <c r="A8177" s="1">
        <v>2</v>
      </c>
      <c r="B8177" s="1" t="s">
        <v>6669</v>
      </c>
      <c r="C8177" s="1" t="str">
        <f ca="1">IFERROR(__xludf.DUMMYFUNCTION("GOOGLETRANSLATE(B8296,""en"",""ja"")"),"トム")</f>
        <v>トム</v>
      </c>
    </row>
    <row r="8178" spans="1:3" ht="18" customHeight="1" x14ac:dyDescent="0.3">
      <c r="A8178" s="1">
        <v>2</v>
      </c>
      <c r="B8178" s="1" t="s">
        <v>6670</v>
      </c>
      <c r="C8178" s="1" t="str">
        <f ca="1">IFERROR(__xludf.DUMMYFUNCTION("GOOGLETRANSLATE(B8297,""en"",""ja"")"),"東京")</f>
        <v>東京</v>
      </c>
    </row>
    <row r="8179" spans="1:3" ht="18" customHeight="1" x14ac:dyDescent="0.3">
      <c r="A8179" s="1">
        <v>2</v>
      </c>
      <c r="B8179" s="1" t="s">
        <v>2516</v>
      </c>
      <c r="C8179" s="1" t="str">
        <f ca="1">IFERROR(__xludf.DUMMYFUNCTION("GOOGLETRANSLATE(B8298,""en"",""ja"")"),"ティト")</f>
        <v>ティト</v>
      </c>
    </row>
    <row r="8180" spans="1:3" ht="18" customHeight="1" x14ac:dyDescent="0.3">
      <c r="A8180" s="1">
        <v>2</v>
      </c>
      <c r="B8180" s="1" t="s">
        <v>6671</v>
      </c>
      <c r="C8180" s="1" t="str">
        <f ca="1">IFERROR(__xludf.DUMMYFUNCTION("GOOGLETRANSLATE(B8299,""en"",""ja"")"),"題し")</f>
        <v>題し</v>
      </c>
    </row>
    <row r="8181" spans="1:3" ht="18" customHeight="1" x14ac:dyDescent="0.3">
      <c r="A8181" s="1">
        <v>2</v>
      </c>
      <c r="B8181" s="1" t="s">
        <v>5329</v>
      </c>
      <c r="C8181" s="1" t="str">
        <f ca="1">IFERROR(__xludf.DUMMYFUNCTION("GOOGLETRANSLATE(B8300,""en"",""ja"")"),"ション")</f>
        <v>ション</v>
      </c>
    </row>
    <row r="8182" spans="1:3" ht="18" customHeight="1" x14ac:dyDescent="0.3">
      <c r="A8182" s="1">
        <v>2</v>
      </c>
      <c r="B8182" s="1" t="s">
        <v>6672</v>
      </c>
      <c r="C8182" s="1" t="str">
        <f ca="1">IFERROR(__xludf.DUMMYFUNCTION("GOOGLETRANSLATE(B8301,""en"",""ja"")"),"錫")</f>
        <v>錫</v>
      </c>
    </row>
    <row r="8183" spans="1:3" ht="18" customHeight="1" x14ac:dyDescent="0.3">
      <c r="A8183" s="1">
        <v>2</v>
      </c>
      <c r="B8183" s="1" t="s">
        <v>6673</v>
      </c>
      <c r="C8183" s="1" t="str">
        <f ca="1">IFERROR(__xludf.DUMMYFUNCTION("GOOGLETRANSLATE(B8302,""en"",""ja"")"),"引き締め")</f>
        <v>引き締め</v>
      </c>
    </row>
    <row r="8184" spans="1:3" ht="18" customHeight="1" x14ac:dyDescent="0.3">
      <c r="A8184" s="1">
        <v>2</v>
      </c>
      <c r="B8184" s="1" t="s">
        <v>2858</v>
      </c>
      <c r="C8184" s="1" t="str">
        <f ca="1">IFERROR(__xludf.DUMMYFUNCTION("GOOGLETRANSLATE(B8303,""en"",""ja"")"),"ネクタイ")</f>
        <v>ネクタイ</v>
      </c>
    </row>
    <row r="8185" spans="1:3" ht="18" customHeight="1" x14ac:dyDescent="0.3">
      <c r="A8185" s="1">
        <v>2</v>
      </c>
      <c r="B8185" s="1" t="s">
        <v>6674</v>
      </c>
      <c r="C8185" s="1" t="str">
        <f ca="1">IFERROR(__xludf.DUMMYFUNCTION("GOOGLETRANSLATE(B8304,""en"",""ja"")"),"阻みます")</f>
        <v>阻みます</v>
      </c>
    </row>
    <row r="8186" spans="1:3" ht="18" customHeight="1" x14ac:dyDescent="0.3">
      <c r="A8186" s="1">
        <v>2</v>
      </c>
      <c r="B8186" s="1" t="s">
        <v>6675</v>
      </c>
      <c r="C8186" s="1" t="str">
        <f ca="1">IFERROR(__xludf.DUMMYFUNCTION("GOOGLETRANSLATE(B8305,""en"",""ja"")"),"スロー")</f>
        <v>スロー</v>
      </c>
    </row>
    <row r="8187" spans="1:3" ht="18" customHeight="1" x14ac:dyDescent="0.3">
      <c r="A8187" s="1">
        <v>2</v>
      </c>
      <c r="B8187" s="1" t="s">
        <v>6676</v>
      </c>
      <c r="C8187" s="1" t="str">
        <f ca="1">IFERROR(__xludf.DUMMYFUNCTION("GOOGLETRANSLATE(B8306,""en"",""ja"")"),"脅します")</f>
        <v>脅します</v>
      </c>
    </row>
    <row r="8188" spans="1:3" ht="18" customHeight="1" x14ac:dyDescent="0.3">
      <c r="A8188" s="1">
        <v>2</v>
      </c>
      <c r="B8188" s="1" t="s">
        <v>1877</v>
      </c>
      <c r="C8188" s="1" t="str">
        <f ca="1">IFERROR(__xludf.DUMMYFUNCTION("GOOGLETRANSLATE(B8307,""en"",""ja"")"),"脅威")</f>
        <v>脅威</v>
      </c>
    </row>
    <row r="8189" spans="1:3" ht="18" customHeight="1" x14ac:dyDescent="0.3">
      <c r="A8189" s="1">
        <v>2</v>
      </c>
      <c r="B8189" s="1" t="s">
        <v>6677</v>
      </c>
      <c r="C8189" s="1" t="str">
        <f ca="1">IFERROR(__xludf.DUMMYFUNCTION("GOOGLETRANSLATE(B8308,""en"",""ja"")"),"徹底的に")</f>
        <v>徹底的に</v>
      </c>
    </row>
    <row r="8190" spans="1:3" ht="18" customHeight="1" x14ac:dyDescent="0.3">
      <c r="A8190" s="1">
        <v>2</v>
      </c>
      <c r="B8190" s="1" t="s">
        <v>6678</v>
      </c>
      <c r="C8190" s="1" t="str">
        <f ca="1">IFERROR(__xludf.DUMMYFUNCTION("GOOGLETRANSLATE(B8309,""en"",""ja"")"),"30")</f>
        <v>30</v>
      </c>
    </row>
    <row r="8191" spans="1:3" ht="18" customHeight="1" x14ac:dyDescent="0.3">
      <c r="A8191" s="1">
        <v>2</v>
      </c>
      <c r="B8191" s="1" t="s">
        <v>6679</v>
      </c>
      <c r="C8191" s="1" t="str">
        <f ca="1">IFERROR(__xludf.DUMMYFUNCTION("GOOGLETRANSLATE(B8310,""en"",""ja"")"),"濃く")</f>
        <v>濃く</v>
      </c>
    </row>
    <row r="8192" spans="1:3" ht="18" customHeight="1" x14ac:dyDescent="0.3">
      <c r="A8192" s="1">
        <v>2</v>
      </c>
      <c r="B8192" s="1" t="s">
        <v>6680</v>
      </c>
      <c r="C8192" s="1" t="str">
        <f ca="1">IFERROR(__xludf.DUMMYFUNCTION("GOOGLETRANSLATE(B8311,""en"",""ja"")"),"厚い")</f>
        <v>厚い</v>
      </c>
    </row>
    <row r="8193" spans="1:3" ht="18" customHeight="1" x14ac:dyDescent="0.3">
      <c r="A8193" s="1">
        <v>2</v>
      </c>
      <c r="B8193" s="1" t="s">
        <v>6681</v>
      </c>
      <c r="C8193" s="1" t="str">
        <f ca="1">IFERROR(__xludf.DUMMYFUNCTION("GOOGLETRANSLATE(B8313,""en"",""ja"")"),"治療法")</f>
        <v>治療法</v>
      </c>
    </row>
    <row r="8194" spans="1:3" ht="18" customHeight="1" x14ac:dyDescent="0.3">
      <c r="A8194" s="1">
        <v>2</v>
      </c>
      <c r="B8194" s="1" t="s">
        <v>6682</v>
      </c>
      <c r="C8194" s="1" t="str">
        <f ca="1">IFERROR(__xludf.DUMMYFUNCTION("GOOGLETRANSLATE(B8314,""en"",""ja"")"),"理論的には")</f>
        <v>理論的には</v>
      </c>
    </row>
    <row r="8195" spans="1:3" ht="18" customHeight="1" x14ac:dyDescent="0.3">
      <c r="A8195" s="1">
        <v>2</v>
      </c>
      <c r="B8195" s="1" t="s">
        <v>6683</v>
      </c>
      <c r="C8195" s="1" t="str">
        <f ca="1">IFERROR(__xludf.DUMMYFUNCTION("GOOGLETRANSLATE(B8315,""en"",""ja"")"),"テックス")</f>
        <v>テックス</v>
      </c>
    </row>
    <row r="8196" spans="1:3" ht="18" customHeight="1" x14ac:dyDescent="0.3">
      <c r="A8196" s="1">
        <v>2</v>
      </c>
      <c r="B8196" s="1" t="s">
        <v>1740</v>
      </c>
      <c r="C8196" s="1" t="str">
        <f ca="1">IFERROR(__xludf.DUMMYFUNCTION("GOOGLETRANSLATE(B8316,""en"",""ja"")"),"テスト")</f>
        <v>テスト</v>
      </c>
    </row>
    <row r="8197" spans="1:3" ht="18" customHeight="1" x14ac:dyDescent="0.3">
      <c r="A8197" s="1">
        <v>2</v>
      </c>
      <c r="B8197" s="1" t="s">
        <v>3206</v>
      </c>
      <c r="C8197" s="1" t="str">
        <f ca="1">IFERROR(__xludf.DUMMYFUNCTION("GOOGLETRANSLATE(B8317,""en"",""ja"")"),"領土の")</f>
        <v>領土の</v>
      </c>
    </row>
    <row r="8198" spans="1:3" ht="18" customHeight="1" x14ac:dyDescent="0.3">
      <c r="A8198" s="1">
        <v>2</v>
      </c>
      <c r="B8198" s="1" t="s">
        <v>6684</v>
      </c>
      <c r="C8198" s="1" t="str">
        <f ca="1">IFERROR(__xludf.DUMMYFUNCTION("GOOGLETRANSLATE(B8318,""en"",""ja"")"),"地上の")</f>
        <v>地上の</v>
      </c>
    </row>
    <row r="8199" spans="1:3" ht="18" customHeight="1" x14ac:dyDescent="0.3">
      <c r="A8199" s="1">
        <v>2</v>
      </c>
      <c r="B8199" s="1" t="s">
        <v>3208</v>
      </c>
      <c r="C8199" s="1" t="str">
        <f ca="1">IFERROR(__xludf.DUMMYFUNCTION("GOOGLETRANSLATE(B8319,""en"",""ja"")"),"誘惑")</f>
        <v>誘惑</v>
      </c>
    </row>
    <row r="8200" spans="1:3" ht="18" customHeight="1" x14ac:dyDescent="0.3">
      <c r="A8200" s="1">
        <v>2</v>
      </c>
      <c r="B8200" s="1" t="s">
        <v>6685</v>
      </c>
      <c r="C8200" s="1" t="str">
        <f ca="1">IFERROR(__xludf.DUMMYFUNCTION("GOOGLETRANSLATE(B8320,""en"",""ja"")"),"伝えます")</f>
        <v>伝えます</v>
      </c>
    </row>
    <row r="8201" spans="1:3" ht="18" customHeight="1" x14ac:dyDescent="0.3">
      <c r="A8201" s="1">
        <v>2</v>
      </c>
      <c r="B8201" s="1" t="s">
        <v>568</v>
      </c>
      <c r="C8201" s="1" t="str">
        <f ca="1">IFERROR(__xludf.DUMMYFUNCTION("GOOGLETRANSLATE(B8321,""en"",""ja"")"),"テレビ")</f>
        <v>テレビ</v>
      </c>
    </row>
    <row r="8202" spans="1:3" ht="18" customHeight="1" x14ac:dyDescent="0.3">
      <c r="A8202" s="1">
        <v>2</v>
      </c>
      <c r="B8202" s="1" t="s">
        <v>6686</v>
      </c>
      <c r="C8202" s="1" t="str">
        <f ca="1">IFERROR(__xludf.DUMMYFUNCTION("GOOGLETRANSLATE(B8322,""en"",""ja"")"),"遠隔")</f>
        <v>遠隔</v>
      </c>
    </row>
    <row r="8203" spans="1:3" ht="18" customHeight="1" x14ac:dyDescent="0.3">
      <c r="A8203" s="1">
        <v>2</v>
      </c>
      <c r="B8203" s="1" t="s">
        <v>6687</v>
      </c>
      <c r="C8203" s="1" t="str">
        <f ca="1">IFERROR(__xludf.DUMMYFUNCTION("GOOGLETRANSLATE(B8323,""en"",""ja"")"),"テクノ")</f>
        <v>テクノ</v>
      </c>
    </row>
    <row r="8204" spans="1:3" ht="18" customHeight="1" x14ac:dyDescent="0.3">
      <c r="A8204" s="1">
        <v>2</v>
      </c>
      <c r="B8204" s="1" t="s">
        <v>6688</v>
      </c>
      <c r="C8204" s="1" t="str">
        <f ca="1">IFERROR(__xludf.DUMMYFUNCTION("GOOGLETRANSLATE(B8324,""en"",""ja"")"),"テクニック")</f>
        <v>テクニック</v>
      </c>
    </row>
    <row r="8205" spans="1:3" ht="18" customHeight="1" x14ac:dyDescent="0.3">
      <c r="A8205" s="1">
        <v>2</v>
      </c>
      <c r="B8205" s="1" t="s">
        <v>2519</v>
      </c>
      <c r="C8205" s="1" t="str">
        <f ca="1">IFERROR(__xludf.DUMMYFUNCTION("GOOGLETRANSLATE(B8325,""en"",""ja"")"),"技術的に")</f>
        <v>技術的に</v>
      </c>
    </row>
    <row r="8206" spans="1:3" ht="18" customHeight="1" x14ac:dyDescent="0.3">
      <c r="A8206" s="1">
        <v>2</v>
      </c>
      <c r="B8206" s="1" t="s">
        <v>6689</v>
      </c>
      <c r="C8206" s="1" t="str">
        <f ca="1">IFERROR(__xludf.DUMMYFUNCTION("GOOGLETRANSLATE(B8326,""en"",""ja"")"),"テープ")</f>
        <v>テープ</v>
      </c>
    </row>
    <row r="8207" spans="1:3" ht="18" customHeight="1" x14ac:dyDescent="0.3">
      <c r="A8207" s="1">
        <v>2</v>
      </c>
      <c r="B8207" s="1" t="s">
        <v>6690</v>
      </c>
      <c r="C8207" s="1" t="str">
        <f ca="1">IFERROR(__xludf.DUMMYFUNCTION("GOOGLETRANSLATE(B8327,""en"",""ja"")"),"TANT")</f>
        <v>TANT</v>
      </c>
    </row>
    <row r="8208" spans="1:3" ht="18" customHeight="1" x14ac:dyDescent="0.3">
      <c r="A8208" s="1">
        <v>2</v>
      </c>
      <c r="B8208" s="1" t="s">
        <v>6691</v>
      </c>
      <c r="C8208" s="1" t="str">
        <f ca="1">IFERROR(__xludf.DUMMYFUNCTION("GOOGLETRANSLATE(B8328,""en"",""ja"")"),"タブー")</f>
        <v>タブー</v>
      </c>
    </row>
    <row r="8209" spans="1:3" ht="18" customHeight="1" x14ac:dyDescent="0.3">
      <c r="A8209" s="1">
        <v>2</v>
      </c>
      <c r="B8209" s="1" t="s">
        <v>4339</v>
      </c>
      <c r="C8209" s="1" t="str">
        <f ca="1">IFERROR(__xludf.DUMMYFUNCTION("GOOGLETRANSLATE(B8329,""en"",""ja"")"),"合成")</f>
        <v>合成</v>
      </c>
    </row>
    <row r="8210" spans="1:3" ht="18" customHeight="1" x14ac:dyDescent="0.3">
      <c r="A8210" s="1">
        <v>2</v>
      </c>
      <c r="B8210" s="1" t="s">
        <v>6692</v>
      </c>
      <c r="C8210" s="1" t="str">
        <f ca="1">IFERROR(__xludf.DUMMYFUNCTION("GOOGLETRANSLATE(B8330,""en"",""ja"")"),"代名詞")</f>
        <v>代名詞</v>
      </c>
    </row>
    <row r="8211" spans="1:3" ht="18" customHeight="1" x14ac:dyDescent="0.3">
      <c r="A8211" s="1">
        <v>2</v>
      </c>
      <c r="B8211" s="1" t="s">
        <v>6693</v>
      </c>
      <c r="C8211" s="1" t="str">
        <f ca="1">IFERROR(__xludf.DUMMYFUNCTION("GOOGLETRANSLATE(B8331,""en"",""ja"")"),"シンジケート")</f>
        <v>シンジケート</v>
      </c>
    </row>
    <row r="8212" spans="1:3" ht="18" customHeight="1" x14ac:dyDescent="0.3">
      <c r="A8212" s="1">
        <v>2</v>
      </c>
      <c r="B8212" s="1" t="s">
        <v>6694</v>
      </c>
      <c r="C8212" s="1" t="str">
        <f ca="1">IFERROR(__xludf.DUMMYFUNCTION("GOOGLETRANSLATE(B8332,""en"",""ja"")"),"甘く")</f>
        <v>甘く</v>
      </c>
    </row>
    <row r="8213" spans="1:3" ht="18" customHeight="1" x14ac:dyDescent="0.3">
      <c r="A8213" s="1">
        <v>2</v>
      </c>
      <c r="B8213" s="1" t="s">
        <v>6695</v>
      </c>
      <c r="C8213" s="1" t="str">
        <f ca="1">IFERROR(__xludf.DUMMYFUNCTION("GOOGLETRANSLATE(B8333,""en"",""ja"")"),"手術")</f>
        <v>手術</v>
      </c>
    </row>
    <row r="8214" spans="1:3" ht="18" customHeight="1" x14ac:dyDescent="0.3">
      <c r="A8214" s="1">
        <v>2</v>
      </c>
      <c r="B8214" s="1" t="s">
        <v>6696</v>
      </c>
      <c r="C8214" s="1" t="str">
        <f ca="1">IFERROR(__xludf.DUMMYFUNCTION("GOOGLETRANSLATE(B8334,""en"",""ja"")"),"支援者")</f>
        <v>支援者</v>
      </c>
    </row>
    <row r="8215" spans="1:3" ht="18" customHeight="1" x14ac:dyDescent="0.3">
      <c r="A8215" s="1">
        <v>2</v>
      </c>
      <c r="B8215" s="1" t="s">
        <v>6697</v>
      </c>
      <c r="C8215" s="1" t="str">
        <f ca="1">IFERROR(__xludf.DUMMYFUNCTION("GOOGLETRANSLATE(B8335,""en"",""ja"")"),"補給")</f>
        <v>補給</v>
      </c>
    </row>
    <row r="8216" spans="1:3" ht="18" customHeight="1" x14ac:dyDescent="0.3">
      <c r="A8216" s="1">
        <v>2</v>
      </c>
      <c r="B8216" s="1" t="s">
        <v>6698</v>
      </c>
      <c r="C8216" s="1" t="str">
        <f ca="1">IFERROR(__xludf.DUMMYFUNCTION("GOOGLETRANSLATE(B8336,""en"",""ja"")"),"皮相")</f>
        <v>皮相</v>
      </c>
    </row>
    <row r="8217" spans="1:3" ht="18" customHeight="1" x14ac:dyDescent="0.3">
      <c r="A8217" s="1">
        <v>2</v>
      </c>
      <c r="B8217" s="1" t="s">
        <v>4353</v>
      </c>
      <c r="C8217" s="1" t="str">
        <f ca="1">IFERROR(__xludf.DUMMYFUNCTION("GOOGLETRANSLATE(B8337,""en"",""ja"")"),"太陽")</f>
        <v>太陽</v>
      </c>
    </row>
    <row r="8218" spans="1:3" ht="18" customHeight="1" x14ac:dyDescent="0.3">
      <c r="A8218" s="1">
        <v>2</v>
      </c>
      <c r="B8218" s="1" t="s">
        <v>6699</v>
      </c>
      <c r="C8218" s="1" t="str">
        <f ca="1">IFERROR(__xludf.DUMMYFUNCTION("GOOGLETRANSLATE(B8338,""en"",""ja"")"),"仮庵の祭り")</f>
        <v>仮庵の祭り</v>
      </c>
    </row>
    <row r="8219" spans="1:3" ht="18" customHeight="1" x14ac:dyDescent="0.3">
      <c r="A8219" s="1">
        <v>2</v>
      </c>
      <c r="B8219" s="1" t="s">
        <v>6700</v>
      </c>
      <c r="C8219" s="1" t="str">
        <f ca="1">IFERROR(__xludf.DUMMYFUNCTION("GOOGLETRANSLATE(B8339,""en"",""ja"")"),"適当に")</f>
        <v>適当に</v>
      </c>
    </row>
    <row r="8220" spans="1:3" ht="18" customHeight="1" x14ac:dyDescent="0.3">
      <c r="A8220" s="1">
        <v>2</v>
      </c>
      <c r="B8220" s="1" t="s">
        <v>6701</v>
      </c>
      <c r="C8220" s="1" t="str">
        <f ca="1">IFERROR(__xludf.DUMMYFUNCTION("GOOGLETRANSLATE(B8340,""en"",""ja"")"),"自殺")</f>
        <v>自殺</v>
      </c>
    </row>
    <row r="8221" spans="1:3" ht="18" customHeight="1" x14ac:dyDescent="0.3">
      <c r="A8221" s="1">
        <v>2</v>
      </c>
      <c r="B8221" s="1" t="s">
        <v>6702</v>
      </c>
      <c r="C8221" s="1" t="str">
        <f ca="1">IFERROR(__xludf.DUMMYFUNCTION("GOOGLETRANSLATE(B8342,""en"",""ja"")"),"sugges")</f>
        <v>sugges</v>
      </c>
    </row>
    <row r="8222" spans="1:3" ht="18" customHeight="1" x14ac:dyDescent="0.3">
      <c r="A8222" s="1">
        <v>2</v>
      </c>
      <c r="B8222" s="1" t="s">
        <v>2528</v>
      </c>
      <c r="C8222" s="1" t="str">
        <f ca="1">IFERROR(__xludf.DUMMYFUNCTION("GOOGLETRANSLATE(B8343,""en"",""ja"")"),"代替")</f>
        <v>代替</v>
      </c>
    </row>
    <row r="8223" spans="1:3" ht="18" customHeight="1" x14ac:dyDescent="0.3">
      <c r="A8223" s="1">
        <v>2</v>
      </c>
      <c r="B8223" s="1" t="s">
        <v>6703</v>
      </c>
      <c r="C8223" s="1" t="str">
        <f ca="1">IFERROR(__xludf.DUMMYFUNCTION("GOOGLETRANSLATE(B8344,""en"",""ja"")"),"実質的に")</f>
        <v>実質的に</v>
      </c>
    </row>
    <row r="8224" spans="1:3" ht="18" customHeight="1" x14ac:dyDescent="0.3">
      <c r="A8224" s="1">
        <v>2</v>
      </c>
      <c r="B8224" s="1" t="s">
        <v>2875</v>
      </c>
      <c r="C8224" s="1" t="str">
        <f ca="1">IFERROR(__xludf.DUMMYFUNCTION("GOOGLETRANSLATE(B8345,""en"",""ja"")"),"次いで")</f>
        <v>次いで</v>
      </c>
    </row>
    <row r="8225" spans="1:3" ht="18" customHeight="1" x14ac:dyDescent="0.3">
      <c r="A8225" s="1">
        <v>2</v>
      </c>
      <c r="B8225" s="1" t="s">
        <v>6704</v>
      </c>
      <c r="C8225" s="1" t="str">
        <f ca="1">IFERROR(__xludf.DUMMYFUNCTION("GOOGLETRANSLATE(B8346,""en"",""ja"")"),"後の")</f>
        <v>後の</v>
      </c>
    </row>
    <row r="8226" spans="1:3" ht="18" customHeight="1" x14ac:dyDescent="0.3">
      <c r="A8226" s="1">
        <v>2</v>
      </c>
      <c r="B8226" s="1" t="s">
        <v>2530</v>
      </c>
      <c r="C8226" s="1" t="str">
        <f ca="1">IFERROR(__xludf.DUMMYFUNCTION("GOOGLETRANSLATE(B8347,""en"",""ja"")"),"水没")</f>
        <v>水没</v>
      </c>
    </row>
    <row r="8227" spans="1:3" ht="18" customHeight="1" x14ac:dyDescent="0.3">
      <c r="A8227" s="1">
        <v>2</v>
      </c>
      <c r="B8227" s="1" t="s">
        <v>789</v>
      </c>
      <c r="C8227" s="1" t="str">
        <f ca="1">IFERROR(__xludf.DUMMYFUNCTION("GOOGLETRANSLATE(B8348,""en"",""ja"")"),"主観的")</f>
        <v>主観的</v>
      </c>
    </row>
    <row r="8228" spans="1:3" ht="18" customHeight="1" x14ac:dyDescent="0.3">
      <c r="A8228" s="1">
        <v>2</v>
      </c>
      <c r="B8228" s="1" t="s">
        <v>6705</v>
      </c>
      <c r="C8228" s="1" t="str">
        <f ca="1">IFERROR(__xludf.DUMMYFUNCTION("GOOGLETRANSLATE(B8349,""en"",""ja"")"),"征服します")</f>
        <v>征服します</v>
      </c>
    </row>
    <row r="8229" spans="1:3" ht="18" customHeight="1" x14ac:dyDescent="0.3">
      <c r="A8229" s="1">
        <v>2</v>
      </c>
      <c r="B8229" s="1" t="s">
        <v>6706</v>
      </c>
      <c r="C8229" s="1" t="str">
        <f ca="1">IFERROR(__xludf.DUMMYFUNCTION("GOOGLETRANSLATE(B8350,""en"",""ja"")"),"構造化")</f>
        <v>構造化</v>
      </c>
    </row>
    <row r="8230" spans="1:3" ht="18" customHeight="1" x14ac:dyDescent="0.3">
      <c r="A8230" s="1">
        <v>2</v>
      </c>
      <c r="B8230" s="1" t="s">
        <v>6707</v>
      </c>
      <c r="C8230" s="1" t="str">
        <f ca="1">IFERROR(__xludf.DUMMYFUNCTION("GOOGLETRANSLATE(B8351,""en"",""ja"")"),"構造的に")</f>
        <v>構造的に</v>
      </c>
    </row>
    <row r="8231" spans="1:3" ht="18" customHeight="1" x14ac:dyDescent="0.3">
      <c r="A8231" s="1">
        <v>2</v>
      </c>
      <c r="B8231" s="1" t="s">
        <v>6708</v>
      </c>
      <c r="C8231" s="1" t="str">
        <f ca="1">IFERROR(__xludf.DUMMYFUNCTION("GOOGLETRANSLATE(B8352,""en"",""ja"")"),"ストライプ")</f>
        <v>ストライプ</v>
      </c>
    </row>
    <row r="8232" spans="1:3" ht="18" customHeight="1" x14ac:dyDescent="0.3">
      <c r="A8232" s="1">
        <v>2</v>
      </c>
      <c r="B8232" s="1" t="s">
        <v>2284</v>
      </c>
      <c r="C8232" s="1" t="str">
        <f ca="1">IFERROR(__xludf.DUMMYFUNCTION("GOOGLETRANSLATE(B8353,""en"",""ja"")"),"ストリング")</f>
        <v>ストリング</v>
      </c>
    </row>
    <row r="8233" spans="1:3" ht="18" customHeight="1" x14ac:dyDescent="0.3">
      <c r="A8233" s="1">
        <v>2</v>
      </c>
      <c r="B8233" s="1" t="s">
        <v>6709</v>
      </c>
      <c r="C8233" s="1" t="str">
        <f ca="1">IFERROR(__xludf.DUMMYFUNCTION("GOOGLETRANSLATE(B8354,""en"",""ja"")"),"伸び")</f>
        <v>伸び</v>
      </c>
    </row>
    <row r="8234" spans="1:3" ht="18" customHeight="1" x14ac:dyDescent="0.3">
      <c r="A8234" s="1">
        <v>2</v>
      </c>
      <c r="B8234" s="1" t="s">
        <v>3828</v>
      </c>
      <c r="C8234" s="1" t="str">
        <f ca="1">IFERROR(__xludf.DUMMYFUNCTION("GOOGLETRANSLATE(B8355,""en"",""ja"")"),"強化する")</f>
        <v>強化する</v>
      </c>
    </row>
    <row r="8235" spans="1:3" ht="18" customHeight="1" x14ac:dyDescent="0.3">
      <c r="A8235" s="1">
        <v>2</v>
      </c>
      <c r="B8235" s="1" t="s">
        <v>6710</v>
      </c>
      <c r="C8235" s="1" t="str">
        <f ca="1">IFERROR(__xludf.DUMMYFUNCTION("GOOGLETRANSLATE(B8356,""en"",""ja"")"),"ストリーク")</f>
        <v>ストリーク</v>
      </c>
    </row>
    <row r="8236" spans="1:3" ht="18" customHeight="1" x14ac:dyDescent="0.3">
      <c r="A8236" s="1">
        <v>2</v>
      </c>
      <c r="B8236" s="1" t="s">
        <v>6711</v>
      </c>
      <c r="C8236" s="1" t="str">
        <f ca="1">IFERROR(__xludf.DUMMYFUNCTION("GOOGLETRANSLATE(B8357,""en"",""ja"")"),"ストランド")</f>
        <v>ストランド</v>
      </c>
    </row>
    <row r="8237" spans="1:3" ht="18" customHeight="1" x14ac:dyDescent="0.3">
      <c r="A8237" s="1">
        <v>2</v>
      </c>
      <c r="B8237" s="1" t="s">
        <v>6712</v>
      </c>
      <c r="C8237" s="1" t="str">
        <f ca="1">IFERROR(__xludf.DUMMYFUNCTION("GOOGLETRANSLATE(B8358,""en"",""ja"")"),"ストランド")</f>
        <v>ストランド</v>
      </c>
    </row>
    <row r="8238" spans="1:3" ht="18" customHeight="1" x14ac:dyDescent="0.3">
      <c r="A8238" s="1">
        <v>2</v>
      </c>
      <c r="B8238" s="1" t="s">
        <v>6713</v>
      </c>
      <c r="C8238" s="1" t="str">
        <f ca="1">IFERROR(__xludf.DUMMYFUNCTION("GOOGLETRANSLATE(B8360,""en"",""ja"")"),"株式")</f>
        <v>株式</v>
      </c>
    </row>
    <row r="8239" spans="1:3" ht="18" customHeight="1" x14ac:dyDescent="0.3">
      <c r="A8239" s="1">
        <v>2</v>
      </c>
      <c r="B8239" s="1" t="s">
        <v>6714</v>
      </c>
      <c r="C8239" s="1" t="str">
        <f ca="1">IFERROR(__xludf.DUMMYFUNCTION("GOOGLETRANSLATE(B8361,""en"",""ja"")"),"stitute")</f>
        <v>stitute</v>
      </c>
    </row>
    <row r="8240" spans="1:3" ht="18" customHeight="1" x14ac:dyDescent="0.3">
      <c r="A8240" s="1">
        <v>2</v>
      </c>
      <c r="B8240" s="1" t="s">
        <v>3230</v>
      </c>
      <c r="C8240" s="1" t="str">
        <f ca="1">IFERROR(__xludf.DUMMYFUNCTION("GOOGLETRANSLATE(B8362,""en"",""ja"")"),"針魚")</f>
        <v>針魚</v>
      </c>
    </row>
    <row r="8241" spans="1:3" ht="18" customHeight="1" x14ac:dyDescent="0.3">
      <c r="A8241" s="1">
        <v>2</v>
      </c>
      <c r="B8241" s="1" t="s">
        <v>6715</v>
      </c>
      <c r="C8241" s="1" t="str">
        <f ca="1">IFERROR(__xludf.DUMMYFUNCTION("GOOGLETRANSLATE(B8363,""en"",""ja"")"),"スティック")</f>
        <v>スティック</v>
      </c>
    </row>
    <row r="8242" spans="1:3" ht="18" customHeight="1" x14ac:dyDescent="0.3">
      <c r="A8242" s="1">
        <v>2</v>
      </c>
      <c r="B8242" s="1" t="s">
        <v>6716</v>
      </c>
      <c r="C8242" s="1" t="str">
        <f ca="1">IFERROR(__xludf.DUMMYFUNCTION("GOOGLETRANSLATE(B8365,""en"",""ja"")"),"幹")</f>
        <v>幹</v>
      </c>
    </row>
    <row r="8243" spans="1:3" ht="18" customHeight="1" x14ac:dyDescent="0.3">
      <c r="A8243" s="1">
        <v>2</v>
      </c>
      <c r="B8243" s="1" t="s">
        <v>1889</v>
      </c>
      <c r="C8243" s="1" t="str">
        <f ca="1">IFERROR(__xludf.DUMMYFUNCTION("GOOGLETRANSLATE(B8366,""en"",""ja"")"),"ステートメント")</f>
        <v>ステートメント</v>
      </c>
    </row>
    <row r="8244" spans="1:3" ht="18" customHeight="1" x14ac:dyDescent="0.3">
      <c r="A8244" s="1">
        <v>2</v>
      </c>
      <c r="B8244" s="1" t="s">
        <v>6717</v>
      </c>
      <c r="C8244" s="1" t="str">
        <f ca="1">IFERROR(__xludf.DUMMYFUNCTION("GOOGLETRANSLATE(B8367,""en"",""ja"")"),"飢え")</f>
        <v>飢え</v>
      </c>
    </row>
    <row r="8245" spans="1:3" ht="18" customHeight="1" x14ac:dyDescent="0.3">
      <c r="A8245" s="1">
        <v>2</v>
      </c>
      <c r="B8245" s="1" t="s">
        <v>6718</v>
      </c>
      <c r="C8245" s="1" t="str">
        <f ca="1">IFERROR(__xludf.DUMMYFUNCTION("GOOGLETRANSLATE(B8368,""en"",""ja"")"),"驚くべき")</f>
        <v>驚くべき</v>
      </c>
    </row>
    <row r="8246" spans="1:3" ht="18" customHeight="1" x14ac:dyDescent="0.3">
      <c r="A8246" s="1">
        <v>2</v>
      </c>
      <c r="B8246" s="1" t="s">
        <v>6719</v>
      </c>
      <c r="C8246" s="1" t="str">
        <f ca="1">IFERROR(__xludf.DUMMYFUNCTION("GOOGLETRANSLATE(B8369,""en"",""ja"")"),"常任")</f>
        <v>常任</v>
      </c>
    </row>
    <row r="8247" spans="1:3" ht="18" customHeight="1" x14ac:dyDescent="0.3">
      <c r="A8247" s="1">
        <v>2</v>
      </c>
      <c r="B8247" s="1" t="s">
        <v>6720</v>
      </c>
      <c r="C8247" s="1" t="str">
        <f ca="1">IFERROR(__xludf.DUMMYFUNCTION("GOOGLETRANSLATE(B8370,""en"",""ja"")"),"杭")</f>
        <v>杭</v>
      </c>
    </row>
    <row r="8248" spans="1:3" ht="18" customHeight="1" x14ac:dyDescent="0.3">
      <c r="A8248" s="1">
        <v>2</v>
      </c>
      <c r="B8248" s="1" t="s">
        <v>6721</v>
      </c>
      <c r="C8248" s="1" t="str">
        <f ca="1">IFERROR(__xludf.DUMMYFUNCTION("GOOGLETRANSLATE(B8371,""en"",""ja"")"),"staddon")</f>
        <v>staddon</v>
      </c>
    </row>
    <row r="8249" spans="1:3" ht="18" customHeight="1" x14ac:dyDescent="0.3">
      <c r="A8249" s="1">
        <v>2</v>
      </c>
      <c r="B8249" s="1" t="s">
        <v>6722</v>
      </c>
      <c r="C8249" s="1" t="str">
        <f ca="1">IFERROR(__xludf.DUMMYFUNCTION("GOOGLETRANSLATE(B8373,""en"",""ja"")"),"スタッキング")</f>
        <v>スタッキング</v>
      </c>
    </row>
    <row r="8250" spans="1:3" ht="18" customHeight="1" x14ac:dyDescent="0.3">
      <c r="A8250" s="1">
        <v>2</v>
      </c>
      <c r="B8250" s="1" t="s">
        <v>6723</v>
      </c>
      <c r="C8250" s="1" t="str">
        <f ca="1">IFERROR(__xludf.DUMMYFUNCTION("GOOGLETRANSLATE(B8374,""en"",""ja"")"),"安定")</f>
        <v>安定</v>
      </c>
    </row>
    <row r="8251" spans="1:3" ht="18" customHeight="1" x14ac:dyDescent="0.3">
      <c r="A8251" s="1">
        <v>2</v>
      </c>
      <c r="B8251" s="1" t="s">
        <v>6724</v>
      </c>
      <c r="C8251" s="1" t="str">
        <f ca="1">IFERROR(__xludf.DUMMYFUNCTION("GOOGLETRANSLATE(B8375,""en"",""ja"")"),"ST")</f>
        <v>ST</v>
      </c>
    </row>
    <row r="8252" spans="1:3" ht="18" customHeight="1" x14ac:dyDescent="0.3">
      <c r="A8252" s="1">
        <v>2</v>
      </c>
      <c r="B8252" s="1" t="s">
        <v>6725</v>
      </c>
      <c r="C8252" s="1" t="str">
        <f ca="1">IFERROR(__xludf.DUMMYFUNCTION("GOOGLETRANSLATE(B8376,""en"",""ja"")"),"スポット")</f>
        <v>スポット</v>
      </c>
    </row>
    <row r="8253" spans="1:3" ht="18" customHeight="1" x14ac:dyDescent="0.3">
      <c r="A8253" s="1">
        <v>2</v>
      </c>
      <c r="B8253" s="1" t="s">
        <v>6726</v>
      </c>
      <c r="C8253" s="1" t="str">
        <f ca="1">IFERROR(__xludf.DUMMYFUNCTION("GOOGLETRANSLATE(B8377,""en"",""ja"")"),"スポーツ")</f>
        <v>スポーツ</v>
      </c>
    </row>
    <row r="8254" spans="1:3" ht="18" customHeight="1" x14ac:dyDescent="0.3">
      <c r="A8254" s="1">
        <v>2</v>
      </c>
      <c r="B8254" s="1" t="s">
        <v>5403</v>
      </c>
      <c r="C8254" s="1" t="str">
        <f ca="1">IFERROR(__xludf.DUMMYFUNCTION("GOOGLETRANSLATE(B8378,""en"",""ja"")"),"自発的に")</f>
        <v>自発的に</v>
      </c>
    </row>
    <row r="8255" spans="1:3" ht="18" customHeight="1" x14ac:dyDescent="0.3">
      <c r="A8255" s="1">
        <v>2</v>
      </c>
      <c r="B8255" s="1" t="s">
        <v>6727</v>
      </c>
      <c r="C8255" s="1" t="str">
        <f ca="1">IFERROR(__xludf.DUMMYFUNCTION("GOOGLETRANSLATE(B8379,""en"",""ja"")"),"自発")</f>
        <v>自発</v>
      </c>
    </row>
    <row r="8256" spans="1:3" ht="18" customHeight="1" x14ac:dyDescent="0.3">
      <c r="A8256" s="1">
        <v>2</v>
      </c>
      <c r="B8256" s="1" t="s">
        <v>2538</v>
      </c>
      <c r="C8256" s="1" t="str">
        <f ca="1">IFERROR(__xludf.DUMMYFUNCTION("GOOGLETRANSLATE(B8380,""en"",""ja"")"),"スピノザ")</f>
        <v>スピノザ</v>
      </c>
    </row>
    <row r="8257" spans="1:3" ht="18" customHeight="1" x14ac:dyDescent="0.3">
      <c r="A8257" s="1">
        <v>2</v>
      </c>
      <c r="B8257" s="1" t="s">
        <v>6728</v>
      </c>
      <c r="C8257" s="1" t="str">
        <f ca="1">IFERROR(__xludf.DUMMYFUNCTION("GOOGLETRANSLATE(B8381,""en"",""ja"")"),"投機")</f>
        <v>投機</v>
      </c>
    </row>
    <row r="8258" spans="1:3" ht="18" customHeight="1" x14ac:dyDescent="0.3">
      <c r="A8258" s="1">
        <v>2</v>
      </c>
      <c r="B8258" s="1" t="s">
        <v>6729</v>
      </c>
      <c r="C8258" s="1" t="str">
        <f ca="1">IFERROR(__xludf.DUMMYFUNCTION("GOOGLETRANSLATE(B8382,""en"",""ja"")"),"専門家")</f>
        <v>専門家</v>
      </c>
    </row>
    <row r="8259" spans="1:3" ht="18" customHeight="1" x14ac:dyDescent="0.3">
      <c r="A8259" s="1">
        <v>2</v>
      </c>
      <c r="B8259" s="1" t="s">
        <v>6730</v>
      </c>
      <c r="C8259" s="1" t="str">
        <f ca="1">IFERROR(__xludf.DUMMYFUNCTION("GOOGLETRANSLATE(B8383,""en"",""ja"")"),"播種")</f>
        <v>播種</v>
      </c>
    </row>
    <row r="8260" spans="1:3" ht="18" customHeight="1" x14ac:dyDescent="0.3">
      <c r="A8260" s="1">
        <v>2</v>
      </c>
      <c r="B8260" s="1" t="s">
        <v>6731</v>
      </c>
      <c r="C8260" s="1" t="str">
        <f ca="1">IFERROR(__xludf.DUMMYFUNCTION("GOOGLETRANSLATE(B8384,""en"",""ja"")"),"soussan")</f>
        <v>soussan</v>
      </c>
    </row>
    <row r="8261" spans="1:3" ht="18" customHeight="1" x14ac:dyDescent="0.3">
      <c r="A8261" s="1">
        <v>2</v>
      </c>
      <c r="B8261" s="1" t="s">
        <v>175</v>
      </c>
      <c r="C8261" s="1" t="str">
        <f ca="1">IFERROR(__xludf.DUMMYFUNCTION("GOOGLETRANSLATE(B8385,""en"",""ja"")"),"ソース")</f>
        <v>ソース</v>
      </c>
    </row>
    <row r="8262" spans="1:3" ht="18" customHeight="1" x14ac:dyDescent="0.3">
      <c r="A8262" s="1">
        <v>2</v>
      </c>
      <c r="B8262" s="1" t="s">
        <v>6732</v>
      </c>
      <c r="C8262" s="1" t="str">
        <f ca="1">IFERROR(__xludf.DUMMYFUNCTION("GOOGLETRANSLATE(B8386,""en"",""ja"")"),"魂")</f>
        <v>魂</v>
      </c>
    </row>
    <row r="8263" spans="1:3" ht="18" customHeight="1" x14ac:dyDescent="0.3">
      <c r="A8263" s="1">
        <v>2</v>
      </c>
      <c r="B8263" s="1" t="s">
        <v>6733</v>
      </c>
      <c r="C8263" s="1" t="str">
        <f ca="1">IFERROR(__xludf.DUMMYFUNCTION("GOOGLETRANSLATE(B8387,""en"",""ja"")"),"並べ替え")</f>
        <v>並べ替え</v>
      </c>
    </row>
    <row r="8264" spans="1:3" ht="18" customHeight="1" x14ac:dyDescent="0.3">
      <c r="A8264" s="1">
        <v>2</v>
      </c>
      <c r="B8264" s="1" t="s">
        <v>5413</v>
      </c>
      <c r="C8264" s="1" t="str">
        <f ca="1">IFERROR(__xludf.DUMMYFUNCTION("GOOGLETRANSLATE(B8388,""en"",""ja"")"),"より早く")</f>
        <v>より早く</v>
      </c>
    </row>
    <row r="8265" spans="1:3" ht="18" customHeight="1" x14ac:dyDescent="0.3">
      <c r="A8265" s="1">
        <v>2</v>
      </c>
      <c r="B8265" s="1" t="s">
        <v>6734</v>
      </c>
      <c r="C8265" s="1" t="str">
        <f ca="1">IFERROR(__xludf.DUMMYFUNCTION("GOOGLETRANSLATE(B8389,""en"",""ja"")"),"ソニック")</f>
        <v>ソニック</v>
      </c>
    </row>
    <row r="8266" spans="1:3" ht="18" customHeight="1" x14ac:dyDescent="0.3">
      <c r="A8266" s="1">
        <v>2</v>
      </c>
      <c r="B8266" s="1" t="s">
        <v>6735</v>
      </c>
      <c r="C8266" s="1" t="str">
        <f ca="1">IFERROR(__xludf.DUMMYFUNCTION("GOOGLETRANSLATE(B8390,""en"",""ja"")"),"溶質")</f>
        <v>溶質</v>
      </c>
    </row>
    <row r="8267" spans="1:3" ht="18" customHeight="1" x14ac:dyDescent="0.3">
      <c r="A8267" s="1">
        <v>2</v>
      </c>
      <c r="B8267" s="1" t="s">
        <v>6736</v>
      </c>
      <c r="C8267" s="1" t="str">
        <f ca="1">IFERROR(__xludf.DUMMYFUNCTION("GOOGLETRANSLATE(B8391,""en"",""ja"")"),"とても愛")</f>
        <v>とても愛</v>
      </c>
    </row>
    <row r="8268" spans="1:3" ht="18" customHeight="1" x14ac:dyDescent="0.3">
      <c r="A8268" s="1">
        <v>2</v>
      </c>
      <c r="B8268" s="1" t="s">
        <v>6737</v>
      </c>
      <c r="C8268" s="1" t="str">
        <f ca="1">IFERROR(__xludf.DUMMYFUNCTION("GOOGLETRANSLATE(B8392,""en"",""ja"")"),"スマート")</f>
        <v>スマート</v>
      </c>
    </row>
    <row r="8269" spans="1:3" ht="18" customHeight="1" x14ac:dyDescent="0.3">
      <c r="A8269" s="1">
        <v>2</v>
      </c>
      <c r="B8269" s="1" t="s">
        <v>6738</v>
      </c>
      <c r="C8269" s="1" t="str">
        <f ca="1">IFERROR(__xludf.DUMMYFUNCTION("GOOGLETRANSLATE(B8393,""en"",""ja"")"),"貧民街")</f>
        <v>貧民街</v>
      </c>
    </row>
    <row r="8270" spans="1:3" ht="18" customHeight="1" x14ac:dyDescent="0.3">
      <c r="A8270" s="1">
        <v>2</v>
      </c>
      <c r="B8270" s="1" t="s">
        <v>6739</v>
      </c>
      <c r="C8270" s="1" t="str">
        <f ca="1">IFERROR(__xludf.DUMMYFUNCTION("GOOGLETRANSLATE(B8394,""en"",""ja"")"),"鈍化")</f>
        <v>鈍化</v>
      </c>
    </row>
    <row r="8271" spans="1:3" ht="18" customHeight="1" x14ac:dyDescent="0.3">
      <c r="A8271" s="1">
        <v>2</v>
      </c>
      <c r="B8271" s="1" t="s">
        <v>932</v>
      </c>
      <c r="C8271" s="1" t="str">
        <f ca="1">IFERROR(__xludf.DUMMYFUNCTION("GOOGLETRANSLATE(B8395,""en"",""ja"")"),"わずかに")</f>
        <v>わずかに</v>
      </c>
    </row>
    <row r="8272" spans="1:3" ht="18" customHeight="1" x14ac:dyDescent="0.3">
      <c r="A8272" s="1">
        <v>2</v>
      </c>
      <c r="B8272" s="1" t="s">
        <v>6740</v>
      </c>
      <c r="C8272" s="1" t="str">
        <f ca="1">IFERROR(__xludf.DUMMYFUNCTION("GOOGLETRANSLATE(B8396,""en"",""ja"")"),"睡眠")</f>
        <v>睡眠</v>
      </c>
    </row>
    <row r="8273" spans="1:3" ht="18" customHeight="1" x14ac:dyDescent="0.3">
      <c r="A8273" s="1">
        <v>2</v>
      </c>
      <c r="B8273" s="1" t="s">
        <v>6741</v>
      </c>
      <c r="C8273" s="1" t="str">
        <f ca="1">IFERROR(__xludf.DUMMYFUNCTION("GOOGLETRANSLATE(B8397,""en"",""ja"")"),"緩みます")</f>
        <v>緩みます</v>
      </c>
    </row>
    <row r="8274" spans="1:3" ht="18" customHeight="1" x14ac:dyDescent="0.3">
      <c r="A8274" s="1">
        <v>2</v>
      </c>
      <c r="B8274" s="1" t="s">
        <v>6742</v>
      </c>
      <c r="C8274" s="1" t="str">
        <f ca="1">IFERROR(__xludf.DUMMYFUNCTION("GOOGLETRANSLATE(B8398,""en"",""ja"")"),"SIT")</f>
        <v>SIT</v>
      </c>
    </row>
    <row r="8275" spans="1:3" ht="18" customHeight="1" x14ac:dyDescent="0.3">
      <c r="A8275" s="1">
        <v>2</v>
      </c>
      <c r="B8275" s="1" t="s">
        <v>6743</v>
      </c>
      <c r="C8275" s="1" t="str">
        <f ca="1">IFERROR(__xludf.DUMMYFUNCTION("GOOGLETRANSLATE(B8399,""en"",""ja"")"),"歌うこと")</f>
        <v>歌うこと</v>
      </c>
    </row>
    <row r="8276" spans="1:3" ht="18" customHeight="1" x14ac:dyDescent="0.3">
      <c r="A8276" s="1">
        <v>2</v>
      </c>
      <c r="B8276" s="1" t="s">
        <v>6744</v>
      </c>
      <c r="C8276" s="1" t="str">
        <f ca="1">IFERROR(__xludf.DUMMYFUNCTION("GOOGLETRANSLATE(B8400,""en"",""ja"")"),"簡素化")</f>
        <v>簡素化</v>
      </c>
    </row>
    <row r="8277" spans="1:3" ht="18" customHeight="1" x14ac:dyDescent="0.3">
      <c r="A8277" s="1">
        <v>2</v>
      </c>
      <c r="B8277" s="1" t="s">
        <v>6745</v>
      </c>
      <c r="C8277" s="1" t="str">
        <f ca="1">IFERROR(__xludf.DUMMYFUNCTION("GOOGLETRANSLATE(B8401,""en"",""ja"")"),"シルク")</f>
        <v>シルク</v>
      </c>
    </row>
    <row r="8278" spans="1:3" ht="18" customHeight="1" x14ac:dyDescent="0.3">
      <c r="A8278" s="1">
        <v>2</v>
      </c>
      <c r="B8278" s="1" t="s">
        <v>6746</v>
      </c>
      <c r="C8278" s="1" t="str">
        <f ca="1">IFERROR(__xludf.DUMMYFUNCTION("GOOGLETRANSLATE(B8402,""en"",""ja"")"),"意義")</f>
        <v>意義</v>
      </c>
    </row>
    <row r="8279" spans="1:3" ht="18" customHeight="1" x14ac:dyDescent="0.3">
      <c r="A8279" s="1">
        <v>2</v>
      </c>
      <c r="B8279" s="1" t="s">
        <v>6747</v>
      </c>
      <c r="C8279" s="1" t="str">
        <f ca="1">IFERROR(__xludf.DUMMYFUNCTION("GOOGLETRANSLATE(B8403,""en"",""ja"")"),"ショット")</f>
        <v>ショット</v>
      </c>
    </row>
    <row r="8280" spans="1:3" ht="18" customHeight="1" x14ac:dyDescent="0.3">
      <c r="A8280" s="1">
        <v>2</v>
      </c>
      <c r="B8280" s="1" t="s">
        <v>6748</v>
      </c>
      <c r="C8280" s="1" t="str">
        <f ca="1">IFERROR(__xludf.DUMMYFUNCTION("GOOGLETRANSLATE(B8404,""en"",""ja"")"),"不足")</f>
        <v>不足</v>
      </c>
    </row>
    <row r="8281" spans="1:3" ht="18" customHeight="1" x14ac:dyDescent="0.3">
      <c r="A8281" s="1">
        <v>2</v>
      </c>
      <c r="B8281" s="1" t="s">
        <v>6749</v>
      </c>
      <c r="C8281" s="1" t="str">
        <f ca="1">IFERROR(__xludf.DUMMYFUNCTION("GOOGLETRANSLATE(B8405,""en"",""ja"")"),"ショップ")</f>
        <v>ショップ</v>
      </c>
    </row>
    <row r="8282" spans="1:3" ht="18" customHeight="1" x14ac:dyDescent="0.3">
      <c r="A8282" s="1">
        <v>2</v>
      </c>
      <c r="B8282" s="1" t="s">
        <v>6750</v>
      </c>
      <c r="C8282" s="1" t="str">
        <f ca="1">IFERROR(__xludf.DUMMYFUNCTION("GOOGLETRANSLATE(B8406,""en"",""ja"")"),"シャイニー")</f>
        <v>シャイニー</v>
      </c>
    </row>
    <row r="8283" spans="1:3" ht="18" customHeight="1" x14ac:dyDescent="0.3">
      <c r="A8283" s="1">
        <v>2</v>
      </c>
      <c r="B8283" s="1" t="s">
        <v>3254</v>
      </c>
      <c r="C8283" s="1" t="str">
        <f ca="1">IFERROR(__xludf.DUMMYFUNCTION("GOOGLETRANSLATE(B8407,""en"",""ja"")"),"シェル")</f>
        <v>シェル</v>
      </c>
    </row>
    <row r="8284" spans="1:3" ht="18" customHeight="1" x14ac:dyDescent="0.3">
      <c r="A8284" s="1">
        <v>2</v>
      </c>
      <c r="B8284" s="1" t="s">
        <v>6751</v>
      </c>
      <c r="C8284" s="1" t="str">
        <f ca="1">IFERROR(__xludf.DUMMYFUNCTION("GOOGLETRANSLATE(B8409,""en"",""ja"")"),"鋭く")</f>
        <v>鋭く</v>
      </c>
    </row>
    <row r="8285" spans="1:3" ht="18" customHeight="1" x14ac:dyDescent="0.3">
      <c r="A8285" s="1">
        <v>2</v>
      </c>
      <c r="B8285" s="1" t="s">
        <v>6752</v>
      </c>
      <c r="C8285" s="1" t="str">
        <f ca="1">IFERROR(__xludf.DUMMYFUNCTION("GOOGLETRANSLATE(B8410,""en"",""ja"")"),"シャープ")</f>
        <v>シャープ</v>
      </c>
    </row>
    <row r="8286" spans="1:3" ht="18" customHeight="1" x14ac:dyDescent="0.3">
      <c r="A8286" s="1">
        <v>2</v>
      </c>
      <c r="B8286" s="1" t="s">
        <v>6753</v>
      </c>
      <c r="C8286" s="1" t="str">
        <f ca="1">IFERROR(__xludf.DUMMYFUNCTION("GOOGLETRANSLATE(B8411,""en"",""ja"")"),"株式")</f>
        <v>株式</v>
      </c>
    </row>
    <row r="8287" spans="1:3" ht="18" customHeight="1" x14ac:dyDescent="0.3">
      <c r="A8287" s="1">
        <v>2</v>
      </c>
      <c r="B8287" s="1" t="s">
        <v>6754</v>
      </c>
      <c r="C8287" s="1" t="str">
        <f ca="1">IFERROR(__xludf.DUMMYFUNCTION("GOOGLETRANSLATE(B8412,""en"",""ja"")"),"形作る人")</f>
        <v>形作る人</v>
      </c>
    </row>
    <row r="8288" spans="1:3" ht="18" customHeight="1" x14ac:dyDescent="0.3">
      <c r="A8288" s="1">
        <v>2</v>
      </c>
      <c r="B8288" s="1" t="s">
        <v>4405</v>
      </c>
      <c r="C8288" s="1" t="str">
        <f ca="1">IFERROR(__xludf.DUMMYFUNCTION("GOOGLETRANSLATE(B8413,""en"",""ja"")"),"ぐらつきます")</f>
        <v>ぐらつきます</v>
      </c>
    </row>
    <row r="8289" spans="1:3" ht="18" customHeight="1" x14ac:dyDescent="0.3">
      <c r="A8289" s="1">
        <v>2</v>
      </c>
      <c r="B8289" s="3" t="s">
        <v>6755</v>
      </c>
      <c r="C8289" s="1" t="str">
        <f ca="1">IFERROR(__xludf.DUMMYFUNCTION("GOOGLETRANSLATE(B8414,""en"",""ja"")"),"shafiqul")</f>
        <v>shafiqul</v>
      </c>
    </row>
    <row r="8290" spans="1:3" ht="18" customHeight="1" x14ac:dyDescent="0.3">
      <c r="A8290" s="1">
        <v>2</v>
      </c>
      <c r="B8290" s="1" t="s">
        <v>6756</v>
      </c>
      <c r="C8290" s="1" t="str">
        <f ca="1">IFERROR(__xludf.DUMMYFUNCTION("GOOGLETRANSLATE(B8415,""en"",""ja"")"),"影")</f>
        <v>影</v>
      </c>
    </row>
    <row r="8291" spans="1:3" ht="18" customHeight="1" x14ac:dyDescent="0.3">
      <c r="A8291" s="1">
        <v>2</v>
      </c>
      <c r="B8291" s="1" t="s">
        <v>6757</v>
      </c>
      <c r="C8291" s="1" t="str">
        <f ca="1">IFERROR(__xludf.DUMMYFUNCTION("GOOGLETRANSLATE(B8417,""en"",""ja"")"),"性的")</f>
        <v>性的</v>
      </c>
    </row>
    <row r="8292" spans="1:3" ht="18" customHeight="1" x14ac:dyDescent="0.3">
      <c r="A8292" s="1">
        <v>2</v>
      </c>
      <c r="B8292" s="1" t="s">
        <v>6758</v>
      </c>
      <c r="C8292" s="1" t="str">
        <f ca="1">IFERROR(__xludf.DUMMYFUNCTION("GOOGLETRANSLATE(B8418,""en"",""ja"")"),"下水道")</f>
        <v>下水道</v>
      </c>
    </row>
    <row r="8293" spans="1:3" ht="18" customHeight="1" x14ac:dyDescent="0.3">
      <c r="A8293" s="1">
        <v>2</v>
      </c>
      <c r="B8293" s="1" t="s">
        <v>6759</v>
      </c>
      <c r="C8293" s="1" t="str">
        <f ca="1">IFERROR(__xludf.DUMMYFUNCTION("GOOGLETRANSLATE(B8419,""en"",""ja"")"),"サービス提供")</f>
        <v>サービス提供</v>
      </c>
    </row>
    <row r="8294" spans="1:3" ht="18" customHeight="1" x14ac:dyDescent="0.3">
      <c r="A8294" s="1">
        <v>2</v>
      </c>
      <c r="B8294" s="1" t="s">
        <v>6760</v>
      </c>
      <c r="C8294" s="1" t="str">
        <f ca="1">IFERROR(__xludf.DUMMYFUNCTION("GOOGLETRANSLATE(B8420,""en"",""ja"")"),"務め")</f>
        <v>務め</v>
      </c>
    </row>
    <row r="8295" spans="1:3" ht="18" customHeight="1" x14ac:dyDescent="0.3">
      <c r="A8295" s="1">
        <v>2</v>
      </c>
      <c r="B8295" s="1" t="s">
        <v>6761</v>
      </c>
      <c r="C8295" s="1" t="str">
        <f ca="1">IFERROR(__xludf.DUMMYFUNCTION("GOOGLETRANSLATE(B8421,""en"",""ja"")"),"分離")</f>
        <v>分離</v>
      </c>
    </row>
    <row r="8296" spans="1:3" ht="18" customHeight="1" x14ac:dyDescent="0.3">
      <c r="A8296" s="1">
        <v>2</v>
      </c>
      <c r="B8296" s="1" t="s">
        <v>4408</v>
      </c>
      <c r="C8296" s="1" t="str">
        <f ca="1">IFERROR(__xludf.DUMMYFUNCTION("GOOGLETRANSLATE(B8422,""en"",""ja"")"),"感情")</f>
        <v>感情</v>
      </c>
    </row>
    <row r="8297" spans="1:3" ht="18" customHeight="1" x14ac:dyDescent="0.3">
      <c r="A8297" s="1">
        <v>2</v>
      </c>
      <c r="B8297" s="1" t="s">
        <v>3263</v>
      </c>
      <c r="C8297" s="1" t="str">
        <f ca="1">IFERROR(__xludf.DUMMYFUNCTION("GOOGLETRANSLATE(B8423,""en"",""ja"")"),"敏感")</f>
        <v>敏感</v>
      </c>
    </row>
    <row r="8298" spans="1:3" ht="18" customHeight="1" x14ac:dyDescent="0.3">
      <c r="A8298" s="1">
        <v>2</v>
      </c>
      <c r="B8298" s="1" t="s">
        <v>6762</v>
      </c>
      <c r="C8298" s="1" t="str">
        <f ca="1">IFERROR(__xludf.DUMMYFUNCTION("GOOGLETRANSLATE(B8424,""en"",""ja"")"),"検出されました")</f>
        <v>検出されました</v>
      </c>
    </row>
    <row r="8299" spans="1:3" ht="18" customHeight="1" x14ac:dyDescent="0.3">
      <c r="A8299" s="1">
        <v>2</v>
      </c>
      <c r="B8299" s="1" t="s">
        <v>4413</v>
      </c>
      <c r="C8299" s="1" t="str">
        <f ca="1">IFERROR(__xludf.DUMMYFUNCTION("GOOGLETRANSLATE(B8425,""en"",""ja"")"),"セミナー")</f>
        <v>セミナー</v>
      </c>
    </row>
    <row r="8300" spans="1:3" ht="18" customHeight="1" x14ac:dyDescent="0.3">
      <c r="A8300" s="1">
        <v>2</v>
      </c>
      <c r="B8300" s="1" t="s">
        <v>6763</v>
      </c>
      <c r="C8300" s="1" t="str">
        <f ca="1">IFERROR(__xludf.DUMMYFUNCTION("GOOGLETRANSLATE(B8426,""en"",""ja"")"),"目指します")</f>
        <v>目指します</v>
      </c>
    </row>
    <row r="8301" spans="1:3" ht="18" customHeight="1" x14ac:dyDescent="0.3">
      <c r="A8301" s="1">
        <v>2</v>
      </c>
      <c r="B8301" s="1" t="s">
        <v>6764</v>
      </c>
      <c r="C8301" s="1" t="str">
        <f ca="1">IFERROR(__xludf.DUMMYFUNCTION("GOOGLETRANSLATE(B8427,""en"",""ja"")"),"シーク")</f>
        <v>シーク</v>
      </c>
    </row>
    <row r="8302" spans="1:3" ht="18" customHeight="1" x14ac:dyDescent="0.3">
      <c r="A8302" s="1">
        <v>2</v>
      </c>
      <c r="B8302" s="1" t="s">
        <v>1247</v>
      </c>
      <c r="C8302" s="1" t="str">
        <f ca="1">IFERROR(__xludf.DUMMYFUNCTION("GOOGLETRANSLATE(B8428,""en"",""ja"")"),"求める")</f>
        <v>求める</v>
      </c>
    </row>
    <row r="8303" spans="1:3" ht="18" customHeight="1" x14ac:dyDescent="0.3">
      <c r="A8303" s="1">
        <v>2</v>
      </c>
      <c r="B8303" s="1" t="s">
        <v>6765</v>
      </c>
      <c r="C8303" s="1" t="str">
        <f ca="1">IFERROR(__xludf.DUMMYFUNCTION("GOOGLETRANSLATE(B8429,""en"",""ja"")"),"シーズ")</f>
        <v>シーズ</v>
      </c>
    </row>
    <row r="8304" spans="1:3" ht="18" customHeight="1" x14ac:dyDescent="0.3">
      <c r="A8304" s="1">
        <v>2</v>
      </c>
      <c r="B8304" s="1" t="s">
        <v>6766</v>
      </c>
      <c r="C8304" s="1" t="str">
        <f ca="1">IFERROR(__xludf.DUMMYFUNCTION("GOOGLETRANSLATE(B8430,""en"",""ja"")"),"シード")</f>
        <v>シード</v>
      </c>
    </row>
    <row r="8305" spans="1:3" ht="18" customHeight="1" x14ac:dyDescent="0.3">
      <c r="A8305" s="1">
        <v>2</v>
      </c>
      <c r="B8305" s="1" t="s">
        <v>6767</v>
      </c>
      <c r="C8305" s="1" t="str">
        <f ca="1">IFERROR(__xludf.DUMMYFUNCTION("GOOGLETRANSLATE(B8431,""en"",""ja"")"),"確保します")</f>
        <v>確保します</v>
      </c>
    </row>
    <row r="8306" spans="1:3" ht="18" customHeight="1" x14ac:dyDescent="0.3">
      <c r="A8306" s="1">
        <v>2</v>
      </c>
      <c r="B8306" s="1" t="s">
        <v>6768</v>
      </c>
      <c r="C8306" s="1" t="str">
        <f ca="1">IFERROR(__xludf.DUMMYFUNCTION("GOOGLETRANSLATE(B8432,""en"",""ja"")"),"セクション")</f>
        <v>セクション</v>
      </c>
    </row>
    <row r="8307" spans="1:3" ht="18" customHeight="1" x14ac:dyDescent="0.3">
      <c r="A8307" s="1">
        <v>2</v>
      </c>
      <c r="B8307" s="1" t="s">
        <v>6769</v>
      </c>
      <c r="C8307" s="1" t="str">
        <f ca="1">IFERROR(__xludf.DUMMYFUNCTION("GOOGLETRANSLATE(B8433,""en"",""ja"")"),"分泌")</f>
        <v>分泌</v>
      </c>
    </row>
    <row r="8308" spans="1:3" ht="18" customHeight="1" x14ac:dyDescent="0.3">
      <c r="A8308" s="1">
        <v>2</v>
      </c>
      <c r="B8308" s="1" t="s">
        <v>6770</v>
      </c>
      <c r="C8308" s="1" t="str">
        <f ca="1">IFERROR(__xludf.DUMMYFUNCTION("GOOGLETRANSLATE(B8434,""en"",""ja"")"),"シアトル")</f>
        <v>シアトル</v>
      </c>
    </row>
    <row r="8309" spans="1:3" ht="18" customHeight="1" x14ac:dyDescent="0.3">
      <c r="A8309" s="1">
        <v>2</v>
      </c>
      <c r="B8309" s="1" t="s">
        <v>6771</v>
      </c>
      <c r="C8309" s="1" t="str">
        <f ca="1">IFERROR(__xludf.DUMMYFUNCTION("GOOGLETRANSLATE(B8435,""en"",""ja"")"),"筆記")</f>
        <v>筆記</v>
      </c>
    </row>
    <row r="8310" spans="1:3" ht="18" customHeight="1" x14ac:dyDescent="0.3">
      <c r="A8310" s="1">
        <v>2</v>
      </c>
      <c r="B8310" s="1" t="s">
        <v>6772</v>
      </c>
      <c r="C8310" s="1" t="str">
        <f ca="1">IFERROR(__xludf.DUMMYFUNCTION("GOOGLETRANSLATE(B8436,""en"",""ja"")"),"ふるい分け")</f>
        <v>ふるい分け</v>
      </c>
    </row>
    <row r="8311" spans="1:3" ht="18" customHeight="1" x14ac:dyDescent="0.3">
      <c r="A8311" s="1">
        <v>2</v>
      </c>
      <c r="B8311" s="1" t="s">
        <v>6773</v>
      </c>
      <c r="C8311" s="1" t="str">
        <f ca="1">IFERROR(__xludf.DUMMYFUNCTION("GOOGLETRANSLATE(B8437,""en"",""ja"")"),"スコットランド")</f>
        <v>スコットランド</v>
      </c>
    </row>
    <row r="8312" spans="1:3" ht="18" customHeight="1" x14ac:dyDescent="0.3">
      <c r="A8312" s="1">
        <v>2</v>
      </c>
      <c r="B8312" s="1" t="s">
        <v>6774</v>
      </c>
      <c r="C8312" s="1" t="str">
        <f ca="1">IFERROR(__xludf.DUMMYFUNCTION("GOOGLETRANSLATE(B8438,""en"",""ja"")"),"軽蔑")</f>
        <v>軽蔑</v>
      </c>
    </row>
    <row r="8313" spans="1:3" ht="18" customHeight="1" x14ac:dyDescent="0.3">
      <c r="A8313" s="1">
        <v>2</v>
      </c>
      <c r="B8313" s="1" t="s">
        <v>5466</v>
      </c>
      <c r="C8313" s="1" t="str">
        <f ca="1">IFERROR(__xludf.DUMMYFUNCTION("GOOGLETRANSLATE(B8439,""en"",""ja"")"),"範囲")</f>
        <v>範囲</v>
      </c>
    </row>
    <row r="8314" spans="1:3" ht="18" customHeight="1" x14ac:dyDescent="0.3">
      <c r="A8314" s="1">
        <v>2</v>
      </c>
      <c r="B8314" s="1" t="s">
        <v>6775</v>
      </c>
      <c r="C8314" s="1" t="str">
        <f ca="1">IFERROR(__xludf.DUMMYFUNCTION("GOOGLETRANSLATE(B8440,""en"",""ja"")"),"scious")</f>
        <v>scious</v>
      </c>
    </row>
    <row r="8315" spans="1:3" ht="18" customHeight="1" x14ac:dyDescent="0.3">
      <c r="A8315" s="1">
        <v>2</v>
      </c>
      <c r="B8315" s="1" t="s">
        <v>6776</v>
      </c>
      <c r="C8315" s="1" t="str">
        <f ca="1">IFERROR(__xludf.DUMMYFUNCTION("GOOGLETRANSLATE(B8441,""en"",""ja"")"),"教室")</f>
        <v>教室</v>
      </c>
    </row>
    <row r="8316" spans="1:3" ht="18" customHeight="1" x14ac:dyDescent="0.3">
      <c r="A8316" s="1">
        <v>2</v>
      </c>
      <c r="B8316" s="1" t="s">
        <v>2901</v>
      </c>
      <c r="C8316" s="1" t="str">
        <f ca="1">IFERROR(__xludf.DUMMYFUNCTION("GOOGLETRANSLATE(B8442,""en"",""ja"")"),"シーン")</f>
        <v>シーン</v>
      </c>
    </row>
    <row r="8317" spans="1:3" ht="18" customHeight="1" x14ac:dyDescent="0.3">
      <c r="A8317" s="1">
        <v>2</v>
      </c>
      <c r="B8317" s="1" t="s">
        <v>3271</v>
      </c>
      <c r="C8317" s="1" t="str">
        <f ca="1">IFERROR(__xludf.DUMMYFUNCTION("GOOGLETRANSLATE(B8443,""en"",""ja"")"),"スケープゴート")</f>
        <v>スケープゴート</v>
      </c>
    </row>
    <row r="8318" spans="1:3" ht="18" customHeight="1" x14ac:dyDescent="0.3">
      <c r="A8318" s="1">
        <v>2</v>
      </c>
      <c r="B8318" s="1" t="s">
        <v>3858</v>
      </c>
      <c r="C8318" s="1" t="str">
        <f ca="1">IFERROR(__xludf.DUMMYFUNCTION("GOOGLETRANSLATE(B8444,""en"",""ja"")"),"スキャナ")</f>
        <v>スキャナ</v>
      </c>
    </row>
    <row r="8319" spans="1:3" ht="18" customHeight="1" x14ac:dyDescent="0.3">
      <c r="A8319" s="1">
        <v>2</v>
      </c>
      <c r="B8319" s="1" t="s">
        <v>6777</v>
      </c>
      <c r="C8319" s="1" t="str">
        <f ca="1">IFERROR(__xludf.DUMMYFUNCTION("GOOGLETRANSLATE(B8445,""en"",""ja"")"),"セーブ")</f>
        <v>セーブ</v>
      </c>
    </row>
    <row r="8320" spans="1:3" ht="18" customHeight="1" x14ac:dyDescent="0.3">
      <c r="A8320" s="1">
        <v>2</v>
      </c>
      <c r="B8320" s="1" t="s">
        <v>5480</v>
      </c>
      <c r="C8320" s="1" t="str">
        <f ca="1">IFERROR(__xludf.DUMMYFUNCTION("GOOGLETRANSLATE(B8446,""en"",""ja"")"),"サンプル")</f>
        <v>サンプル</v>
      </c>
    </row>
    <row r="8321" spans="1:3" ht="18" customHeight="1" x14ac:dyDescent="0.3">
      <c r="A8321" s="1">
        <v>2</v>
      </c>
      <c r="B8321" s="1" t="s">
        <v>88</v>
      </c>
      <c r="C8321" s="1" t="str">
        <f ca="1">IFERROR(__xludf.DUMMYFUNCTION("GOOGLETRANSLATE(B8447,""en"",""ja"")"),"同じ")</f>
        <v>同じ</v>
      </c>
    </row>
    <row r="8322" spans="1:3" ht="18" customHeight="1" x14ac:dyDescent="0.3">
      <c r="A8322" s="1">
        <v>2</v>
      </c>
      <c r="B8322" s="1" t="s">
        <v>6778</v>
      </c>
      <c r="C8322" s="1" t="str">
        <f ca="1">IFERROR(__xludf.DUMMYFUNCTION("GOOGLETRANSLATE(B8448,""en"",""ja"")"),"セール")</f>
        <v>セール</v>
      </c>
    </row>
    <row r="8323" spans="1:3" ht="18" customHeight="1" x14ac:dyDescent="0.3">
      <c r="A8323" s="1">
        <v>2</v>
      </c>
      <c r="B8323" s="1" t="s">
        <v>6779</v>
      </c>
      <c r="C8323" s="1" t="str">
        <f ca="1">IFERROR(__xludf.DUMMYFUNCTION("GOOGLETRANSLATE(B8449,""en"",""ja"")"),"サラダ")</f>
        <v>サラダ</v>
      </c>
    </row>
    <row r="8324" spans="1:3" ht="18" customHeight="1" x14ac:dyDescent="0.3">
      <c r="A8324" s="1">
        <v>2</v>
      </c>
      <c r="B8324" s="1" t="s">
        <v>6780</v>
      </c>
      <c r="C8324" s="1" t="str">
        <f ca="1">IFERROR(__xludf.DUMMYFUNCTION("GOOGLETRANSLATE(B8450,""en"",""ja"")"),"sahai")</f>
        <v>sahai</v>
      </c>
    </row>
    <row r="8325" spans="1:3" ht="18" customHeight="1" x14ac:dyDescent="0.3">
      <c r="A8325" s="1">
        <v>2</v>
      </c>
      <c r="B8325" s="1" t="s">
        <v>4427</v>
      </c>
      <c r="C8325" s="1" t="str">
        <f ca="1">IFERROR(__xludf.DUMMYFUNCTION("GOOGLETRANSLATE(B8451,""en"",""ja"")"),"犠牲")</f>
        <v>犠牲</v>
      </c>
    </row>
    <row r="8326" spans="1:3" ht="18" customHeight="1" x14ac:dyDescent="0.3">
      <c r="A8326" s="1">
        <v>2</v>
      </c>
      <c r="B8326" s="1" t="s">
        <v>6781</v>
      </c>
      <c r="C8326" s="1" t="str">
        <f ca="1">IFERROR(__xludf.DUMMYFUNCTION("GOOGLETRANSLATE(B8452,""en"",""ja"")"),"行")</f>
        <v>行</v>
      </c>
    </row>
    <row r="8327" spans="1:3" ht="18" customHeight="1" x14ac:dyDescent="0.3">
      <c r="A8327" s="1">
        <v>2</v>
      </c>
      <c r="B8327" s="1" t="s">
        <v>3862</v>
      </c>
      <c r="C8327" s="1" t="str">
        <f ca="1">IFERROR(__xludf.DUMMYFUNCTION("GOOGLETRANSLATE(B8453,""en"",""ja"")"),"ルーチン")</f>
        <v>ルーチン</v>
      </c>
    </row>
    <row r="8328" spans="1:3" ht="18" customHeight="1" x14ac:dyDescent="0.3">
      <c r="A8328" s="1">
        <v>2</v>
      </c>
      <c r="B8328" s="1" t="s">
        <v>6782</v>
      </c>
      <c r="C8328" s="1" t="str">
        <f ca="1">IFERROR(__xludf.DUMMYFUNCTION("GOOGLETRANSLATE(B8454,""en"",""ja"")"),"丸暗記")</f>
        <v>丸暗記</v>
      </c>
    </row>
    <row r="8329" spans="1:3" ht="18" customHeight="1" x14ac:dyDescent="0.3">
      <c r="A8329" s="1">
        <v>2</v>
      </c>
      <c r="B8329" s="1" t="s">
        <v>6783</v>
      </c>
      <c r="C8329" s="1" t="str">
        <f ca="1">IFERROR(__xludf.DUMMYFUNCTION("GOOGLETRANSLATE(B8455,""en"",""ja"")"),"ローズ")</f>
        <v>ローズ</v>
      </c>
    </row>
    <row r="8330" spans="1:3" ht="18" customHeight="1" x14ac:dyDescent="0.3">
      <c r="A8330" s="1">
        <v>2</v>
      </c>
      <c r="B8330" s="1" t="s">
        <v>4433</v>
      </c>
      <c r="C8330" s="1" t="str">
        <f ca="1">IFERROR(__xludf.DUMMYFUNCTION("GOOGLETRANSLATE(B8456,""en"",""ja"")"),"ローマ")</f>
        <v>ローマ</v>
      </c>
    </row>
    <row r="8331" spans="1:3" ht="18" customHeight="1" x14ac:dyDescent="0.3">
      <c r="A8331" s="1">
        <v>2</v>
      </c>
      <c r="B8331" s="1" t="s">
        <v>5498</v>
      </c>
      <c r="C8331" s="1" t="str">
        <f ca="1">IFERROR(__xludf.DUMMYFUNCTION("GOOGLETRANSLATE(B8457,""en"",""ja"")"),"岩")</f>
        <v>岩</v>
      </c>
    </row>
    <row r="8332" spans="1:3" ht="18" customHeight="1" x14ac:dyDescent="0.3">
      <c r="A8332" s="1">
        <v>2</v>
      </c>
      <c r="B8332" s="1" t="s">
        <v>6784</v>
      </c>
      <c r="C8332" s="1" t="str">
        <f ca="1">IFERROR(__xludf.DUMMYFUNCTION("GOOGLETRANSLATE(B8458,""en"",""ja"")"),"ロボット")</f>
        <v>ロボット</v>
      </c>
    </row>
    <row r="8333" spans="1:3" ht="18" customHeight="1" x14ac:dyDescent="0.3">
      <c r="A8333" s="1">
        <v>2</v>
      </c>
      <c r="B8333" s="1" t="s">
        <v>6785</v>
      </c>
      <c r="C8333" s="1" t="str">
        <f ca="1">IFERROR(__xludf.DUMMYFUNCTION("GOOGLETRANSLATE(B8459,""en"",""ja"")"),"rium")</f>
        <v>rium</v>
      </c>
    </row>
    <row r="8334" spans="1:3" ht="18" customHeight="1" x14ac:dyDescent="0.3">
      <c r="A8334" s="1">
        <v>2</v>
      </c>
      <c r="B8334" s="1" t="s">
        <v>3277</v>
      </c>
      <c r="C8334" s="1" t="str">
        <f ca="1">IFERROR(__xludf.DUMMYFUNCTION("GOOGLETRANSLATE(B8460,""en"",""ja"")"),"リスキーな")</f>
        <v>リスキーな</v>
      </c>
    </row>
    <row r="8335" spans="1:3" ht="18" customHeight="1" x14ac:dyDescent="0.3">
      <c r="A8335" s="1">
        <v>2</v>
      </c>
      <c r="B8335" s="1" t="s">
        <v>6786</v>
      </c>
      <c r="C8335" s="1" t="str">
        <f ca="1">IFERROR(__xludf.DUMMYFUNCTION("GOOGLETRANSLATE(B8461,""en"",""ja"")"),"リスク")</f>
        <v>リスク</v>
      </c>
    </row>
    <row r="8336" spans="1:3" ht="18" customHeight="1" x14ac:dyDescent="0.3">
      <c r="A8336" s="1">
        <v>2</v>
      </c>
      <c r="B8336" s="1" t="s">
        <v>6787</v>
      </c>
      <c r="C8336" s="1" t="str">
        <f ca="1">IFERROR(__xludf.DUMMYFUNCTION("GOOGLETRANSLATE(B8462,""en"",""ja"")"),"厳格")</f>
        <v>厳格</v>
      </c>
    </row>
    <row r="8337" spans="1:3" ht="18" customHeight="1" x14ac:dyDescent="0.3">
      <c r="A8337" s="1">
        <v>2</v>
      </c>
      <c r="B8337" s="1" t="s">
        <v>6788</v>
      </c>
      <c r="C8337" s="1" t="str">
        <f ca="1">IFERROR(__xludf.DUMMYFUNCTION("GOOGLETRANSLATE(B8463,""en"",""ja"")"),"リグ")</f>
        <v>リグ</v>
      </c>
    </row>
    <row r="8338" spans="1:3" ht="18" customHeight="1" x14ac:dyDescent="0.3">
      <c r="A8338" s="1">
        <v>2</v>
      </c>
      <c r="B8338" s="1" t="s">
        <v>6789</v>
      </c>
      <c r="C8338" s="1" t="str">
        <f ca="1">IFERROR(__xludf.DUMMYFUNCTION("GOOGLETRANSLATE(B8464,""en"",""ja"")"),"活力アップ")</f>
        <v>活力アップ</v>
      </c>
    </row>
    <row r="8339" spans="1:3" ht="18" customHeight="1" x14ac:dyDescent="0.3">
      <c r="A8339" s="1">
        <v>2</v>
      </c>
      <c r="B8339" s="1" t="s">
        <v>6790</v>
      </c>
      <c r="C8339" s="1" t="str">
        <f ca="1">IFERROR(__xludf.DUMMYFUNCTION("GOOGLETRANSLATE(B8465,""en"",""ja"")"),"レビュー")</f>
        <v>レビュー</v>
      </c>
    </row>
    <row r="8340" spans="1:3" ht="18" customHeight="1" x14ac:dyDescent="0.3">
      <c r="A8340" s="1">
        <v>2</v>
      </c>
      <c r="B8340" s="1" t="s">
        <v>6791</v>
      </c>
      <c r="C8340" s="1" t="str">
        <f ca="1">IFERROR(__xludf.DUMMYFUNCTION("GOOGLETRANSLATE(B8466,""en"",""ja"")"),"再会")</f>
        <v>再会</v>
      </c>
    </row>
    <row r="8341" spans="1:3" ht="18" customHeight="1" x14ac:dyDescent="0.3">
      <c r="A8341" s="1">
        <v>2</v>
      </c>
      <c r="B8341" s="1" t="s">
        <v>6792</v>
      </c>
      <c r="C8341" s="1" t="str">
        <f ca="1">IFERROR(__xludf.DUMMYFUNCTION("GOOGLETRANSLATE(B8467,""en"",""ja"")"),"振り返ってみると")</f>
        <v>振り返ってみると</v>
      </c>
    </row>
    <row r="8342" spans="1:3" ht="18" customHeight="1" x14ac:dyDescent="0.3">
      <c r="A8342" s="1">
        <v>2</v>
      </c>
      <c r="B8342" s="1" t="s">
        <v>839</v>
      </c>
      <c r="C8342" s="1" t="str">
        <f ca="1">IFERROR(__xludf.DUMMYFUNCTION("GOOGLETRANSLATE(B8468,""en"",""ja"")"),"責任者")</f>
        <v>責任者</v>
      </c>
    </row>
    <row r="8343" spans="1:3" ht="18" customHeight="1" x14ac:dyDescent="0.3">
      <c r="A8343" s="1">
        <v>2</v>
      </c>
      <c r="B8343" s="1" t="s">
        <v>4448</v>
      </c>
      <c r="C8343" s="1" t="str">
        <f ca="1">IFERROR(__xludf.DUMMYFUNCTION("GOOGLETRANSLATE(B8469,""en"",""ja"")"),"各々")</f>
        <v>各々</v>
      </c>
    </row>
    <row r="8344" spans="1:3" ht="18" customHeight="1" x14ac:dyDescent="0.3">
      <c r="A8344" s="1">
        <v>2</v>
      </c>
      <c r="B8344" s="1" t="s">
        <v>6793</v>
      </c>
      <c r="C8344" s="1" t="str">
        <f ca="1">IFERROR(__xludf.DUMMYFUNCTION("GOOGLETRANSLATE(B8470,""en"",""ja"")"),"共振")</f>
        <v>共振</v>
      </c>
    </row>
    <row r="8345" spans="1:3" ht="18" customHeight="1" x14ac:dyDescent="0.3">
      <c r="A8345" s="1">
        <v>2</v>
      </c>
      <c r="B8345" s="1" t="s">
        <v>6794</v>
      </c>
      <c r="C8345" s="1" t="str">
        <f ca="1">IFERROR(__xludf.DUMMYFUNCTION("GOOGLETRANSLATE(B8471,""en"",""ja"")"),"共振")</f>
        <v>共振</v>
      </c>
    </row>
    <row r="8346" spans="1:3" ht="18" customHeight="1" x14ac:dyDescent="0.3">
      <c r="A8346" s="1">
        <v>2</v>
      </c>
      <c r="B8346" s="1" t="s">
        <v>6795</v>
      </c>
      <c r="C8346" s="1" t="str">
        <f ca="1">IFERROR(__xludf.DUMMYFUNCTION("GOOGLETRANSLATE(B8472,""en"",""ja"")"),"解決")</f>
        <v>解決</v>
      </c>
    </row>
    <row r="8347" spans="1:3" ht="18" customHeight="1" x14ac:dyDescent="0.3">
      <c r="A8347" s="1">
        <v>2</v>
      </c>
      <c r="B8347" s="1" t="s">
        <v>2566</v>
      </c>
      <c r="C8347" s="1" t="str">
        <f ca="1">IFERROR(__xludf.DUMMYFUNCTION("GOOGLETRANSLATE(B8473,""en"",""ja"")"),"抵抗します")</f>
        <v>抵抗します</v>
      </c>
    </row>
    <row r="8348" spans="1:3" ht="18" customHeight="1" x14ac:dyDescent="0.3">
      <c r="A8348" s="1">
        <v>2</v>
      </c>
      <c r="B8348" s="1" t="s">
        <v>6796</v>
      </c>
      <c r="C8348" s="1" t="str">
        <f ca="1">IFERROR(__xludf.DUMMYFUNCTION("GOOGLETRANSLATE(B8474,""en"",""ja"")"),"共和党")</f>
        <v>共和党</v>
      </c>
    </row>
    <row r="8349" spans="1:3" ht="18" customHeight="1" x14ac:dyDescent="0.3">
      <c r="A8349" s="1">
        <v>2</v>
      </c>
      <c r="B8349" s="1" t="s">
        <v>6797</v>
      </c>
      <c r="C8349" s="1" t="str">
        <f ca="1">IFERROR(__xludf.DUMMYFUNCTION("GOOGLETRANSLATE(B8476,""en"",""ja"")"),"再プログラミング")</f>
        <v>再プログラミング</v>
      </c>
    </row>
    <row r="8350" spans="1:3" ht="18" customHeight="1" x14ac:dyDescent="0.3">
      <c r="A8350" s="1">
        <v>2</v>
      </c>
      <c r="B8350" s="1" t="s">
        <v>6798</v>
      </c>
      <c r="C8350" s="1" t="str">
        <f ca="1">IFERROR(__xludf.DUMMYFUNCTION("GOOGLETRANSLATE(B8477,""en"",""ja"")"),"再生")</f>
        <v>再生</v>
      </c>
    </row>
    <row r="8351" spans="1:3" ht="18" customHeight="1" x14ac:dyDescent="0.3">
      <c r="A8351" s="1">
        <v>2</v>
      </c>
      <c r="B8351" s="1" t="s">
        <v>3288</v>
      </c>
      <c r="C8351" s="1" t="str">
        <f ca="1">IFERROR(__xludf.DUMMYFUNCTION("GOOGLETRANSLATE(B8478,""en"",""ja"")"),"repressively")</f>
        <v>repressively</v>
      </c>
    </row>
    <row r="8352" spans="1:3" ht="18" customHeight="1" x14ac:dyDescent="0.3">
      <c r="A8352" s="1">
        <v>2</v>
      </c>
      <c r="B8352" s="1" t="s">
        <v>6799</v>
      </c>
      <c r="C8352" s="1" t="str">
        <f ca="1">IFERROR(__xludf.DUMMYFUNCTION("GOOGLETRANSLATE(B8479,""en"",""ja"")"),"表現")</f>
        <v>表現</v>
      </c>
    </row>
    <row r="8353" spans="1:3" ht="18" customHeight="1" x14ac:dyDescent="0.3">
      <c r="A8353" s="1">
        <v>2</v>
      </c>
      <c r="B8353" s="1" t="s">
        <v>6800</v>
      </c>
      <c r="C8353" s="1" t="str">
        <f ca="1">IFERROR(__xludf.DUMMYFUNCTION("GOOGLETRANSLATE(B8480,""en"",""ja"")"),"補充")</f>
        <v>補充</v>
      </c>
    </row>
    <row r="8354" spans="1:3" ht="18" customHeight="1" x14ac:dyDescent="0.3">
      <c r="A8354" s="1">
        <v>2</v>
      </c>
      <c r="B8354" s="1" t="s">
        <v>6801</v>
      </c>
      <c r="C8354" s="1" t="str">
        <f ca="1">IFERROR(__xludf.DUMMYFUNCTION("GOOGLETRANSLATE(B8481,""en"",""ja"")"),"繰り返し")</f>
        <v>繰り返し</v>
      </c>
    </row>
    <row r="8355" spans="1:3" ht="18" customHeight="1" x14ac:dyDescent="0.3">
      <c r="A8355" s="1">
        <v>2</v>
      </c>
      <c r="B8355" s="1" t="s">
        <v>6802</v>
      </c>
      <c r="C8355" s="1" t="str">
        <f ca="1">IFERROR(__xludf.DUMMYFUNCTION("GOOGLETRANSLATE(B8482,""en"",""ja"")"),"修復")</f>
        <v>修復</v>
      </c>
    </row>
    <row r="8356" spans="1:3" ht="18" customHeight="1" x14ac:dyDescent="0.3">
      <c r="A8356" s="1">
        <v>2</v>
      </c>
      <c r="B8356" s="1" t="s">
        <v>6803</v>
      </c>
      <c r="C8356" s="1" t="str">
        <f ca="1">IFERROR(__xludf.DUMMYFUNCTION("GOOGLETRANSLATE(B8483,""en"",""ja"")"),"再編成")</f>
        <v>再編成</v>
      </c>
    </row>
    <row r="8357" spans="1:3" ht="18" customHeight="1" x14ac:dyDescent="0.3">
      <c r="A8357" s="1">
        <v>2</v>
      </c>
      <c r="B8357" s="1" t="s">
        <v>6804</v>
      </c>
      <c r="C8357" s="1" t="str">
        <f ca="1">IFERROR(__xludf.DUMMYFUNCTION("GOOGLETRANSLATE(B8485,""en"",""ja"")"),"書き換えます")</f>
        <v>書き換えます</v>
      </c>
    </row>
    <row r="8358" spans="1:3" ht="18" customHeight="1" x14ac:dyDescent="0.3">
      <c r="A8358" s="1">
        <v>2</v>
      </c>
      <c r="B8358" s="1" t="s">
        <v>4460</v>
      </c>
      <c r="C8358" s="1" t="str">
        <f ca="1">IFERROR(__xludf.DUMMYFUNCTION("GOOGLETRANSLATE(B8486,""en"",""ja"")"),"思い出します")</f>
        <v>思い出します</v>
      </c>
    </row>
    <row r="8359" spans="1:3" ht="18" customHeight="1" x14ac:dyDescent="0.3">
      <c r="A8359" s="1">
        <v>2</v>
      </c>
      <c r="B8359" s="1" t="s">
        <v>6805</v>
      </c>
      <c r="C8359" s="1" t="str">
        <f ca="1">IFERROR(__xludf.DUMMYFUNCTION("GOOGLETRANSLATE(B8487,""en"",""ja"")"),"頼ります")</f>
        <v>頼ります</v>
      </c>
    </row>
    <row r="8360" spans="1:3" ht="18" customHeight="1" x14ac:dyDescent="0.3">
      <c r="A8360" s="1">
        <v>2</v>
      </c>
      <c r="B8360" s="1" t="s">
        <v>6806</v>
      </c>
      <c r="C8360" s="1" t="str">
        <f ca="1">IFERROR(__xludf.DUMMYFUNCTION("GOOGLETRANSLATE(B8488,""en"",""ja"")"),"宗教")</f>
        <v>宗教</v>
      </c>
    </row>
    <row r="8361" spans="1:3" ht="18" customHeight="1" x14ac:dyDescent="0.3">
      <c r="A8361" s="1">
        <v>2</v>
      </c>
      <c r="B8361" s="1" t="s">
        <v>2911</v>
      </c>
      <c r="C8361" s="1" t="str">
        <f ca="1">IFERROR(__xludf.DUMMYFUNCTION("GOOGLETRANSLATE(B8489,""en"",""ja"")"),"確実")</f>
        <v>確実</v>
      </c>
    </row>
    <row r="8362" spans="1:3" ht="18" customHeight="1" x14ac:dyDescent="0.3">
      <c r="A8362" s="1">
        <v>2</v>
      </c>
      <c r="B8362" s="1" t="s">
        <v>2913</v>
      </c>
      <c r="C8362" s="1" t="str">
        <f ca="1">IFERROR(__xludf.DUMMYFUNCTION("GOOGLETRANSLATE(B8490,""en"",""ja"")"),"関連性")</f>
        <v>関連性</v>
      </c>
    </row>
    <row r="8363" spans="1:3" ht="18" customHeight="1" x14ac:dyDescent="0.3">
      <c r="A8363" s="1">
        <v>2</v>
      </c>
      <c r="B8363" s="1" t="s">
        <v>3875</v>
      </c>
      <c r="C8363" s="1" t="str">
        <f ca="1">IFERROR(__xludf.DUMMYFUNCTION("GOOGLETRANSLATE(B8491,""en"",""ja"")"),"改革")</f>
        <v>改革</v>
      </c>
    </row>
    <row r="8364" spans="1:3" ht="18" customHeight="1" x14ac:dyDescent="0.3">
      <c r="A8364" s="1">
        <v>2</v>
      </c>
      <c r="B8364" s="1" t="s">
        <v>6807</v>
      </c>
      <c r="C8364" s="1" t="str">
        <f ca="1">IFERROR(__xludf.DUMMYFUNCTION("GOOGLETRANSLATE(B8492,""en"",""ja"")"),"強化")</f>
        <v>強化</v>
      </c>
    </row>
    <row r="8365" spans="1:3" ht="18" customHeight="1" x14ac:dyDescent="0.3">
      <c r="A8365" s="1">
        <v>2</v>
      </c>
      <c r="B8365" s="1" t="s">
        <v>6808</v>
      </c>
      <c r="C8365" s="1" t="str">
        <f ca="1">IFERROR(__xludf.DUMMYFUNCTION("GOOGLETRANSLATE(B8493,""en"",""ja"")"),"リフレーム")</f>
        <v>リフレーム</v>
      </c>
    </row>
    <row r="8366" spans="1:3" ht="18" customHeight="1" x14ac:dyDescent="0.3">
      <c r="A8366" s="1">
        <v>2</v>
      </c>
      <c r="B8366" s="1" t="s">
        <v>6809</v>
      </c>
      <c r="C8366" s="1" t="str">
        <f ca="1">IFERROR(__xludf.DUMMYFUNCTION("GOOGLETRANSLATE(B8494,""en"",""ja"")"),"反映")</f>
        <v>反映</v>
      </c>
    </row>
    <row r="8367" spans="1:3" ht="18" customHeight="1" x14ac:dyDescent="0.3">
      <c r="A8367" s="1">
        <v>2</v>
      </c>
      <c r="B8367" s="1" t="s">
        <v>6810</v>
      </c>
      <c r="C8367" s="1" t="str">
        <f ca="1">IFERROR(__xludf.DUMMYFUNCTION("GOOGLETRANSLATE(B8495,""en"",""ja"")"),"参照先")</f>
        <v>参照先</v>
      </c>
    </row>
    <row r="8368" spans="1:3" ht="18" customHeight="1" x14ac:dyDescent="0.3">
      <c r="A8368" s="1">
        <v>2</v>
      </c>
      <c r="B8368" s="1" t="s">
        <v>6811</v>
      </c>
      <c r="C8368" s="1" t="str">
        <f ca="1">IFERROR(__xludf.DUMMYFUNCTION("GOOGLETRANSLATE(B8496,""en"",""ja"")"),"見直し")</f>
        <v>見直し</v>
      </c>
    </row>
    <row r="8369" spans="1:3" ht="18" customHeight="1" x14ac:dyDescent="0.3">
      <c r="A8369" s="1">
        <v>2</v>
      </c>
      <c r="B8369" s="1" t="s">
        <v>6812</v>
      </c>
      <c r="C8369" s="1" t="str">
        <f ca="1">IFERROR(__xludf.DUMMYFUNCTION("GOOGLETRANSLATE(B8497,""en"",""ja"")"),"再評価")</f>
        <v>再評価</v>
      </c>
    </row>
    <row r="8370" spans="1:3" ht="18" customHeight="1" x14ac:dyDescent="0.3">
      <c r="A8370" s="1">
        <v>2</v>
      </c>
      <c r="B8370" s="1" t="s">
        <v>6813</v>
      </c>
      <c r="C8370" s="1" t="str">
        <f ca="1">IFERROR(__xludf.DUMMYFUNCTION("GOOGLETRANSLATE(B8498,""en"",""ja"")"),"redirec")</f>
        <v>redirec</v>
      </c>
    </row>
    <row r="8371" spans="1:3" ht="18" customHeight="1" x14ac:dyDescent="0.3">
      <c r="A8371" s="1">
        <v>2</v>
      </c>
      <c r="B8371" s="1" t="s">
        <v>2572</v>
      </c>
      <c r="C8371" s="1" t="str">
        <f ca="1">IFERROR(__xludf.DUMMYFUNCTION("GOOGLETRANSLATE(B8499,""en"",""ja"")"),"回復")</f>
        <v>回復</v>
      </c>
    </row>
    <row r="8372" spans="1:3" ht="18" customHeight="1" x14ac:dyDescent="0.3">
      <c r="A8372" s="1">
        <v>2</v>
      </c>
      <c r="B8372" s="1" t="s">
        <v>6814</v>
      </c>
      <c r="C8372" s="1" t="str">
        <f ca="1">IFERROR(__xludf.DUMMYFUNCTION("GOOGLETRANSLATE(B8500,""en"",""ja"")"),"記録")</f>
        <v>記録</v>
      </c>
    </row>
    <row r="8373" spans="1:3" ht="18" customHeight="1" x14ac:dyDescent="0.3">
      <c r="A8373" s="1">
        <v>2</v>
      </c>
      <c r="B8373" s="1" t="s">
        <v>6815</v>
      </c>
      <c r="C8373" s="1" t="str">
        <f ca="1">IFERROR(__xludf.DUMMYFUNCTION("GOOGLETRANSLATE(B8501,""en"",""ja"")"),"復興")</f>
        <v>復興</v>
      </c>
    </row>
    <row r="8374" spans="1:3" ht="18" customHeight="1" x14ac:dyDescent="0.3">
      <c r="A8374" s="1">
        <v>2</v>
      </c>
      <c r="B8374" s="1" t="s">
        <v>3299</v>
      </c>
      <c r="C8374" s="1" t="str">
        <f ca="1">IFERROR(__xludf.DUMMYFUNCTION("GOOGLETRANSLATE(B8502,""en"",""ja"")"),"RECONCILE")</f>
        <v>RECONCILE</v>
      </c>
    </row>
    <row r="8375" spans="1:3" ht="18" customHeight="1" x14ac:dyDescent="0.3">
      <c r="A8375" s="1">
        <v>2</v>
      </c>
      <c r="B8375" s="1" t="s">
        <v>6816</v>
      </c>
      <c r="C8375" s="1" t="str">
        <f ca="1">IFERROR(__xludf.DUMMYFUNCTION("GOOGLETRANSLATE(B8503,""en"",""ja"")"),"勧告")</f>
        <v>勧告</v>
      </c>
    </row>
    <row r="8376" spans="1:3" ht="18" customHeight="1" x14ac:dyDescent="0.3">
      <c r="A8376" s="1">
        <v>2</v>
      </c>
      <c r="B8376" s="1" t="s">
        <v>6817</v>
      </c>
      <c r="C8376" s="1" t="str">
        <f ca="1">IFERROR(__xludf.DUMMYFUNCTION("GOOGLETRANSLATE(B8504,""en"",""ja"")"),"認識")</f>
        <v>認識</v>
      </c>
    </row>
    <row r="8377" spans="1:3" ht="18" customHeight="1" x14ac:dyDescent="0.3">
      <c r="A8377" s="1">
        <v>2</v>
      </c>
      <c r="B8377" s="1" t="s">
        <v>6818</v>
      </c>
      <c r="C8377" s="1" t="str">
        <f ca="1">IFERROR(__xludf.DUMMYFUNCTION("GOOGLETRANSLATE(B8505,""en"",""ja"")"),"互恵")</f>
        <v>互恵</v>
      </c>
    </row>
    <row r="8378" spans="1:3" ht="18" customHeight="1" x14ac:dyDescent="0.3">
      <c r="A8378" s="1">
        <v>2</v>
      </c>
      <c r="B8378" s="1" t="s">
        <v>5568</v>
      </c>
      <c r="C8378" s="1" t="str">
        <f ca="1">IFERROR(__xludf.DUMMYFUNCTION("GOOGLETRANSLATE(B8506,""en"",""ja"")"),"受信機")</f>
        <v>受信機</v>
      </c>
    </row>
    <row r="8379" spans="1:3" ht="18" customHeight="1" x14ac:dyDescent="0.3">
      <c r="A8379" s="1">
        <v>2</v>
      </c>
      <c r="B8379" s="1" t="s">
        <v>6819</v>
      </c>
      <c r="C8379" s="1" t="str">
        <f ca="1">IFERROR(__xludf.DUMMYFUNCTION("GOOGLETRANSLATE(B8507,""en"",""ja"")"),"奪還")</f>
        <v>奪還</v>
      </c>
    </row>
    <row r="8380" spans="1:3" ht="18" customHeight="1" x14ac:dyDescent="0.3">
      <c r="A8380" s="1">
        <v>2</v>
      </c>
      <c r="B8380" s="1" t="s">
        <v>6820</v>
      </c>
      <c r="C8380" s="1" t="str">
        <f ca="1">IFERROR(__xludf.DUMMYFUNCTION("GOOGLETRANSLATE(B8508,""en"",""ja"")"),"リコール")</f>
        <v>リコール</v>
      </c>
    </row>
    <row r="8381" spans="1:3" ht="18" customHeight="1" x14ac:dyDescent="0.3">
      <c r="A8381" s="1">
        <v>2</v>
      </c>
      <c r="B8381" s="1" t="s">
        <v>6821</v>
      </c>
      <c r="C8381" s="1" t="str">
        <f ca="1">IFERROR(__xludf.DUMMYFUNCTION("GOOGLETRANSLATE(B8509,""en"",""ja"")"),"リコール")</f>
        <v>リコール</v>
      </c>
    </row>
    <row r="8382" spans="1:3" ht="18" customHeight="1" x14ac:dyDescent="0.3">
      <c r="A8382" s="1">
        <v>2</v>
      </c>
      <c r="B8382" s="1" t="s">
        <v>6822</v>
      </c>
      <c r="C8382" s="1" t="str">
        <f ca="1">IFERROR(__xludf.DUMMYFUNCTION("GOOGLETRANSLATE(B8510,""en"",""ja"")"),"再構築")</f>
        <v>再構築</v>
      </c>
    </row>
    <row r="8383" spans="1:3" ht="18" customHeight="1" x14ac:dyDescent="0.3">
      <c r="A8383" s="1">
        <v>2</v>
      </c>
      <c r="B8383" s="1" t="s">
        <v>6823</v>
      </c>
      <c r="C8383" s="1" t="str">
        <f ca="1">IFERROR(__xludf.DUMMYFUNCTION("GOOGLETRANSLATE(B8511,""en"",""ja"")"),"理由")</f>
        <v>理由</v>
      </c>
    </row>
    <row r="8384" spans="1:3" ht="18" customHeight="1" x14ac:dyDescent="0.3">
      <c r="A8384" s="1">
        <v>2</v>
      </c>
      <c r="B8384" s="1" t="s">
        <v>6824</v>
      </c>
      <c r="C8384" s="1" t="str">
        <f ca="1">IFERROR(__xludf.DUMMYFUNCTION("GOOGLETRANSLATE(B8512,""en"",""ja"")"),"実現")</f>
        <v>実現</v>
      </c>
    </row>
    <row r="8385" spans="1:3" ht="18" customHeight="1" x14ac:dyDescent="0.3">
      <c r="A8385" s="1">
        <v>2</v>
      </c>
      <c r="B8385" s="1" t="s">
        <v>3882</v>
      </c>
      <c r="C8385" s="1" t="str">
        <f ca="1">IFERROR(__xludf.DUMMYFUNCTION("GOOGLETRANSLATE(B8513,""en"",""ja"")"),"実現")</f>
        <v>実現</v>
      </c>
    </row>
    <row r="8386" spans="1:3" ht="18" customHeight="1" x14ac:dyDescent="0.3">
      <c r="A8386" s="1">
        <v>2</v>
      </c>
      <c r="B8386" s="1" t="s">
        <v>1251</v>
      </c>
      <c r="C8386" s="1" t="str">
        <f ca="1">IFERROR(__xludf.DUMMYFUNCTION("GOOGLETRANSLATE(B8514,""en"",""ja"")"),"リーチ")</f>
        <v>リーチ</v>
      </c>
    </row>
    <row r="8387" spans="1:3" ht="18" customHeight="1" x14ac:dyDescent="0.3">
      <c r="A8387" s="1">
        <v>2</v>
      </c>
      <c r="B8387" s="1" t="s">
        <v>5573</v>
      </c>
      <c r="C8387" s="1" t="str">
        <f ca="1">IFERROR(__xludf.DUMMYFUNCTION("GOOGLETRANSLATE(B8515,""en"",""ja"")"),"カラス")</f>
        <v>カラス</v>
      </c>
    </row>
    <row r="8388" spans="1:3" ht="18" customHeight="1" x14ac:dyDescent="0.3">
      <c r="A8388" s="1">
        <v>2</v>
      </c>
      <c r="B8388" s="1" t="s">
        <v>2576</v>
      </c>
      <c r="C8388" s="1" t="str">
        <f ca="1">IFERROR(__xludf.DUMMYFUNCTION("GOOGLETRANSLATE(B8516,""en"",""ja"")"),"合理化")</f>
        <v>合理化</v>
      </c>
    </row>
    <row r="8389" spans="1:3" ht="18" customHeight="1" x14ac:dyDescent="0.3">
      <c r="A8389" s="1">
        <v>2</v>
      </c>
      <c r="B8389" s="1" t="s">
        <v>3303</v>
      </c>
      <c r="C8389" s="1" t="str">
        <f ca="1">IFERROR(__xludf.DUMMYFUNCTION("GOOGLETRANSLATE(B8517,""en"",""ja"")"),"合理性")</f>
        <v>合理性</v>
      </c>
    </row>
    <row r="8390" spans="1:3" ht="18" customHeight="1" x14ac:dyDescent="0.3">
      <c r="A8390" s="1">
        <v>2</v>
      </c>
      <c r="B8390" s="1" t="s">
        <v>646</v>
      </c>
      <c r="C8390" s="1" t="str">
        <f ca="1">IFERROR(__xludf.DUMMYFUNCTION("GOOGLETRANSLATE(B8518,""en"",""ja"")"),"急速")</f>
        <v>急速</v>
      </c>
    </row>
    <row r="8391" spans="1:3" ht="18" customHeight="1" x14ac:dyDescent="0.3">
      <c r="A8391" s="1">
        <v>2</v>
      </c>
      <c r="B8391" s="1" t="s">
        <v>6825</v>
      </c>
      <c r="C8391" s="1" t="str">
        <f ca="1">IFERROR(__xludf.DUMMYFUNCTION("GOOGLETRANSLATE(B8519,""en"",""ja"")"),"わめきます")</f>
        <v>わめきます</v>
      </c>
    </row>
    <row r="8392" spans="1:3" ht="18" customHeight="1" x14ac:dyDescent="0.3">
      <c r="A8392" s="1">
        <v>2</v>
      </c>
      <c r="B8392" s="1" t="s">
        <v>1646</v>
      </c>
      <c r="C8392" s="1" t="str">
        <f ca="1">IFERROR(__xludf.DUMMYFUNCTION("GOOGLETRANSLATE(B8520,""en"",""ja"")"),"根本")</f>
        <v>根本</v>
      </c>
    </row>
    <row r="8393" spans="1:3" ht="18" customHeight="1" x14ac:dyDescent="0.3">
      <c r="A8393" s="1">
        <v>2</v>
      </c>
      <c r="B8393" s="1" t="s">
        <v>6826</v>
      </c>
      <c r="C8393" s="1" t="str">
        <f ca="1">IFERROR(__xludf.DUMMYFUNCTION("GOOGLETRANSLATE(B8521,""en"",""ja"")"),"ラッキング")</f>
        <v>ラッキング</v>
      </c>
    </row>
    <row r="8394" spans="1:3" ht="18" customHeight="1" x14ac:dyDescent="0.3">
      <c r="A8394" s="1">
        <v>2</v>
      </c>
      <c r="B8394" s="1" t="s">
        <v>6827</v>
      </c>
      <c r="C8394" s="1" t="str">
        <f ca="1">IFERROR(__xludf.DUMMYFUNCTION("GOOGLETRANSLATE(B8522,""en"",""ja"")"),"レーシング")</f>
        <v>レーシング</v>
      </c>
    </row>
    <row r="8395" spans="1:3" ht="18" customHeight="1" x14ac:dyDescent="0.3">
      <c r="A8395" s="1">
        <v>2</v>
      </c>
      <c r="B8395" s="1" t="s">
        <v>2920</v>
      </c>
      <c r="C8395" s="1" t="str">
        <f ca="1">IFERROR(__xludf.DUMMYFUNCTION("GOOGLETRANSLATE(B8523,""en"",""ja"")"),"終了する")</f>
        <v>終了する</v>
      </c>
    </row>
    <row r="8396" spans="1:3" ht="18" customHeight="1" x14ac:dyDescent="0.3">
      <c r="A8396" s="1">
        <v>2</v>
      </c>
      <c r="B8396" s="1" t="s">
        <v>4486</v>
      </c>
      <c r="C8396" s="1" t="str">
        <f ca="1">IFERROR(__xludf.DUMMYFUNCTION("GOOGLETRANSLATE(B8524,""en"",""ja"")"),"速いです")</f>
        <v>速いです</v>
      </c>
    </row>
    <row r="8397" spans="1:3" ht="18" customHeight="1" x14ac:dyDescent="0.3">
      <c r="A8397" s="1">
        <v>2</v>
      </c>
      <c r="B8397" s="1" t="s">
        <v>6828</v>
      </c>
      <c r="C8397" s="1" t="str">
        <f ca="1">IFERROR(__xludf.DUMMYFUNCTION("GOOGLETRANSLATE(B8525,""en"",""ja"")"),"尋問")</f>
        <v>尋問</v>
      </c>
    </row>
    <row r="8398" spans="1:3" ht="18" customHeight="1" x14ac:dyDescent="0.3">
      <c r="A8398" s="1">
        <v>2</v>
      </c>
      <c r="B8398" s="1" t="s">
        <v>5583</v>
      </c>
      <c r="C8398" s="1" t="str">
        <f ca="1">IFERROR(__xludf.DUMMYFUNCTION("GOOGLETRANSLATE(B8526,""en"",""ja"")"),"疑わしい")</f>
        <v>疑わしい</v>
      </c>
    </row>
    <row r="8399" spans="1:3" ht="18" customHeight="1" x14ac:dyDescent="0.3">
      <c r="A8399" s="1">
        <v>2</v>
      </c>
      <c r="B8399" s="1" t="s">
        <v>6829</v>
      </c>
      <c r="C8399" s="1" t="str">
        <f ca="1">IFERROR(__xludf.DUMMYFUNCTION("GOOGLETRANSLATE(B8527,""en"",""ja"")"),"四半期")</f>
        <v>四半期</v>
      </c>
    </row>
    <row r="8400" spans="1:3" ht="18" customHeight="1" x14ac:dyDescent="0.3">
      <c r="A8400" s="1">
        <v>2</v>
      </c>
      <c r="B8400" s="1" t="s">
        <v>3309</v>
      </c>
      <c r="C8400" s="1" t="str">
        <f ca="1">IFERROR(__xludf.DUMMYFUNCTION("GOOGLETRANSLATE(B8528,""en"",""ja"")"),"四半期")</f>
        <v>四半期</v>
      </c>
    </row>
    <row r="8401" spans="1:3" ht="18" customHeight="1" x14ac:dyDescent="0.3">
      <c r="A8401" s="1">
        <v>2</v>
      </c>
      <c r="B8401" s="1" t="s">
        <v>6830</v>
      </c>
      <c r="C8401" s="1" t="str">
        <f ca="1">IFERROR(__xludf.DUMMYFUNCTION("GOOGLETRANSLATE(B8529,""en"",""ja"")"),"プッシング")</f>
        <v>プッシング</v>
      </c>
    </row>
    <row r="8402" spans="1:3" ht="18" customHeight="1" x14ac:dyDescent="0.3">
      <c r="A8402" s="1">
        <v>2</v>
      </c>
      <c r="B8402" s="1" t="s">
        <v>6831</v>
      </c>
      <c r="C8402" s="1" t="str">
        <f ca="1">IFERROR(__xludf.DUMMYFUNCTION("GOOGLETRANSLATE(B8530,""en"",""ja"")"),"ピュア")</f>
        <v>ピュア</v>
      </c>
    </row>
    <row r="8403" spans="1:3" ht="18" customHeight="1" x14ac:dyDescent="0.3">
      <c r="A8403" s="1">
        <v>2</v>
      </c>
      <c r="B8403" s="1" t="s">
        <v>6832</v>
      </c>
      <c r="C8403" s="1" t="str">
        <f ca="1">IFERROR(__xludf.DUMMYFUNCTION("GOOGLETRANSLATE(B8531,""en"",""ja"")"),"サイコセラピー")</f>
        <v>サイコセラピー</v>
      </c>
    </row>
    <row r="8404" spans="1:3" ht="18" customHeight="1" x14ac:dyDescent="0.3">
      <c r="A8404" s="1">
        <v>2</v>
      </c>
      <c r="B8404" s="1" t="s">
        <v>6833</v>
      </c>
      <c r="C8404" s="1" t="str">
        <f ca="1">IFERROR(__xludf.DUMMYFUNCTION("GOOGLETRANSLATE(B8532,""en"",""ja"")"),"psychol")</f>
        <v>psychol</v>
      </c>
    </row>
    <row r="8405" spans="1:3" ht="18" customHeight="1" x14ac:dyDescent="0.3">
      <c r="A8405" s="1">
        <v>2</v>
      </c>
      <c r="B8405" s="1" t="s">
        <v>3313</v>
      </c>
      <c r="C8405" s="1" t="str">
        <f ca="1">IFERROR(__xludf.DUMMYFUNCTION("GOOGLETRANSLATE(B8533,""en"",""ja"")"),"プロイセン")</f>
        <v>プロイセン</v>
      </c>
    </row>
    <row r="8406" spans="1:3" ht="18" customHeight="1" x14ac:dyDescent="0.3">
      <c r="A8406" s="1">
        <v>2</v>
      </c>
      <c r="B8406" s="1" t="s">
        <v>6834</v>
      </c>
      <c r="C8406" s="1" t="str">
        <f ca="1">IFERROR(__xludf.DUMMYFUNCTION("GOOGLETRANSLATE(B8534,""en"",""ja"")"),"挑発")</f>
        <v>挑発</v>
      </c>
    </row>
    <row r="8407" spans="1:3" ht="18" customHeight="1" x14ac:dyDescent="0.3">
      <c r="A8407" s="1">
        <v>2</v>
      </c>
      <c r="B8407" s="1" t="s">
        <v>1429</v>
      </c>
      <c r="C8407" s="1" t="str">
        <f ca="1">IFERROR(__xludf.DUMMYFUNCTION("GOOGLETRANSLATE(B8535,""en"",""ja"")"),"証明します")</f>
        <v>証明します</v>
      </c>
    </row>
    <row r="8408" spans="1:3" ht="18" customHeight="1" x14ac:dyDescent="0.3">
      <c r="A8408" s="1">
        <v>2</v>
      </c>
      <c r="B8408" s="1" t="s">
        <v>6835</v>
      </c>
      <c r="C8408" s="1" t="str">
        <f ca="1">IFERROR(__xludf.DUMMYFUNCTION("GOOGLETRANSLATE(B8537,""en"",""ja"")"),"プロトコル")</f>
        <v>プロトコル</v>
      </c>
    </row>
    <row r="8409" spans="1:3" ht="18" customHeight="1" x14ac:dyDescent="0.3">
      <c r="A8409" s="1">
        <v>2</v>
      </c>
      <c r="B8409" s="1" t="s">
        <v>6836</v>
      </c>
      <c r="C8409" s="1" t="str">
        <f ca="1">IFERROR(__xludf.DUMMYFUNCTION("GOOGLETRANSLATE(B8538,""en"",""ja"")"),"保護")</f>
        <v>保護</v>
      </c>
    </row>
    <row r="8410" spans="1:3" ht="18" customHeight="1" x14ac:dyDescent="0.3">
      <c r="A8410" s="1">
        <v>2</v>
      </c>
      <c r="B8410" s="1" t="s">
        <v>3319</v>
      </c>
      <c r="C8410" s="1" t="str">
        <f ca="1">IFERROR(__xludf.DUMMYFUNCTION("GOOGLETRANSLATE(B8539,""en"",""ja"")"),"所有者")</f>
        <v>所有者</v>
      </c>
    </row>
    <row r="8411" spans="1:3" ht="18" customHeight="1" x14ac:dyDescent="0.3">
      <c r="A8411" s="1">
        <v>2</v>
      </c>
      <c r="B8411" s="1" t="s">
        <v>6837</v>
      </c>
      <c r="C8411" s="1" t="str">
        <f ca="1">IFERROR(__xludf.DUMMYFUNCTION("GOOGLETRANSLATE(B8540,""en"",""ja"")"),"提案します")</f>
        <v>提案します</v>
      </c>
    </row>
    <row r="8412" spans="1:3" ht="18" customHeight="1" x14ac:dyDescent="0.3">
      <c r="A8412" s="1">
        <v>2</v>
      </c>
      <c r="B8412" s="1" t="s">
        <v>6838</v>
      </c>
      <c r="C8412" s="1" t="str">
        <f ca="1">IFERROR(__xludf.DUMMYFUNCTION("GOOGLETRANSLATE(B8542,""en"",""ja"")"),"propor")</f>
        <v>propor</v>
      </c>
    </row>
    <row r="8413" spans="1:3" ht="18" customHeight="1" x14ac:dyDescent="0.3">
      <c r="A8413" s="1">
        <v>2</v>
      </c>
      <c r="B8413" s="1" t="s">
        <v>2924</v>
      </c>
      <c r="C8413" s="1" t="str">
        <f ca="1">IFERROR(__xludf.DUMMYFUNCTION("GOOGLETRANSLATE(B8543,""en"",""ja"")"),"預言")</f>
        <v>預言</v>
      </c>
    </row>
    <row r="8414" spans="1:3" ht="18" customHeight="1" x14ac:dyDescent="0.3">
      <c r="A8414" s="1">
        <v>2</v>
      </c>
      <c r="B8414" s="1" t="s">
        <v>6839</v>
      </c>
      <c r="C8414" s="1" t="str">
        <f ca="1">IFERROR(__xludf.DUMMYFUNCTION("GOOGLETRANSLATE(B8544,""en"",""ja"")"),"性向")</f>
        <v>性向</v>
      </c>
    </row>
    <row r="8415" spans="1:3" ht="18" customHeight="1" x14ac:dyDescent="0.3">
      <c r="A8415" s="1">
        <v>2</v>
      </c>
      <c r="B8415" s="1" t="s">
        <v>6840</v>
      </c>
      <c r="C8415" s="1" t="str">
        <f ca="1">IFERROR(__xludf.DUMMYFUNCTION("GOOGLETRANSLATE(B8545,""en"",""ja"")"),"伝播")</f>
        <v>伝播</v>
      </c>
    </row>
    <row r="8416" spans="1:3" ht="18" customHeight="1" x14ac:dyDescent="0.3">
      <c r="A8416" s="1">
        <v>2</v>
      </c>
      <c r="B8416" s="1" t="s">
        <v>6841</v>
      </c>
      <c r="C8416" s="1" t="str">
        <f ca="1">IFERROR(__xludf.DUMMYFUNCTION("GOOGLETRANSLATE(B8546,""en"",""ja"")"),"利益")</f>
        <v>利益</v>
      </c>
    </row>
    <row r="8417" spans="1:3" ht="18" customHeight="1" x14ac:dyDescent="0.3">
      <c r="A8417" s="1">
        <v>2</v>
      </c>
      <c r="B8417" s="1" t="s">
        <v>1343</v>
      </c>
      <c r="C8417" s="1" t="str">
        <f ca="1">IFERROR(__xludf.DUMMYFUNCTION("GOOGLETRANSLATE(B8547,""en"",""ja"")"),"教授")</f>
        <v>教授</v>
      </c>
    </row>
    <row r="8418" spans="1:3" ht="18" customHeight="1" x14ac:dyDescent="0.3">
      <c r="A8418" s="1">
        <v>2</v>
      </c>
      <c r="B8418" s="1" t="s">
        <v>6842</v>
      </c>
      <c r="C8418" s="1" t="str">
        <f ca="1">IFERROR(__xludf.DUMMYFUNCTION("GOOGLETRANSLATE(B8548,""en"",""ja"")"),"職業")</f>
        <v>職業</v>
      </c>
    </row>
    <row r="8419" spans="1:3" ht="18" customHeight="1" x14ac:dyDescent="0.3">
      <c r="A8419" s="1">
        <v>2</v>
      </c>
      <c r="B8419" s="1" t="s">
        <v>2927</v>
      </c>
      <c r="C8419" s="1" t="str">
        <f ca="1">IFERROR(__xludf.DUMMYFUNCTION("GOOGLETRANSLATE(B8549,""en"",""ja"")"),"確率")</f>
        <v>確率</v>
      </c>
    </row>
    <row r="8420" spans="1:3" ht="18" customHeight="1" x14ac:dyDescent="0.3">
      <c r="A8420" s="1">
        <v>2</v>
      </c>
      <c r="B8420" s="1" t="s">
        <v>6843</v>
      </c>
      <c r="C8420" s="1" t="str">
        <f ca="1">IFERROR(__xludf.DUMMYFUNCTION("GOOGLETRANSLATE(B8550,""en"",""ja"")"),"特権")</f>
        <v>特権</v>
      </c>
    </row>
    <row r="8421" spans="1:3" ht="18" customHeight="1" x14ac:dyDescent="0.3">
      <c r="A8421" s="1">
        <v>2</v>
      </c>
      <c r="B8421" s="1" t="s">
        <v>6844</v>
      </c>
      <c r="C8421" s="1" t="str">
        <f ca="1">IFERROR(__xludf.DUMMYFUNCTION("GOOGLETRANSLATE(B8551,""en"",""ja"")"),"囚人たち")</f>
        <v>囚人たち</v>
      </c>
    </row>
    <row r="8422" spans="1:3" ht="18" customHeight="1" x14ac:dyDescent="0.3">
      <c r="A8422" s="1">
        <v>2</v>
      </c>
      <c r="B8422" s="1" t="s">
        <v>6845</v>
      </c>
      <c r="C8422" s="1" t="str">
        <f ca="1">IFERROR(__xludf.DUMMYFUNCTION("GOOGLETRANSLATE(B8552,""en"",""ja"")"),"優先")</f>
        <v>優先</v>
      </c>
    </row>
    <row r="8423" spans="1:3" ht="18" customHeight="1" x14ac:dyDescent="0.3">
      <c r="A8423" s="1">
        <v>2</v>
      </c>
      <c r="B8423" s="1" t="s">
        <v>6846</v>
      </c>
      <c r="C8423" s="1" t="str">
        <f ca="1">IFERROR(__xludf.DUMMYFUNCTION("GOOGLETRANSLATE(B8553,""en"",""ja"")"),"プリンストン")</f>
        <v>プリンストン</v>
      </c>
    </row>
    <row r="8424" spans="1:3" ht="18" customHeight="1" x14ac:dyDescent="0.3">
      <c r="A8424" s="1">
        <v>2</v>
      </c>
      <c r="B8424" s="1" t="s">
        <v>6847</v>
      </c>
      <c r="C8424" s="1" t="str">
        <f ca="1">IFERROR(__xludf.DUMMYFUNCTION("GOOGLETRANSLATE(B8554,""en"",""ja"")"),"霊長類")</f>
        <v>霊長類</v>
      </c>
    </row>
    <row r="8425" spans="1:3" ht="18" customHeight="1" x14ac:dyDescent="0.3">
      <c r="A8425" s="1">
        <v>2</v>
      </c>
      <c r="B8425" s="1" t="s">
        <v>6848</v>
      </c>
      <c r="C8425" s="1" t="str">
        <f ca="1">IFERROR(__xludf.DUMMYFUNCTION("GOOGLETRANSLATE(B8555,""en"",""ja"")"),"貴重")</f>
        <v>貴重</v>
      </c>
    </row>
    <row r="8426" spans="1:3" ht="18" customHeight="1" x14ac:dyDescent="0.3">
      <c r="A8426" s="1">
        <v>2</v>
      </c>
      <c r="B8426" s="1" t="s">
        <v>6849</v>
      </c>
      <c r="C8426" s="1" t="str">
        <f ca="1">IFERROR(__xludf.DUMMYFUNCTION("GOOGLETRANSLATE(B8556,""en"",""ja"")"),"予洗")</f>
        <v>予洗</v>
      </c>
    </row>
    <row r="8427" spans="1:3" ht="18" customHeight="1" x14ac:dyDescent="0.3">
      <c r="A8427" s="1">
        <v>2</v>
      </c>
      <c r="B8427" s="1" t="s">
        <v>6850</v>
      </c>
      <c r="C8427" s="1" t="str">
        <f ca="1">IFERROR(__xludf.DUMMYFUNCTION("GOOGLETRANSLATE(B8557,""en"",""ja"")"),"防止")</f>
        <v>防止</v>
      </c>
    </row>
    <row r="8428" spans="1:3" ht="18" customHeight="1" x14ac:dyDescent="0.3">
      <c r="A8428" s="1">
        <v>2</v>
      </c>
      <c r="B8428" s="1" t="s">
        <v>6851</v>
      </c>
      <c r="C8428" s="1" t="str">
        <f ca="1">IFERROR(__xludf.DUMMYFUNCTION("GOOGLETRANSLATE(B8558,""en"",""ja"")"),"見せかけ")</f>
        <v>見せかけ</v>
      </c>
    </row>
    <row r="8429" spans="1:3" ht="18" customHeight="1" x14ac:dyDescent="0.3">
      <c r="A8429" s="1">
        <v>2</v>
      </c>
      <c r="B8429" s="1" t="s">
        <v>6852</v>
      </c>
      <c r="C8429" s="1" t="str">
        <f ca="1">IFERROR(__xludf.DUMMYFUNCTION("GOOGLETRANSLATE(B8559,""en"",""ja"")"),"前提")</f>
        <v>前提</v>
      </c>
    </row>
    <row r="8430" spans="1:3" ht="18" customHeight="1" x14ac:dyDescent="0.3">
      <c r="A8430" s="1">
        <v>2</v>
      </c>
      <c r="B8430" s="1" t="s">
        <v>6853</v>
      </c>
      <c r="C8430" s="1" t="str">
        <f ca="1">IFERROR(__xludf.DUMMYFUNCTION("GOOGLETRANSLATE(B8560,""en"",""ja"")"),"前提")</f>
        <v>前提</v>
      </c>
    </row>
    <row r="8431" spans="1:3" ht="18" customHeight="1" x14ac:dyDescent="0.3">
      <c r="A8431" s="1">
        <v>2</v>
      </c>
      <c r="B8431" s="1" t="s">
        <v>6854</v>
      </c>
      <c r="C8431" s="1" t="str">
        <f ca="1">IFERROR(__xludf.DUMMYFUNCTION("GOOGLETRANSLATE(B8561,""en"",""ja"")"),"でしゃばりな")</f>
        <v>でしゃばりな</v>
      </c>
    </row>
    <row r="8432" spans="1:3" ht="18" customHeight="1" x14ac:dyDescent="0.3">
      <c r="A8432" s="1">
        <v>2</v>
      </c>
      <c r="B8432" s="1" t="s">
        <v>6855</v>
      </c>
      <c r="C8432" s="1" t="str">
        <f ca="1">IFERROR(__xludf.DUMMYFUNCTION("GOOGLETRANSLATE(B8562,""en"",""ja"")"),"威信")</f>
        <v>威信</v>
      </c>
    </row>
    <row r="8433" spans="1:3" ht="18" customHeight="1" x14ac:dyDescent="0.3">
      <c r="A8433" s="1">
        <v>2</v>
      </c>
      <c r="B8433" s="1" t="s">
        <v>6856</v>
      </c>
      <c r="C8433" s="1" t="str">
        <f ca="1">IFERROR(__xludf.DUMMYFUNCTION("GOOGLETRANSLATE(B8563,""en"",""ja"")"),"不合理")</f>
        <v>不合理</v>
      </c>
    </row>
    <row r="8434" spans="1:3" ht="18" customHeight="1" x14ac:dyDescent="0.3">
      <c r="A8434" s="1">
        <v>2</v>
      </c>
      <c r="B8434" s="1" t="s">
        <v>4515</v>
      </c>
      <c r="C8434" s="1" t="str">
        <f ca="1">IFERROR(__xludf.DUMMYFUNCTION("GOOGLETRANSLATE(B8564,""en"",""ja"")"),"途中で")</f>
        <v>途中で</v>
      </c>
    </row>
    <row r="8435" spans="1:3" ht="18" customHeight="1" x14ac:dyDescent="0.3">
      <c r="A8435" s="1">
        <v>2</v>
      </c>
      <c r="B8435" s="1" t="s">
        <v>6857</v>
      </c>
      <c r="C8435" s="1" t="str">
        <f ca="1">IFERROR(__xludf.DUMMYFUNCTION("GOOGLETRANSLATE(B8565,""en"",""ja"")"),"premate")</f>
        <v>premate</v>
      </c>
    </row>
    <row r="8436" spans="1:3" ht="18" customHeight="1" x14ac:dyDescent="0.3">
      <c r="A8436" s="1">
        <v>2</v>
      </c>
      <c r="B8436" s="1" t="s">
        <v>6858</v>
      </c>
      <c r="C8436" s="1" t="str">
        <f ca="1">IFERROR(__xludf.DUMMYFUNCTION("GOOGLETRANSLATE(B8566,""en"",""ja"")"),"環境設定")</f>
        <v>環境設定</v>
      </c>
    </row>
    <row r="8437" spans="1:3" ht="18" customHeight="1" x14ac:dyDescent="0.3">
      <c r="A8437" s="1">
        <v>2</v>
      </c>
      <c r="B8437" s="1" t="s">
        <v>6859</v>
      </c>
      <c r="C8437" s="1" t="str">
        <f ca="1">IFERROR(__xludf.DUMMYFUNCTION("GOOGLETRANSLATE(B8567,""en"",""ja"")"),"主に")</f>
        <v>主に</v>
      </c>
    </row>
    <row r="8438" spans="1:3" ht="18" customHeight="1" x14ac:dyDescent="0.3">
      <c r="A8438" s="1">
        <v>2</v>
      </c>
      <c r="B8438" s="1" t="s">
        <v>6860</v>
      </c>
      <c r="C8438" s="1" t="str">
        <f ca="1">IFERROR(__xludf.DUMMYFUNCTION("GOOGLETRANSLATE(B8568,""en"",""ja"")"),"体質")</f>
        <v>体質</v>
      </c>
    </row>
    <row r="8439" spans="1:3" ht="18" customHeight="1" x14ac:dyDescent="0.3">
      <c r="A8439" s="1">
        <v>2</v>
      </c>
      <c r="B8439" s="1" t="s">
        <v>4522</v>
      </c>
      <c r="C8439" s="1" t="str">
        <f ca="1">IFERROR(__xludf.DUMMYFUNCTION("GOOGLETRANSLATE(B8569,""en"",""ja"")"),"予測因子")</f>
        <v>予測因子</v>
      </c>
    </row>
    <row r="8440" spans="1:3" ht="18" customHeight="1" x14ac:dyDescent="0.3">
      <c r="A8440" s="1">
        <v>2</v>
      </c>
      <c r="B8440" s="1" t="s">
        <v>6861</v>
      </c>
      <c r="C8440" s="1" t="str">
        <f ca="1">IFERROR(__xludf.DUMMYFUNCTION("GOOGLETRANSLATE(B8570,""en"",""ja"")"),"予測")</f>
        <v>予測</v>
      </c>
    </row>
    <row r="8441" spans="1:3" ht="18" customHeight="1" x14ac:dyDescent="0.3">
      <c r="A8441" s="1">
        <v>2</v>
      </c>
      <c r="B8441" s="1" t="s">
        <v>6862</v>
      </c>
      <c r="C8441" s="1" t="str">
        <f ca="1">IFERROR(__xludf.DUMMYFUNCTION("GOOGLETRANSLATE(B8571,""en"",""ja"")"),"先入観")</f>
        <v>先入観</v>
      </c>
    </row>
    <row r="8442" spans="1:3" ht="18" customHeight="1" x14ac:dyDescent="0.3">
      <c r="A8442" s="1">
        <v>2</v>
      </c>
      <c r="B8442" s="1" t="s">
        <v>6863</v>
      </c>
      <c r="C8442" s="1" t="str">
        <f ca="1">IFERROR(__xludf.DUMMYFUNCTION("GOOGLETRANSLATE(B8572,""en"",""ja"")"),"先入")</f>
        <v>先入</v>
      </c>
    </row>
    <row r="8443" spans="1:3" ht="18" customHeight="1" x14ac:dyDescent="0.3">
      <c r="A8443" s="1">
        <v>2</v>
      </c>
      <c r="B8443" s="1" t="s">
        <v>4524</v>
      </c>
      <c r="C8443" s="1" t="str">
        <f ca="1">IFERROR(__xludf.DUMMYFUNCTION("GOOGLETRANSLATE(B8573,""en"",""ja"")"),"排除して")</f>
        <v>排除して</v>
      </c>
    </row>
    <row r="8444" spans="1:3" ht="18" customHeight="1" x14ac:dyDescent="0.3">
      <c r="A8444" s="1">
        <v>2</v>
      </c>
      <c r="B8444" s="1" t="s">
        <v>4525</v>
      </c>
      <c r="C8444" s="1" t="str">
        <f ca="1">IFERROR(__xludf.DUMMYFUNCTION("GOOGLETRANSLATE(B8575,""en"",""ja"")"),"急激に")</f>
        <v>急激に</v>
      </c>
    </row>
    <row r="8445" spans="1:3" ht="18" customHeight="1" x14ac:dyDescent="0.3">
      <c r="A8445" s="1">
        <v>2</v>
      </c>
      <c r="B8445" s="1" t="s">
        <v>4526</v>
      </c>
      <c r="C8445" s="1" t="str">
        <f ca="1">IFERROR(__xludf.DUMMYFUNCTION("GOOGLETRANSLATE(B8576,""en"",""ja"")"),"先行")</f>
        <v>先行</v>
      </c>
    </row>
    <row r="8446" spans="1:3" ht="18" customHeight="1" x14ac:dyDescent="0.3">
      <c r="A8446" s="1">
        <v>2</v>
      </c>
      <c r="B8446" s="1" t="s">
        <v>6864</v>
      </c>
      <c r="C8446" s="1" t="str">
        <f ca="1">IFERROR(__xludf.DUMMYFUNCTION("GOOGLETRANSLATE(B8577,""en"",""ja"")"),"練習")</f>
        <v>練習</v>
      </c>
    </row>
    <row r="8447" spans="1:3" ht="18" customHeight="1" x14ac:dyDescent="0.3">
      <c r="A8447" s="1">
        <v>2</v>
      </c>
      <c r="B8447" s="1" t="s">
        <v>6865</v>
      </c>
      <c r="C8447" s="1" t="str">
        <f ca="1">IFERROR(__xludf.DUMMYFUNCTION("GOOGLETRANSLATE(B8578,""en"",""ja"")"),"実際に")</f>
        <v>実際に</v>
      </c>
    </row>
    <row r="8448" spans="1:3" ht="18" customHeight="1" x14ac:dyDescent="0.3">
      <c r="A8448" s="1">
        <v>2</v>
      </c>
      <c r="B8448" s="1" t="s">
        <v>2332</v>
      </c>
      <c r="C8448" s="1" t="str">
        <f ca="1">IFERROR(__xludf.DUMMYFUNCTION("GOOGLETRANSLATE(B8579,""en"",""ja"")"),"潜在的に")</f>
        <v>潜在的に</v>
      </c>
    </row>
    <row r="8449" spans="1:3" ht="18" customHeight="1" x14ac:dyDescent="0.3">
      <c r="A8449" s="1">
        <v>2</v>
      </c>
      <c r="B8449" s="1" t="s">
        <v>1344</v>
      </c>
      <c r="C8449" s="1" t="str">
        <f ca="1">IFERROR(__xludf.DUMMYFUNCTION("GOOGLETRANSLATE(B8580,""en"",""ja"")"),"可能性")</f>
        <v>可能性</v>
      </c>
    </row>
    <row r="8450" spans="1:3" ht="18" customHeight="1" x14ac:dyDescent="0.3">
      <c r="A8450" s="1">
        <v>2</v>
      </c>
      <c r="B8450" s="1" t="s">
        <v>6866</v>
      </c>
      <c r="C8450" s="1" t="str">
        <f ca="1">IFERROR(__xludf.DUMMYFUNCTION("GOOGLETRANSLATE(B8581,""en"",""ja"")"),"陽電子")</f>
        <v>陽電子</v>
      </c>
    </row>
    <row r="8451" spans="1:3" ht="18" customHeight="1" x14ac:dyDescent="0.3">
      <c r="A8451" s="1">
        <v>2</v>
      </c>
      <c r="B8451" s="1" t="s">
        <v>6867</v>
      </c>
      <c r="C8451" s="1" t="str">
        <f ca="1">IFERROR(__xludf.DUMMYFUNCTION("GOOGLETRANSLATE(B8582,""en"",""ja"")"),"断言します")</f>
        <v>断言します</v>
      </c>
    </row>
    <row r="8452" spans="1:3" ht="18" customHeight="1" x14ac:dyDescent="0.3">
      <c r="A8452" s="1">
        <v>2</v>
      </c>
      <c r="B8452" s="1" t="s">
        <v>6868</v>
      </c>
      <c r="C8452" s="1" t="str">
        <f ca="1">IFERROR(__xludf.DUMMYFUNCTION("GOOGLETRANSLATE(B8583,""en"",""ja"")"),"ポーズ")</f>
        <v>ポーズ</v>
      </c>
    </row>
    <row r="8453" spans="1:3" ht="18" customHeight="1" x14ac:dyDescent="0.3">
      <c r="A8453" s="1">
        <v>2</v>
      </c>
      <c r="B8453" s="1" t="s">
        <v>3903</v>
      </c>
      <c r="C8453" s="1" t="str">
        <f ca="1">IFERROR(__xludf.DUMMYFUNCTION("GOOGLETRANSLATE(B8584,""en"",""ja"")"),"ポーズ")</f>
        <v>ポーズ</v>
      </c>
    </row>
    <row r="8454" spans="1:3" ht="18" customHeight="1" x14ac:dyDescent="0.3">
      <c r="A8454" s="1">
        <v>2</v>
      </c>
      <c r="B8454" s="1" t="s">
        <v>6869</v>
      </c>
      <c r="C8454" s="1" t="str">
        <f ca="1">IFERROR(__xludf.DUMMYFUNCTION("GOOGLETRANSLATE(B8585,""en"",""ja"")"),"描写")</f>
        <v>描写</v>
      </c>
    </row>
    <row r="8455" spans="1:3" ht="18" customHeight="1" x14ac:dyDescent="0.3">
      <c r="A8455" s="1">
        <v>2</v>
      </c>
      <c r="B8455" s="1" t="s">
        <v>6870</v>
      </c>
      <c r="C8455" s="1" t="str">
        <f ca="1">IFERROR(__xludf.DUMMYFUNCTION("GOOGLETRANSLATE(B8586,""en"",""ja"")"),"船尾")</f>
        <v>船尾</v>
      </c>
    </row>
    <row r="8456" spans="1:3" ht="18" customHeight="1" x14ac:dyDescent="0.3">
      <c r="A8456" s="1">
        <v>2</v>
      </c>
      <c r="B8456" s="1" t="s">
        <v>4536</v>
      </c>
      <c r="C8456" s="1" t="str">
        <f ca="1">IFERROR(__xludf.DUMMYFUNCTION("GOOGLETRANSLATE(B8587,""en"",""ja"")"),"極性")</f>
        <v>極性</v>
      </c>
    </row>
    <row r="8457" spans="1:3" ht="18" customHeight="1" x14ac:dyDescent="0.3">
      <c r="A8457" s="1">
        <v>2</v>
      </c>
      <c r="B8457" s="1" t="s">
        <v>6871</v>
      </c>
      <c r="C8457" s="1" t="str">
        <f ca="1">IFERROR(__xludf.DUMMYFUNCTION("GOOGLETRANSLATE(B8588,""en"",""ja"")"),"プラグ")</f>
        <v>プラグ</v>
      </c>
    </row>
    <row r="8458" spans="1:3" ht="18" customHeight="1" x14ac:dyDescent="0.3">
      <c r="A8458" s="1">
        <v>2</v>
      </c>
      <c r="B8458" s="1" t="s">
        <v>6872</v>
      </c>
      <c r="C8458" s="1" t="str">
        <f ca="1">IFERROR(__xludf.DUMMYFUNCTION("GOOGLETRANSLATE(B8589,""en"",""ja"")"),"凡俗")</f>
        <v>凡俗</v>
      </c>
    </row>
    <row r="8459" spans="1:3" ht="18" customHeight="1" x14ac:dyDescent="0.3">
      <c r="A8459" s="1">
        <v>2</v>
      </c>
      <c r="B8459" s="1" t="s">
        <v>6873</v>
      </c>
      <c r="C8459" s="1" t="str">
        <f ca="1">IFERROR(__xludf.DUMMYFUNCTION("GOOGLETRANSLATE(B8590,""en"",""ja"")"),"プラットホーム")</f>
        <v>プラットホーム</v>
      </c>
    </row>
    <row r="8460" spans="1:3" ht="18" customHeight="1" x14ac:dyDescent="0.3">
      <c r="A8460" s="1">
        <v>2</v>
      </c>
      <c r="B8460" s="1" t="s">
        <v>6874</v>
      </c>
      <c r="C8460" s="1" t="str">
        <f ca="1">IFERROR(__xludf.DUMMYFUNCTION("GOOGLETRANSLATE(B8591,""en"",""ja"")"),"可塑性")</f>
        <v>可塑性</v>
      </c>
    </row>
    <row r="8461" spans="1:3" ht="18" customHeight="1" x14ac:dyDescent="0.3">
      <c r="A8461" s="1">
        <v>2</v>
      </c>
      <c r="B8461" s="1" t="s">
        <v>4546</v>
      </c>
      <c r="C8461" s="1" t="str">
        <f ca="1">IFERROR(__xludf.DUMMYFUNCTION("GOOGLETRANSLATE(B8592,""en"",""ja"")"),"工場")</f>
        <v>工場</v>
      </c>
    </row>
    <row r="8462" spans="1:3" ht="18" customHeight="1" x14ac:dyDescent="0.3">
      <c r="A8462" s="1">
        <v>2</v>
      </c>
      <c r="B8462" s="1" t="s">
        <v>6875</v>
      </c>
      <c r="C8462" s="1" t="str">
        <f ca="1">IFERROR(__xludf.DUMMYFUNCTION("GOOGLETRANSLATE(B8593,""en"",""ja"")"),"厚板")</f>
        <v>厚板</v>
      </c>
    </row>
    <row r="8463" spans="1:3" ht="18" customHeight="1" x14ac:dyDescent="0.3">
      <c r="A8463" s="1">
        <v>2</v>
      </c>
      <c r="B8463" s="1" t="s">
        <v>6876</v>
      </c>
      <c r="C8463" s="1" t="str">
        <f ca="1">IFERROR(__xludf.DUMMYFUNCTION("GOOGLETRANSLATE(B8594,""en"",""ja"")"),"板")</f>
        <v>板</v>
      </c>
    </row>
    <row r="8464" spans="1:3" ht="18" customHeight="1" x14ac:dyDescent="0.3">
      <c r="A8464" s="1">
        <v>2</v>
      </c>
      <c r="B8464" s="1" t="s">
        <v>6877</v>
      </c>
      <c r="C8464" s="1" t="str">
        <f ca="1">IFERROR(__xludf.DUMMYFUNCTION("GOOGLETRANSLATE(B8595,""en"",""ja"")"),"悩まさ")</f>
        <v>悩まさ</v>
      </c>
    </row>
    <row r="8465" spans="1:3" ht="18" customHeight="1" x14ac:dyDescent="0.3">
      <c r="A8465" s="1">
        <v>2</v>
      </c>
      <c r="B8465" s="1" t="s">
        <v>3352</v>
      </c>
      <c r="C8465" s="1" t="str">
        <f ca="1">IFERROR(__xludf.DUMMYFUNCTION("GOOGLETRANSLATE(B8596,""en"",""ja"")"),"生理的な")</f>
        <v>生理的な</v>
      </c>
    </row>
    <row r="8466" spans="1:3" ht="18" customHeight="1" x14ac:dyDescent="0.3">
      <c r="A8466" s="1">
        <v>2</v>
      </c>
      <c r="B8466" s="1" t="s">
        <v>6878</v>
      </c>
      <c r="C8466" s="1" t="str">
        <f ca="1">IFERROR(__xludf.DUMMYFUNCTION("GOOGLETRANSLATE(B8597,""en"",""ja"")"),"物理学者")</f>
        <v>物理学者</v>
      </c>
    </row>
    <row r="8467" spans="1:3" ht="18" customHeight="1" x14ac:dyDescent="0.3">
      <c r="A8467" s="1">
        <v>2</v>
      </c>
      <c r="B8467" s="1" t="s">
        <v>1538</v>
      </c>
      <c r="C8467" s="1" t="str">
        <f ca="1">IFERROR(__xludf.DUMMYFUNCTION("GOOGLETRANSLATE(B8598,""en"",""ja"")"),"句")</f>
        <v>句</v>
      </c>
    </row>
    <row r="8468" spans="1:3" ht="18" customHeight="1" x14ac:dyDescent="0.3">
      <c r="A8468" s="1">
        <v>2</v>
      </c>
      <c r="B8468" s="1" t="s">
        <v>5671</v>
      </c>
      <c r="C8468" s="1" t="str">
        <f ca="1">IFERROR(__xludf.DUMMYFUNCTION("GOOGLETRANSLATE(B8599,""en"",""ja"")"),"蓄音機")</f>
        <v>蓄音機</v>
      </c>
    </row>
    <row r="8469" spans="1:3" ht="18" customHeight="1" x14ac:dyDescent="0.3">
      <c r="A8469" s="1">
        <v>2</v>
      </c>
      <c r="B8469" s="1" t="s">
        <v>6879</v>
      </c>
      <c r="C8469" s="1" t="str">
        <f ca="1">IFERROR(__xludf.DUMMYFUNCTION("GOOGLETRANSLATE(B8600,""en"",""ja"")"),"不誠実")</f>
        <v>不誠実</v>
      </c>
    </row>
    <row r="8470" spans="1:3" ht="18" customHeight="1" x14ac:dyDescent="0.3">
      <c r="A8470" s="1">
        <v>2</v>
      </c>
      <c r="B8470" s="1" t="s">
        <v>2334</v>
      </c>
      <c r="C8470" s="1" t="str">
        <f ca="1">IFERROR(__xludf.DUMMYFUNCTION("GOOGLETRANSLATE(B8601,""en"",""ja"")"),"電話")</f>
        <v>電話</v>
      </c>
    </row>
    <row r="8471" spans="1:3" ht="18" customHeight="1" x14ac:dyDescent="0.3">
      <c r="A8471" s="1">
        <v>2</v>
      </c>
      <c r="B8471" s="1" t="s">
        <v>6880</v>
      </c>
      <c r="C8471" s="1" t="str">
        <f ca="1">IFERROR(__xludf.DUMMYFUNCTION("GOOGLETRANSLATE(B8602,""en"",""ja"")"),"peter3")</f>
        <v>peter3</v>
      </c>
    </row>
    <row r="8472" spans="1:3" ht="18" customHeight="1" x14ac:dyDescent="0.3">
      <c r="A8472" s="1">
        <v>2</v>
      </c>
      <c r="B8472" s="1" t="s">
        <v>4554</v>
      </c>
      <c r="C8472" s="1" t="str">
        <f ca="1">IFERROR(__xludf.DUMMYFUNCTION("GOOGLETRANSLATE(B8603,""en"",""ja"")"),"ペット")</f>
        <v>ペット</v>
      </c>
    </row>
    <row r="8473" spans="1:3" ht="18" customHeight="1" x14ac:dyDescent="0.3">
      <c r="A8473" s="1">
        <v>2</v>
      </c>
      <c r="B8473" s="1" t="s">
        <v>6881</v>
      </c>
      <c r="C8473" s="1" t="str">
        <f ca="1">IFERROR(__xludf.DUMMYFUNCTION("GOOGLETRANSLATE(B8604,""en"",""ja"")"),"摂動")</f>
        <v>摂動</v>
      </c>
    </row>
    <row r="8474" spans="1:3" ht="18" customHeight="1" x14ac:dyDescent="0.3">
      <c r="A8474" s="1">
        <v>2</v>
      </c>
      <c r="B8474" s="1" t="s">
        <v>6882</v>
      </c>
      <c r="C8474" s="1" t="str">
        <f ca="1">IFERROR(__xludf.DUMMYFUNCTION("GOOGLETRANSLATE(B8605,""en"",""ja"")"),"関連")</f>
        <v>関連</v>
      </c>
    </row>
    <row r="8475" spans="1:3" ht="18" customHeight="1" x14ac:dyDescent="0.3">
      <c r="A8475" s="1">
        <v>2</v>
      </c>
      <c r="B8475" s="1" t="s">
        <v>6883</v>
      </c>
      <c r="C8475" s="1" t="str">
        <f ca="1">IFERROR(__xludf.DUMMYFUNCTION("GOOGLETRANSLATE(B8606,""en"",""ja"")"),"パーソナライズ")</f>
        <v>パーソナライズ</v>
      </c>
    </row>
    <row r="8476" spans="1:3" ht="18" customHeight="1" x14ac:dyDescent="0.3">
      <c r="A8476" s="1">
        <v>2</v>
      </c>
      <c r="B8476" s="1" t="s">
        <v>6884</v>
      </c>
      <c r="C8476" s="1" t="str">
        <f ca="1">IFERROR(__xludf.DUMMYFUNCTION("GOOGLETRANSLATE(B8607,""en"",""ja"")"),"ペルソナ")</f>
        <v>ペルソナ</v>
      </c>
    </row>
    <row r="8477" spans="1:3" ht="18" customHeight="1" x14ac:dyDescent="0.3">
      <c r="A8477" s="1">
        <v>2</v>
      </c>
      <c r="B8477" s="1" t="s">
        <v>6885</v>
      </c>
      <c r="C8477" s="1" t="str">
        <f ca="1">IFERROR(__xludf.DUMMYFUNCTION("GOOGLETRANSLATE(B8608,""en"",""ja"")"),"永久に")</f>
        <v>永久に</v>
      </c>
    </row>
    <row r="8478" spans="1:3" ht="18" customHeight="1" x14ac:dyDescent="0.3">
      <c r="A8478" s="1">
        <v>2</v>
      </c>
      <c r="B8478" s="1" t="s">
        <v>5681</v>
      </c>
      <c r="C8478" s="1" t="str">
        <f ca="1">IFERROR(__xludf.DUMMYFUNCTION("GOOGLETRANSLATE(B8609,""en"",""ja"")"),"恒久")</f>
        <v>恒久</v>
      </c>
    </row>
    <row r="8479" spans="1:3" ht="18" customHeight="1" x14ac:dyDescent="0.3">
      <c r="A8479" s="1">
        <v>2</v>
      </c>
      <c r="B8479" s="1" t="s">
        <v>6886</v>
      </c>
      <c r="C8479" s="1" t="str">
        <f ca="1">IFERROR(__xludf.DUMMYFUNCTION("GOOGLETRANSLATE(B8610,""en"",""ja"")"),"教育学")</f>
        <v>教育学</v>
      </c>
    </row>
    <row r="8480" spans="1:3" ht="18" customHeight="1" x14ac:dyDescent="0.3">
      <c r="A8480" s="1">
        <v>2</v>
      </c>
      <c r="B8480" s="1" t="s">
        <v>6887</v>
      </c>
      <c r="C8480" s="1" t="str">
        <f ca="1">IFERROR(__xludf.DUMMYFUNCTION("GOOGLETRANSLATE(B8611,""en"",""ja"")"),"真珠")</f>
        <v>真珠</v>
      </c>
    </row>
    <row r="8481" spans="1:3" ht="18" customHeight="1" x14ac:dyDescent="0.3">
      <c r="A8481" s="1">
        <v>2</v>
      </c>
      <c r="B8481" s="1" t="s">
        <v>2338</v>
      </c>
      <c r="C8481" s="1" t="str">
        <f ca="1">IFERROR(__xludf.DUMMYFUNCTION("GOOGLETRANSLATE(B8612,""en"",""ja"")"),"平和")</f>
        <v>平和</v>
      </c>
    </row>
    <row r="8482" spans="1:3" ht="18" customHeight="1" x14ac:dyDescent="0.3">
      <c r="A8482" s="1">
        <v>2</v>
      </c>
      <c r="B8482" s="1" t="s">
        <v>2090</v>
      </c>
      <c r="C8482" s="1" t="str">
        <f ca="1">IFERROR(__xludf.DUMMYFUNCTION("GOOGLETRANSLATE(B8613,""en"",""ja"")"),"PDO")</f>
        <v>PDO</v>
      </c>
    </row>
    <row r="8483" spans="1:3" ht="18" customHeight="1" x14ac:dyDescent="0.3">
      <c r="A8483" s="1">
        <v>2</v>
      </c>
      <c r="B8483" s="1" t="s">
        <v>5697</v>
      </c>
      <c r="C8483" s="1" t="str">
        <f ca="1">IFERROR(__xludf.DUMMYFUNCTION("GOOGLETRANSLATE(B8614,""en"",""ja"")"),"情熱")</f>
        <v>情熱</v>
      </c>
    </row>
    <row r="8484" spans="1:3" ht="18" customHeight="1" x14ac:dyDescent="0.3">
      <c r="A8484" s="1">
        <v>2</v>
      </c>
      <c r="B8484" s="1" t="s">
        <v>6888</v>
      </c>
      <c r="C8484" s="1" t="str">
        <f ca="1">IFERROR(__xludf.DUMMYFUNCTION("GOOGLETRANSLATE(B8615,""en"",""ja"")"),"旅客")</f>
        <v>旅客</v>
      </c>
    </row>
    <row r="8485" spans="1:3" ht="18" customHeight="1" x14ac:dyDescent="0.3">
      <c r="A8485" s="1">
        <v>2</v>
      </c>
      <c r="B8485" s="1" t="s">
        <v>6889</v>
      </c>
      <c r="C8485" s="1" t="str">
        <f ca="1">IFERROR(__xludf.DUMMYFUNCTION("GOOGLETRANSLATE(B8616,""en"",""ja"")"),"partiers")</f>
        <v>partiers</v>
      </c>
    </row>
    <row r="8486" spans="1:3" ht="18" customHeight="1" x14ac:dyDescent="0.3">
      <c r="A8486" s="1">
        <v>2</v>
      </c>
      <c r="B8486" s="1" t="s">
        <v>6890</v>
      </c>
      <c r="C8486" s="1" t="str">
        <f ca="1">IFERROR(__xludf.DUMMYFUNCTION("GOOGLETRANSLATE(B8617,""en"",""ja"")"),"参加")</f>
        <v>参加</v>
      </c>
    </row>
    <row r="8487" spans="1:3" ht="18" customHeight="1" x14ac:dyDescent="0.3">
      <c r="A8487" s="1">
        <v>2</v>
      </c>
      <c r="B8487" s="1" t="s">
        <v>6891</v>
      </c>
      <c r="C8487" s="1" t="str">
        <f ca="1">IFERROR(__xludf.DUMMYFUNCTION("GOOGLETRANSLATE(B8618,""en"",""ja"")"),"段落")</f>
        <v>段落</v>
      </c>
    </row>
    <row r="8488" spans="1:3" ht="18" customHeight="1" x14ac:dyDescent="0.3">
      <c r="A8488" s="1">
        <v>2</v>
      </c>
      <c r="B8488" s="1" t="s">
        <v>2942</v>
      </c>
      <c r="C8488" s="1" t="str">
        <f ca="1">IFERROR(__xludf.DUMMYFUNCTION("GOOGLETRANSLATE(B8619,""en"",""ja"")"),"逆説")</f>
        <v>逆説</v>
      </c>
    </row>
    <row r="8489" spans="1:3" ht="18" customHeight="1" x14ac:dyDescent="0.3">
      <c r="A8489" s="1">
        <v>2</v>
      </c>
      <c r="B8489" s="1" t="s">
        <v>3370</v>
      </c>
      <c r="C8489" s="1" t="str">
        <f ca="1">IFERROR(__xludf.DUMMYFUNCTION("GOOGLETRANSLATE(B8620,""en"",""ja"")"),"ペア")</f>
        <v>ペア</v>
      </c>
    </row>
    <row r="8490" spans="1:3" ht="18" customHeight="1" x14ac:dyDescent="0.3">
      <c r="A8490" s="1">
        <v>2</v>
      </c>
      <c r="B8490" s="1" t="s">
        <v>6892</v>
      </c>
      <c r="C8490" s="1" t="str">
        <f ca="1">IFERROR(__xludf.DUMMYFUNCTION("GOOGLETRANSLATE(B8621,""en"",""ja"")"),"ペースメーカー")</f>
        <v>ペースメーカー</v>
      </c>
    </row>
    <row r="8491" spans="1:3" ht="18" customHeight="1" x14ac:dyDescent="0.3">
      <c r="A8491" s="1">
        <v>2</v>
      </c>
      <c r="B8491" s="1" t="s">
        <v>81</v>
      </c>
      <c r="C8491" s="1" t="str">
        <f ca="1">IFERROR(__xludf.DUMMYFUNCTION("GOOGLETRANSLATE(B8622,""en"",""ja"")"),"オーバー")</f>
        <v>オーバー</v>
      </c>
    </row>
    <row r="8492" spans="1:3" ht="18" customHeight="1" x14ac:dyDescent="0.3">
      <c r="A8492" s="1">
        <v>2</v>
      </c>
      <c r="B8492" s="1" t="s">
        <v>6893</v>
      </c>
      <c r="C8492" s="1" t="str">
        <f ca="1">IFERROR(__xludf.DUMMYFUNCTION("GOOGLETRANSLATE(B8623,""en"",""ja"")"),"倍音")</f>
        <v>倍音</v>
      </c>
    </row>
    <row r="8493" spans="1:3" ht="18" customHeight="1" x14ac:dyDescent="0.3">
      <c r="A8493" s="1">
        <v>2</v>
      </c>
      <c r="B8493" s="1" t="s">
        <v>5707</v>
      </c>
      <c r="C8493" s="1" t="str">
        <f ca="1">IFERROR(__xludf.DUMMYFUNCTION("GOOGLETRANSLATE(B8624,""en"",""ja"")"),"オーバーライド")</f>
        <v>オーバーライド</v>
      </c>
    </row>
    <row r="8494" spans="1:3" ht="18" customHeight="1" x14ac:dyDescent="0.3">
      <c r="A8494" s="1">
        <v>2</v>
      </c>
      <c r="B8494" s="1" t="s">
        <v>6894</v>
      </c>
      <c r="C8494" s="1" t="str">
        <f ca="1">IFERROR(__xludf.DUMMYFUNCTION("GOOGLETRANSLATE(B8625,""en"",""ja"")"),"見落とします")</f>
        <v>見落とします</v>
      </c>
    </row>
    <row r="8495" spans="1:3" ht="18" customHeight="1" x14ac:dyDescent="0.3">
      <c r="A8495" s="1">
        <v>2</v>
      </c>
      <c r="B8495" s="1" t="s">
        <v>4579</v>
      </c>
      <c r="C8495" s="1" t="str">
        <f ca="1">IFERROR(__xludf.DUMMYFUNCTION("GOOGLETRANSLATE(B8626,""en"",""ja"")"),"全体")</f>
        <v>全体</v>
      </c>
    </row>
    <row r="8496" spans="1:3" ht="18" customHeight="1" x14ac:dyDescent="0.3">
      <c r="A8496" s="1">
        <v>2</v>
      </c>
      <c r="B8496" s="1" t="s">
        <v>2943</v>
      </c>
      <c r="C8496" s="1" t="str">
        <f ca="1">IFERROR(__xludf.DUMMYFUNCTION("GOOGLETRANSLATE(B8627,""en"",""ja"")"),"追い越します")</f>
        <v>追い越します</v>
      </c>
    </row>
    <row r="8497" spans="1:3" ht="18" customHeight="1" x14ac:dyDescent="0.3">
      <c r="A8497" s="1">
        <v>2</v>
      </c>
      <c r="B8497" s="1" t="s">
        <v>6895</v>
      </c>
      <c r="C8497" s="1" t="str">
        <f ca="1">IFERROR(__xludf.DUMMYFUNCTION("GOOGLETRANSLATE(B8628,""en"",""ja"")"),"OUTMODE")</f>
        <v>OUTMODE</v>
      </c>
    </row>
    <row r="8498" spans="1:3" ht="18" customHeight="1" x14ac:dyDescent="0.3">
      <c r="A8498" s="1">
        <v>2</v>
      </c>
      <c r="B8498" s="1" t="s">
        <v>6896</v>
      </c>
      <c r="C8498" s="1" t="str">
        <f ca="1">IFERROR(__xludf.DUMMYFUNCTION("GOOGLETRANSLATE(B8629,""en"",""ja"")"),"見通し")</f>
        <v>見通し</v>
      </c>
    </row>
    <row r="8499" spans="1:3" ht="18" customHeight="1" x14ac:dyDescent="0.3">
      <c r="A8499" s="1">
        <v>2</v>
      </c>
      <c r="B8499" s="1" t="s">
        <v>6897</v>
      </c>
      <c r="C8499" s="1" t="str">
        <f ca="1">IFERROR(__xludf.DUMMYFUNCTION("GOOGLETRANSLATE(B8630,""en"",""ja"")"),"結果")</f>
        <v>結果</v>
      </c>
    </row>
    <row r="8500" spans="1:3" ht="18" customHeight="1" x14ac:dyDescent="0.3">
      <c r="A8500" s="1">
        <v>2</v>
      </c>
      <c r="B8500" s="1" t="s">
        <v>6898</v>
      </c>
      <c r="C8500" s="1" t="str">
        <f ca="1">IFERROR(__xludf.DUMMYFUNCTION("GOOGLETRANSLATE(B8631,""en"",""ja"")"),"仏臭い")</f>
        <v>仏臭い</v>
      </c>
    </row>
    <row r="8501" spans="1:3" ht="18" customHeight="1" x14ac:dyDescent="0.3">
      <c r="A8501" s="1">
        <v>2</v>
      </c>
      <c r="B8501" s="1" t="s">
        <v>19</v>
      </c>
      <c r="C8501" s="1" t="str">
        <f ca="1">IFERROR(__xludf.DUMMYFUNCTION("GOOGLETRANSLATE(B8632,""en"",""ja"")"),"若しくは")</f>
        <v>若しくは</v>
      </c>
    </row>
    <row r="8502" spans="1:3" ht="18" customHeight="1" x14ac:dyDescent="0.3">
      <c r="A8502" s="1">
        <v>2</v>
      </c>
      <c r="B8502" s="1" t="s">
        <v>6899</v>
      </c>
      <c r="C8502" s="1" t="str">
        <f ca="1">IFERROR(__xludf.DUMMYFUNCTION("GOOGLETRANSLATE(B8633,""en"",""ja"")"),"オーナメント")</f>
        <v>オーナメント</v>
      </c>
    </row>
    <row r="8503" spans="1:3" ht="18" customHeight="1" x14ac:dyDescent="0.3">
      <c r="A8503" s="1">
        <v>2</v>
      </c>
      <c r="B8503" s="1" t="s">
        <v>6900</v>
      </c>
      <c r="C8503" s="1" t="str">
        <f ca="1">IFERROR(__xludf.DUMMYFUNCTION("GOOGLETRANSLATE(B8634,""en"",""ja"")"),"始まります")</f>
        <v>始まります</v>
      </c>
    </row>
    <row r="8504" spans="1:3" ht="18" customHeight="1" x14ac:dyDescent="0.3">
      <c r="A8504" s="1">
        <v>2</v>
      </c>
      <c r="B8504" s="1" t="s">
        <v>6901</v>
      </c>
      <c r="C8504" s="1" t="str">
        <f ca="1">IFERROR(__xludf.DUMMYFUNCTION("GOOGLETRANSLATE(B8635,""en"",""ja"")"),"独創")</f>
        <v>独創</v>
      </c>
    </row>
    <row r="8505" spans="1:3" ht="18" customHeight="1" x14ac:dyDescent="0.3">
      <c r="A8505" s="1">
        <v>2</v>
      </c>
      <c r="B8505" s="1" t="s">
        <v>6902</v>
      </c>
      <c r="C8505" s="1" t="str">
        <f ca="1">IFERROR(__xludf.DUMMYFUNCTION("GOOGLETRANSLATE(B8636,""en"",""ja"")"),"順序付けられました")</f>
        <v>順序付けられました</v>
      </c>
    </row>
    <row r="8506" spans="1:3" ht="18" customHeight="1" x14ac:dyDescent="0.3">
      <c r="A8506" s="1">
        <v>2</v>
      </c>
      <c r="B8506" s="1" t="s">
        <v>6903</v>
      </c>
      <c r="C8506" s="1" t="str">
        <f ca="1">IFERROR(__xludf.DUMMYFUNCTION("GOOGLETRANSLATE(B8637,""en"",""ja"")"),"オプション")</f>
        <v>オプション</v>
      </c>
    </row>
    <row r="8507" spans="1:3" ht="18" customHeight="1" x14ac:dyDescent="0.3">
      <c r="A8507" s="1">
        <v>2</v>
      </c>
      <c r="B8507" s="1" t="s">
        <v>6904</v>
      </c>
      <c r="C8507" s="1" t="str">
        <f ca="1">IFERROR(__xludf.DUMMYFUNCTION("GOOGLETRANSLATE(B8638,""en"",""ja"")"),"オンワード")</f>
        <v>オンワード</v>
      </c>
    </row>
    <row r="8508" spans="1:3" ht="18" customHeight="1" x14ac:dyDescent="0.3">
      <c r="A8508" s="1">
        <v>2</v>
      </c>
      <c r="B8508" s="1" t="s">
        <v>6905</v>
      </c>
      <c r="C8508" s="1" t="str">
        <f ca="1">IFERROR(__xludf.DUMMYFUNCTION("GOOGLETRANSLATE(B8639,""en"",""ja"")"),"OGY")</f>
        <v>OGY</v>
      </c>
    </row>
    <row r="8509" spans="1:3" ht="18" customHeight="1" x14ac:dyDescent="0.3">
      <c r="A8509" s="1">
        <v>2</v>
      </c>
      <c r="B8509" s="1" t="s">
        <v>572</v>
      </c>
      <c r="C8509" s="1" t="str">
        <f ca="1">IFERROR(__xludf.DUMMYFUNCTION("GOOGLETRANSLATE(B8640,""en"",""ja"")"),"オフ")</f>
        <v>オフ</v>
      </c>
    </row>
    <row r="8510" spans="1:3" ht="18" customHeight="1" x14ac:dyDescent="0.3">
      <c r="A8510" s="1">
        <v>2</v>
      </c>
      <c r="B8510" s="1" t="s">
        <v>702</v>
      </c>
      <c r="C8510" s="1" t="str">
        <f ca="1">IFERROR(__xludf.DUMMYFUNCTION("GOOGLETRANSLATE(B8641,""en"",""ja"")"),"提供")</f>
        <v>提供</v>
      </c>
    </row>
    <row r="8511" spans="1:3" ht="18" customHeight="1" x14ac:dyDescent="0.3">
      <c r="A8511" s="1">
        <v>2</v>
      </c>
      <c r="B8511" s="1" t="s">
        <v>6906</v>
      </c>
      <c r="C8511" s="1" t="str">
        <f ca="1">IFERROR(__xludf.DUMMYFUNCTION("GOOGLETRANSLATE(B8642,""en"",""ja"")"),"オデッセイ")</f>
        <v>オデッセイ</v>
      </c>
    </row>
    <row r="8512" spans="1:3" ht="18" customHeight="1" x14ac:dyDescent="0.3">
      <c r="A8512" s="1">
        <v>2</v>
      </c>
      <c r="B8512" s="1" t="s">
        <v>2617</v>
      </c>
      <c r="C8512" s="1" t="str">
        <f ca="1">IFERROR(__xludf.DUMMYFUNCTION("GOOGLETRANSLATE(B8643,""en"",""ja"")"),"未然に防ぐ")</f>
        <v>未然に防ぐ</v>
      </c>
    </row>
    <row r="8513" spans="1:3" ht="18" customHeight="1" x14ac:dyDescent="0.3">
      <c r="A8513" s="1">
        <v>2</v>
      </c>
      <c r="B8513" s="1" t="s">
        <v>6907</v>
      </c>
      <c r="C8513" s="1" t="str">
        <f ca="1">IFERROR(__xludf.DUMMYFUNCTION("GOOGLETRANSLATE(B8645,""en"",""ja"")"),"客観的")</f>
        <v>客観的</v>
      </c>
    </row>
    <row r="8514" spans="1:3" ht="18" customHeight="1" x14ac:dyDescent="0.3">
      <c r="A8514" s="1">
        <v>2</v>
      </c>
      <c r="B8514" s="1" t="s">
        <v>6908</v>
      </c>
      <c r="C8514" s="1" t="str">
        <f ca="1">IFERROR(__xludf.DUMMYFUNCTION("GOOGLETRANSLATE(B8646,""en"",""ja"")"),"O2")</f>
        <v>O2</v>
      </c>
    </row>
    <row r="8515" spans="1:3" ht="18" customHeight="1" x14ac:dyDescent="0.3">
      <c r="A8515" s="1">
        <v>2</v>
      </c>
      <c r="B8515" s="1" t="s">
        <v>6909</v>
      </c>
      <c r="C8515" s="1" t="str">
        <f ca="1">IFERROR(__xludf.DUMMYFUNCTION("GOOGLETRANSLATE(B8647,""en"",""ja"")"),"核")</f>
        <v>核</v>
      </c>
    </row>
    <row r="8516" spans="1:3" ht="18" customHeight="1" x14ac:dyDescent="0.3">
      <c r="A8516" s="1">
        <v>2</v>
      </c>
      <c r="B8516" s="1" t="s">
        <v>6910</v>
      </c>
      <c r="C8516" s="1" t="str">
        <f ca="1">IFERROR(__xludf.DUMMYFUNCTION("GOOGLETRANSLATE(B8648,""en"",""ja"")"),"小説家")</f>
        <v>小説家</v>
      </c>
    </row>
    <row r="8517" spans="1:3" ht="18" customHeight="1" x14ac:dyDescent="0.3">
      <c r="A8517" s="1">
        <v>2</v>
      </c>
      <c r="B8517" s="1" t="s">
        <v>6911</v>
      </c>
      <c r="C8517" s="1" t="str">
        <f ca="1">IFERROR(__xludf.DUMMYFUNCTION("GOOGLETRANSLATE(B8649,""en"",""ja"")"),"にもかかわらず")</f>
        <v>にもかかわらず</v>
      </c>
    </row>
    <row r="8518" spans="1:3" ht="18" customHeight="1" x14ac:dyDescent="0.3">
      <c r="A8518" s="1">
        <v>2</v>
      </c>
      <c r="B8518" s="1" t="s">
        <v>6912</v>
      </c>
      <c r="C8518" s="1" t="str">
        <f ca="1">IFERROR(__xludf.DUMMYFUNCTION("GOOGLETRANSLATE(B8651,""en"",""ja"")"),"北西部")</f>
        <v>北西部</v>
      </c>
    </row>
    <row r="8519" spans="1:3" ht="18" customHeight="1" x14ac:dyDescent="0.3">
      <c r="A8519" s="1">
        <v>2</v>
      </c>
      <c r="B8519" s="1" t="s">
        <v>3391</v>
      </c>
      <c r="C8519" s="1" t="str">
        <f ca="1">IFERROR(__xludf.DUMMYFUNCTION("GOOGLETRANSLATE(B8652,""en"",""ja"")"),"非言語")</f>
        <v>非言語</v>
      </c>
    </row>
    <row r="8520" spans="1:3" ht="18" customHeight="1" x14ac:dyDescent="0.3">
      <c r="A8520" s="1">
        <v>2</v>
      </c>
      <c r="B8520" s="1" t="s">
        <v>4600</v>
      </c>
      <c r="C8520" s="1" t="str">
        <f ca="1">IFERROR(__xludf.DUMMYFUNCTION("GOOGLETRANSLATE(B8653,""en"",""ja"")"),"再生不可能な")</f>
        <v>再生不可能な</v>
      </c>
    </row>
    <row r="8521" spans="1:3" ht="18" customHeight="1" x14ac:dyDescent="0.3">
      <c r="A8521" s="1">
        <v>2</v>
      </c>
      <c r="B8521" s="1" t="s">
        <v>6913</v>
      </c>
      <c r="C8521" s="1" t="str">
        <f ca="1">IFERROR(__xludf.DUMMYFUNCTION("GOOGLETRANSLATE(B8654,""en"",""ja"")"),"nonrelations")</f>
        <v>nonrelations</v>
      </c>
    </row>
    <row r="8522" spans="1:3" ht="18" customHeight="1" x14ac:dyDescent="0.3">
      <c r="A8522" s="1">
        <v>2</v>
      </c>
      <c r="B8522" s="1" t="s">
        <v>6914</v>
      </c>
      <c r="C8522" s="1" t="str">
        <f ca="1">IFERROR(__xludf.DUMMYFUNCTION("GOOGLETRANSLATE(B8655,""en"",""ja"")"),"非言語")</f>
        <v>非言語</v>
      </c>
    </row>
    <row r="8523" spans="1:3" ht="18" customHeight="1" x14ac:dyDescent="0.3">
      <c r="A8523" s="1">
        <v>2</v>
      </c>
      <c r="B8523" s="1" t="s">
        <v>1352</v>
      </c>
      <c r="C8523" s="1" t="str">
        <f ca="1">IFERROR(__xludf.DUMMYFUNCTION("GOOGLETRANSLATE(B8656,""en"",""ja"")"),"それにもかかわらず")</f>
        <v>それにもかかわらず</v>
      </c>
    </row>
    <row r="8524" spans="1:3" ht="18" customHeight="1" x14ac:dyDescent="0.3">
      <c r="A8524" s="1">
        <v>2</v>
      </c>
      <c r="B8524" s="1" t="s">
        <v>6915</v>
      </c>
      <c r="C8524" s="1" t="str">
        <f ca="1">IFERROR(__xludf.DUMMYFUNCTION("GOOGLETRANSLATE(B8657,""en"",""ja"")"),"点頭")</f>
        <v>点頭</v>
      </c>
    </row>
    <row r="8525" spans="1:3" ht="18" customHeight="1" x14ac:dyDescent="0.3">
      <c r="A8525" s="1">
        <v>2</v>
      </c>
      <c r="B8525" s="1" t="s">
        <v>6916</v>
      </c>
      <c r="C8525" s="1" t="str">
        <f ca="1">IFERROR(__xludf.DUMMYFUNCTION("GOOGLETRANSLATE(B8658,""en"",""ja"")"),"だれも")</f>
        <v>だれも</v>
      </c>
    </row>
    <row r="8526" spans="1:3" ht="18" customHeight="1" x14ac:dyDescent="0.3">
      <c r="A8526" s="1">
        <v>2</v>
      </c>
      <c r="B8526" s="1" t="s">
        <v>6917</v>
      </c>
      <c r="C8526" s="1" t="str">
        <f ca="1">IFERROR(__xludf.DUMMYFUNCTION("GOOGLETRANSLATE(B8659,""en"",""ja"")"),"ナイツ")</f>
        <v>ナイツ</v>
      </c>
    </row>
    <row r="8527" spans="1:3" ht="18" customHeight="1" x14ac:dyDescent="0.3">
      <c r="A8527" s="1">
        <v>2</v>
      </c>
      <c r="B8527" s="1" t="s">
        <v>6918</v>
      </c>
      <c r="C8527" s="1" t="str">
        <f ca="1">IFERROR(__xludf.DUMMYFUNCTION("GOOGLETRANSLATE(B8660,""en"",""ja"")"),"ネクサス")</f>
        <v>ネクサス</v>
      </c>
    </row>
    <row r="8528" spans="1:3" ht="18" customHeight="1" x14ac:dyDescent="0.3">
      <c r="A8528" s="1">
        <v>2</v>
      </c>
      <c r="B8528" s="1" t="s">
        <v>822</v>
      </c>
      <c r="C8528" s="1" t="str">
        <f ca="1">IFERROR(__xludf.DUMMYFUNCTION("GOOGLETRANSLATE(B8661,""en"",""ja"")"),"新聞")</f>
        <v>新聞</v>
      </c>
    </row>
    <row r="8529" spans="1:3" ht="18" customHeight="1" x14ac:dyDescent="0.3">
      <c r="A8529" s="1">
        <v>2</v>
      </c>
      <c r="B8529" s="1" t="s">
        <v>6919</v>
      </c>
      <c r="C8529" s="1" t="str">
        <f ca="1">IFERROR(__xludf.DUMMYFUNCTION("GOOGLETRANSLATE(B8662,""en"",""ja"")"),"新しいです")</f>
        <v>新しいです</v>
      </c>
    </row>
    <row r="8530" spans="1:3" ht="18" customHeight="1" x14ac:dyDescent="0.3">
      <c r="A8530" s="1">
        <v>2</v>
      </c>
      <c r="B8530" s="1" t="s">
        <v>6920</v>
      </c>
      <c r="C8530" s="1" t="str">
        <f ca="1">IFERROR(__xludf.DUMMYFUNCTION("GOOGLETRANSLATE(B8663,""en"",""ja"")"),"神経伝達物質")</f>
        <v>神経伝達物質</v>
      </c>
    </row>
    <row r="8531" spans="1:3" ht="18" customHeight="1" x14ac:dyDescent="0.3">
      <c r="A8531" s="1">
        <v>2</v>
      </c>
      <c r="B8531" s="1" t="s">
        <v>2622</v>
      </c>
      <c r="C8531" s="1" t="str">
        <f ca="1">IFERROR(__xludf.DUMMYFUNCTION("GOOGLETRANSLATE(B8664,""en"",""ja"")"),"ニューロン")</f>
        <v>ニューロン</v>
      </c>
    </row>
    <row r="8532" spans="1:3" ht="18" customHeight="1" x14ac:dyDescent="0.3">
      <c r="A8532" s="1">
        <v>2</v>
      </c>
      <c r="B8532" s="1" t="s">
        <v>6921</v>
      </c>
      <c r="C8532" s="1" t="str">
        <f ca="1">IFERROR(__xludf.DUMMYFUNCTION("GOOGLETRANSLATE(B8665,""en"",""ja"")"),"地域")</f>
        <v>地域</v>
      </c>
    </row>
    <row r="8533" spans="1:3" ht="18" customHeight="1" x14ac:dyDescent="0.3">
      <c r="A8533" s="1">
        <v>2</v>
      </c>
      <c r="B8533" s="1" t="s">
        <v>6922</v>
      </c>
      <c r="C8533" s="1" t="str">
        <f ca="1">IFERROR(__xludf.DUMMYFUNCTION("GOOGLETRANSLATE(B8666,""en"",""ja"")"),"ネゴシエーション")</f>
        <v>ネゴシエーション</v>
      </c>
    </row>
    <row r="8534" spans="1:3" ht="18" customHeight="1" x14ac:dyDescent="0.3">
      <c r="A8534" s="1">
        <v>2</v>
      </c>
      <c r="B8534" s="1" t="s">
        <v>6923</v>
      </c>
      <c r="C8534" s="1" t="str">
        <f ca="1">IFERROR(__xludf.DUMMYFUNCTION("GOOGLETRANSLATE(B8667,""en"",""ja"")"),"無視")</f>
        <v>無視</v>
      </c>
    </row>
    <row r="8535" spans="1:3" ht="18" customHeight="1" x14ac:dyDescent="0.3">
      <c r="A8535" s="1">
        <v>2</v>
      </c>
      <c r="B8535" s="1" t="s">
        <v>5758</v>
      </c>
      <c r="C8535" s="1" t="str">
        <f ca="1">IFERROR(__xludf.DUMMYFUNCTION("GOOGLETRANSLATE(B8668,""en"",""ja"")"),"否定")</f>
        <v>否定</v>
      </c>
    </row>
    <row r="8536" spans="1:3" ht="18" customHeight="1" x14ac:dyDescent="0.3">
      <c r="A8536" s="1">
        <v>2</v>
      </c>
      <c r="B8536" s="1" t="s">
        <v>6924</v>
      </c>
      <c r="C8536" s="1" t="str">
        <f ca="1">IFERROR(__xludf.DUMMYFUNCTION("GOOGLETRANSLATE(B8669,""en"",""ja"")"),"首")</f>
        <v>首</v>
      </c>
    </row>
    <row r="8537" spans="1:3" ht="18" customHeight="1" x14ac:dyDescent="0.3">
      <c r="A8537" s="1">
        <v>2</v>
      </c>
      <c r="B8537" s="1" t="s">
        <v>4609</v>
      </c>
      <c r="C8537" s="1" t="str">
        <f ca="1">IFERROR(__xludf.DUMMYFUNCTION("GOOGLETRANSLATE(B8670,""en"",""ja"")"),"ナビゲーション")</f>
        <v>ナビゲーション</v>
      </c>
    </row>
    <row r="8538" spans="1:3" ht="18" customHeight="1" x14ac:dyDescent="0.3">
      <c r="A8538" s="1">
        <v>2</v>
      </c>
      <c r="B8538" s="1" t="s">
        <v>3397</v>
      </c>
      <c r="C8538" s="1" t="str">
        <f ca="1">IFERROR(__xludf.DUMMYFUNCTION("GOOGLETRANSLATE(B8671,""en"",""ja"")"),"ナポレオン")</f>
        <v>ナポレオン</v>
      </c>
    </row>
    <row r="8539" spans="1:3" ht="18" customHeight="1" x14ac:dyDescent="0.3">
      <c r="A8539" s="1">
        <v>2</v>
      </c>
      <c r="B8539" s="1" t="s">
        <v>6925</v>
      </c>
      <c r="C8539" s="1" t="str">
        <f ca="1">IFERROR(__xludf.DUMMYFUNCTION("GOOGLETRANSLATE(B8672,""en"",""ja"")"),"なまはげ")</f>
        <v>なまはげ</v>
      </c>
    </row>
    <row r="8540" spans="1:3" ht="18" customHeight="1" x14ac:dyDescent="0.3">
      <c r="A8540" s="1">
        <v>2</v>
      </c>
      <c r="B8540" s="1" t="s">
        <v>6926</v>
      </c>
      <c r="C8540" s="1" t="str">
        <f ca="1">IFERROR(__xludf.DUMMYFUNCTION("GOOGLETRANSLATE(B8673,""en"",""ja"")"),"キノコ")</f>
        <v>キノコ</v>
      </c>
    </row>
    <row r="8541" spans="1:3" ht="18" customHeight="1" x14ac:dyDescent="0.3">
      <c r="A8541" s="1">
        <v>2</v>
      </c>
      <c r="B8541" s="1" t="s">
        <v>6927</v>
      </c>
      <c r="C8541" s="1" t="str">
        <f ca="1">IFERROR(__xludf.DUMMYFUNCTION("GOOGLETRANSLATE(B8674,""en"",""ja"")"),"筋")</f>
        <v>筋</v>
      </c>
    </row>
    <row r="8542" spans="1:3" ht="18" customHeight="1" x14ac:dyDescent="0.3">
      <c r="A8542" s="1">
        <v>2</v>
      </c>
      <c r="B8542" s="1" t="s">
        <v>3400</v>
      </c>
      <c r="C8542" s="1" t="str">
        <f ca="1">IFERROR(__xludf.DUMMYFUNCTION("GOOGLETRANSLATE(B8675,""en"",""ja"")"),"平凡な")</f>
        <v>平凡な</v>
      </c>
    </row>
    <row r="8543" spans="1:3" ht="18" customHeight="1" x14ac:dyDescent="0.3">
      <c r="A8543" s="1">
        <v>2</v>
      </c>
      <c r="B8543" s="1" t="s">
        <v>6928</v>
      </c>
      <c r="C8543" s="1" t="str">
        <f ca="1">IFERROR(__xludf.DUMMYFUNCTION("GOOGLETRANSLATE(B8676,""en"",""ja"")"),"multiplica")</f>
        <v>multiplica</v>
      </c>
    </row>
    <row r="8544" spans="1:3" ht="18" customHeight="1" x14ac:dyDescent="0.3">
      <c r="A8544" s="1">
        <v>2</v>
      </c>
      <c r="B8544" s="1" t="s">
        <v>6929</v>
      </c>
      <c r="C8544" s="1" t="str">
        <f ca="1">IFERROR(__xludf.DUMMYFUNCTION("GOOGLETRANSLATE(B8677,""en"",""ja"")"),"多文化")</f>
        <v>多文化</v>
      </c>
    </row>
    <row r="8545" spans="1:3" ht="18" customHeight="1" x14ac:dyDescent="0.3">
      <c r="A8545" s="1">
        <v>2</v>
      </c>
      <c r="B8545" s="1" t="s">
        <v>6930</v>
      </c>
      <c r="C8545" s="1" t="str">
        <f ca="1">IFERROR(__xludf.DUMMYFUNCTION("GOOGLETRANSLATE(B8678,""en"",""ja"")"),"多細胞")</f>
        <v>多細胞</v>
      </c>
    </row>
    <row r="8546" spans="1:3" ht="18" customHeight="1" x14ac:dyDescent="0.3">
      <c r="A8546" s="1">
        <v>2</v>
      </c>
      <c r="B8546" s="1" t="s">
        <v>6931</v>
      </c>
      <c r="C8546" s="1" t="str">
        <f ca="1">IFERROR(__xludf.DUMMYFUNCTION("GOOGLETRANSLATE(B8679,""en"",""ja"")"),"MRI")</f>
        <v>MRI</v>
      </c>
    </row>
    <row r="8547" spans="1:3" ht="18" customHeight="1" x14ac:dyDescent="0.3">
      <c r="A8547" s="1">
        <v>2</v>
      </c>
      <c r="B8547" s="1" t="s">
        <v>2630</v>
      </c>
      <c r="C8547" s="1" t="str">
        <f ca="1">IFERROR(__xludf.DUMMYFUNCTION("GOOGLETRANSLATE(B8681,""en"",""ja"")"),"型")</f>
        <v>型</v>
      </c>
    </row>
    <row r="8548" spans="1:3" ht="18" customHeight="1" x14ac:dyDescent="0.3">
      <c r="A8548" s="1">
        <v>2</v>
      </c>
      <c r="B8548" s="1" t="s">
        <v>6932</v>
      </c>
      <c r="C8548" s="1" t="str">
        <f ca="1">IFERROR(__xludf.DUMMYFUNCTION("GOOGLETRANSLATE(B8682,""en"",""ja"")"),"動機")</f>
        <v>動機</v>
      </c>
    </row>
    <row r="8549" spans="1:3" ht="18" customHeight="1" x14ac:dyDescent="0.3">
      <c r="A8549" s="1">
        <v>2</v>
      </c>
      <c r="B8549" s="1" t="s">
        <v>3938</v>
      </c>
      <c r="C8549" s="1" t="str">
        <f ca="1">IFERROR(__xludf.DUMMYFUNCTION("GOOGLETRANSLATE(B8683,""en"",""ja"")"),"動かす")</f>
        <v>動かす</v>
      </c>
    </row>
    <row r="8550" spans="1:3" ht="18" customHeight="1" x14ac:dyDescent="0.3">
      <c r="A8550" s="1">
        <v>2</v>
      </c>
      <c r="B8550" s="1" t="s">
        <v>6933</v>
      </c>
      <c r="C8550" s="1" t="str">
        <f ca="1">IFERROR(__xludf.DUMMYFUNCTION("GOOGLETRANSLATE(B8684,""en"",""ja"")"),"動機付けの")</f>
        <v>動機付けの</v>
      </c>
    </row>
    <row r="8551" spans="1:3" ht="18" customHeight="1" x14ac:dyDescent="0.3">
      <c r="A8551" s="1">
        <v>2</v>
      </c>
      <c r="B8551" s="1" t="s">
        <v>5777</v>
      </c>
      <c r="C8551" s="1" t="str">
        <f ca="1">IFERROR(__xludf.DUMMYFUNCTION("GOOGLETRANSLATE(B8685,""en"",""ja"")"),"朝")</f>
        <v>朝</v>
      </c>
    </row>
    <row r="8552" spans="1:3" ht="18" customHeight="1" x14ac:dyDescent="0.3">
      <c r="A8552" s="1">
        <v>2</v>
      </c>
      <c r="B8552" s="1" t="s">
        <v>6934</v>
      </c>
      <c r="C8552" s="1" t="str">
        <f ca="1">IFERROR(__xludf.DUMMYFUNCTION("GOOGLETRANSLATE(B8686,""en"",""ja"")"),"気分")</f>
        <v>気分</v>
      </c>
    </row>
    <row r="8553" spans="1:3" ht="18" customHeight="1" x14ac:dyDescent="0.3">
      <c r="A8553" s="1">
        <v>2</v>
      </c>
      <c r="B8553" s="1" t="s">
        <v>6935</v>
      </c>
      <c r="C8553" s="1" t="str">
        <f ca="1">IFERROR(__xludf.DUMMYFUNCTION("GOOGLETRANSLATE(B8687,""en"",""ja"")"),"近代化します")</f>
        <v>近代化します</v>
      </c>
    </row>
    <row r="8554" spans="1:3" ht="18" customHeight="1" x14ac:dyDescent="0.3">
      <c r="A8554" s="1">
        <v>2</v>
      </c>
      <c r="B8554" s="1" t="s">
        <v>6936</v>
      </c>
      <c r="C8554" s="1" t="str">
        <f ca="1">IFERROR(__xludf.DUMMYFUNCTION("GOOGLETRANSLATE(B8688,""en"",""ja"")"),"司会")</f>
        <v>司会</v>
      </c>
    </row>
    <row r="8555" spans="1:3" ht="18" customHeight="1" x14ac:dyDescent="0.3">
      <c r="A8555" s="1">
        <v>2</v>
      </c>
      <c r="B8555" s="1" t="s">
        <v>6937</v>
      </c>
      <c r="C8555" s="1" t="str">
        <f ca="1">IFERROR(__xludf.DUMMYFUNCTION("GOOGLETRANSLATE(B8689,""en"",""ja"")"),"モバイル")</f>
        <v>モバイル</v>
      </c>
    </row>
    <row r="8556" spans="1:3" ht="18" customHeight="1" x14ac:dyDescent="0.3">
      <c r="A8556" s="1">
        <v>2</v>
      </c>
      <c r="B8556" s="1" t="s">
        <v>6938</v>
      </c>
      <c r="C8556" s="1" t="str">
        <f ca="1">IFERROR(__xludf.DUMMYFUNCTION("GOOGLETRANSLATE(B8690,""en"",""ja"")"),"もやもや")</f>
        <v>もやもや</v>
      </c>
    </row>
    <row r="8557" spans="1:3" ht="18" customHeight="1" x14ac:dyDescent="0.3">
      <c r="A8557" s="1">
        <v>2</v>
      </c>
      <c r="B8557" s="1" t="s">
        <v>6939</v>
      </c>
      <c r="C8557" s="1" t="str">
        <f ca="1">IFERROR(__xludf.DUMMYFUNCTION("GOOGLETRANSLATE(B8691,""en"",""ja"")"),"行方不明")</f>
        <v>行方不明</v>
      </c>
    </row>
    <row r="8558" spans="1:3" ht="18" customHeight="1" x14ac:dyDescent="0.3">
      <c r="A8558" s="1">
        <v>2</v>
      </c>
      <c r="B8558" s="1" t="s">
        <v>3410</v>
      </c>
      <c r="C8558" s="1" t="str">
        <f ca="1">IFERROR(__xludf.DUMMYFUNCTION("GOOGLETRANSLATE(B8692,""en"",""ja"")"),"お嬢")</f>
        <v>お嬢</v>
      </c>
    </row>
    <row r="8559" spans="1:3" ht="18" customHeight="1" x14ac:dyDescent="0.3">
      <c r="A8559" s="1">
        <v>2</v>
      </c>
      <c r="B8559" s="1" t="s">
        <v>6940</v>
      </c>
      <c r="C8559" s="1" t="str">
        <f ca="1">IFERROR(__xludf.DUMMYFUNCTION("GOOGLETRANSLATE(B8693,""en"",""ja"")"),"誤解")</f>
        <v>誤解</v>
      </c>
    </row>
    <row r="8560" spans="1:3" ht="18" customHeight="1" x14ac:dyDescent="0.3">
      <c r="A8560" s="1">
        <v>2</v>
      </c>
      <c r="B8560" s="1" t="s">
        <v>6941</v>
      </c>
      <c r="C8560" s="1" t="str">
        <f ca="1">IFERROR(__xludf.DUMMYFUNCTION("GOOGLETRANSLATE(B8694,""en"",""ja"")"),"誤解")</f>
        <v>誤解</v>
      </c>
    </row>
    <row r="8561" spans="1:3" ht="18" customHeight="1" x14ac:dyDescent="0.3">
      <c r="A8561" s="1">
        <v>2</v>
      </c>
      <c r="B8561" s="1" t="s">
        <v>6942</v>
      </c>
      <c r="C8561" s="1" t="str">
        <f ca="1">IFERROR(__xludf.DUMMYFUNCTION("GOOGLETRANSLATE(B8695,""en"",""ja"")"),"誤解")</f>
        <v>誤解</v>
      </c>
    </row>
    <row r="8562" spans="1:3" ht="18" customHeight="1" x14ac:dyDescent="0.3">
      <c r="A8562" s="1">
        <v>2</v>
      </c>
      <c r="B8562" s="1" t="s">
        <v>6943</v>
      </c>
      <c r="C8562" s="1" t="str">
        <f ca="1">IFERROR(__xludf.DUMMYFUNCTION("GOOGLETRANSLATE(B8696,""en"",""ja"")"),"誤解に")</f>
        <v>誤解に</v>
      </c>
    </row>
    <row r="8563" spans="1:3" ht="18" customHeight="1" x14ac:dyDescent="0.3">
      <c r="A8563" s="1">
        <v>2</v>
      </c>
      <c r="B8563" s="1" t="s">
        <v>6944</v>
      </c>
      <c r="C8563" s="1" t="str">
        <f ca="1">IFERROR(__xludf.DUMMYFUNCTION("GOOGLETRANSLATE(B8697,""en"",""ja"")"),"いたずらに")</f>
        <v>いたずらに</v>
      </c>
    </row>
    <row r="8564" spans="1:3" ht="18" customHeight="1" x14ac:dyDescent="0.3">
      <c r="A8564" s="1">
        <v>2</v>
      </c>
      <c r="B8564" s="1" t="s">
        <v>3942</v>
      </c>
      <c r="C8564" s="1" t="str">
        <f ca="1">IFERROR(__xludf.DUMMYFUNCTION("GOOGLETRANSLATE(B8698,""en"",""ja"")"),"mischel")</f>
        <v>mischel</v>
      </c>
    </row>
    <row r="8565" spans="1:3" ht="18" customHeight="1" x14ac:dyDescent="0.3">
      <c r="A8565" s="1">
        <v>2</v>
      </c>
      <c r="B8565" s="1" t="s">
        <v>3413</v>
      </c>
      <c r="C8565" s="1" t="str">
        <f ca="1">IFERROR(__xludf.DUMMYFUNCTION("GOOGLETRANSLATE(B8699,""en"",""ja"")"),"少数")</f>
        <v>少数</v>
      </c>
    </row>
    <row r="8566" spans="1:3" ht="18" customHeight="1" x14ac:dyDescent="0.3">
      <c r="A8566" s="1">
        <v>2</v>
      </c>
      <c r="B8566" s="1" t="s">
        <v>6945</v>
      </c>
      <c r="C8566" s="1" t="str">
        <f ca="1">IFERROR(__xludf.DUMMYFUNCTION("GOOGLETRANSLATE(B8700,""en"",""ja"")"),"最小化")</f>
        <v>最小化</v>
      </c>
    </row>
    <row r="8567" spans="1:3" ht="18" customHeight="1" x14ac:dyDescent="0.3">
      <c r="A8567" s="1">
        <v>2</v>
      </c>
      <c r="B8567" s="1" t="s">
        <v>6946</v>
      </c>
      <c r="C8567" s="1" t="str">
        <f ca="1">IFERROR(__xludf.DUMMYFUNCTION("GOOGLETRANSLATE(B8701,""en"",""ja"")"),"最小化")</f>
        <v>最小化</v>
      </c>
    </row>
    <row r="8568" spans="1:3" ht="18" customHeight="1" x14ac:dyDescent="0.3">
      <c r="A8568" s="1">
        <v>2</v>
      </c>
      <c r="B8568" s="1" t="s">
        <v>6947</v>
      </c>
      <c r="C8568" s="1" t="str">
        <f ca="1">IFERROR(__xludf.DUMMYFUNCTION("GOOGLETRANSLATE(B8702,""en"",""ja"")"),"千年")</f>
        <v>千年</v>
      </c>
    </row>
    <row r="8569" spans="1:3" ht="18" customHeight="1" x14ac:dyDescent="0.3">
      <c r="A8569" s="1">
        <v>2</v>
      </c>
      <c r="B8569" s="1" t="s">
        <v>6948</v>
      </c>
      <c r="C8569" s="1" t="str">
        <f ca="1">IFERROR(__xludf.DUMMYFUNCTION("GOOGLETRANSLATE(B8703,""en"",""ja"")"),"移動")</f>
        <v>移動</v>
      </c>
    </row>
    <row r="8570" spans="1:3" ht="18" customHeight="1" x14ac:dyDescent="0.3">
      <c r="A8570" s="1">
        <v>2</v>
      </c>
      <c r="B8570" s="1" t="s">
        <v>2638</v>
      </c>
      <c r="C8570" s="1" t="str">
        <f ca="1">IFERROR(__xludf.DUMMYFUNCTION("GOOGLETRANSLATE(B8704,""en"",""ja"")"),"慈悲")</f>
        <v>慈悲</v>
      </c>
    </row>
    <row r="8571" spans="1:3" ht="18" customHeight="1" x14ac:dyDescent="0.3">
      <c r="A8571" s="1">
        <v>2</v>
      </c>
      <c r="B8571" s="1" t="s">
        <v>2362</v>
      </c>
      <c r="C8571" s="1" t="str">
        <f ca="1">IFERROR(__xludf.DUMMYFUNCTION("GOOGLETRANSLATE(B8705,""en"",""ja"")"),"メモリ")</f>
        <v>メモリ</v>
      </c>
    </row>
    <row r="8572" spans="1:3" ht="18" customHeight="1" x14ac:dyDescent="0.3">
      <c r="A8572" s="1">
        <v>2</v>
      </c>
      <c r="B8572" s="1" t="s">
        <v>6949</v>
      </c>
      <c r="C8572" s="1" t="str">
        <f ca="1">IFERROR(__xludf.DUMMYFUNCTION("GOOGLETRANSLATE(B8706,""en"",""ja"")"),"memorialization")</f>
        <v>memorialization</v>
      </c>
    </row>
    <row r="8573" spans="1:3" ht="18" customHeight="1" x14ac:dyDescent="0.3">
      <c r="A8573" s="1">
        <v>2</v>
      </c>
      <c r="B8573" s="1" t="s">
        <v>6950</v>
      </c>
      <c r="C8573" s="1" t="str">
        <f ca="1">IFERROR(__xludf.DUMMYFUNCTION("GOOGLETRANSLATE(B8707,""en"",""ja"")"),"メーガン")</f>
        <v>メーガン</v>
      </c>
    </row>
    <row r="8574" spans="1:3" ht="18" customHeight="1" x14ac:dyDescent="0.3">
      <c r="A8574" s="1">
        <v>2</v>
      </c>
      <c r="B8574" s="1" t="s">
        <v>6951</v>
      </c>
      <c r="C8574" s="1" t="str">
        <f ca="1">IFERROR(__xludf.DUMMYFUNCTION("GOOGLETRANSLATE(B8708,""en"",""ja"")"),"会議")</f>
        <v>会議</v>
      </c>
    </row>
    <row r="8575" spans="1:3" ht="18" customHeight="1" x14ac:dyDescent="0.3">
      <c r="A8575" s="1">
        <v>2</v>
      </c>
      <c r="B8575" s="1" t="s">
        <v>2363</v>
      </c>
      <c r="C8575" s="1" t="str">
        <f ca="1">IFERROR(__xludf.DUMMYFUNCTION("GOOGLETRANSLATE(B8709,""en"",""ja"")"),"薬")</f>
        <v>薬</v>
      </c>
    </row>
    <row r="8576" spans="1:3" ht="18" customHeight="1" x14ac:dyDescent="0.3">
      <c r="A8576" s="1">
        <v>2</v>
      </c>
      <c r="B8576" s="1" t="s">
        <v>6952</v>
      </c>
      <c r="C8576" s="1" t="str">
        <f ca="1">IFERROR(__xludf.DUMMYFUNCTION("GOOGLETRANSLATE(B8710,""en"",""ja"")"),"投薬")</f>
        <v>投薬</v>
      </c>
    </row>
    <row r="8577" spans="1:3" ht="18" customHeight="1" x14ac:dyDescent="0.3">
      <c r="A8577" s="1">
        <v>2</v>
      </c>
      <c r="B8577" s="1" t="s">
        <v>6953</v>
      </c>
      <c r="C8577" s="1" t="str">
        <f ca="1">IFERROR(__xludf.DUMMYFUNCTION("GOOGLETRANSLATE(B8711,""en"",""ja"")"),"測定可能")</f>
        <v>測定可能</v>
      </c>
    </row>
    <row r="8578" spans="1:3" ht="18" customHeight="1" x14ac:dyDescent="0.3">
      <c r="A8578" s="1">
        <v>2</v>
      </c>
      <c r="B8578" s="1" t="s">
        <v>6954</v>
      </c>
      <c r="C8578" s="1" t="str">
        <f ca="1">IFERROR(__xludf.DUMMYFUNCTION("GOOGLETRANSLATE(B8712,""en"",""ja"")"),"マカフィー")</f>
        <v>マカフィー</v>
      </c>
    </row>
    <row r="8579" spans="1:3" ht="18" customHeight="1" x14ac:dyDescent="0.3">
      <c r="A8579" s="1">
        <v>2</v>
      </c>
      <c r="B8579" s="1" t="s">
        <v>6955</v>
      </c>
      <c r="C8579" s="1" t="str">
        <f ca="1">IFERROR(__xludf.DUMMYFUNCTION("GOOGLETRANSLATE(B8713,""en"",""ja"")"),"マッチ")</f>
        <v>マッチ</v>
      </c>
    </row>
    <row r="8580" spans="1:3" ht="18" customHeight="1" x14ac:dyDescent="0.3">
      <c r="A8580" s="1">
        <v>2</v>
      </c>
      <c r="B8580" s="1" t="s">
        <v>6956</v>
      </c>
      <c r="C8580" s="1" t="str">
        <f ca="1">IFERROR(__xludf.DUMMYFUNCTION("GOOGLETRANSLATE(B8714,""en"",""ja"")"),"マスター")</f>
        <v>マスター</v>
      </c>
    </row>
    <row r="8581" spans="1:3" ht="18" customHeight="1" x14ac:dyDescent="0.3">
      <c r="A8581" s="1">
        <v>2</v>
      </c>
      <c r="B8581" s="1" t="s">
        <v>4647</v>
      </c>
      <c r="C8581" s="1" t="str">
        <f ca="1">IFERROR(__xludf.DUMMYFUNCTION("GOOGLETRANSLATE(B8715,""en"",""ja"")"),"マサチューセッツ州")</f>
        <v>マサチューセッツ州</v>
      </c>
    </row>
    <row r="8582" spans="1:3" ht="18" customHeight="1" x14ac:dyDescent="0.3">
      <c r="A8582" s="1">
        <v>2</v>
      </c>
      <c r="B8582" s="1" t="s">
        <v>2982</v>
      </c>
      <c r="C8582" s="1" t="str">
        <f ca="1">IFERROR(__xludf.DUMMYFUNCTION("GOOGLETRANSLATE(B8716,""en"",""ja"")"),"マスク")</f>
        <v>マスク</v>
      </c>
    </row>
    <row r="8583" spans="1:3" ht="18" customHeight="1" x14ac:dyDescent="0.3">
      <c r="A8583" s="1">
        <v>2</v>
      </c>
      <c r="B8583" s="1" t="s">
        <v>3429</v>
      </c>
      <c r="C8583" s="1" t="str">
        <f ca="1">IFERROR(__xludf.DUMMYFUNCTION("GOOGLETRANSLATE(B8717,""en"",""ja"")"),"元帥")</f>
        <v>元帥</v>
      </c>
    </row>
    <row r="8584" spans="1:3" ht="18" customHeight="1" x14ac:dyDescent="0.3">
      <c r="A8584" s="1">
        <v>2</v>
      </c>
      <c r="B8584" s="1" t="s">
        <v>3959</v>
      </c>
      <c r="C8584" s="1" t="str">
        <f ca="1">IFERROR(__xludf.DUMMYFUNCTION("GOOGLETRANSLATE(B8718,""en"",""ja"")"),"結婚します")</f>
        <v>結婚します</v>
      </c>
    </row>
    <row r="8585" spans="1:3" ht="18" customHeight="1" x14ac:dyDescent="0.3">
      <c r="A8585" s="1">
        <v>2</v>
      </c>
      <c r="B8585" s="1" t="s">
        <v>2646</v>
      </c>
      <c r="C8585" s="1" t="str">
        <f ca="1">IFERROR(__xludf.DUMMYFUNCTION("GOOGLETRANSLATE(B8719,""en"",""ja"")"),"真央")</f>
        <v>真央</v>
      </c>
    </row>
    <row r="8586" spans="1:3" ht="18" customHeight="1" x14ac:dyDescent="0.3">
      <c r="A8586" s="1">
        <v>2</v>
      </c>
      <c r="B8586" s="1" t="s">
        <v>2647</v>
      </c>
      <c r="C8586" s="1" t="str">
        <f ca="1">IFERROR(__xludf.DUMMYFUNCTION("GOOGLETRANSLATE(B8720,""en"",""ja"")"),"マニホールド")</f>
        <v>マニホールド</v>
      </c>
    </row>
    <row r="8587" spans="1:3" ht="18" customHeight="1" x14ac:dyDescent="0.3">
      <c r="A8587" s="1">
        <v>2</v>
      </c>
      <c r="B8587" s="1" t="s">
        <v>6957</v>
      </c>
      <c r="C8587" s="1" t="str">
        <f ca="1">IFERROR(__xludf.DUMMYFUNCTION("GOOGLETRANSLATE(B8721,""en"",""ja"")"),"顕現")</f>
        <v>顕現</v>
      </c>
    </row>
    <row r="8588" spans="1:3" ht="18" customHeight="1" x14ac:dyDescent="0.3">
      <c r="A8588" s="1">
        <v>2</v>
      </c>
      <c r="B8588" s="1" t="s">
        <v>2648</v>
      </c>
      <c r="C8588" s="1" t="str">
        <f ca="1">IFERROR(__xludf.DUMMYFUNCTION("GOOGLETRANSLATE(B8722,""en"",""ja"")"),"マニフェスト")</f>
        <v>マニフェスト</v>
      </c>
    </row>
    <row r="8589" spans="1:3" ht="18" customHeight="1" x14ac:dyDescent="0.3">
      <c r="A8589" s="1">
        <v>2</v>
      </c>
      <c r="B8589" s="1" t="s">
        <v>3432</v>
      </c>
      <c r="C8589" s="1" t="str">
        <f ca="1">IFERROR(__xludf.DUMMYFUNCTION("GOOGLETRANSLATE(B8723,""en"",""ja"")"),"たてがみ")</f>
        <v>たてがみ</v>
      </c>
    </row>
    <row r="8590" spans="1:3" ht="18" customHeight="1" x14ac:dyDescent="0.3">
      <c r="A8590" s="1">
        <v>2</v>
      </c>
      <c r="B8590" s="1" t="s">
        <v>6958</v>
      </c>
      <c r="C8590" s="1" t="str">
        <f ca="1">IFERROR(__xludf.DUMMYFUNCTION("GOOGLETRANSLATE(B8724,""en"",""ja"")"),"経営者の")</f>
        <v>経営者の</v>
      </c>
    </row>
    <row r="8591" spans="1:3" ht="18" customHeight="1" x14ac:dyDescent="0.3">
      <c r="A8591" s="1">
        <v>2</v>
      </c>
      <c r="B8591" s="1" t="s">
        <v>3434</v>
      </c>
      <c r="C8591" s="1" t="str">
        <f ca="1">IFERROR(__xludf.DUMMYFUNCTION("GOOGLETRANSLATE(B8725,""en"",""ja"")"),"柔軟")</f>
        <v>柔軟</v>
      </c>
    </row>
    <row r="8592" spans="1:3" ht="18" customHeight="1" x14ac:dyDescent="0.3">
      <c r="A8592" s="1">
        <v>2</v>
      </c>
      <c r="B8592" s="1" t="s">
        <v>6959</v>
      </c>
      <c r="C8592" s="1" t="str">
        <f ca="1">IFERROR(__xludf.DUMMYFUNCTION("GOOGLETRANSLATE(B8726,""en"",""ja"")"),"維持")</f>
        <v>維持</v>
      </c>
    </row>
    <row r="8593" spans="1:3" ht="18" customHeight="1" x14ac:dyDescent="0.3">
      <c r="A8593" s="1">
        <v>2</v>
      </c>
      <c r="B8593" s="1" t="s">
        <v>6960</v>
      </c>
      <c r="C8593" s="1" t="str">
        <f ca="1">IFERROR(__xludf.DUMMYFUNCTION("GOOGLETRANSLATE(B8727,""en"",""ja"")"),"大黒柱")</f>
        <v>大黒柱</v>
      </c>
    </row>
    <row r="8594" spans="1:3" ht="18" customHeight="1" x14ac:dyDescent="0.3">
      <c r="A8594" s="1">
        <v>2</v>
      </c>
      <c r="B8594" s="1" t="s">
        <v>6961</v>
      </c>
      <c r="C8594" s="1" t="str">
        <f ca="1">IFERROR(__xludf.DUMMYFUNCTION("GOOGLETRANSLATE(B8728,""en"",""ja"")"),"郵送")</f>
        <v>郵送</v>
      </c>
    </row>
    <row r="8595" spans="1:3" ht="18" customHeight="1" x14ac:dyDescent="0.3">
      <c r="A8595" s="1">
        <v>2</v>
      </c>
      <c r="B8595" s="1" t="s">
        <v>6962</v>
      </c>
      <c r="C8595" s="1" t="str">
        <f ca="1">IFERROR(__xludf.DUMMYFUNCTION("GOOGLETRANSLATE(B8729,""en"",""ja"")"),"壮大")</f>
        <v>壮大</v>
      </c>
    </row>
    <row r="8596" spans="1:3" ht="18" customHeight="1" x14ac:dyDescent="0.3">
      <c r="A8596" s="1">
        <v>2</v>
      </c>
      <c r="B8596" s="1" t="s">
        <v>6963</v>
      </c>
      <c r="C8596" s="1" t="str">
        <f ca="1">IFERROR(__xludf.DUMMYFUNCTION("GOOGLETRANSLATE(B8730,""en"",""ja"")"),"マディソン")</f>
        <v>マディソン</v>
      </c>
    </row>
    <row r="8597" spans="1:3" ht="18" customHeight="1" x14ac:dyDescent="0.3">
      <c r="A8597" s="1">
        <v>2</v>
      </c>
      <c r="B8597" s="1" t="s">
        <v>3437</v>
      </c>
      <c r="C8597" s="1" t="str">
        <f ca="1">IFERROR(__xludf.DUMMYFUNCTION("GOOGLETRANSLATE(B8731,""en"",""ja"")"),"マッキー")</f>
        <v>マッキー</v>
      </c>
    </row>
    <row r="8598" spans="1:3" ht="18" customHeight="1" x14ac:dyDescent="0.3">
      <c r="A8598" s="1">
        <v>2</v>
      </c>
      <c r="B8598" s="1" t="s">
        <v>6964</v>
      </c>
      <c r="C8598" s="1" t="str">
        <f ca="1">IFERROR(__xludf.DUMMYFUNCTION("GOOGLETRANSLATE(B8732,""en"",""ja"")"),"機械")</f>
        <v>機械</v>
      </c>
    </row>
    <row r="8599" spans="1:3" ht="18" customHeight="1" x14ac:dyDescent="0.3">
      <c r="A8599" s="1">
        <v>2</v>
      </c>
      <c r="B8599" s="1" t="s">
        <v>2110</v>
      </c>
      <c r="C8599" s="1" t="str">
        <f ca="1">IFERROR(__xludf.DUMMYFUNCTION("GOOGLETRANSLATE(B8733,""en"",""ja"")"),"マキャベリ")</f>
        <v>マキャベリ</v>
      </c>
    </row>
    <row r="8600" spans="1:3" ht="18" customHeight="1" x14ac:dyDescent="0.3">
      <c r="A8600" s="1">
        <v>2</v>
      </c>
      <c r="B8600" s="1" t="s">
        <v>6965</v>
      </c>
      <c r="C8600" s="1" t="str">
        <f ca="1">IFERROR(__xludf.DUMMYFUNCTION("GOOGLETRANSLATE(B8734,""en"",""ja"")"),"恋人")</f>
        <v>恋人</v>
      </c>
    </row>
    <row r="8601" spans="1:3" ht="18" customHeight="1" x14ac:dyDescent="0.3">
      <c r="A8601" s="1">
        <v>2</v>
      </c>
      <c r="B8601" s="1" t="s">
        <v>6966</v>
      </c>
      <c r="C8601" s="1" t="str">
        <f ca="1">IFERROR(__xludf.DUMMYFUNCTION("GOOGLETRANSLATE(B8735,""en"",""ja"")"),"愛し")</f>
        <v>愛し</v>
      </c>
    </row>
    <row r="8602" spans="1:3" ht="18" customHeight="1" x14ac:dyDescent="0.3">
      <c r="A8602" s="1">
        <v>2</v>
      </c>
      <c r="B8602" s="1" t="s">
        <v>1063</v>
      </c>
      <c r="C8602" s="1" t="str">
        <f ca="1">IFERROR(__xludf.DUMMYFUNCTION("GOOGLETRANSLATE(B8736,""en"",""ja"")"),"愛する")</f>
        <v>愛する</v>
      </c>
    </row>
    <row r="8603" spans="1:3" ht="18" customHeight="1" x14ac:dyDescent="0.3">
      <c r="A8603" s="1">
        <v>2</v>
      </c>
      <c r="B8603" s="1" t="s">
        <v>2652</v>
      </c>
      <c r="C8603" s="1" t="str">
        <f ca="1">IFERROR(__xludf.DUMMYFUNCTION("GOOGLETRANSLATE(B8737,""en"",""ja"")"),"ロック")</f>
        <v>ロック</v>
      </c>
    </row>
    <row r="8604" spans="1:3" ht="18" customHeight="1" x14ac:dyDescent="0.3">
      <c r="A8604" s="1">
        <v>2</v>
      </c>
      <c r="B8604" s="1" t="s">
        <v>6967</v>
      </c>
      <c r="C8604" s="1" t="str">
        <f ca="1">IFERROR(__xludf.DUMMYFUNCTION("GOOGLETRANSLATE(B8738,""en"",""ja"")"),"ロック")</f>
        <v>ロック</v>
      </c>
    </row>
    <row r="8605" spans="1:3" ht="18" customHeight="1" x14ac:dyDescent="0.3">
      <c r="A8605" s="1">
        <v>2</v>
      </c>
      <c r="B8605" s="1" t="s">
        <v>6968</v>
      </c>
      <c r="C8605" s="1" t="str">
        <f ca="1">IFERROR(__xludf.DUMMYFUNCTION("GOOGLETRANSLATE(B8739,""en"",""ja"")"),"見つけます")</f>
        <v>見つけます</v>
      </c>
    </row>
    <row r="8606" spans="1:3" ht="18" customHeight="1" x14ac:dyDescent="0.3">
      <c r="A8606" s="1">
        <v>2</v>
      </c>
      <c r="B8606" s="1" t="s">
        <v>3440</v>
      </c>
      <c r="C8606" s="1" t="str">
        <f ca="1">IFERROR(__xludf.DUMMYFUNCTION("GOOGLETRANSLATE(B8740,""en"",""ja"")"),"文献")</f>
        <v>文献</v>
      </c>
    </row>
    <row r="8607" spans="1:3" ht="18" customHeight="1" x14ac:dyDescent="0.3">
      <c r="A8607" s="1">
        <v>2</v>
      </c>
      <c r="B8607" s="1" t="s">
        <v>6969</v>
      </c>
      <c r="C8607" s="1" t="str">
        <f ca="1">IFERROR(__xludf.DUMMYFUNCTION("GOOGLETRANSLATE(B8741,""en"",""ja"")"),"リテラル")</f>
        <v>リテラル</v>
      </c>
    </row>
    <row r="8608" spans="1:3" ht="18" customHeight="1" x14ac:dyDescent="0.3">
      <c r="A8608" s="1">
        <v>2</v>
      </c>
      <c r="B8608" s="1" t="s">
        <v>4665</v>
      </c>
      <c r="C8608" s="1" t="str">
        <f ca="1">IFERROR(__xludf.DUMMYFUNCTION("GOOGLETRANSLATE(B8742,""en"",""ja"")"),"雌ライオン")</f>
        <v>雌ライオン</v>
      </c>
    </row>
    <row r="8609" spans="1:3" ht="18" customHeight="1" x14ac:dyDescent="0.3">
      <c r="A8609" s="1">
        <v>2</v>
      </c>
      <c r="B8609" s="1" t="s">
        <v>6970</v>
      </c>
      <c r="C8609" s="1" t="str">
        <f ca="1">IFERROR(__xludf.DUMMYFUNCTION("GOOGLETRANSLATE(B8743,""en"",""ja"")"),"リンケージ")</f>
        <v>リンケージ</v>
      </c>
    </row>
    <row r="8610" spans="1:3" ht="18" customHeight="1" x14ac:dyDescent="0.3">
      <c r="A8610" s="1">
        <v>2</v>
      </c>
      <c r="B8610" s="1" t="s">
        <v>6971</v>
      </c>
      <c r="C8610" s="1" t="str">
        <f ca="1">IFERROR(__xludf.DUMMYFUNCTION("GOOGLETRANSLATE(B8744,""en"",""ja"")"),"好き")</f>
        <v>好き</v>
      </c>
    </row>
    <row r="8611" spans="1:3" ht="18" customHeight="1" x14ac:dyDescent="0.3">
      <c r="A8611" s="1">
        <v>2</v>
      </c>
      <c r="B8611" s="1" t="s">
        <v>6972</v>
      </c>
      <c r="C8611" s="1" t="str">
        <f ca="1">IFERROR(__xludf.DUMMYFUNCTION("GOOGLETRANSLATE(B8745,""en"",""ja"")"),"ライフワーク")</f>
        <v>ライフワーク</v>
      </c>
    </row>
    <row r="8612" spans="1:3" ht="18" customHeight="1" x14ac:dyDescent="0.3">
      <c r="A8612" s="1">
        <v>2</v>
      </c>
      <c r="B8612" s="1" t="s">
        <v>6973</v>
      </c>
      <c r="C8612" s="1" t="str">
        <f ca="1">IFERROR(__xludf.DUMMYFUNCTION("GOOGLETRANSLATE(B8747,""en"",""ja"")"),"ライセンス")</f>
        <v>ライセンス</v>
      </c>
    </row>
    <row r="8613" spans="1:3" ht="18" customHeight="1" x14ac:dyDescent="0.3">
      <c r="A8613" s="1">
        <v>2</v>
      </c>
      <c r="B8613" s="1" t="s">
        <v>6974</v>
      </c>
      <c r="C8613" s="1" t="str">
        <f ca="1">IFERROR(__xludf.DUMMYFUNCTION("GOOGLETRANSLATE(B8748,""en"",""ja"")"),"図書館")</f>
        <v>図書館</v>
      </c>
    </row>
    <row r="8614" spans="1:3" ht="18" customHeight="1" x14ac:dyDescent="0.3">
      <c r="A8614" s="1">
        <v>2</v>
      </c>
      <c r="B8614" s="1" t="s">
        <v>6975</v>
      </c>
      <c r="C8614" s="1" t="str">
        <f ca="1">IFERROR(__xludf.DUMMYFUNCTION("GOOGLETRANSLATE(B8749,""en"",""ja"")"),"長さ")</f>
        <v>長さ</v>
      </c>
    </row>
    <row r="8615" spans="1:3" ht="18" customHeight="1" x14ac:dyDescent="0.3">
      <c r="A8615" s="1">
        <v>2</v>
      </c>
      <c r="B8615" s="1" t="s">
        <v>1449</v>
      </c>
      <c r="C8615" s="1" t="str">
        <f ca="1">IFERROR(__xludf.DUMMYFUNCTION("GOOGLETRANSLATE(B8750,""en"",""ja"")"),"余暇")</f>
        <v>余暇</v>
      </c>
    </row>
    <row r="8616" spans="1:3" ht="18" customHeight="1" x14ac:dyDescent="0.3">
      <c r="A8616" s="1">
        <v>2</v>
      </c>
      <c r="B8616" s="1" t="s">
        <v>6976</v>
      </c>
      <c r="C8616" s="1" t="str">
        <f ca="1">IFERROR(__xludf.DUMMYFUNCTION("GOOGLETRANSLATE(B8751,""en"",""ja"")"),"残り")</f>
        <v>残り</v>
      </c>
    </row>
    <row r="8617" spans="1:3" ht="18" customHeight="1" x14ac:dyDescent="0.3">
      <c r="A8617" s="1">
        <v>2</v>
      </c>
      <c r="B8617" s="1" t="s">
        <v>6977</v>
      </c>
      <c r="C8617" s="1" t="str">
        <f ca="1">IFERROR(__xludf.DUMMYFUNCTION("GOOGLETRANSLATE(B8752,""en"",""ja"")"),"漏洩しました")</f>
        <v>漏洩しました</v>
      </c>
    </row>
    <row r="8618" spans="1:3" ht="18" customHeight="1" x14ac:dyDescent="0.3">
      <c r="A8618" s="1">
        <v>2</v>
      </c>
      <c r="B8618" s="1" t="s">
        <v>6978</v>
      </c>
      <c r="C8618" s="1" t="str">
        <f ca="1">IFERROR(__xludf.DUMMYFUNCTION("GOOGLETRANSLATE(B8753,""en"",""ja"")"),"ランドリー")</f>
        <v>ランドリー</v>
      </c>
    </row>
    <row r="8619" spans="1:3" ht="18" customHeight="1" x14ac:dyDescent="0.3">
      <c r="A8619" s="1">
        <v>2</v>
      </c>
      <c r="B8619" s="1" t="s">
        <v>6979</v>
      </c>
      <c r="C8619" s="1" t="str">
        <f ca="1">IFERROR(__xludf.DUMMYFUNCTION("GOOGLETRANSLATE(B8754,""en"",""ja"")"),"打ち上げ")</f>
        <v>打ち上げ</v>
      </c>
    </row>
    <row r="8620" spans="1:3" ht="18" customHeight="1" x14ac:dyDescent="0.3">
      <c r="A8620" s="1">
        <v>2</v>
      </c>
      <c r="B8620" s="1" t="s">
        <v>6980</v>
      </c>
      <c r="C8620" s="1" t="str">
        <f ca="1">IFERROR(__xludf.DUMMYFUNCTION("GOOGLETRANSLATE(B8755,""en"",""ja"")"),"横方向")</f>
        <v>横方向</v>
      </c>
    </row>
    <row r="8621" spans="1:3" ht="18" customHeight="1" x14ac:dyDescent="0.3">
      <c r="A8621" s="1">
        <v>2</v>
      </c>
      <c r="B8621" s="1" t="s">
        <v>6981</v>
      </c>
      <c r="C8621" s="1" t="str">
        <f ca="1">IFERROR(__xludf.DUMMYFUNCTION("GOOGLETRANSLATE(B8756,""en"",""ja"")"),"ヤンマ")</f>
        <v>ヤンマ</v>
      </c>
    </row>
    <row r="8622" spans="1:3" ht="18" customHeight="1" x14ac:dyDescent="0.3">
      <c r="A8622" s="1">
        <v>2</v>
      </c>
      <c r="B8622" s="1" t="s">
        <v>6982</v>
      </c>
      <c r="C8622" s="1" t="str">
        <f ca="1">IFERROR(__xludf.DUMMYFUNCTION("GOOGLETRANSLATE(B8757,""en"",""ja"")"),"嘆い")</f>
        <v>嘆い</v>
      </c>
    </row>
    <row r="8623" spans="1:3" ht="18" customHeight="1" x14ac:dyDescent="0.3">
      <c r="A8623" s="1">
        <v>2</v>
      </c>
      <c r="B8623" s="1" t="s">
        <v>6983</v>
      </c>
      <c r="C8623" s="1" t="str">
        <f ca="1">IFERROR(__xludf.DUMMYFUNCTION("GOOGLETRANSLATE(B8758,""en"",""ja"")"),"嘆き")</f>
        <v>嘆き</v>
      </c>
    </row>
    <row r="8624" spans="1:3" ht="18" customHeight="1" x14ac:dyDescent="0.3">
      <c r="A8624" s="1">
        <v>2</v>
      </c>
      <c r="B8624" s="1" t="s">
        <v>2374</v>
      </c>
      <c r="C8624" s="1" t="str">
        <f ca="1">IFERROR(__xludf.DUMMYFUNCTION("GOOGLETRANSLATE(B8759,""en"",""ja"")"),"リットル")</f>
        <v>リットル</v>
      </c>
    </row>
    <row r="8625" spans="1:3" ht="18" customHeight="1" x14ac:dyDescent="0.3">
      <c r="A8625" s="1">
        <v>2</v>
      </c>
      <c r="B8625" s="1" t="s">
        <v>6984</v>
      </c>
      <c r="C8625" s="1" t="str">
        <f ca="1">IFERROR(__xludf.DUMMYFUNCTION("GOOGLETRANSLATE(B8760,""en"",""ja"")"),"キット")</f>
        <v>キット</v>
      </c>
    </row>
    <row r="8626" spans="1:3" ht="18" customHeight="1" x14ac:dyDescent="0.3">
      <c r="A8626" s="1">
        <v>2</v>
      </c>
      <c r="B8626" s="1" t="s">
        <v>6985</v>
      </c>
      <c r="C8626" s="1" t="str">
        <f ca="1">IFERROR(__xludf.DUMMYFUNCTION("GOOGLETRANSLATE(B8761,""en"",""ja"")"),"キッチン")</f>
        <v>キッチン</v>
      </c>
    </row>
    <row r="8627" spans="1:3" ht="18" customHeight="1" x14ac:dyDescent="0.3">
      <c r="A8627" s="1">
        <v>2</v>
      </c>
      <c r="B8627" s="1" t="s">
        <v>3450</v>
      </c>
      <c r="C8627" s="1" t="str">
        <f ca="1">IFERROR(__xludf.DUMMYFUNCTION("GOOGLETRANSLATE(B8762,""en"",""ja"")"),"血縁者")</f>
        <v>血縁者</v>
      </c>
    </row>
    <row r="8628" spans="1:3" ht="18" customHeight="1" x14ac:dyDescent="0.3">
      <c r="A8628" s="1">
        <v>2</v>
      </c>
      <c r="B8628" s="1" t="s">
        <v>6986</v>
      </c>
      <c r="C8628" s="1" t="str">
        <f ca="1">IFERROR(__xludf.DUMMYFUNCTION("GOOGLETRANSLATE(B8763,""en"",""ja"")"),"蹴ります")</f>
        <v>蹴ります</v>
      </c>
    </row>
    <row r="8629" spans="1:3" ht="18" customHeight="1" x14ac:dyDescent="0.3">
      <c r="A8629" s="1">
        <v>2</v>
      </c>
      <c r="B8629" s="1" t="s">
        <v>6987</v>
      </c>
      <c r="C8629" s="1" t="str">
        <f ca="1">IFERROR(__xludf.DUMMYFUNCTION("GOOGLETRANSLATE(B8764,""en"",""ja"")"),"キーワード")</f>
        <v>キーワード</v>
      </c>
    </row>
    <row r="8630" spans="1:3" ht="18" customHeight="1" x14ac:dyDescent="0.3">
      <c r="A8630" s="1">
        <v>2</v>
      </c>
      <c r="B8630" s="1" t="s">
        <v>6988</v>
      </c>
      <c r="C8630" s="1" t="str">
        <f ca="1">IFERROR(__xludf.DUMMYFUNCTION("GOOGLETRANSLATE(B8765,""en"",""ja"")"),"キー")</f>
        <v>キー</v>
      </c>
    </row>
    <row r="8631" spans="1:3" ht="18" customHeight="1" x14ac:dyDescent="0.3">
      <c r="A8631" s="1">
        <v>2</v>
      </c>
      <c r="B8631" s="1" t="s">
        <v>6989</v>
      </c>
      <c r="C8631" s="1" t="str">
        <f ca="1">IFERROR(__xludf.DUMMYFUNCTION("GOOGLETRANSLATE(B8766,""en"",""ja"")"),"ケトル")</f>
        <v>ケトル</v>
      </c>
    </row>
    <row r="8632" spans="1:3" ht="18" customHeight="1" x14ac:dyDescent="0.3">
      <c r="A8632" s="1">
        <v>2</v>
      </c>
      <c r="B8632" s="1" t="s">
        <v>6990</v>
      </c>
      <c r="C8632" s="1" t="str">
        <f ca="1">IFERROR(__xludf.DUMMYFUNCTION("GOOGLETRANSLATE(B8767,""en"",""ja"")"),"ケリング")</f>
        <v>ケリング</v>
      </c>
    </row>
    <row r="8633" spans="1:3" ht="18" customHeight="1" x14ac:dyDescent="0.3">
      <c r="A8633" s="1">
        <v>2</v>
      </c>
      <c r="B8633" s="1" t="s">
        <v>2990</v>
      </c>
      <c r="C8633" s="1" t="str">
        <f ca="1">IFERROR(__xludf.DUMMYFUNCTION("GOOGLETRANSLATE(B8768,""en"",""ja"")"),"並置")</f>
        <v>並置</v>
      </c>
    </row>
    <row r="8634" spans="1:3" ht="18" customHeight="1" x14ac:dyDescent="0.3">
      <c r="A8634" s="1">
        <v>2</v>
      </c>
      <c r="B8634" s="1" t="s">
        <v>3453</v>
      </c>
      <c r="C8634" s="1" t="str">
        <f ca="1">IFERROR(__xludf.DUMMYFUNCTION("GOOGLETRANSLATE(B8769,""en"",""ja"")"),"正当")</f>
        <v>正当</v>
      </c>
    </row>
    <row r="8635" spans="1:3" ht="18" customHeight="1" x14ac:dyDescent="0.3">
      <c r="A8635" s="1">
        <v>2</v>
      </c>
      <c r="B8635" s="1" t="s">
        <v>6991</v>
      </c>
      <c r="C8635" s="1" t="str">
        <f ca="1">IFERROR(__xludf.DUMMYFUNCTION("GOOGLETRANSLATE(B8770,""en"",""ja"")"),"七月")</f>
        <v>七月</v>
      </c>
    </row>
    <row r="8636" spans="1:3" ht="18" customHeight="1" x14ac:dyDescent="0.3">
      <c r="A8636" s="1">
        <v>2</v>
      </c>
      <c r="B8636" s="1" t="s">
        <v>3986</v>
      </c>
      <c r="C8636" s="1" t="str">
        <f ca="1">IFERROR(__xludf.DUMMYFUNCTION("GOOGLETRANSLATE(B8771,""en"",""ja"")"),"判定")</f>
        <v>判定</v>
      </c>
    </row>
    <row r="8637" spans="1:3" ht="18" customHeight="1" x14ac:dyDescent="0.3">
      <c r="A8637" s="1">
        <v>2</v>
      </c>
      <c r="B8637" s="1" t="s">
        <v>6992</v>
      </c>
      <c r="C8637" s="1" t="str">
        <f ca="1">IFERROR(__xludf.DUMMYFUNCTION("GOOGLETRANSLATE(B8772,""en"",""ja"")"),"判定")</f>
        <v>判定</v>
      </c>
    </row>
    <row r="8638" spans="1:3" ht="18" customHeight="1" x14ac:dyDescent="0.3">
      <c r="A8638" s="1">
        <v>2</v>
      </c>
      <c r="B8638" s="1" t="s">
        <v>6993</v>
      </c>
      <c r="C8638" s="1" t="str">
        <f ca="1">IFERROR(__xludf.DUMMYFUNCTION("GOOGLETRANSLATE(B8773,""en"",""ja"")"),"雑誌")</f>
        <v>雑誌</v>
      </c>
    </row>
    <row r="8639" spans="1:3" ht="18" customHeight="1" x14ac:dyDescent="0.3">
      <c r="A8639" s="1">
        <v>2</v>
      </c>
      <c r="B8639" s="1" t="s">
        <v>6994</v>
      </c>
      <c r="C8639" s="1" t="str">
        <f ca="1">IFERROR(__xludf.DUMMYFUNCTION("GOOGLETRANSLATE(B8774,""en"",""ja"")"),"押し合います")</f>
        <v>押し合います</v>
      </c>
    </row>
    <row r="8640" spans="1:3" ht="18" customHeight="1" x14ac:dyDescent="0.3">
      <c r="A8640" s="1">
        <v>2</v>
      </c>
      <c r="B8640" s="1" t="s">
        <v>6995</v>
      </c>
      <c r="C8640" s="1" t="str">
        <f ca="1">IFERROR(__xludf.DUMMYFUNCTION("GOOGLETRANSLATE(B8775,""en"",""ja"")"),"冗談で")</f>
        <v>冗談で</v>
      </c>
    </row>
    <row r="8641" spans="1:3" ht="18" customHeight="1" x14ac:dyDescent="0.3">
      <c r="A8641" s="1">
        <v>2</v>
      </c>
      <c r="B8641" s="1" t="s">
        <v>6996</v>
      </c>
      <c r="C8641" s="1" t="str">
        <f ca="1">IFERROR(__xludf.DUMMYFUNCTION("GOOGLETRANSLATE(B8776,""en"",""ja"")"),"ユダヤ人の")</f>
        <v>ユダヤ人の</v>
      </c>
    </row>
    <row r="8642" spans="1:3" ht="18" customHeight="1" x14ac:dyDescent="0.3">
      <c r="A8642" s="1">
        <v>2</v>
      </c>
      <c r="B8642" s="1" t="s">
        <v>6997</v>
      </c>
      <c r="C8642" s="1" t="str">
        <f ca="1">IFERROR(__xludf.DUMMYFUNCTION("GOOGLETRANSLATE(B8777,""en"",""ja"")"),"IV")</f>
        <v>IV</v>
      </c>
    </row>
    <row r="8643" spans="1:3" ht="18" customHeight="1" x14ac:dyDescent="0.3">
      <c r="A8643" s="1">
        <v>2</v>
      </c>
      <c r="B8643" s="1" t="s">
        <v>6998</v>
      </c>
      <c r="C8643" s="1" t="str">
        <f ca="1">IFERROR(__xludf.DUMMYFUNCTION("GOOGLETRANSLATE(B8778,""en"",""ja"")"),"かゆみ")</f>
        <v>かゆみ</v>
      </c>
    </row>
    <row r="8644" spans="1:3" ht="18" customHeight="1" x14ac:dyDescent="0.3">
      <c r="A8644" s="1">
        <v>2</v>
      </c>
      <c r="B8644" s="1" t="s">
        <v>3459</v>
      </c>
      <c r="C8644" s="1" t="str">
        <f ca="1">IFERROR(__xludf.DUMMYFUNCTION("GOOGLETRANSLATE(B8779,""en"",""ja"")"),"隔離")</f>
        <v>隔離</v>
      </c>
    </row>
    <row r="8645" spans="1:3" ht="18" customHeight="1" x14ac:dyDescent="0.3">
      <c r="A8645" s="1">
        <v>2</v>
      </c>
      <c r="B8645" s="1" t="s">
        <v>6999</v>
      </c>
      <c r="C8645" s="1" t="str">
        <f ca="1">IFERROR(__xludf.DUMMYFUNCTION("GOOGLETRANSLATE(B8780,""en"",""ja"")"),"分離株")</f>
        <v>分離株</v>
      </c>
    </row>
    <row r="8646" spans="1:3" ht="18" customHeight="1" x14ac:dyDescent="0.3">
      <c r="A8646" s="1">
        <v>2</v>
      </c>
      <c r="B8646" s="1" t="s">
        <v>2664</v>
      </c>
      <c r="C8646" s="1" t="str">
        <f ca="1">IFERROR(__xludf.DUMMYFUNCTION("GOOGLETRANSLATE(B8781,""en"",""ja"")"),"島")</f>
        <v>島</v>
      </c>
    </row>
    <row r="8647" spans="1:3" ht="18" customHeight="1" x14ac:dyDescent="0.3">
      <c r="A8647" s="1">
        <v>2</v>
      </c>
      <c r="B8647" s="1" t="s">
        <v>7000</v>
      </c>
      <c r="C8647" s="1" t="str">
        <f ca="1">IFERROR(__xludf.DUMMYFUNCTION("GOOGLETRANSLATE(B8782,""en"",""ja"")"),"islams")</f>
        <v>islams</v>
      </c>
    </row>
    <row r="8648" spans="1:3" ht="18" customHeight="1" x14ac:dyDescent="0.3">
      <c r="A8648" s="1">
        <v>2</v>
      </c>
      <c r="B8648" s="1" t="s">
        <v>7001</v>
      </c>
      <c r="C8648" s="1" t="str">
        <f ca="1">IFERROR(__xludf.DUMMYFUNCTION("GOOGLETRANSLATE(B8783,""en"",""ja"")"),"苛立ち")</f>
        <v>苛立ち</v>
      </c>
    </row>
    <row r="8649" spans="1:3" ht="18" customHeight="1" x14ac:dyDescent="0.3">
      <c r="A8649" s="1">
        <v>2</v>
      </c>
      <c r="B8649" s="1" t="s">
        <v>5894</v>
      </c>
      <c r="C8649" s="1" t="str">
        <f ca="1">IFERROR(__xludf.DUMMYFUNCTION("GOOGLETRANSLATE(B8784,""en"",""ja"")"),"刺激")</f>
        <v>刺激</v>
      </c>
    </row>
    <row r="8650" spans="1:3" ht="18" customHeight="1" x14ac:dyDescent="0.3">
      <c r="A8650" s="1">
        <v>2</v>
      </c>
      <c r="B8650" s="1" t="s">
        <v>7002</v>
      </c>
      <c r="C8650" s="1" t="str">
        <f ca="1">IFERROR(__xludf.DUMMYFUNCTION("GOOGLETRANSLATE(B8785,""en"",""ja"")"),"灌漑")</f>
        <v>灌漑</v>
      </c>
    </row>
    <row r="8651" spans="1:3" ht="18" customHeight="1" x14ac:dyDescent="0.3">
      <c r="A8651" s="1">
        <v>2</v>
      </c>
      <c r="B8651" s="1" t="s">
        <v>3992</v>
      </c>
      <c r="C8651" s="1" t="str">
        <f ca="1">IFERROR(__xludf.DUMMYFUNCTION("GOOGLETRANSLATE(B8786,""en"",""ja"")"),"無関係")</f>
        <v>無関係</v>
      </c>
    </row>
    <row r="8652" spans="1:3" ht="18" customHeight="1" x14ac:dyDescent="0.3">
      <c r="A8652" s="1">
        <v>2</v>
      </c>
      <c r="B8652" s="1" t="s">
        <v>7003</v>
      </c>
      <c r="C8652" s="1" t="str">
        <f ca="1">IFERROR(__xludf.DUMMYFUNCTION("GOOGLETRANSLATE(B8787,""en"",""ja"")"),"irrationalities")</f>
        <v>irrationalities</v>
      </c>
    </row>
    <row r="8653" spans="1:3" ht="18" customHeight="1" x14ac:dyDescent="0.3">
      <c r="A8653" s="1">
        <v>2</v>
      </c>
      <c r="B8653" s="1" t="s">
        <v>3993</v>
      </c>
      <c r="C8653" s="1" t="str">
        <f ca="1">IFERROR(__xludf.DUMMYFUNCTION("GOOGLETRANSLATE(B8788,""en"",""ja"")"),"皮肉に")</f>
        <v>皮肉に</v>
      </c>
    </row>
    <row r="8654" spans="1:3" ht="18" customHeight="1" x14ac:dyDescent="0.3">
      <c r="A8654" s="1">
        <v>2</v>
      </c>
      <c r="B8654" s="1" t="s">
        <v>7004</v>
      </c>
      <c r="C8654" s="1" t="str">
        <f ca="1">IFERROR(__xludf.DUMMYFUNCTION("GOOGLETRANSLATE(B8789,""en"",""ja"")"),"目に見えません")</f>
        <v>目に見えません</v>
      </c>
    </row>
    <row r="8655" spans="1:3" ht="18" customHeight="1" x14ac:dyDescent="0.3">
      <c r="A8655" s="1">
        <v>2</v>
      </c>
      <c r="B8655" s="1" t="s">
        <v>7005</v>
      </c>
      <c r="C8655" s="1" t="str">
        <f ca="1">IFERROR(__xludf.DUMMYFUNCTION("GOOGLETRANSLATE(B8790,""en"",""ja"")"),"インビジブル")</f>
        <v>インビジブル</v>
      </c>
    </row>
    <row r="8656" spans="1:3" ht="18" customHeight="1" x14ac:dyDescent="0.3">
      <c r="A8656" s="1">
        <v>2</v>
      </c>
      <c r="B8656" s="1" t="s">
        <v>7006</v>
      </c>
      <c r="C8656" s="1" t="str">
        <f ca="1">IFERROR(__xludf.DUMMYFUNCTION("GOOGLETRANSLATE(B8791,""en"",""ja"")"),"活気づける")</f>
        <v>活気づける</v>
      </c>
    </row>
    <row r="8657" spans="1:3" ht="18" customHeight="1" x14ac:dyDescent="0.3">
      <c r="A8657" s="1">
        <v>2</v>
      </c>
      <c r="B8657" s="1" t="s">
        <v>7007</v>
      </c>
      <c r="C8657" s="1" t="str">
        <f ca="1">IFERROR(__xludf.DUMMYFUNCTION("GOOGLETRANSLATE(B8792,""en"",""ja"")"),"投資")</f>
        <v>投資</v>
      </c>
    </row>
    <row r="8658" spans="1:3" ht="18" customHeight="1" x14ac:dyDescent="0.3">
      <c r="A8658" s="1">
        <v>2</v>
      </c>
      <c r="B8658" s="1" t="s">
        <v>5898</v>
      </c>
      <c r="C8658" s="1" t="str">
        <f ca="1">IFERROR(__xludf.DUMMYFUNCTION("GOOGLETRANSLATE(B8793,""en"",""ja"")"),"求道者")</f>
        <v>求道者</v>
      </c>
    </row>
    <row r="8659" spans="1:3" ht="18" customHeight="1" x14ac:dyDescent="0.3">
      <c r="A8659" s="1">
        <v>2</v>
      </c>
      <c r="B8659" s="1" t="s">
        <v>7008</v>
      </c>
      <c r="C8659" s="1" t="str">
        <f ca="1">IFERROR(__xludf.DUMMYFUNCTION("GOOGLETRANSLATE(B8794,""en"",""ja"")"),"調査")</f>
        <v>調査</v>
      </c>
    </row>
    <row r="8660" spans="1:3" ht="18" customHeight="1" x14ac:dyDescent="0.3">
      <c r="A8660" s="1">
        <v>2</v>
      </c>
      <c r="B8660" s="1" t="s">
        <v>7009</v>
      </c>
      <c r="C8660" s="1" t="str">
        <f ca="1">IFERROR(__xludf.DUMMYFUNCTION("GOOGLETRANSLATE(B8795,""en"",""ja"")"),"調査")</f>
        <v>調査</v>
      </c>
    </row>
    <row r="8661" spans="1:3" ht="18" customHeight="1" x14ac:dyDescent="0.3">
      <c r="A8661" s="1">
        <v>2</v>
      </c>
      <c r="B8661" s="1" t="s">
        <v>7010</v>
      </c>
      <c r="C8661" s="1" t="str">
        <f ca="1">IFERROR(__xludf.DUMMYFUNCTION("GOOGLETRANSLATE(B8796,""en"",""ja"")"),"侵入")</f>
        <v>侵入</v>
      </c>
    </row>
    <row r="8662" spans="1:3" ht="18" customHeight="1" x14ac:dyDescent="0.3">
      <c r="A8662" s="1">
        <v>2</v>
      </c>
      <c r="B8662" s="1" t="s">
        <v>3997</v>
      </c>
      <c r="C8662" s="1" t="str">
        <f ca="1">IFERROR(__xludf.DUMMYFUNCTION("GOOGLETRANSLATE(B8797,""en"",""ja"")"),"内在的")</f>
        <v>内在的</v>
      </c>
    </row>
    <row r="8663" spans="1:3" ht="18" customHeight="1" x14ac:dyDescent="0.3">
      <c r="A8663" s="1">
        <v>2</v>
      </c>
      <c r="B8663" s="1" t="s">
        <v>7011</v>
      </c>
      <c r="C8663" s="1" t="str">
        <f ca="1">IFERROR(__xludf.DUMMYFUNCTION("GOOGLETRANSLATE(B8798,""en"",""ja"")"),"偏狭")</f>
        <v>偏狭</v>
      </c>
    </row>
    <row r="8664" spans="1:3" ht="18" customHeight="1" x14ac:dyDescent="0.3">
      <c r="A8664" s="1">
        <v>2</v>
      </c>
      <c r="B8664" s="1" t="s">
        <v>7012</v>
      </c>
      <c r="C8664" s="1" t="str">
        <f ca="1">IFERROR(__xludf.DUMMYFUNCTION("GOOGLETRANSLATE(B8799,""en"",""ja"")"),"耐え難いです")</f>
        <v>耐え難いです</v>
      </c>
    </row>
    <row r="8665" spans="1:3" ht="18" customHeight="1" x14ac:dyDescent="0.3">
      <c r="A8665" s="1">
        <v>2</v>
      </c>
      <c r="B8665" s="1" t="s">
        <v>5911</v>
      </c>
      <c r="C8665" s="1" t="str">
        <f ca="1">IFERROR(__xludf.DUMMYFUNCTION("GOOGLETRANSLATE(B8800,""en"",""ja"")"),"相互")</f>
        <v>相互</v>
      </c>
    </row>
    <row r="8666" spans="1:3" ht="18" customHeight="1" x14ac:dyDescent="0.3">
      <c r="A8666" s="1">
        <v>2</v>
      </c>
      <c r="B8666" s="1" t="s">
        <v>7013</v>
      </c>
      <c r="C8666" s="1" t="str">
        <f ca="1">IFERROR(__xludf.DUMMYFUNCTION("GOOGLETRANSLATE(B8801,""en"",""ja"")"),"相互接続")</f>
        <v>相互接続</v>
      </c>
    </row>
    <row r="8667" spans="1:3" ht="18" customHeight="1" x14ac:dyDescent="0.3">
      <c r="A8667" s="1">
        <v>2</v>
      </c>
      <c r="B8667" s="1" t="s">
        <v>7014</v>
      </c>
      <c r="C8667" s="1" t="str">
        <f ca="1">IFERROR(__xludf.DUMMYFUNCTION("GOOGLETRANSLATE(B8802,""en"",""ja"")"),"意図的に")</f>
        <v>意図的に</v>
      </c>
    </row>
    <row r="8668" spans="1:3" ht="18" customHeight="1" x14ac:dyDescent="0.3">
      <c r="A8668" s="1">
        <v>2</v>
      </c>
      <c r="B8668" s="1" t="s">
        <v>7015</v>
      </c>
      <c r="C8668" s="1" t="str">
        <f ca="1">IFERROR(__xludf.DUMMYFUNCTION("GOOGLETRANSLATE(B8803,""en"",""ja"")"),"激化")</f>
        <v>激化</v>
      </c>
    </row>
    <row r="8669" spans="1:3" ht="18" customHeight="1" x14ac:dyDescent="0.3">
      <c r="A8669" s="1">
        <v>2</v>
      </c>
      <c r="B8669" s="1" t="s">
        <v>7016</v>
      </c>
      <c r="C8669" s="1" t="str">
        <f ca="1">IFERROR(__xludf.DUMMYFUNCTION("GOOGLETRANSLATE(B8804,""en"",""ja"")"),"予定の")</f>
        <v>予定の</v>
      </c>
    </row>
    <row r="8670" spans="1:3" ht="18" customHeight="1" x14ac:dyDescent="0.3">
      <c r="A8670" s="1">
        <v>2</v>
      </c>
      <c r="B8670" s="1" t="s">
        <v>1551</v>
      </c>
      <c r="C8670" s="1" t="str">
        <f ca="1">IFERROR(__xludf.DUMMYFUNCTION("GOOGLETRANSLATE(B8805,""en"",""ja"")"),"統合")</f>
        <v>統合</v>
      </c>
    </row>
    <row r="8671" spans="1:3" ht="18" customHeight="1" x14ac:dyDescent="0.3">
      <c r="A8671" s="1">
        <v>2</v>
      </c>
      <c r="B8671" s="1" t="s">
        <v>7017</v>
      </c>
      <c r="C8671" s="1" t="str">
        <f ca="1">IFERROR(__xludf.DUMMYFUNCTION("GOOGLETRANSLATE(B8806,""en"",""ja"")"),"侮辱")</f>
        <v>侮辱</v>
      </c>
    </row>
    <row r="8672" spans="1:3" ht="18" customHeight="1" x14ac:dyDescent="0.3">
      <c r="A8672" s="1">
        <v>2</v>
      </c>
      <c r="B8672" s="1" t="s">
        <v>7018</v>
      </c>
      <c r="C8672" s="1" t="str">
        <f ca="1">IFERROR(__xludf.DUMMYFUNCTION("GOOGLETRANSLATE(B8807,""en"",""ja"")"),"指示し")</f>
        <v>指示し</v>
      </c>
    </row>
    <row r="8673" spans="1:3" ht="18" customHeight="1" x14ac:dyDescent="0.3">
      <c r="A8673" s="1">
        <v>2</v>
      </c>
      <c r="B8673" s="1" t="s">
        <v>7019</v>
      </c>
      <c r="C8673" s="1" t="str">
        <f ca="1">IFERROR(__xludf.DUMMYFUNCTION("GOOGLETRANSLATE(B8808,""en"",""ja"")"),"瞬時に")</f>
        <v>瞬時に</v>
      </c>
    </row>
    <row r="8674" spans="1:3" ht="18" customHeight="1" x14ac:dyDescent="0.3">
      <c r="A8674" s="1">
        <v>2</v>
      </c>
      <c r="B8674" s="1" t="s">
        <v>2996</v>
      </c>
      <c r="C8674" s="1" t="str">
        <f ca="1">IFERROR(__xludf.DUMMYFUNCTION("GOOGLETRANSLATE(B8809,""en"",""ja"")"),"インスタント")</f>
        <v>インスタント</v>
      </c>
    </row>
    <row r="8675" spans="1:3" ht="18" customHeight="1" x14ac:dyDescent="0.3">
      <c r="A8675" s="1">
        <v>2</v>
      </c>
      <c r="B8675" s="1" t="s">
        <v>2669</v>
      </c>
      <c r="C8675" s="1" t="str">
        <f ca="1">IFERROR(__xludf.DUMMYFUNCTION("GOOGLETRANSLATE(B8810,""en"",""ja"")"),"INSPIRE")</f>
        <v>INSPIRE</v>
      </c>
    </row>
    <row r="8676" spans="1:3" ht="18" customHeight="1" x14ac:dyDescent="0.3">
      <c r="A8676" s="1">
        <v>2</v>
      </c>
      <c r="B8676" s="1" t="s">
        <v>7020</v>
      </c>
      <c r="C8676" s="1" t="str">
        <f ca="1">IFERROR(__xludf.DUMMYFUNCTION("GOOGLETRANSLATE(B8811,""en"",""ja"")"),"霊感")</f>
        <v>霊感</v>
      </c>
    </row>
    <row r="8677" spans="1:3" ht="18" customHeight="1" x14ac:dyDescent="0.3">
      <c r="A8677" s="1">
        <v>2</v>
      </c>
      <c r="B8677" s="1" t="s">
        <v>4717</v>
      </c>
      <c r="C8677" s="1" t="str">
        <f ca="1">IFERROR(__xludf.DUMMYFUNCTION("GOOGLETRANSLATE(B8812,""en"",""ja"")"),"言い張ります")</f>
        <v>言い張ります</v>
      </c>
    </row>
    <row r="8678" spans="1:3" ht="18" customHeight="1" x14ac:dyDescent="0.3">
      <c r="A8678" s="1">
        <v>2</v>
      </c>
      <c r="B8678" s="1" t="s">
        <v>7021</v>
      </c>
      <c r="C8678" s="1" t="str">
        <f ca="1">IFERROR(__xludf.DUMMYFUNCTION("GOOGLETRANSLATE(B8813,""en"",""ja"")"),"殺虫剤")</f>
        <v>殺虫剤</v>
      </c>
    </row>
    <row r="8679" spans="1:3" ht="18" customHeight="1" x14ac:dyDescent="0.3">
      <c r="A8679" s="1">
        <v>2</v>
      </c>
      <c r="B8679" s="1" t="s">
        <v>7022</v>
      </c>
      <c r="C8679" s="1" t="str">
        <f ca="1">IFERROR(__xludf.DUMMYFUNCTION("GOOGLETRANSLATE(B8814,""en"",""ja"")"),"昆虫")</f>
        <v>昆虫</v>
      </c>
    </row>
    <row r="8680" spans="1:3" ht="18" customHeight="1" x14ac:dyDescent="0.3">
      <c r="A8680" s="1">
        <v>2</v>
      </c>
      <c r="B8680" s="1" t="s">
        <v>7023</v>
      </c>
      <c r="C8680" s="1" t="str">
        <f ca="1">IFERROR(__xludf.DUMMYFUNCTION("GOOGLETRANSLATE(B8815,""en"",""ja"")"),"法外な")</f>
        <v>法外な</v>
      </c>
    </row>
    <row r="8681" spans="1:3" ht="18" customHeight="1" x14ac:dyDescent="0.3">
      <c r="A8681" s="1">
        <v>2</v>
      </c>
      <c r="B8681" s="1" t="s">
        <v>7024</v>
      </c>
      <c r="C8681" s="1" t="str">
        <f ca="1">IFERROR(__xludf.DUMMYFUNCTION("GOOGLETRANSLATE(B8816,""en"",""ja"")"),"数々")</f>
        <v>数々</v>
      </c>
    </row>
    <row r="8682" spans="1:3" ht="18" customHeight="1" x14ac:dyDescent="0.3">
      <c r="A8682" s="1">
        <v>2</v>
      </c>
      <c r="B8682" s="1" t="s">
        <v>5933</v>
      </c>
      <c r="C8682" s="1" t="str">
        <f ca="1">IFERROR(__xludf.DUMMYFUNCTION("GOOGLETRANSLATE(B8817,""en"",""ja"")"),"イノベーター")</f>
        <v>イノベーター</v>
      </c>
    </row>
    <row r="8683" spans="1:3" ht="18" customHeight="1" x14ac:dyDescent="0.3">
      <c r="A8683" s="1">
        <v>2</v>
      </c>
      <c r="B8683" s="1" t="s">
        <v>2671</v>
      </c>
      <c r="C8683" s="1" t="str">
        <f ca="1">IFERROR(__xludf.DUMMYFUNCTION("GOOGLETRANSLATE(B8818,""en"",""ja"")"),"先天的")</f>
        <v>先天的</v>
      </c>
    </row>
    <row r="8684" spans="1:3" ht="18" customHeight="1" x14ac:dyDescent="0.3">
      <c r="A8684" s="1">
        <v>2</v>
      </c>
      <c r="B8684" s="1" t="s">
        <v>3470</v>
      </c>
      <c r="C8684" s="1" t="str">
        <f ca="1">IFERROR(__xludf.DUMMYFUNCTION("GOOGLETRANSLATE(B8819,""en"",""ja"")"),"差止命令")</f>
        <v>差止命令</v>
      </c>
    </row>
    <row r="8685" spans="1:3" ht="18" customHeight="1" x14ac:dyDescent="0.3">
      <c r="A8685" s="1">
        <v>2</v>
      </c>
      <c r="B8685" s="1" t="s">
        <v>7025</v>
      </c>
      <c r="C8685" s="1" t="str">
        <f ca="1">IFERROR(__xludf.DUMMYFUNCTION("GOOGLETRANSLATE(B8820,""en"",""ja"")"),"始めます")</f>
        <v>始めます</v>
      </c>
    </row>
    <row r="8686" spans="1:3" ht="18" customHeight="1" x14ac:dyDescent="0.3">
      <c r="A8686" s="1">
        <v>2</v>
      </c>
      <c r="B8686" s="1" t="s">
        <v>7026</v>
      </c>
      <c r="C8686" s="1" t="str">
        <f ca="1">IFERROR(__xludf.DUMMYFUNCTION("GOOGLETRANSLATE(B8821,""en"",""ja"")"),"不利")</f>
        <v>不利</v>
      </c>
    </row>
    <row r="8687" spans="1:3" ht="18" customHeight="1" x14ac:dyDescent="0.3">
      <c r="A8687" s="1">
        <v>2</v>
      </c>
      <c r="B8687" s="1" t="s">
        <v>2131</v>
      </c>
      <c r="C8687" s="1" t="str">
        <f ca="1">IFERROR(__xludf.DUMMYFUNCTION("GOOGLETRANSLATE(B8822,""en"",""ja"")"),"ING")</f>
        <v>ING</v>
      </c>
    </row>
    <row r="8688" spans="1:3" ht="18" customHeight="1" x14ac:dyDescent="0.3">
      <c r="A8688" s="1">
        <v>2</v>
      </c>
      <c r="B8688" s="1" t="s">
        <v>3475</v>
      </c>
      <c r="C8688" s="1" t="str">
        <f ca="1">IFERROR(__xludf.DUMMYFUNCTION("GOOGLETRANSLATE(B8823,""en"",""ja"")"),"無限に")</f>
        <v>無限に</v>
      </c>
    </row>
    <row r="8689" spans="1:3" ht="18" customHeight="1" x14ac:dyDescent="0.3">
      <c r="A8689" s="1">
        <v>2</v>
      </c>
      <c r="B8689" s="1" t="s">
        <v>7027</v>
      </c>
      <c r="C8689" s="1" t="str">
        <f ca="1">IFERROR(__xludf.DUMMYFUNCTION("GOOGLETRANSLATE(B8824,""en"",""ja"")"),"感染")</f>
        <v>感染</v>
      </c>
    </row>
    <row r="8690" spans="1:3" ht="18" customHeight="1" x14ac:dyDescent="0.3">
      <c r="A8690" s="1">
        <v>2</v>
      </c>
      <c r="B8690" s="1" t="s">
        <v>7028</v>
      </c>
      <c r="C8690" s="1" t="str">
        <f ca="1">IFERROR(__xludf.DUMMYFUNCTION("GOOGLETRANSLATE(B8825,""en"",""ja"")"),"実行不可能")</f>
        <v>実行不可能</v>
      </c>
    </row>
    <row r="8691" spans="1:3" ht="18" customHeight="1" x14ac:dyDescent="0.3">
      <c r="A8691" s="1">
        <v>2</v>
      </c>
      <c r="B8691" s="1" t="s">
        <v>2386</v>
      </c>
      <c r="C8691" s="1" t="str">
        <f ca="1">IFERROR(__xludf.DUMMYFUNCTION("GOOGLETRANSLATE(B8826,""en"",""ja"")"),"ふけます")</f>
        <v>ふけます</v>
      </c>
    </row>
    <row r="8692" spans="1:3" ht="18" customHeight="1" x14ac:dyDescent="0.3">
      <c r="A8692" s="1">
        <v>2</v>
      </c>
      <c r="B8692" s="1" t="s">
        <v>7029</v>
      </c>
      <c r="C8692" s="1" t="str">
        <f ca="1">IFERROR(__xludf.DUMMYFUNCTION("GOOGLETRANSLATE(B8827,""en"",""ja"")"),"誘導")</f>
        <v>誘導</v>
      </c>
    </row>
    <row r="8693" spans="1:3" ht="18" customHeight="1" x14ac:dyDescent="0.3">
      <c r="A8693" s="1">
        <v>2</v>
      </c>
      <c r="B8693" s="1" t="s">
        <v>7030</v>
      </c>
      <c r="C8693" s="1" t="str">
        <f ca="1">IFERROR(__xludf.DUMMYFUNCTION("GOOGLETRANSLATE(B8828,""en"",""ja"")"),"不可分")</f>
        <v>不可分</v>
      </c>
    </row>
    <row r="8694" spans="1:3" ht="18" customHeight="1" x14ac:dyDescent="0.3">
      <c r="A8694" s="1">
        <v>2</v>
      </c>
      <c r="B8694" s="1" t="s">
        <v>7031</v>
      </c>
      <c r="C8694" s="1" t="str">
        <f ca="1">IFERROR(__xludf.DUMMYFUNCTION("GOOGLETRANSLATE(B8829,""en"",""ja"")"),"個性")</f>
        <v>個性</v>
      </c>
    </row>
    <row r="8695" spans="1:3" ht="18" customHeight="1" x14ac:dyDescent="0.3">
      <c r="A8695" s="1">
        <v>2</v>
      </c>
      <c r="B8695" s="1" t="s">
        <v>5949</v>
      </c>
      <c r="C8695" s="1" t="str">
        <f ca="1">IFERROR(__xludf.DUMMYFUNCTION("GOOGLETRANSLATE(B8830,""en"",""ja"")"),"不可欠")</f>
        <v>不可欠</v>
      </c>
    </row>
    <row r="8696" spans="1:3" ht="18" customHeight="1" x14ac:dyDescent="0.3">
      <c r="A8696" s="1">
        <v>2</v>
      </c>
      <c r="B8696" s="1" t="s">
        <v>4008</v>
      </c>
      <c r="C8696" s="1" t="str">
        <f ca="1">IFERROR(__xludf.DUMMYFUNCTION("GOOGLETRANSLATE(B8831,""en"",""ja"")"),"間接の")</f>
        <v>間接の</v>
      </c>
    </row>
    <row r="8697" spans="1:3" ht="18" customHeight="1" x14ac:dyDescent="0.3">
      <c r="A8697" s="1">
        <v>2</v>
      </c>
      <c r="B8697" s="1" t="s">
        <v>7032</v>
      </c>
      <c r="C8697" s="1" t="str">
        <f ca="1">IFERROR(__xludf.DUMMYFUNCTION("GOOGLETRANSLATE(B8832,""en"",""ja"")"),"指数")</f>
        <v>指数</v>
      </c>
    </row>
    <row r="8698" spans="1:3" ht="18" customHeight="1" x14ac:dyDescent="0.3">
      <c r="A8698" s="1">
        <v>2</v>
      </c>
      <c r="B8698" s="1" t="s">
        <v>2678</v>
      </c>
      <c r="C8698" s="1" t="str">
        <f ca="1">IFERROR(__xludf.DUMMYFUNCTION("GOOGLETRANSLATE(B8833,""en"",""ja"")"),"独立")</f>
        <v>独立</v>
      </c>
    </row>
    <row r="8699" spans="1:3" ht="18" customHeight="1" x14ac:dyDescent="0.3">
      <c r="A8699" s="1">
        <v>2</v>
      </c>
      <c r="B8699" s="1" t="s">
        <v>4738</v>
      </c>
      <c r="C8699" s="1" t="str">
        <f ca="1">IFERROR(__xludf.DUMMYFUNCTION("GOOGLETRANSLATE(B8834,""en"",""ja"")"),"無期限")</f>
        <v>無期限</v>
      </c>
    </row>
    <row r="8700" spans="1:3" ht="18" customHeight="1" x14ac:dyDescent="0.3">
      <c r="A8700" s="1">
        <v>2</v>
      </c>
      <c r="B8700" s="1" t="s">
        <v>7033</v>
      </c>
      <c r="C8700" s="1" t="str">
        <f ca="1">IFERROR(__xludf.DUMMYFUNCTION("GOOGLETRANSLATE(B8835,""en"",""ja"")"),"信じられません")</f>
        <v>信じられません</v>
      </c>
    </row>
    <row r="8701" spans="1:3" ht="18" customHeight="1" x14ac:dyDescent="0.3">
      <c r="A8701" s="1">
        <v>2</v>
      </c>
      <c r="B8701" s="1" t="s">
        <v>7034</v>
      </c>
      <c r="C8701" s="1" t="str">
        <f ca="1">IFERROR(__xludf.DUMMYFUNCTION("GOOGLETRANSLATE(B8836,""en"",""ja"")"),"対照的に")</f>
        <v>対照的に</v>
      </c>
    </row>
    <row r="8702" spans="1:3" ht="18" customHeight="1" x14ac:dyDescent="0.3">
      <c r="A8702" s="1">
        <v>2</v>
      </c>
      <c r="B8702" s="1" t="s">
        <v>7035</v>
      </c>
      <c r="C8702" s="1" t="str">
        <f ca="1">IFERROR(__xludf.DUMMYFUNCTION("GOOGLETRANSLATE(B8837,""en"",""ja"")"),"矛盾")</f>
        <v>矛盾</v>
      </c>
    </row>
    <row r="8703" spans="1:3" ht="18" customHeight="1" x14ac:dyDescent="0.3">
      <c r="A8703" s="1">
        <v>2</v>
      </c>
      <c r="B8703" s="1" t="s">
        <v>7036</v>
      </c>
      <c r="C8703" s="1" t="str">
        <f ca="1">IFERROR(__xludf.DUMMYFUNCTION("GOOGLETRANSLATE(B8838,""en"",""ja"")"),"考えられません")</f>
        <v>考えられません</v>
      </c>
    </row>
    <row r="8704" spans="1:3" ht="18" customHeight="1" x14ac:dyDescent="0.3">
      <c r="A8704" s="1">
        <v>2</v>
      </c>
      <c r="B8704" s="1" t="s">
        <v>3006</v>
      </c>
      <c r="C8704" s="1" t="str">
        <f ca="1">IFERROR(__xludf.DUMMYFUNCTION("GOOGLETRANSLATE(B8839,""en"",""ja"")"),"不完全な")</f>
        <v>不完全な</v>
      </c>
    </row>
    <row r="8705" spans="1:3" ht="18" customHeight="1" x14ac:dyDescent="0.3">
      <c r="A8705" s="1">
        <v>2</v>
      </c>
      <c r="B8705" s="1" t="s">
        <v>1068</v>
      </c>
      <c r="C8705" s="1" t="str">
        <f ca="1">IFERROR(__xludf.DUMMYFUNCTION("GOOGLETRANSLATE(B8840,""en"",""ja"")"),"含めます")</f>
        <v>含めます</v>
      </c>
    </row>
    <row r="8706" spans="1:3" ht="18" customHeight="1" x14ac:dyDescent="0.3">
      <c r="A8706" s="1">
        <v>2</v>
      </c>
      <c r="B8706" s="1" t="s">
        <v>7037</v>
      </c>
      <c r="C8706" s="1" t="str">
        <f ca="1">IFERROR(__xludf.DUMMYFUNCTION("GOOGLETRANSLATE(B8841,""en"",""ja"")"),"数え切れません")</f>
        <v>数え切れません</v>
      </c>
    </row>
    <row r="8707" spans="1:3" ht="18" customHeight="1" x14ac:dyDescent="0.3">
      <c r="A8707" s="1">
        <v>2</v>
      </c>
      <c r="B8707" s="1" t="s">
        <v>2680</v>
      </c>
      <c r="C8707" s="1" t="str">
        <f ca="1">IFERROR(__xludf.DUMMYFUNCTION("GOOGLETRANSLATE(B8842,""en"",""ja"")"),"就任させます")</f>
        <v>就任させます</v>
      </c>
    </row>
    <row r="8708" spans="1:3" ht="18" customHeight="1" x14ac:dyDescent="0.3">
      <c r="A8708" s="1">
        <v>2</v>
      </c>
      <c r="B8708" s="1" t="s">
        <v>7038</v>
      </c>
      <c r="C8708" s="1" t="str">
        <f ca="1">IFERROR(__xludf.DUMMYFUNCTION("GOOGLETRANSLATE(B8843,""en"",""ja"")"),"うっかり")</f>
        <v>うっかり</v>
      </c>
    </row>
    <row r="8709" spans="1:3" ht="18" customHeight="1" x14ac:dyDescent="0.3">
      <c r="A8709" s="1">
        <v>2</v>
      </c>
      <c r="B8709" s="1" t="s">
        <v>2136</v>
      </c>
      <c r="C8709" s="1" t="str">
        <f ca="1">IFERROR(__xludf.DUMMYFUNCTION("GOOGLETRANSLATE(B8844,""en"",""ja"")"),"不備")</f>
        <v>不備</v>
      </c>
    </row>
    <row r="8710" spans="1:3" ht="18" customHeight="1" x14ac:dyDescent="0.3">
      <c r="A8710" s="1">
        <v>2</v>
      </c>
      <c r="B8710" s="1" t="s">
        <v>7039</v>
      </c>
      <c r="C8710" s="1" t="str">
        <f ca="1">IFERROR(__xludf.DUMMYFUNCTION("GOOGLETRANSLATE(B8845,""en"",""ja"")"),"即興")</f>
        <v>即興</v>
      </c>
    </row>
    <row r="8711" spans="1:3" ht="18" customHeight="1" x14ac:dyDescent="0.3">
      <c r="A8711" s="1">
        <v>2</v>
      </c>
      <c r="B8711" s="1" t="s">
        <v>7040</v>
      </c>
      <c r="C8711" s="1" t="str">
        <f ca="1">IFERROR(__xludf.DUMMYFUNCTION("GOOGLETRANSLATE(B8846,""en"",""ja"")"),"貧しくします")</f>
        <v>貧しくします</v>
      </c>
    </row>
    <row r="8712" spans="1:3" ht="18" customHeight="1" x14ac:dyDescent="0.3">
      <c r="A8712" s="1">
        <v>2</v>
      </c>
      <c r="B8712" s="1" t="s">
        <v>3482</v>
      </c>
      <c r="C8712" s="1" t="str">
        <f ca="1">IFERROR(__xludf.DUMMYFUNCTION("GOOGLETRANSLATE(B8847,""en"",""ja"")"),"インポの")</f>
        <v>インポの</v>
      </c>
    </row>
    <row r="8713" spans="1:3" ht="18" customHeight="1" x14ac:dyDescent="0.3">
      <c r="A8713" s="1">
        <v>2</v>
      </c>
      <c r="B8713" s="1" t="s">
        <v>7041</v>
      </c>
      <c r="C8713" s="1" t="str">
        <f ca="1">IFERROR(__xludf.DUMMYFUNCTION("GOOGLETRANSLATE(B8848,""en"",""ja"")"),"信じられません")</f>
        <v>信じられません</v>
      </c>
    </row>
    <row r="8714" spans="1:3" ht="18" customHeight="1" x14ac:dyDescent="0.3">
      <c r="A8714" s="1">
        <v>2</v>
      </c>
      <c r="B8714" s="1" t="s">
        <v>7042</v>
      </c>
      <c r="C8714" s="1" t="str">
        <f ca="1">IFERROR(__xludf.DUMMYFUNCTION("GOOGLETRANSLATE(B8849,""en"",""ja"")"),"注入")</f>
        <v>注入</v>
      </c>
    </row>
    <row r="8715" spans="1:3" ht="18" customHeight="1" x14ac:dyDescent="0.3">
      <c r="A8715" s="1">
        <v>2</v>
      </c>
      <c r="B8715" s="1" t="s">
        <v>7043</v>
      </c>
      <c r="C8715" s="1" t="str">
        <f ca="1">IFERROR(__xludf.DUMMYFUNCTION("GOOGLETRANSLATE(B8850,""en"",""ja"")"),"移植されました")</f>
        <v>移植されました</v>
      </c>
    </row>
    <row r="8716" spans="1:3" ht="18" customHeight="1" x14ac:dyDescent="0.3">
      <c r="A8716" s="1">
        <v>2</v>
      </c>
      <c r="B8716" s="1" t="s">
        <v>7044</v>
      </c>
      <c r="C8716" s="1" t="str">
        <f ca="1">IFERROR(__xludf.DUMMYFUNCTION("GOOGLETRANSLATE(B8851,""en"",""ja"")"),"インプラント")</f>
        <v>インプラント</v>
      </c>
    </row>
    <row r="8717" spans="1:3" ht="18" customHeight="1" x14ac:dyDescent="0.3">
      <c r="A8717" s="1">
        <v>2</v>
      </c>
      <c r="B8717" s="1" t="s">
        <v>7045</v>
      </c>
      <c r="C8717" s="1" t="str">
        <f ca="1">IFERROR(__xludf.DUMMYFUNCTION("GOOGLETRANSLATE(B8852,""en"",""ja"")"),"不完全")</f>
        <v>不完全</v>
      </c>
    </row>
    <row r="8718" spans="1:3" ht="18" customHeight="1" x14ac:dyDescent="0.3">
      <c r="A8718" s="1">
        <v>2</v>
      </c>
      <c r="B8718" s="1" t="s">
        <v>3484</v>
      </c>
      <c r="C8718" s="1" t="str">
        <f ca="1">IFERROR(__xludf.DUMMYFUNCTION("GOOGLETRANSLATE(B8853,""en"",""ja"")"),"公平")</f>
        <v>公平</v>
      </c>
    </row>
    <row r="8719" spans="1:3" ht="18" customHeight="1" x14ac:dyDescent="0.3">
      <c r="A8719" s="1">
        <v>2</v>
      </c>
      <c r="B8719" s="1" t="s">
        <v>7046</v>
      </c>
      <c r="C8719" s="1" t="str">
        <f ca="1">IFERROR(__xludf.DUMMYFUNCTION("GOOGLETRANSLATE(B8854,""en"",""ja"")"),"移住")</f>
        <v>移住</v>
      </c>
    </row>
    <row r="8720" spans="1:3" ht="18" customHeight="1" x14ac:dyDescent="0.3">
      <c r="A8720" s="1">
        <v>2</v>
      </c>
      <c r="B8720" s="1" t="s">
        <v>7047</v>
      </c>
      <c r="C8720" s="1" t="str">
        <f ca="1">IFERROR(__xludf.DUMMYFUNCTION("GOOGLETRANSLATE(B8855,""en"",""ja"")"),"模倣")</f>
        <v>模倣</v>
      </c>
    </row>
    <row r="8721" spans="1:3" ht="18" customHeight="1" x14ac:dyDescent="0.3">
      <c r="A8721" s="1">
        <v>2</v>
      </c>
      <c r="B8721" s="1" t="s">
        <v>3485</v>
      </c>
      <c r="C8721" s="1" t="str">
        <f ca="1">IFERROR(__xludf.DUMMYFUNCTION("GOOGLETRANSLATE(B8856,""en"",""ja"")"),"模倣")</f>
        <v>模倣</v>
      </c>
    </row>
    <row r="8722" spans="1:3" ht="18" customHeight="1" x14ac:dyDescent="0.3">
      <c r="A8722" s="1">
        <v>2</v>
      </c>
      <c r="B8722" s="1" t="s">
        <v>1125</v>
      </c>
      <c r="C8722" s="1" t="str">
        <f ca="1">IFERROR(__xludf.DUMMYFUNCTION("GOOGLETRANSLATE(B8857,""en"",""ja"")"),"説明")</f>
        <v>説明</v>
      </c>
    </row>
    <row r="8723" spans="1:3" ht="18" customHeight="1" x14ac:dyDescent="0.3">
      <c r="A8723" s="1">
        <v>2</v>
      </c>
      <c r="B8723" s="1" t="s">
        <v>7048</v>
      </c>
      <c r="C8723" s="1" t="str">
        <f ca="1">IFERROR(__xludf.DUMMYFUNCTION("GOOGLETRANSLATE(B8858,""en"",""ja"")"),"幻想")</f>
        <v>幻想</v>
      </c>
    </row>
    <row r="8724" spans="1:3" ht="18" customHeight="1" x14ac:dyDescent="0.3">
      <c r="A8724" s="1">
        <v>2</v>
      </c>
      <c r="B8724" s="1" t="s">
        <v>7049</v>
      </c>
      <c r="C8724" s="1" t="str">
        <f ca="1">IFERROR(__xludf.DUMMYFUNCTION("GOOGLETRANSLATE(B8859,""en"",""ja"")"),"点灯")</f>
        <v>点灯</v>
      </c>
    </row>
    <row r="8725" spans="1:3" ht="18" customHeight="1" x14ac:dyDescent="0.3">
      <c r="A8725" s="1">
        <v>2</v>
      </c>
      <c r="B8725" s="1" t="s">
        <v>7050</v>
      </c>
      <c r="C8725" s="1" t="str">
        <f ca="1">IFERROR(__xludf.DUMMYFUNCTION("GOOGLETRANSLATE(B8860,""en"",""ja"")"),"病気")</f>
        <v>病気</v>
      </c>
    </row>
    <row r="8726" spans="1:3" ht="18" customHeight="1" x14ac:dyDescent="0.3">
      <c r="A8726" s="1">
        <v>2</v>
      </c>
      <c r="B8726" s="1" t="s">
        <v>4750</v>
      </c>
      <c r="C8726" s="1" t="str">
        <f ca="1">IFERROR(__xludf.DUMMYFUNCTION("GOOGLETRANSLATE(B8861,""en"",""ja"")"),"無知の")</f>
        <v>無知の</v>
      </c>
    </row>
    <row r="8727" spans="1:3" ht="18" customHeight="1" x14ac:dyDescent="0.3">
      <c r="A8727" s="1">
        <v>2</v>
      </c>
      <c r="B8727" s="1" t="s">
        <v>2685</v>
      </c>
      <c r="C8727" s="1" t="str">
        <f ca="1">IFERROR(__xludf.DUMMYFUNCTION("GOOGLETRANSLATE(B8862,""en"",""ja"")"),"無知")</f>
        <v>無知</v>
      </c>
    </row>
    <row r="8728" spans="1:3" ht="18" customHeight="1" x14ac:dyDescent="0.3">
      <c r="A8728" s="1">
        <v>2</v>
      </c>
      <c r="B8728" s="1" t="s">
        <v>7051</v>
      </c>
      <c r="C8728" s="1" t="str">
        <f ca="1">IFERROR(__xludf.DUMMYFUNCTION("GOOGLETRANSLATE(B8863,""en"",""ja"")"),"igno")</f>
        <v>igno</v>
      </c>
    </row>
    <row r="8729" spans="1:3" ht="18" customHeight="1" x14ac:dyDescent="0.3">
      <c r="A8729" s="1">
        <v>2</v>
      </c>
      <c r="B8729" s="1" t="s">
        <v>56</v>
      </c>
      <c r="C8729" s="1" t="str">
        <f ca="1">IFERROR(__xludf.DUMMYFUNCTION("GOOGLETRANSLATE(B8864,""en"",""ja"")"),"もし")</f>
        <v>もし</v>
      </c>
    </row>
    <row r="8730" spans="1:3" ht="18" customHeight="1" x14ac:dyDescent="0.3">
      <c r="A8730" s="1">
        <v>2</v>
      </c>
      <c r="B8730" s="1" t="s">
        <v>7052</v>
      </c>
      <c r="C8730" s="1" t="str">
        <f ca="1">IFERROR(__xludf.DUMMYFUNCTION("GOOGLETRANSLATE(B8865,""en"",""ja"")"),"イデオロギー")</f>
        <v>イデオロギー</v>
      </c>
    </row>
    <row r="8731" spans="1:3" ht="18" customHeight="1" x14ac:dyDescent="0.3">
      <c r="A8731" s="1">
        <v>2</v>
      </c>
      <c r="B8731" s="1" t="s">
        <v>3013</v>
      </c>
      <c r="C8731" s="1" t="str">
        <f ca="1">IFERROR(__xludf.DUMMYFUNCTION("GOOGLETRANSLATE(B8866,""en"",""ja"")"),"イデオロギー")</f>
        <v>イデオロギー</v>
      </c>
    </row>
    <row r="8732" spans="1:3" ht="18" customHeight="1" x14ac:dyDescent="0.3">
      <c r="A8732" s="1">
        <v>2</v>
      </c>
      <c r="B8732" s="1" t="s">
        <v>7053</v>
      </c>
      <c r="C8732" s="1" t="str">
        <f ca="1">IFERROR(__xludf.DUMMYFUNCTION("GOOGLETRANSLATE(B8867,""en"",""ja"")"),"ideologica")</f>
        <v>ideologica</v>
      </c>
    </row>
    <row r="8733" spans="1:3" ht="18" customHeight="1" x14ac:dyDescent="0.3">
      <c r="A8733" s="1">
        <v>2</v>
      </c>
      <c r="B8733" s="1" t="s">
        <v>1950</v>
      </c>
      <c r="C8733" s="1" t="str">
        <f ca="1">IFERROR(__xludf.DUMMYFUNCTION("GOOGLETRANSLATE(B8868,""en"",""ja"")"),"ハクスリー")</f>
        <v>ハクスリー</v>
      </c>
    </row>
    <row r="8734" spans="1:3" ht="18" customHeight="1" x14ac:dyDescent="0.3">
      <c r="A8734" s="1">
        <v>2</v>
      </c>
      <c r="B8734" s="1" t="s">
        <v>7054</v>
      </c>
      <c r="C8734" s="1" t="str">
        <f ca="1">IFERROR(__xludf.DUMMYFUNCTION("GOOGLETRANSLATE(B8869,""en"",""ja"")"),"湿度")</f>
        <v>湿度</v>
      </c>
    </row>
    <row r="8735" spans="1:3" ht="18" customHeight="1" x14ac:dyDescent="0.3">
      <c r="A8735" s="1">
        <v>2</v>
      </c>
      <c r="B8735" s="1" t="s">
        <v>7055</v>
      </c>
      <c r="C8735" s="1" t="str">
        <f ca="1">IFERROR(__xludf.DUMMYFUNCTION("GOOGLETRANSLATE(B8870,""en"",""ja"")"),"ヒューマニスティック")</f>
        <v>ヒューマニスティック</v>
      </c>
    </row>
    <row r="8736" spans="1:3" ht="18" customHeight="1" x14ac:dyDescent="0.3">
      <c r="A8736" s="1">
        <v>2</v>
      </c>
      <c r="B8736" s="1" t="s">
        <v>7056</v>
      </c>
      <c r="C8736" s="1" t="str">
        <f ca="1">IFERROR(__xludf.DUMMYFUNCTION("GOOGLETRANSLATE(B8871,""en"",""ja"")"),"ハブ")</f>
        <v>ハブ</v>
      </c>
    </row>
    <row r="8737" spans="1:3" ht="18" customHeight="1" x14ac:dyDescent="0.3">
      <c r="A8737" s="1">
        <v>2</v>
      </c>
      <c r="B8737" s="1" t="s">
        <v>7057</v>
      </c>
      <c r="C8737" s="1" t="str">
        <f ca="1">IFERROR(__xludf.DUMMYFUNCTION("GOOGLETRANSLATE(B8872,""en"",""ja"")"),"入院")</f>
        <v>入院</v>
      </c>
    </row>
    <row r="8738" spans="1:3" ht="18" customHeight="1" x14ac:dyDescent="0.3">
      <c r="A8738" s="1">
        <v>2</v>
      </c>
      <c r="B8738" s="1" t="s">
        <v>7058</v>
      </c>
      <c r="C8738" s="1" t="str">
        <f ca="1">IFERROR(__xludf.DUMMYFUNCTION("GOOGLETRANSLATE(B8873,""en"",""ja"")"),"尊敬すべき")</f>
        <v>尊敬すべき</v>
      </c>
    </row>
    <row r="8739" spans="1:3" ht="18" customHeight="1" x14ac:dyDescent="0.3">
      <c r="A8739" s="1">
        <v>2</v>
      </c>
      <c r="B8739" s="1" t="s">
        <v>7059</v>
      </c>
      <c r="C8739" s="1" t="str">
        <f ca="1">IFERROR(__xludf.DUMMYFUNCTION("GOOGLETRANSLATE(B8874,""en"",""ja"")"),"ホーリー")</f>
        <v>ホーリー</v>
      </c>
    </row>
    <row r="8740" spans="1:3" ht="18" customHeight="1" x14ac:dyDescent="0.3">
      <c r="A8740" s="1">
        <v>2</v>
      </c>
      <c r="B8740" s="1" t="s">
        <v>4769</v>
      </c>
      <c r="C8740" s="1" t="str">
        <f ca="1">IFERROR(__xludf.DUMMYFUNCTION("GOOGLETRANSLATE(B8875,""en"",""ja"")"),"歴史上")</f>
        <v>歴史上</v>
      </c>
    </row>
    <row r="8741" spans="1:3" ht="18" customHeight="1" x14ac:dyDescent="0.3">
      <c r="A8741" s="1">
        <v>2</v>
      </c>
      <c r="B8741" s="1" t="s">
        <v>7060</v>
      </c>
      <c r="C8741" s="1" t="str">
        <f ca="1">IFERROR(__xludf.DUMMYFUNCTION("GOOGLETRANSLATE(B8876,""en"",""ja"")"),"ヒップ")</f>
        <v>ヒップ</v>
      </c>
    </row>
    <row r="8742" spans="1:3" ht="18" customHeight="1" x14ac:dyDescent="0.3">
      <c r="A8742" s="1">
        <v>2</v>
      </c>
      <c r="B8742" s="1" t="s">
        <v>7061</v>
      </c>
      <c r="C8742" s="1" t="str">
        <f ca="1">IFERROR(__xludf.DUMMYFUNCTION("GOOGLETRANSLATE(B8877,""en"",""ja"")"),"ヒンズー")</f>
        <v>ヒンズー</v>
      </c>
    </row>
    <row r="8743" spans="1:3" ht="18" customHeight="1" x14ac:dyDescent="0.3">
      <c r="A8743" s="1">
        <v>2</v>
      </c>
      <c r="B8743" s="1" t="s">
        <v>7062</v>
      </c>
      <c r="C8743" s="1" t="str">
        <f ca="1">IFERROR(__xludf.DUMMYFUNCTION("GOOGLETRANSLATE(B8878,""en"",""ja"")"),"妨げます")</f>
        <v>妨げます</v>
      </c>
    </row>
    <row r="8744" spans="1:3" ht="18" customHeight="1" x14ac:dyDescent="0.3">
      <c r="A8744" s="1">
        <v>2</v>
      </c>
      <c r="B8744" s="1" t="s">
        <v>7063</v>
      </c>
      <c r="C8744" s="1" t="str">
        <f ca="1">IFERROR(__xludf.DUMMYFUNCTION("GOOGLETRANSLATE(B8879,""en"",""ja"")"),"丘")</f>
        <v>丘</v>
      </c>
    </row>
    <row r="8745" spans="1:3" ht="18" customHeight="1" x14ac:dyDescent="0.3">
      <c r="A8745" s="1">
        <v>2</v>
      </c>
      <c r="B8745" s="1" t="s">
        <v>7064</v>
      </c>
      <c r="C8745" s="1" t="str">
        <f ca="1">IFERROR(__xludf.DUMMYFUNCTION("GOOGLETRANSLATE(B8880,""en"",""ja"")"),"高速道路")</f>
        <v>高速道路</v>
      </c>
    </row>
    <row r="8746" spans="1:3" ht="18" customHeight="1" x14ac:dyDescent="0.3">
      <c r="A8746" s="1">
        <v>2</v>
      </c>
      <c r="B8746" s="1" t="s">
        <v>7065</v>
      </c>
      <c r="C8746" s="1" t="str">
        <f ca="1">IFERROR(__xludf.DUMMYFUNCTION("GOOGLETRANSLATE(B8881,""en"",""ja"")"),"ハイライト")</f>
        <v>ハイライト</v>
      </c>
    </row>
    <row r="8747" spans="1:3" ht="18" customHeight="1" x14ac:dyDescent="0.3">
      <c r="A8747" s="1">
        <v>2</v>
      </c>
      <c r="B8747" s="1" t="s">
        <v>7066</v>
      </c>
      <c r="C8747" s="1" t="str">
        <f ca="1">IFERROR(__xludf.DUMMYFUNCTION("GOOGLETRANSLATE(B8882,""en"",""ja"")"),"ためらい")</f>
        <v>ためらい</v>
      </c>
    </row>
    <row r="8748" spans="1:3" ht="18" customHeight="1" x14ac:dyDescent="0.3">
      <c r="A8748" s="1">
        <v>2</v>
      </c>
      <c r="B8748" s="1" t="s">
        <v>138</v>
      </c>
      <c r="C8748" s="1" t="str">
        <f ca="1">IFERROR(__xludf.DUMMYFUNCTION("GOOGLETRANSLATE(B8883,""en"",""ja"")"),"彼女の")</f>
        <v>彼女の</v>
      </c>
    </row>
    <row r="8749" spans="1:3" ht="18" customHeight="1" x14ac:dyDescent="0.3">
      <c r="A8749" s="1">
        <v>2</v>
      </c>
      <c r="B8749" s="1" t="s">
        <v>7067</v>
      </c>
      <c r="C8749" s="1" t="str">
        <f ca="1">IFERROR(__xludf.DUMMYFUNCTION("GOOGLETRANSLATE(B8884,""en"",""ja"")"),"こんにちは")</f>
        <v>こんにちは</v>
      </c>
    </row>
    <row r="8750" spans="1:3" ht="18" customHeight="1" x14ac:dyDescent="0.3">
      <c r="A8750" s="1">
        <v>2</v>
      </c>
      <c r="B8750" s="1" t="s">
        <v>7068</v>
      </c>
      <c r="C8750" s="1" t="str">
        <f ca="1">IFERROR(__xludf.DUMMYFUNCTION("GOOGLETRANSLATE(B8885,""en"",""ja"")"),"地獄")</f>
        <v>地獄</v>
      </c>
    </row>
    <row r="8751" spans="1:3" ht="18" customHeight="1" x14ac:dyDescent="0.3">
      <c r="A8751" s="1">
        <v>2</v>
      </c>
      <c r="B8751" s="1" t="s">
        <v>3499</v>
      </c>
      <c r="C8751" s="1" t="str">
        <f ca="1">IFERROR(__xludf.DUMMYFUNCTION("GOOGLETRANSLATE(B8886,""en"",""ja"")"),"ハート")</f>
        <v>ハート</v>
      </c>
    </row>
    <row r="8752" spans="1:3" ht="18" customHeight="1" x14ac:dyDescent="0.3">
      <c r="A8752" s="1">
        <v>2</v>
      </c>
      <c r="B8752" s="1" t="s">
        <v>7069</v>
      </c>
      <c r="C8752" s="1" t="str">
        <f ca="1">IFERROR(__xludf.DUMMYFUNCTION("GOOGLETRANSLATE(B8887,""en"",""ja"")"),"聞いた")</f>
        <v>聞いた</v>
      </c>
    </row>
    <row r="8753" spans="1:3" ht="18" customHeight="1" x14ac:dyDescent="0.3">
      <c r="A8753" s="1">
        <v>2</v>
      </c>
      <c r="B8753" s="1" t="s">
        <v>6016</v>
      </c>
      <c r="C8753" s="1" t="str">
        <f ca="1">IFERROR(__xludf.DUMMYFUNCTION("GOOGLETRANSLATE(B8888,""en"",""ja"")"),"健康管理")</f>
        <v>健康管理</v>
      </c>
    </row>
    <row r="8754" spans="1:3" ht="18" customHeight="1" x14ac:dyDescent="0.3">
      <c r="A8754" s="1">
        <v>2</v>
      </c>
      <c r="B8754" s="1" t="s">
        <v>7070</v>
      </c>
      <c r="C8754" s="1" t="str">
        <f ca="1">IFERROR(__xludf.DUMMYFUNCTION("GOOGLETRANSLATE(B8889,""en"",""ja"")"),"見出し")</f>
        <v>見出し</v>
      </c>
    </row>
    <row r="8755" spans="1:3" ht="18" customHeight="1" x14ac:dyDescent="0.3">
      <c r="A8755" s="1">
        <v>2</v>
      </c>
      <c r="B8755" s="1" t="s">
        <v>7071</v>
      </c>
      <c r="C8755" s="1" t="str">
        <f ca="1">IFERROR(__xludf.DUMMYFUNCTION("GOOGLETRANSLATE(B8890,""en"",""ja"")"),"彼は")</f>
        <v>彼は</v>
      </c>
    </row>
    <row r="8756" spans="1:3" ht="18" customHeight="1" x14ac:dyDescent="0.3">
      <c r="A8756" s="1">
        <v>2</v>
      </c>
      <c r="B8756" s="1" t="s">
        <v>6019</v>
      </c>
      <c r="C8756" s="1" t="str">
        <f ca="1">IFERROR(__xludf.DUMMYFUNCTION("GOOGLETRANSLATE(B8891,""en"",""ja"")"),"危険")</f>
        <v>危険</v>
      </c>
    </row>
    <row r="8757" spans="1:3" ht="18" customHeight="1" x14ac:dyDescent="0.3">
      <c r="A8757" s="1">
        <v>2</v>
      </c>
      <c r="B8757" s="1" t="s">
        <v>7072</v>
      </c>
      <c r="C8757" s="1" t="str">
        <f ca="1">IFERROR(__xludf.DUMMYFUNCTION("GOOGLETRANSLATE(B8892,""en"",""ja"")"),"ハッチ")</f>
        <v>ハッチ</v>
      </c>
    </row>
    <row r="8758" spans="1:3" ht="18" customHeight="1" x14ac:dyDescent="0.3">
      <c r="A8758" s="1">
        <v>2</v>
      </c>
      <c r="B8758" s="1" t="s">
        <v>7073</v>
      </c>
      <c r="C8758" s="1" t="str">
        <f ca="1">IFERROR(__xludf.DUMMYFUNCTION("GOOGLETRANSLATE(B8894,""en"",""ja"")"),"帽子")</f>
        <v>帽子</v>
      </c>
    </row>
    <row r="8759" spans="1:3" ht="18" customHeight="1" x14ac:dyDescent="0.3">
      <c r="A8759" s="1">
        <v>2</v>
      </c>
      <c r="B8759" s="1" t="s">
        <v>4779</v>
      </c>
      <c r="C8759" s="1" t="str">
        <f ca="1">IFERROR(__xludf.DUMMYFUNCTION("GOOGLETRANSLATE(B8895,""en"",""ja"")"),"厳しいです")</f>
        <v>厳しいです</v>
      </c>
    </row>
    <row r="8760" spans="1:3" ht="18" customHeight="1" x14ac:dyDescent="0.3">
      <c r="A8760" s="1">
        <v>2</v>
      </c>
      <c r="B8760" s="1" t="s">
        <v>2691</v>
      </c>
      <c r="C8760" s="1" t="str">
        <f ca="1">IFERROR(__xludf.DUMMYFUNCTION("GOOGLETRANSLATE(B8896,""en"",""ja"")"),"調和")</f>
        <v>調和</v>
      </c>
    </row>
    <row r="8761" spans="1:3" ht="18" customHeight="1" x14ac:dyDescent="0.3">
      <c r="A8761" s="1">
        <v>2</v>
      </c>
      <c r="B8761" s="1" t="s">
        <v>7074</v>
      </c>
      <c r="C8761" s="1" t="str">
        <f ca="1">IFERROR(__xludf.DUMMYFUNCTION("GOOGLETRANSLATE(B8897,""en"",""ja"")"),"ハーモニー")</f>
        <v>ハーモニー</v>
      </c>
    </row>
    <row r="8762" spans="1:3" ht="18" customHeight="1" x14ac:dyDescent="0.3">
      <c r="A8762" s="1">
        <v>2</v>
      </c>
      <c r="B8762" s="1" t="s">
        <v>7075</v>
      </c>
      <c r="C8762" s="1" t="str">
        <f ca="1">IFERROR(__xludf.DUMMYFUNCTION("GOOGLETRANSLATE(B8898,""en"",""ja"")"),"倍音")</f>
        <v>倍音</v>
      </c>
    </row>
    <row r="8763" spans="1:3" ht="18" customHeight="1" x14ac:dyDescent="0.3">
      <c r="A8763" s="1">
        <v>2</v>
      </c>
      <c r="B8763" s="1" t="s">
        <v>7076</v>
      </c>
      <c r="C8763" s="1" t="str">
        <f ca="1">IFERROR(__xludf.DUMMYFUNCTION("GOOGLETRANSLATE(B8899,""en"",""ja"")"),"害")</f>
        <v>害</v>
      </c>
    </row>
    <row r="8764" spans="1:3" ht="18" customHeight="1" x14ac:dyDescent="0.3">
      <c r="A8764" s="1">
        <v>2</v>
      </c>
      <c r="B8764" s="1" t="s">
        <v>7077</v>
      </c>
      <c r="C8764" s="1" t="str">
        <f ca="1">IFERROR(__xludf.DUMMYFUNCTION("GOOGLETRANSLATE(B8900,""en"",""ja"")"),"硬化します")</f>
        <v>硬化します</v>
      </c>
    </row>
    <row r="8765" spans="1:3" ht="18" customHeight="1" x14ac:dyDescent="0.3">
      <c r="A8765" s="1">
        <v>2</v>
      </c>
      <c r="B8765" s="1" t="s">
        <v>7078</v>
      </c>
      <c r="C8765" s="1" t="str">
        <f ca="1">IFERROR(__xludf.DUMMYFUNCTION("GOOGLETRANSLATE(B8901,""en"",""ja"")"),"ホールマーク")</f>
        <v>ホールマーク</v>
      </c>
    </row>
    <row r="8766" spans="1:3" ht="18" customHeight="1" x14ac:dyDescent="0.3">
      <c r="A8766" s="1">
        <v>2</v>
      </c>
      <c r="B8766" s="1" t="s">
        <v>7079</v>
      </c>
      <c r="C8766" s="1" t="str">
        <f ca="1">IFERROR(__xludf.DUMMYFUNCTION("GOOGLETRANSLATE(B8902,""en"",""ja"")"),"ハイチ")</f>
        <v>ハイチ</v>
      </c>
    </row>
    <row r="8767" spans="1:3" ht="18" customHeight="1" x14ac:dyDescent="0.3">
      <c r="A8767" s="1">
        <v>2</v>
      </c>
      <c r="B8767" s="1" t="s">
        <v>7080</v>
      </c>
      <c r="C8767" s="1" t="str">
        <f ca="1">IFERROR(__xludf.DUMMYFUNCTION("GOOGLETRANSLATE(B8903,""en"",""ja"")"),"根性")</f>
        <v>根性</v>
      </c>
    </row>
    <row r="8768" spans="1:3" ht="18" customHeight="1" x14ac:dyDescent="0.3">
      <c r="A8768" s="1">
        <v>2</v>
      </c>
      <c r="B8768" s="1" t="s">
        <v>6032</v>
      </c>
      <c r="C8768" s="1" t="str">
        <f ca="1">IFERROR(__xludf.DUMMYFUNCTION("GOOGLETRANSLATE(B8904,""en"",""ja"")"),"有罪の")</f>
        <v>有罪の</v>
      </c>
    </row>
    <row r="8769" spans="1:3" ht="18" customHeight="1" x14ac:dyDescent="0.3">
      <c r="A8769" s="1">
        <v>2</v>
      </c>
      <c r="B8769" s="1" t="s">
        <v>7081</v>
      </c>
      <c r="C8769" s="1" t="str">
        <f ca="1">IFERROR(__xludf.DUMMYFUNCTION("GOOGLETRANSLATE(B8905,""en"",""ja"")"),"ガイドライン")</f>
        <v>ガイドライン</v>
      </c>
    </row>
    <row r="8770" spans="1:3" ht="18" customHeight="1" x14ac:dyDescent="0.3">
      <c r="A8770" s="1">
        <v>2</v>
      </c>
      <c r="B8770" s="1" t="s">
        <v>3504</v>
      </c>
      <c r="C8770" s="1" t="str">
        <f ca="1">IFERROR(__xludf.DUMMYFUNCTION("GOOGLETRANSLATE(B8906,""en"",""ja"")"),"愚痴")</f>
        <v>愚痴</v>
      </c>
    </row>
    <row r="8771" spans="1:3" ht="18" customHeight="1" x14ac:dyDescent="0.3">
      <c r="A8771" s="1">
        <v>2</v>
      </c>
      <c r="B8771" s="1" t="s">
        <v>1810</v>
      </c>
      <c r="C8771" s="1" t="str">
        <f ca="1">IFERROR(__xludf.DUMMYFUNCTION("GOOGLETRANSLATE(B8907,""en"",""ja"")"),"育ちます")</f>
        <v>育ちます</v>
      </c>
    </row>
    <row r="8772" spans="1:3" ht="18" customHeight="1" x14ac:dyDescent="0.3">
      <c r="A8772" s="1">
        <v>2</v>
      </c>
      <c r="B8772" s="1" t="s">
        <v>7082</v>
      </c>
      <c r="C8772" s="1" t="str">
        <f ca="1">IFERROR(__xludf.DUMMYFUNCTION("GOOGLETRANSLATE(B8908,""en"",""ja"")"),"grossest")</f>
        <v>grossest</v>
      </c>
    </row>
    <row r="8773" spans="1:3" ht="18" customHeight="1" x14ac:dyDescent="0.3">
      <c r="A8773" s="1">
        <v>2</v>
      </c>
      <c r="B8773" s="1" t="s">
        <v>7083</v>
      </c>
      <c r="C8773" s="1" t="str">
        <f ca="1">IFERROR(__xludf.DUMMYFUNCTION("GOOGLETRANSLATE(B8909,""en"",""ja"")"),"乾物")</f>
        <v>乾物</v>
      </c>
    </row>
    <row r="8774" spans="1:3" ht="18" customHeight="1" x14ac:dyDescent="0.3">
      <c r="A8774" s="1">
        <v>2</v>
      </c>
      <c r="B8774" s="1" t="s">
        <v>7084</v>
      </c>
      <c r="C8774" s="1" t="str">
        <f ca="1">IFERROR(__xludf.DUMMYFUNCTION("GOOGLETRANSLATE(B8910,""en"",""ja"")"),"にっこり笑います")</f>
        <v>にっこり笑います</v>
      </c>
    </row>
    <row r="8775" spans="1:3" ht="18" customHeight="1" x14ac:dyDescent="0.3">
      <c r="A8775" s="1">
        <v>2</v>
      </c>
      <c r="B8775" s="1" t="s">
        <v>4792</v>
      </c>
      <c r="C8775" s="1" t="str">
        <f ca="1">IFERROR(__xludf.DUMMYFUNCTION("GOOGLETRANSLATE(B8911,""en"",""ja"")"),"厳しいです")</f>
        <v>厳しいです</v>
      </c>
    </row>
    <row r="8776" spans="1:3" ht="18" customHeight="1" x14ac:dyDescent="0.3">
      <c r="A8776" s="1">
        <v>2</v>
      </c>
      <c r="B8776" s="1" t="s">
        <v>7085</v>
      </c>
      <c r="C8776" s="1" t="str">
        <f ca="1">IFERROR(__xludf.DUMMYFUNCTION("GOOGLETRANSLATE(B8912,""en"",""ja"")"),"グリフィス")</f>
        <v>グリフィス</v>
      </c>
    </row>
    <row r="8777" spans="1:3" ht="18" customHeight="1" x14ac:dyDescent="0.3">
      <c r="A8777" s="1">
        <v>2</v>
      </c>
      <c r="B8777" s="1" t="s">
        <v>7086</v>
      </c>
      <c r="C8777" s="1" t="str">
        <f ca="1">IFERROR(__xludf.DUMMYFUNCTION("GOOGLETRANSLATE(B8913,""en"",""ja"")"),"悲しむべき")</f>
        <v>悲しむべき</v>
      </c>
    </row>
    <row r="8778" spans="1:3" ht="18" customHeight="1" x14ac:dyDescent="0.3">
      <c r="A8778" s="1">
        <v>2</v>
      </c>
      <c r="B8778" s="1" t="s">
        <v>166</v>
      </c>
      <c r="C8778" s="1" t="str">
        <f ca="1">IFERROR(__xludf.DUMMYFUNCTION("GOOGLETRANSLATE(B8914,""en"",""ja"")"),"すごい")</f>
        <v>すごい</v>
      </c>
    </row>
    <row r="8779" spans="1:3" ht="18" customHeight="1" x14ac:dyDescent="0.3">
      <c r="A8779" s="1">
        <v>2</v>
      </c>
      <c r="B8779" s="1" t="s">
        <v>7087</v>
      </c>
      <c r="C8779" s="1" t="str">
        <f ca="1">IFERROR(__xludf.DUMMYFUNCTION("GOOGLETRANSLATE(B8915,""en"",""ja"")"),"フォアグラ")</f>
        <v>フォアグラ</v>
      </c>
    </row>
    <row r="8780" spans="1:3" ht="18" customHeight="1" x14ac:dyDescent="0.3">
      <c r="A8780" s="1">
        <v>2</v>
      </c>
      <c r="B8780" s="1" t="s">
        <v>7088</v>
      </c>
      <c r="C8780" s="1" t="str">
        <f ca="1">IFERROR(__xludf.DUMMYFUNCTION("GOOGLETRANSLATE(B8916,""en"",""ja"")"),"グラフ")</f>
        <v>グラフ</v>
      </c>
    </row>
    <row r="8781" spans="1:3" ht="18" customHeight="1" x14ac:dyDescent="0.3">
      <c r="A8781" s="1">
        <v>2</v>
      </c>
      <c r="B8781" s="1" t="s">
        <v>7089</v>
      </c>
      <c r="C8781" s="1" t="str">
        <f ca="1">IFERROR(__xludf.DUMMYFUNCTION("GOOGLETRANSLATE(B8917,""en"",""ja"")"),"壮大な")</f>
        <v>壮大な</v>
      </c>
    </row>
    <row r="8782" spans="1:3" ht="18" customHeight="1" x14ac:dyDescent="0.3">
      <c r="A8782" s="1">
        <v>2</v>
      </c>
      <c r="B8782" s="1" t="s">
        <v>7090</v>
      </c>
      <c r="C8782" s="1" t="str">
        <f ca="1">IFERROR(__xludf.DUMMYFUNCTION("GOOGLETRANSLATE(B8918,""en"",""ja"")"),"穀類")</f>
        <v>穀類</v>
      </c>
    </row>
    <row r="8783" spans="1:3" ht="18" customHeight="1" x14ac:dyDescent="0.3">
      <c r="A8783" s="1">
        <v>2</v>
      </c>
      <c r="B8783" s="1" t="s">
        <v>2399</v>
      </c>
      <c r="C8783" s="1" t="str">
        <f ca="1">IFERROR(__xludf.DUMMYFUNCTION("GOOGLETRANSLATE(B8919,""en"",""ja"")"),"ゴードン")</f>
        <v>ゴードン</v>
      </c>
    </row>
    <row r="8784" spans="1:3" ht="18" customHeight="1" x14ac:dyDescent="0.3">
      <c r="A8784" s="1">
        <v>2</v>
      </c>
      <c r="B8784" s="1" t="s">
        <v>2146</v>
      </c>
      <c r="C8784" s="1" t="str">
        <f ca="1">IFERROR(__xludf.DUMMYFUNCTION("GOOGLETRANSLATE(B8920,""en"",""ja"")"),"Googleの")</f>
        <v>Googleの</v>
      </c>
    </row>
    <row r="8785" spans="1:3" ht="18" customHeight="1" x14ac:dyDescent="0.3">
      <c r="A8785" s="1">
        <v>2</v>
      </c>
      <c r="B8785" s="1" t="s">
        <v>633</v>
      </c>
      <c r="C8785" s="1" t="str">
        <f ca="1">IFERROR(__xludf.DUMMYFUNCTION("GOOGLETRANSLATE(B8921,""en"",""ja"")"),"グーグル")</f>
        <v>グーグル</v>
      </c>
    </row>
    <row r="8786" spans="1:3" ht="18" customHeight="1" x14ac:dyDescent="0.3">
      <c r="A8786" s="1">
        <v>2</v>
      </c>
      <c r="B8786" s="1" t="s">
        <v>7091</v>
      </c>
      <c r="C8786" s="1" t="str">
        <f ca="1">IFERROR(__xludf.DUMMYFUNCTION("GOOGLETRANSLATE(B8922,""en"",""ja"")"),"女神")</f>
        <v>女神</v>
      </c>
    </row>
    <row r="8787" spans="1:3" ht="18" customHeight="1" x14ac:dyDescent="0.3">
      <c r="A8787" s="1">
        <v>2</v>
      </c>
      <c r="B8787" s="1" t="s">
        <v>7092</v>
      </c>
      <c r="C8787" s="1" t="str">
        <f ca="1">IFERROR(__xludf.DUMMYFUNCTION("GOOGLETRANSLATE(B8923,""en"",""ja"")"),"輝きます")</f>
        <v>輝きます</v>
      </c>
    </row>
    <row r="8788" spans="1:3" ht="18" customHeight="1" x14ac:dyDescent="0.3">
      <c r="A8788" s="1">
        <v>2</v>
      </c>
      <c r="B8788" s="1" t="s">
        <v>7093</v>
      </c>
      <c r="C8788" s="1" t="str">
        <f ca="1">IFERROR(__xludf.DUMMYFUNCTION("GOOGLETRANSLATE(B8924,""en"",""ja"")"),"輝かしいです")</f>
        <v>輝かしいです</v>
      </c>
    </row>
    <row r="8789" spans="1:3" ht="18" customHeight="1" x14ac:dyDescent="0.3">
      <c r="A8789" s="1">
        <v>2</v>
      </c>
      <c r="B8789" s="1" t="s">
        <v>4036</v>
      </c>
      <c r="C8789" s="1" t="str">
        <f ca="1">IFERROR(__xludf.DUMMYFUNCTION("GOOGLETRANSLATE(B8925,""en"",""ja"")"),"グローブ")</f>
        <v>グローブ</v>
      </c>
    </row>
    <row r="8790" spans="1:3" ht="18" customHeight="1" x14ac:dyDescent="0.3">
      <c r="A8790" s="1">
        <v>2</v>
      </c>
      <c r="B8790" s="1" t="s">
        <v>7094</v>
      </c>
      <c r="C8790" s="1" t="str">
        <f ca="1">IFERROR(__xludf.DUMMYFUNCTION("GOOGLETRANSLATE(B8926,""en"",""ja"")"),"グローバル")</f>
        <v>グローバル</v>
      </c>
    </row>
    <row r="8791" spans="1:3" ht="18" customHeight="1" x14ac:dyDescent="0.3">
      <c r="A8791" s="1">
        <v>2</v>
      </c>
      <c r="B8791" s="1" t="s">
        <v>7095</v>
      </c>
      <c r="C8791" s="1" t="str">
        <f ca="1">IFERROR(__xludf.DUMMYFUNCTION("GOOGLETRANSLATE(B8927,""en"",""ja"")"),"グローバル化")</f>
        <v>グローバル化</v>
      </c>
    </row>
    <row r="8792" spans="1:3" ht="18" customHeight="1" x14ac:dyDescent="0.3">
      <c r="A8792" s="1">
        <v>2</v>
      </c>
      <c r="B8792" s="1" t="s">
        <v>2147</v>
      </c>
      <c r="C8792" s="1" t="str">
        <f ca="1">IFERROR(__xludf.DUMMYFUNCTION("GOOGLETRANSLATE(B8928,""en"",""ja"")"),"グローバル化")</f>
        <v>グローバル化</v>
      </c>
    </row>
    <row r="8793" spans="1:3" ht="18" customHeight="1" x14ac:dyDescent="0.3">
      <c r="A8793" s="1">
        <v>2</v>
      </c>
      <c r="B8793" s="1" t="s">
        <v>4801</v>
      </c>
      <c r="C8793" s="1" t="str">
        <f ca="1">IFERROR(__xludf.DUMMYFUNCTION("GOOGLETRANSLATE(B8929,""en"",""ja"")"),"一目")</f>
        <v>一目</v>
      </c>
    </row>
    <row r="8794" spans="1:3" ht="18" customHeight="1" x14ac:dyDescent="0.3">
      <c r="A8794" s="1">
        <v>2</v>
      </c>
      <c r="B8794" s="1" t="s">
        <v>2697</v>
      </c>
      <c r="C8794" s="1" t="str">
        <f ca="1">IFERROR(__xludf.DUMMYFUNCTION("GOOGLETRANSLATE(B8930,""en"",""ja"")"),"グラマラス")</f>
        <v>グラマラス</v>
      </c>
    </row>
    <row r="8795" spans="1:3" ht="18" customHeight="1" x14ac:dyDescent="0.3">
      <c r="A8795" s="1">
        <v>2</v>
      </c>
      <c r="B8795" s="1" t="s">
        <v>7096</v>
      </c>
      <c r="C8795" s="1" t="str">
        <f ca="1">IFERROR(__xludf.DUMMYFUNCTION("GOOGLETRANSLATE(B8931,""en"",""ja"")"),"喜んで")</f>
        <v>喜んで</v>
      </c>
    </row>
    <row r="8796" spans="1:3" ht="18" customHeight="1" x14ac:dyDescent="0.3">
      <c r="A8796" s="1">
        <v>2</v>
      </c>
      <c r="B8796" s="1" t="s">
        <v>7097</v>
      </c>
      <c r="C8796" s="1" t="str">
        <f ca="1">IFERROR(__xludf.DUMMYFUNCTION("GOOGLETRANSLATE(B8932,""en"",""ja"")"),"ゲシュタルト")</f>
        <v>ゲシュタルト</v>
      </c>
    </row>
    <row r="8797" spans="1:3" ht="18" customHeight="1" x14ac:dyDescent="0.3">
      <c r="A8797" s="1">
        <v>2</v>
      </c>
      <c r="B8797" s="1" t="s">
        <v>7098</v>
      </c>
      <c r="C8797" s="1" t="str">
        <f ca="1">IFERROR(__xludf.DUMMYFUNCTION("GOOGLETRANSLATE(B8933,""en"",""ja"")"),"地球物理学")</f>
        <v>地球物理学</v>
      </c>
    </row>
    <row r="8798" spans="1:3" ht="18" customHeight="1" x14ac:dyDescent="0.3">
      <c r="A8798" s="1">
        <v>2</v>
      </c>
      <c r="B8798" s="1" t="s">
        <v>2149</v>
      </c>
      <c r="C8798" s="1" t="str">
        <f ca="1">IFERROR(__xludf.DUMMYFUNCTION("GOOGLETRANSLATE(B8934,""en"",""ja"")"),"地球物理学")</f>
        <v>地球物理学</v>
      </c>
    </row>
    <row r="8799" spans="1:3" ht="18" customHeight="1" x14ac:dyDescent="0.3">
      <c r="A8799" s="1">
        <v>2</v>
      </c>
      <c r="B8799" s="1" t="s">
        <v>7099</v>
      </c>
      <c r="C8799" s="1" t="str">
        <f ca="1">IFERROR(__xludf.DUMMYFUNCTION("GOOGLETRANSLATE(B8935,""en"",""ja"")"),"地理学者")</f>
        <v>地理学者</v>
      </c>
    </row>
    <row r="8800" spans="1:3" ht="18" customHeight="1" x14ac:dyDescent="0.3">
      <c r="A8800" s="1">
        <v>2</v>
      </c>
      <c r="B8800" s="1" t="s">
        <v>4808</v>
      </c>
      <c r="C8800" s="1" t="str">
        <f ca="1">IFERROR(__xludf.DUMMYFUNCTION("GOOGLETRANSLATE(B8936,""en"",""ja"")"),"大虐殺")</f>
        <v>大虐殺</v>
      </c>
    </row>
    <row r="8801" spans="1:3" ht="18" customHeight="1" x14ac:dyDescent="0.3">
      <c r="A8801" s="1">
        <v>2</v>
      </c>
      <c r="B8801" s="1" t="s">
        <v>1012</v>
      </c>
      <c r="C8801" s="1" t="str">
        <f ca="1">IFERROR(__xludf.DUMMYFUNCTION("GOOGLETRANSLATE(B8937,""en"",""ja"")"),"遺伝的に")</f>
        <v>遺伝的に</v>
      </c>
    </row>
    <row r="8802" spans="1:3" ht="18" customHeight="1" x14ac:dyDescent="0.3">
      <c r="A8802" s="1">
        <v>2</v>
      </c>
      <c r="B8802" s="1" t="s">
        <v>171</v>
      </c>
      <c r="C8802" s="1" t="str">
        <f ca="1">IFERROR(__xludf.DUMMYFUNCTION("GOOGLETRANSLATE(B8938,""en"",""ja"")"),"遺伝子の")</f>
        <v>遺伝子の</v>
      </c>
    </row>
    <row r="8803" spans="1:3" ht="18" customHeight="1" x14ac:dyDescent="0.3">
      <c r="A8803" s="1">
        <v>2</v>
      </c>
      <c r="B8803" s="1" t="s">
        <v>7100</v>
      </c>
      <c r="C8803" s="1" t="str">
        <f ca="1">IFERROR(__xludf.DUMMYFUNCTION("GOOGLETRANSLATE(B8939,""en"",""ja"")"),"寛大")</f>
        <v>寛大</v>
      </c>
    </row>
    <row r="8804" spans="1:3" ht="18" customHeight="1" x14ac:dyDescent="0.3">
      <c r="A8804" s="1">
        <v>2</v>
      </c>
      <c r="B8804" s="1" t="s">
        <v>3521</v>
      </c>
      <c r="C8804" s="1" t="str">
        <f ca="1">IFERROR(__xludf.DUMMYFUNCTION("GOOGLETRANSLATE(B8940,""en"",""ja"")"),"生む")</f>
        <v>生む</v>
      </c>
    </row>
    <row r="8805" spans="1:3" ht="18" customHeight="1" x14ac:dyDescent="0.3">
      <c r="A8805" s="1">
        <v>2</v>
      </c>
      <c r="B8805" s="1" t="s">
        <v>2699</v>
      </c>
      <c r="C8805" s="1" t="str">
        <f ca="1">IFERROR(__xludf.DUMMYFUNCTION("GOOGLETRANSLATE(B8941,""en"",""ja"")"),"ドゴール")</f>
        <v>ドゴール</v>
      </c>
    </row>
    <row r="8806" spans="1:3" ht="18" customHeight="1" x14ac:dyDescent="0.3">
      <c r="A8806" s="1">
        <v>2</v>
      </c>
      <c r="B8806" s="1" t="s">
        <v>7101</v>
      </c>
      <c r="C8806" s="1" t="str">
        <f ca="1">IFERROR(__xludf.DUMMYFUNCTION("GOOGLETRANSLATE(B8942,""en"",""ja"")"),"ガウチョ")</f>
        <v>ガウチョ</v>
      </c>
    </row>
    <row r="8807" spans="1:3" ht="18" customHeight="1" x14ac:dyDescent="0.3">
      <c r="A8807" s="1">
        <v>2</v>
      </c>
      <c r="B8807" s="1" t="s">
        <v>7102</v>
      </c>
      <c r="C8807" s="1" t="str">
        <f ca="1">IFERROR(__xludf.DUMMYFUNCTION("GOOGLETRANSLATE(B8943,""en"",""ja"")"),"furier")</f>
        <v>furier</v>
      </c>
    </row>
    <row r="8808" spans="1:3" ht="18" customHeight="1" x14ac:dyDescent="0.3">
      <c r="A8808" s="1">
        <v>2</v>
      </c>
      <c r="B8808" s="1" t="s">
        <v>442</v>
      </c>
      <c r="C8808" s="1" t="str">
        <f ca="1">IFERROR(__xludf.DUMMYFUNCTION("GOOGLETRANSLATE(B8944,""en"",""ja"")"),"関数")</f>
        <v>関数</v>
      </c>
    </row>
    <row r="8809" spans="1:3" ht="18" customHeight="1" x14ac:dyDescent="0.3">
      <c r="A8809" s="1">
        <v>2</v>
      </c>
      <c r="B8809" s="1" t="s">
        <v>6072</v>
      </c>
      <c r="C8809" s="1" t="str">
        <f ca="1">IFERROR(__xludf.DUMMYFUNCTION("GOOGLETRANSLATE(B8945,""en"",""ja"")"),"遊び")</f>
        <v>遊び</v>
      </c>
    </row>
    <row r="8810" spans="1:3" ht="18" customHeight="1" x14ac:dyDescent="0.3">
      <c r="A8810" s="1">
        <v>2</v>
      </c>
      <c r="B8810" s="1" t="s">
        <v>6075</v>
      </c>
      <c r="C8810" s="1" t="str">
        <f ca="1">IFERROR(__xludf.DUMMYFUNCTION("GOOGLETRANSLATE(B8946,""en"",""ja"")"),"満たす")</f>
        <v>満たす</v>
      </c>
    </row>
    <row r="8811" spans="1:3" ht="18" customHeight="1" x14ac:dyDescent="0.3">
      <c r="A8811" s="1">
        <v>2</v>
      </c>
      <c r="B8811" s="1" t="s">
        <v>7103</v>
      </c>
      <c r="C8811" s="1" t="str">
        <f ca="1">IFERROR(__xludf.DUMMYFUNCTION("GOOGLETRANSLATE(B8947,""en"",""ja"")"),"燃料")</f>
        <v>燃料</v>
      </c>
    </row>
    <row r="8812" spans="1:3" ht="18" customHeight="1" x14ac:dyDescent="0.3">
      <c r="A8812" s="1">
        <v>2</v>
      </c>
      <c r="B8812" s="1" t="s">
        <v>7104</v>
      </c>
      <c r="C8812" s="1" t="str">
        <f ca="1">IFERROR(__xludf.DUMMYFUNCTION("GOOGLETRANSLATE(B8948,""en"",""ja"")"),"挫折させます")</f>
        <v>挫折させます</v>
      </c>
    </row>
    <row r="8813" spans="1:3" ht="18" customHeight="1" x14ac:dyDescent="0.3">
      <c r="A8813" s="1">
        <v>2</v>
      </c>
      <c r="B8813" s="1" t="s">
        <v>7105</v>
      </c>
      <c r="C8813" s="1" t="str">
        <f ca="1">IFERROR(__xludf.DUMMYFUNCTION("GOOGLETRANSLATE(B8949,""en"",""ja"")"),"フロイト")</f>
        <v>フロイト</v>
      </c>
    </row>
    <row r="8814" spans="1:3" ht="18" customHeight="1" x14ac:dyDescent="0.3">
      <c r="A8814" s="1">
        <v>2</v>
      </c>
      <c r="B8814" s="1" t="s">
        <v>7106</v>
      </c>
      <c r="C8814" s="1" t="str">
        <f ca="1">IFERROR(__xludf.DUMMYFUNCTION("GOOGLETRANSLATE(B8950,""en"",""ja"")"),"淡水")</f>
        <v>淡水</v>
      </c>
    </row>
    <row r="8815" spans="1:3" ht="18" customHeight="1" x14ac:dyDescent="0.3">
      <c r="A8815" s="1">
        <v>2</v>
      </c>
      <c r="B8815" s="1" t="s">
        <v>7107</v>
      </c>
      <c r="C8815" s="1" t="str">
        <f ca="1">IFERROR(__xludf.DUMMYFUNCTION("GOOGLETRANSLATE(B8951,""en"",""ja"")"),"新入生")</f>
        <v>新入生</v>
      </c>
    </row>
    <row r="8816" spans="1:3" ht="18" customHeight="1" x14ac:dyDescent="0.3">
      <c r="A8816" s="1">
        <v>2</v>
      </c>
      <c r="B8816" s="1" t="s">
        <v>480</v>
      </c>
      <c r="C8816" s="1" t="str">
        <f ca="1">IFERROR(__xludf.DUMMYFUNCTION("GOOGLETRANSLATE(B8952,""en"",""ja"")"),"フランス語")</f>
        <v>フランス語</v>
      </c>
    </row>
    <row r="8817" spans="1:3" ht="18" customHeight="1" x14ac:dyDescent="0.3">
      <c r="A8817" s="1">
        <v>2</v>
      </c>
      <c r="B8817" s="1" t="s">
        <v>1363</v>
      </c>
      <c r="C8817" s="1" t="str">
        <f ca="1">IFERROR(__xludf.DUMMYFUNCTION("GOOGLETRANSLATE(B8953,""en"",""ja"")"),"自由")</f>
        <v>自由</v>
      </c>
    </row>
    <row r="8818" spans="1:3" ht="18" customHeight="1" x14ac:dyDescent="0.3">
      <c r="A8818" s="1">
        <v>2</v>
      </c>
      <c r="B8818" s="1" t="s">
        <v>2156</v>
      </c>
      <c r="C8818" s="1" t="str">
        <f ca="1">IFERROR(__xludf.DUMMYFUNCTION("GOOGLETRANSLATE(B8954,""en"",""ja"")"),"フレームワーク")</f>
        <v>フレームワーク</v>
      </c>
    </row>
    <row r="8819" spans="1:3" ht="18" customHeight="1" x14ac:dyDescent="0.3">
      <c r="A8819" s="1">
        <v>2</v>
      </c>
      <c r="B8819" s="1" t="s">
        <v>2404</v>
      </c>
      <c r="C8819" s="1" t="str">
        <f ca="1">IFERROR(__xludf.DUMMYFUNCTION("GOOGLETRANSLATE(B8955,""en"",""ja"")"),"フォスター")</f>
        <v>フォスター</v>
      </c>
    </row>
    <row r="8820" spans="1:3" ht="18" customHeight="1" x14ac:dyDescent="0.3">
      <c r="A8820" s="1">
        <v>2</v>
      </c>
      <c r="B8820" s="1" t="s">
        <v>7108</v>
      </c>
      <c r="C8820" s="1" t="str">
        <f ca="1">IFERROR(__xludf.DUMMYFUNCTION("GOOGLETRANSLATE(B8956,""en"",""ja"")"),"フォーラム")</f>
        <v>フォーラム</v>
      </c>
    </row>
    <row r="8821" spans="1:3" ht="18" customHeight="1" x14ac:dyDescent="0.3">
      <c r="A8821" s="1">
        <v>2</v>
      </c>
      <c r="B8821" s="1" t="s">
        <v>7109</v>
      </c>
      <c r="C8821" s="1" t="str">
        <f ca="1">IFERROR(__xludf.DUMMYFUNCTION("GOOGLETRANSLATE(B8957,""en"",""ja"")"),"策定")</f>
        <v>策定</v>
      </c>
    </row>
    <row r="8822" spans="1:3" ht="18" customHeight="1" x14ac:dyDescent="0.3">
      <c r="A8822" s="1">
        <v>2</v>
      </c>
      <c r="B8822" s="1" t="s">
        <v>7110</v>
      </c>
      <c r="C8822" s="1" t="str">
        <f ca="1">IFERROR(__xludf.DUMMYFUNCTION("GOOGLETRANSLATE(B8958,""en"",""ja"")"),"式")</f>
        <v>式</v>
      </c>
    </row>
    <row r="8823" spans="1:3" ht="18" customHeight="1" x14ac:dyDescent="0.3">
      <c r="A8823" s="1">
        <v>2</v>
      </c>
      <c r="B8823" s="1" t="s">
        <v>4043</v>
      </c>
      <c r="C8823" s="1" t="str">
        <f ca="1">IFERROR(__xludf.DUMMYFUNCTION("GOOGLETRANSLATE(B8959,""en"",""ja"")"),"形成")</f>
        <v>形成</v>
      </c>
    </row>
    <row r="8824" spans="1:3" ht="18" customHeight="1" x14ac:dyDescent="0.3">
      <c r="A8824" s="1">
        <v>2</v>
      </c>
      <c r="B8824" s="1" t="s">
        <v>3532</v>
      </c>
      <c r="C8824" s="1" t="str">
        <f ca="1">IFERROR(__xludf.DUMMYFUNCTION("GOOGLETRANSLATE(B8960,""en"",""ja"")"),"先見の明")</f>
        <v>先見の明</v>
      </c>
    </row>
    <row r="8825" spans="1:3" ht="18" customHeight="1" x14ac:dyDescent="0.3">
      <c r="A8825" s="1">
        <v>2</v>
      </c>
      <c r="B8825" s="1" t="s">
        <v>7111</v>
      </c>
      <c r="C8825" s="1" t="str">
        <f ca="1">IFERROR(__xludf.DUMMYFUNCTION("GOOGLETRANSLATE(B8961,""en"",""ja"")"),"予示")</f>
        <v>予示</v>
      </c>
    </row>
    <row r="8826" spans="1:3" ht="18" customHeight="1" x14ac:dyDescent="0.3">
      <c r="A8826" s="1">
        <v>2</v>
      </c>
      <c r="B8826" s="1" t="s">
        <v>7112</v>
      </c>
      <c r="C8826" s="1" t="str">
        <f ca="1">IFERROR(__xludf.DUMMYFUNCTION("GOOGLETRANSLATE(B8962,""en"",""ja"")"),"前景")</f>
        <v>前景</v>
      </c>
    </row>
    <row r="8827" spans="1:3" ht="18" customHeight="1" x14ac:dyDescent="0.3">
      <c r="A8827" s="1">
        <v>2</v>
      </c>
      <c r="B8827" s="1" t="s">
        <v>7113</v>
      </c>
      <c r="C8827" s="1" t="str">
        <f ca="1">IFERROR(__xludf.DUMMYFUNCTION("GOOGLETRANSLATE(B8963,""en"",""ja"")"),"予測")</f>
        <v>予測</v>
      </c>
    </row>
    <row r="8828" spans="1:3" ht="18" customHeight="1" x14ac:dyDescent="0.3">
      <c r="A8828" s="1">
        <v>2</v>
      </c>
      <c r="B8828" s="1" t="s">
        <v>7114</v>
      </c>
      <c r="C8828" s="1" t="str">
        <f ca="1">IFERROR(__xludf.DUMMYFUNCTION("GOOGLETRANSLATE(B8964,""en"",""ja"")"),"fordable")</f>
        <v>fordable</v>
      </c>
    </row>
    <row r="8829" spans="1:3" ht="18" customHeight="1" x14ac:dyDescent="0.3">
      <c r="A8829" s="1">
        <v>2</v>
      </c>
      <c r="B8829" s="1" t="s">
        <v>7115</v>
      </c>
      <c r="C8829" s="1" t="str">
        <f ca="1">IFERROR(__xludf.DUMMYFUNCTION("GOOGLETRANSLATE(B8965,""en"",""ja"")"),"愚か者")</f>
        <v>愚か者</v>
      </c>
    </row>
    <row r="8830" spans="1:3" ht="18" customHeight="1" x14ac:dyDescent="0.3">
      <c r="A8830" s="1">
        <v>2</v>
      </c>
      <c r="B8830" s="1" t="s">
        <v>7116</v>
      </c>
      <c r="C8830" s="1" t="str">
        <f ca="1">IFERROR(__xludf.DUMMYFUNCTION("GOOGLETRANSLATE(B8966,""en"",""ja"")"),"愚かさ")</f>
        <v>愚かさ</v>
      </c>
    </row>
    <row r="8831" spans="1:3" ht="18" customHeight="1" x14ac:dyDescent="0.3">
      <c r="A8831" s="1">
        <v>2</v>
      </c>
      <c r="B8831" s="1" t="s">
        <v>7117</v>
      </c>
      <c r="C8831" s="1" t="str">
        <f ca="1">IFERROR(__xludf.DUMMYFUNCTION("GOOGLETRANSLATE(B8967,""en"",""ja"")"),"花")</f>
        <v>花</v>
      </c>
    </row>
    <row r="8832" spans="1:3" ht="18" customHeight="1" x14ac:dyDescent="0.3">
      <c r="A8832" s="1">
        <v>2</v>
      </c>
      <c r="B8832" s="1" t="s">
        <v>7118</v>
      </c>
      <c r="C8832" s="1" t="str">
        <f ca="1">IFERROR(__xludf.DUMMYFUNCTION("GOOGLETRANSLATE(B8968,""en"",""ja"")"),"フローティング")</f>
        <v>フローティング</v>
      </c>
    </row>
    <row r="8833" spans="1:3" ht="18" customHeight="1" x14ac:dyDescent="0.3">
      <c r="A8833" s="1">
        <v>2</v>
      </c>
      <c r="B8833" s="1" t="s">
        <v>3537</v>
      </c>
      <c r="C8833" s="1" t="str">
        <f ca="1">IFERROR(__xludf.DUMMYFUNCTION("GOOGLETRANSLATE(B8969,""en"",""ja"")"),"逃げます")</f>
        <v>逃げます</v>
      </c>
    </row>
    <row r="8834" spans="1:3" ht="18" customHeight="1" x14ac:dyDescent="0.3">
      <c r="A8834" s="1">
        <v>2</v>
      </c>
      <c r="B8834" s="1" t="s">
        <v>6100</v>
      </c>
      <c r="C8834" s="1" t="str">
        <f ca="1">IFERROR(__xludf.DUMMYFUNCTION("GOOGLETRANSLATE(B8970,""en"",""ja"")"),"たるみました")</f>
        <v>たるみました</v>
      </c>
    </row>
    <row r="8835" spans="1:3" ht="18" customHeight="1" x14ac:dyDescent="0.3">
      <c r="A8835" s="1">
        <v>2</v>
      </c>
      <c r="B8835" s="1" t="s">
        <v>7119</v>
      </c>
      <c r="C8835" s="1" t="str">
        <f ca="1">IFERROR(__xludf.DUMMYFUNCTION("GOOGLETRANSLATE(B8971,""en"",""ja"")"),"flabbiness")</f>
        <v>flabbiness</v>
      </c>
    </row>
    <row r="8836" spans="1:3" ht="18" customHeight="1" x14ac:dyDescent="0.3">
      <c r="A8836" s="1">
        <v>2</v>
      </c>
      <c r="B8836" s="1" t="s">
        <v>4047</v>
      </c>
      <c r="C8836" s="1" t="str">
        <f ca="1">IFERROR(__xludf.DUMMYFUNCTION("GOOGLETRANSLATE(B8972,""en"",""ja"")"),"修正")</f>
        <v>修正</v>
      </c>
    </row>
    <row r="8837" spans="1:3" ht="18" customHeight="1" x14ac:dyDescent="0.3">
      <c r="A8837" s="1">
        <v>2</v>
      </c>
      <c r="B8837" s="1" t="s">
        <v>7120</v>
      </c>
      <c r="C8837" s="1" t="str">
        <f ca="1">IFERROR(__xludf.DUMMYFUNCTION("GOOGLETRANSLATE(B8973,""en"",""ja"")"),"フィット")</f>
        <v>フィット</v>
      </c>
    </row>
    <row r="8838" spans="1:3" ht="18" customHeight="1" x14ac:dyDescent="0.3">
      <c r="A8838" s="1">
        <v>2</v>
      </c>
      <c r="B8838" s="1" t="s">
        <v>7121</v>
      </c>
      <c r="C8838" s="1" t="str">
        <f ca="1">IFERROR(__xludf.DUMMYFUNCTION("GOOGLETRANSLATE(B8974,""en"",""ja"")"),"釣り")</f>
        <v>釣り</v>
      </c>
    </row>
    <row r="8839" spans="1:3" ht="18" customHeight="1" x14ac:dyDescent="0.3">
      <c r="A8839" s="1">
        <v>2</v>
      </c>
      <c r="B8839" s="1" t="s">
        <v>7122</v>
      </c>
      <c r="C8839" s="1" t="str">
        <f ca="1">IFERROR(__xludf.DUMMYFUNCTION("GOOGLETRANSLATE(B8975,""en"",""ja"")"),"より強固な")</f>
        <v>より強固な</v>
      </c>
    </row>
    <row r="8840" spans="1:3" ht="18" customHeight="1" x14ac:dyDescent="0.3">
      <c r="A8840" s="1">
        <v>2</v>
      </c>
      <c r="B8840" s="1" t="s">
        <v>6102</v>
      </c>
      <c r="C8840" s="1" t="str">
        <f ca="1">IFERROR(__xludf.DUMMYFUNCTION("GOOGLETRANSLATE(B8976,""en"",""ja"")"),"当社")</f>
        <v>当社</v>
      </c>
    </row>
    <row r="8841" spans="1:3" ht="18" customHeight="1" x14ac:dyDescent="0.3">
      <c r="A8841" s="1">
        <v>2</v>
      </c>
      <c r="B8841" s="1" t="s">
        <v>7123</v>
      </c>
      <c r="C8841" s="1" t="str">
        <f ca="1">IFERROR(__xludf.DUMMYFUNCTION("GOOGLETRANSLATE(B8977,""en"",""ja"")"),"花火")</f>
        <v>花火</v>
      </c>
    </row>
    <row r="8842" spans="1:3" ht="18" customHeight="1" x14ac:dyDescent="0.3">
      <c r="A8842" s="1">
        <v>2</v>
      </c>
      <c r="B8842" s="1" t="s">
        <v>7124</v>
      </c>
      <c r="C8842" s="1" t="str">
        <f ca="1">IFERROR(__xludf.DUMMYFUNCTION("GOOGLETRANSLATE(B8978,""en"",""ja"")"),"仕上がり")</f>
        <v>仕上がり</v>
      </c>
    </row>
    <row r="8843" spans="1:3" ht="18" customHeight="1" x14ac:dyDescent="0.3">
      <c r="A8843" s="1">
        <v>2</v>
      </c>
      <c r="B8843" s="1" t="s">
        <v>1205</v>
      </c>
      <c r="C8843" s="1" t="str">
        <f ca="1">IFERROR(__xludf.DUMMYFUNCTION("GOOGLETRANSLATE(B8979,""en"",""ja"")"),"罰金")</f>
        <v>罰金</v>
      </c>
    </row>
    <row r="8844" spans="1:3" ht="18" customHeight="1" x14ac:dyDescent="0.3">
      <c r="A8844" s="1">
        <v>2</v>
      </c>
      <c r="B8844" s="1" t="s">
        <v>7125</v>
      </c>
      <c r="C8844" s="1" t="str">
        <f ca="1">IFERROR(__xludf.DUMMYFUNCTION("GOOGLETRANSLATE(B8980,""en"",""ja"")"),"フィルタリング")</f>
        <v>フィルタリング</v>
      </c>
    </row>
    <row r="8845" spans="1:3" ht="18" customHeight="1" x14ac:dyDescent="0.3">
      <c r="A8845" s="1">
        <v>2</v>
      </c>
      <c r="B8845" s="1" t="s">
        <v>7126</v>
      </c>
      <c r="C8845" s="1" t="str">
        <f ca="1">IFERROR(__xludf.DUMMYFUNCTION("GOOGLETRANSLATE(B8981,""en"",""ja"")"),"フィギュア")</f>
        <v>フィギュア</v>
      </c>
    </row>
    <row r="8846" spans="1:3" ht="18" customHeight="1" x14ac:dyDescent="0.3">
      <c r="A8846" s="1">
        <v>2</v>
      </c>
      <c r="B8846" s="1" t="s">
        <v>7127</v>
      </c>
      <c r="C8846" s="1" t="str">
        <f ca="1">IFERROR(__xludf.DUMMYFUNCTION("GOOGLETRANSLATE(B8982,""en"",""ja"")"),"五十")</f>
        <v>五十</v>
      </c>
    </row>
    <row r="8847" spans="1:3" ht="18" customHeight="1" x14ac:dyDescent="0.3">
      <c r="A8847" s="1">
        <v>2</v>
      </c>
      <c r="B8847" s="1" t="s">
        <v>7128</v>
      </c>
      <c r="C8847" s="1" t="str">
        <f ca="1">IFERROR(__xludf.DUMMYFUNCTION("GOOGLETRANSLATE(B8983,""en"",""ja"")"),"激しい")</f>
        <v>激しい</v>
      </c>
    </row>
    <row r="8848" spans="1:3" ht="18" customHeight="1" x14ac:dyDescent="0.3">
      <c r="A8848" s="1">
        <v>2</v>
      </c>
      <c r="B8848" s="1" t="s">
        <v>4053</v>
      </c>
      <c r="C8848" s="1" t="str">
        <f ca="1">IFERROR(__xludf.DUMMYFUNCTION("GOOGLETRANSLATE(B8984,""en"",""ja"")"),"フォイエルバッハ")</f>
        <v>フォイエルバッハ</v>
      </c>
    </row>
    <row r="8849" spans="1:3" ht="18" customHeight="1" x14ac:dyDescent="0.3">
      <c r="A8849" s="1">
        <v>2</v>
      </c>
      <c r="B8849" s="1" t="s">
        <v>7129</v>
      </c>
      <c r="C8849" s="1" t="str">
        <f ca="1">IFERROR(__xludf.DUMMYFUNCTION("GOOGLETRANSLATE(B8985,""en"",""ja"")"),"足枷")</f>
        <v>足枷</v>
      </c>
    </row>
    <row r="8850" spans="1:3" ht="18" customHeight="1" x14ac:dyDescent="0.3">
      <c r="A8850" s="1">
        <v>2</v>
      </c>
      <c r="B8850" s="1" t="s">
        <v>3546</v>
      </c>
      <c r="C8850" s="1" t="str">
        <f ca="1">IFERROR(__xludf.DUMMYFUNCTION("GOOGLETRANSLATE(B8986,""en"",""ja"")"),"熟成")</f>
        <v>熟成</v>
      </c>
    </row>
    <row r="8851" spans="1:3" ht="18" customHeight="1" x14ac:dyDescent="0.3">
      <c r="A8851" s="1">
        <v>2</v>
      </c>
      <c r="B8851" s="1" t="s">
        <v>7130</v>
      </c>
      <c r="C8851" s="1" t="str">
        <f ca="1">IFERROR(__xludf.DUMMYFUNCTION("GOOGLETRANSLATE(B8987,""en"",""ja"")"),"落ちました")</f>
        <v>落ちました</v>
      </c>
    </row>
    <row r="8852" spans="1:3" ht="18" customHeight="1" x14ac:dyDescent="0.3">
      <c r="A8852" s="1">
        <v>2</v>
      </c>
      <c r="B8852" s="1" t="s">
        <v>7131</v>
      </c>
      <c r="C8852" s="1" t="str">
        <f ca="1">IFERROR(__xludf.DUMMYFUNCTION("GOOGLETRANSLATE(B8988,""en"",""ja"")"),"フィードバック")</f>
        <v>フィードバック</v>
      </c>
    </row>
    <row r="8853" spans="1:3" ht="18" customHeight="1" x14ac:dyDescent="0.3">
      <c r="A8853" s="1">
        <v>2</v>
      </c>
      <c r="B8853" s="1" t="s">
        <v>7132</v>
      </c>
      <c r="C8853" s="1" t="str">
        <f ca="1">IFERROR(__xludf.DUMMYFUNCTION("GOOGLETRANSLATE(B8989,""en"",""ja"")"),"恐れ")</f>
        <v>恐れ</v>
      </c>
    </row>
    <row r="8854" spans="1:3" ht="18" customHeight="1" x14ac:dyDescent="0.3">
      <c r="A8854" s="1">
        <v>2</v>
      </c>
      <c r="B8854" s="1" t="s">
        <v>1471</v>
      </c>
      <c r="C8854" s="1" t="str">
        <f ca="1">IFERROR(__xludf.DUMMYFUNCTION("GOOGLETRANSLATE(B8990,""en"",""ja"")"),"恐れ")</f>
        <v>恐れ</v>
      </c>
    </row>
    <row r="8855" spans="1:3" ht="18" customHeight="1" x14ac:dyDescent="0.3">
      <c r="A8855" s="1">
        <v>2</v>
      </c>
      <c r="B8855" s="1" t="s">
        <v>777</v>
      </c>
      <c r="C8855" s="1" t="str">
        <f ca="1">IFERROR(__xludf.DUMMYFUNCTION("GOOGLETRANSLATE(B8991,""en"",""ja"")"),"好意")</f>
        <v>好意</v>
      </c>
    </row>
    <row r="8856" spans="1:3" ht="18" customHeight="1" x14ac:dyDescent="0.3">
      <c r="A8856" s="1">
        <v>2</v>
      </c>
      <c r="B8856" s="1" t="s">
        <v>7133</v>
      </c>
      <c r="C8856" s="1" t="str">
        <f ca="1">IFERROR(__xludf.DUMMYFUNCTION("GOOGLETRANSLATE(B8992,""en"",""ja"")"),"肥え")</f>
        <v>肥え</v>
      </c>
    </row>
    <row r="8857" spans="1:3" ht="18" customHeight="1" x14ac:dyDescent="0.3">
      <c r="A8857" s="1">
        <v>2</v>
      </c>
      <c r="B8857" s="1" t="s">
        <v>2408</v>
      </c>
      <c r="C8857" s="1" t="str">
        <f ca="1">IFERROR(__xludf.DUMMYFUNCTION("GOOGLETRANSLATE(B8993,""en"",""ja"")"),"ファッション")</f>
        <v>ファッション</v>
      </c>
    </row>
    <row r="8858" spans="1:3" ht="18" customHeight="1" x14ac:dyDescent="0.3">
      <c r="A8858" s="1">
        <v>2</v>
      </c>
      <c r="B8858" s="1" t="s">
        <v>7134</v>
      </c>
      <c r="C8858" s="1" t="str">
        <f ca="1">IFERROR(__xludf.DUMMYFUNCTION("GOOGLETRANSLATE(B8994,""en"",""ja"")"),"魅力的")</f>
        <v>魅力的</v>
      </c>
    </row>
    <row r="8859" spans="1:3" ht="18" customHeight="1" x14ac:dyDescent="0.3">
      <c r="A8859" s="1">
        <v>2</v>
      </c>
      <c r="B8859" s="1" t="s">
        <v>7135</v>
      </c>
      <c r="C8859" s="1" t="str">
        <f ca="1">IFERROR(__xludf.DUMMYFUNCTION("GOOGLETRANSLATE(B8995,""en"",""ja"")"),"偽造")</f>
        <v>偽造</v>
      </c>
    </row>
    <row r="8860" spans="1:3" ht="18" customHeight="1" x14ac:dyDescent="0.3">
      <c r="A8860" s="1">
        <v>2</v>
      </c>
      <c r="B8860" s="1" t="s">
        <v>7136</v>
      </c>
      <c r="C8860" s="1" t="str">
        <f ca="1">IFERROR(__xludf.DUMMYFUNCTION("GOOGLETRANSLATE(B8996,""en"",""ja"")"),"落ち")</f>
        <v>落ち</v>
      </c>
    </row>
    <row r="8861" spans="1:3" ht="18" customHeight="1" x14ac:dyDescent="0.3">
      <c r="A8861" s="1">
        <v>2</v>
      </c>
      <c r="B8861" s="1" t="s">
        <v>1820</v>
      </c>
      <c r="C8861" s="1" t="str">
        <f ca="1">IFERROR(__xludf.DUMMYFUNCTION("GOOGLETRANSLATE(B8997,""en"",""ja"")"),"秋")</f>
        <v>秋</v>
      </c>
    </row>
    <row r="8862" spans="1:3" ht="18" customHeight="1" x14ac:dyDescent="0.3">
      <c r="A8862" s="1">
        <v>2</v>
      </c>
      <c r="B8862" s="1" t="s">
        <v>7137</v>
      </c>
      <c r="C8862" s="1" t="str">
        <f ca="1">IFERROR(__xludf.DUMMYFUNCTION("GOOGLETRANSLATE(B8998,""en"",""ja"")"),"信仰")</f>
        <v>信仰</v>
      </c>
    </row>
    <row r="8863" spans="1:3" ht="18" customHeight="1" x14ac:dyDescent="0.3">
      <c r="A8863" s="1">
        <v>2</v>
      </c>
      <c r="B8863" s="1" t="s">
        <v>3559</v>
      </c>
      <c r="C8863" s="1" t="str">
        <f ca="1">IFERROR(__xludf.DUMMYFUNCTION("GOOGLETRANSLATE(B8999,""en"",""ja"")"),"小面")</f>
        <v>小面</v>
      </c>
    </row>
    <row r="8864" spans="1:3" ht="18" customHeight="1" x14ac:dyDescent="0.3">
      <c r="A8864" s="1">
        <v>2</v>
      </c>
      <c r="B8864" s="1" t="s">
        <v>7138</v>
      </c>
      <c r="C8864" s="1" t="str">
        <f ca="1">IFERROR(__xludf.DUMMYFUNCTION("GOOGLETRANSLATE(B9000,""en"",""ja"")"),"facebooks")</f>
        <v>facebooks</v>
      </c>
    </row>
    <row r="8865" spans="1:3" ht="18" customHeight="1" x14ac:dyDescent="0.3">
      <c r="A8865" s="1">
        <v>2</v>
      </c>
      <c r="B8865" s="1" t="s">
        <v>6130</v>
      </c>
      <c r="C8865" s="1" t="str">
        <f ca="1">IFERROR(__xludf.DUMMYFUNCTION("GOOGLETRANSLATE(B9001,""en"",""ja"")"),"ファサード")</f>
        <v>ファサード</v>
      </c>
    </row>
    <row r="8866" spans="1:3" ht="18" customHeight="1" x14ac:dyDescent="0.3">
      <c r="A8866" s="1">
        <v>2</v>
      </c>
      <c r="B8866" s="1" t="s">
        <v>3038</v>
      </c>
      <c r="C8866" s="1" t="str">
        <f ca="1">IFERROR(__xludf.DUMMYFUNCTION("GOOGLETRANSLATE(B9002,""en"",""ja"")"),"外因")</f>
        <v>外因</v>
      </c>
    </row>
    <row r="8867" spans="1:3" ht="18" customHeight="1" x14ac:dyDescent="0.3">
      <c r="A8867" s="1">
        <v>2</v>
      </c>
      <c r="B8867" s="1" t="s">
        <v>7139</v>
      </c>
      <c r="C8867" s="1" t="str">
        <f ca="1">IFERROR(__xludf.DUMMYFUNCTION("GOOGLETRANSLATE(B9003,""en"",""ja"")"),"広範囲")</f>
        <v>広範囲</v>
      </c>
    </row>
    <row r="8868" spans="1:3" ht="18" customHeight="1" x14ac:dyDescent="0.3">
      <c r="A8868" s="1">
        <v>2</v>
      </c>
      <c r="B8868" s="1" t="s">
        <v>7140</v>
      </c>
      <c r="C8868" s="1" t="str">
        <f ca="1">IFERROR(__xludf.DUMMYFUNCTION("GOOGLETRANSLATE(B9004,""en"",""ja"")"),"延伸")</f>
        <v>延伸</v>
      </c>
    </row>
    <row r="8869" spans="1:3" ht="18" customHeight="1" x14ac:dyDescent="0.3">
      <c r="A8869" s="1">
        <v>2</v>
      </c>
      <c r="B8869" s="1" t="s">
        <v>7141</v>
      </c>
      <c r="C8869" s="1" t="str">
        <f ca="1">IFERROR(__xludf.DUMMYFUNCTION("GOOGLETRANSLATE(B9005,""en"",""ja"")"),"表現")</f>
        <v>表現</v>
      </c>
    </row>
    <row r="8870" spans="1:3" ht="18" customHeight="1" x14ac:dyDescent="0.3">
      <c r="A8870" s="1">
        <v>2</v>
      </c>
      <c r="B8870" s="1" t="s">
        <v>3563</v>
      </c>
      <c r="C8870" s="1" t="str">
        <f ca="1">IFERROR(__xludf.DUMMYFUNCTION("GOOGLETRANSLATE(B9006,""en"",""ja"")"),"爆発的")</f>
        <v>爆発的</v>
      </c>
    </row>
    <row r="8871" spans="1:3" ht="18" customHeight="1" x14ac:dyDescent="0.3">
      <c r="A8871" s="1">
        <v>2</v>
      </c>
      <c r="B8871" s="1" t="s">
        <v>7142</v>
      </c>
      <c r="C8871" s="1" t="str">
        <f ca="1">IFERROR(__xludf.DUMMYFUNCTION("GOOGLETRANSLATE(B9007,""en"",""ja"")"),"爆発")</f>
        <v>爆発</v>
      </c>
    </row>
    <row r="8872" spans="1:3" ht="18" customHeight="1" x14ac:dyDescent="0.3">
      <c r="A8872" s="1">
        <v>2</v>
      </c>
      <c r="B8872" s="1" t="s">
        <v>7143</v>
      </c>
      <c r="C8872" s="1" t="str">
        <f ca="1">IFERROR(__xludf.DUMMYFUNCTION("GOOGLETRANSLATE(B9008,""en"",""ja"")"),"悪用")</f>
        <v>悪用</v>
      </c>
    </row>
    <row r="8873" spans="1:3" ht="18" customHeight="1" x14ac:dyDescent="0.3">
      <c r="A8873" s="1">
        <v>2</v>
      </c>
      <c r="B8873" s="1" t="s">
        <v>7144</v>
      </c>
      <c r="C8873" s="1" t="str">
        <f ca="1">IFERROR(__xludf.DUMMYFUNCTION("GOOGLETRANSLATE(B9009,""en"",""ja"")"),"示す")</f>
        <v>示す</v>
      </c>
    </row>
    <row r="8874" spans="1:3" ht="18" customHeight="1" x14ac:dyDescent="0.3">
      <c r="A8874" s="1">
        <v>2</v>
      </c>
      <c r="B8874" s="1" t="s">
        <v>3567</v>
      </c>
      <c r="C8874" s="1" t="str">
        <f ca="1">IFERROR(__xludf.DUMMYFUNCTION("GOOGLETRANSLATE(B9010,""en"",""ja"")"),"発揮")</f>
        <v>発揮</v>
      </c>
    </row>
    <row r="8875" spans="1:3" ht="18" customHeight="1" x14ac:dyDescent="0.3">
      <c r="A8875" s="1">
        <v>2</v>
      </c>
      <c r="B8875" s="1" t="s">
        <v>7145</v>
      </c>
      <c r="C8875" s="1" t="str">
        <f ca="1">IFERROR(__xludf.DUMMYFUNCTION("GOOGLETRANSLATE(B9011,""en"",""ja"")"),"検討")</f>
        <v>検討</v>
      </c>
    </row>
    <row r="8876" spans="1:3" ht="18" customHeight="1" x14ac:dyDescent="0.3">
      <c r="A8876" s="1">
        <v>2</v>
      </c>
      <c r="B8876" s="1" t="s">
        <v>7146</v>
      </c>
      <c r="C8876" s="1" t="str">
        <f ca="1">IFERROR(__xludf.DUMMYFUNCTION("GOOGLETRANSLATE(B9012,""en"",""ja"")"),"誇張する")</f>
        <v>誇張する</v>
      </c>
    </row>
    <row r="8877" spans="1:3" ht="18" customHeight="1" x14ac:dyDescent="0.3">
      <c r="A8877" s="1">
        <v>2</v>
      </c>
      <c r="B8877" s="1" t="s">
        <v>7147</v>
      </c>
      <c r="C8877" s="1" t="str">
        <f ca="1">IFERROR(__xludf.DUMMYFUNCTION("GOOGLETRANSLATE(B9013,""en"",""ja"")"),"EX")</f>
        <v>EX</v>
      </c>
    </row>
    <row r="8878" spans="1:3" ht="18" customHeight="1" x14ac:dyDescent="0.3">
      <c r="A8878" s="1">
        <v>2</v>
      </c>
      <c r="B8878" s="1" t="s">
        <v>7148</v>
      </c>
      <c r="C8878" s="1" t="str">
        <f ca="1">IFERROR(__xludf.DUMMYFUNCTION("GOOGLETRANSLATE(B9014,""en"",""ja"")"),"進化")</f>
        <v>進化</v>
      </c>
    </row>
    <row r="8879" spans="1:3" ht="18" customHeight="1" x14ac:dyDescent="0.3">
      <c r="A8879" s="1">
        <v>2</v>
      </c>
      <c r="B8879" s="1" t="s">
        <v>4063</v>
      </c>
      <c r="C8879" s="1" t="str">
        <f ca="1">IFERROR(__xludf.DUMMYFUNCTION("GOOGLETRANSLATE(B9015,""en"",""ja"")"),"想起")</f>
        <v>想起</v>
      </c>
    </row>
    <row r="8880" spans="1:3" ht="18" customHeight="1" x14ac:dyDescent="0.3">
      <c r="A8880" s="1">
        <v>2</v>
      </c>
      <c r="B8880" s="1" t="s">
        <v>7149</v>
      </c>
      <c r="C8880" s="1" t="str">
        <f ca="1">IFERROR(__xludf.DUMMYFUNCTION("GOOGLETRANSLATE(B9016,""en"",""ja"")"),"証明")</f>
        <v>証明</v>
      </c>
    </row>
    <row r="8881" spans="1:3" ht="18" customHeight="1" x14ac:dyDescent="0.3">
      <c r="A8881" s="1">
        <v>2</v>
      </c>
      <c r="B8881" s="1" t="s">
        <v>7150</v>
      </c>
      <c r="C8881" s="1" t="str">
        <f ca="1">IFERROR(__xludf.DUMMYFUNCTION("GOOGLETRANSLATE(B9017,""en"",""ja"")"),"eventhoughtheworld")</f>
        <v>eventhoughtheworld</v>
      </c>
    </row>
    <row r="8882" spans="1:3" ht="18" customHeight="1" x14ac:dyDescent="0.3">
      <c r="A8882" s="1">
        <v>2</v>
      </c>
      <c r="B8882" s="1" t="s">
        <v>7151</v>
      </c>
      <c r="C8882" s="1" t="str">
        <f ca="1">IFERROR(__xludf.DUMMYFUNCTION("GOOGLETRANSLATE(B9018,""en"",""ja"")"),"評価")</f>
        <v>評価</v>
      </c>
    </row>
    <row r="8883" spans="1:3" ht="18" customHeight="1" x14ac:dyDescent="0.3">
      <c r="A8883" s="1">
        <v>2</v>
      </c>
      <c r="B8883" s="1" t="s">
        <v>7152</v>
      </c>
      <c r="C8883" s="1" t="str">
        <f ca="1">IFERROR(__xludf.DUMMYFUNCTION("GOOGLETRANSLATE(B9020,""en"",""ja"")"),"EU")</f>
        <v>EU</v>
      </c>
    </row>
    <row r="8884" spans="1:3" ht="18" customHeight="1" x14ac:dyDescent="0.3">
      <c r="A8884" s="1">
        <v>2</v>
      </c>
      <c r="B8884" s="1" t="s">
        <v>7153</v>
      </c>
      <c r="C8884" s="1" t="str">
        <f ca="1">IFERROR(__xludf.DUMMYFUNCTION("GOOGLETRANSLATE(B9021,""en"",""ja"")"),"エチケット")</f>
        <v>エチケット</v>
      </c>
    </row>
    <row r="8885" spans="1:3" ht="18" customHeight="1" x14ac:dyDescent="0.3">
      <c r="A8885" s="1">
        <v>2</v>
      </c>
      <c r="B8885" s="1" t="s">
        <v>958</v>
      </c>
      <c r="C8885" s="1" t="str">
        <f ca="1">IFERROR(__xludf.DUMMYFUNCTION("GOOGLETRANSLATE(B9022,""en"",""ja"")"),"エッセンス")</f>
        <v>エッセンス</v>
      </c>
    </row>
    <row r="8886" spans="1:3" ht="18" customHeight="1" x14ac:dyDescent="0.3">
      <c r="A8886" s="1">
        <v>2</v>
      </c>
      <c r="B8886" s="1" t="s">
        <v>7154</v>
      </c>
      <c r="C8886" s="1" t="str">
        <f ca="1">IFERROR(__xludf.DUMMYFUNCTION("GOOGLETRANSLATE(B9023,""en"",""ja"")"),"espouses")</f>
        <v>espouses</v>
      </c>
    </row>
    <row r="8887" spans="1:3" ht="18" customHeight="1" x14ac:dyDescent="0.3">
      <c r="A8887" s="1">
        <v>2</v>
      </c>
      <c r="B8887" s="1" t="s">
        <v>7155</v>
      </c>
      <c r="C8887" s="1" t="str">
        <f ca="1">IFERROR(__xludf.DUMMYFUNCTION("GOOGLETRANSLATE(B9024,""en"",""ja"")"),"支持します")</f>
        <v>支持します</v>
      </c>
    </row>
    <row r="8888" spans="1:3" ht="18" customHeight="1" x14ac:dyDescent="0.3">
      <c r="A8888" s="1">
        <v>2</v>
      </c>
      <c r="B8888" s="1" t="s">
        <v>471</v>
      </c>
      <c r="C8888" s="1" t="str">
        <f ca="1">IFERROR(__xludf.DUMMYFUNCTION("GOOGLETRANSLATE(B9025,""en"",""ja"")"),"特に")</f>
        <v>特に</v>
      </c>
    </row>
    <row r="8889" spans="1:3" ht="18" customHeight="1" x14ac:dyDescent="0.3">
      <c r="A8889" s="1">
        <v>2</v>
      </c>
      <c r="B8889" s="1" t="s">
        <v>4880</v>
      </c>
      <c r="C8889" s="1" t="str">
        <f ca="1">IFERROR(__xludf.DUMMYFUNCTION("GOOGLETRANSLATE(B9026,""en"",""ja"")"),"抹消")</f>
        <v>抹消</v>
      </c>
    </row>
    <row r="8890" spans="1:3" ht="18" customHeight="1" x14ac:dyDescent="0.3">
      <c r="A8890" s="1">
        <v>2</v>
      </c>
      <c r="B8890" s="1" t="s">
        <v>7156</v>
      </c>
      <c r="C8890" s="1" t="str">
        <f ca="1">IFERROR(__xludf.DUMMYFUNCTION("GOOGLETRANSLATE(B9027,""en"",""ja"")"),"equilib")</f>
        <v>equilib</v>
      </c>
    </row>
    <row r="8891" spans="1:3" ht="18" customHeight="1" x14ac:dyDescent="0.3">
      <c r="A8891" s="1">
        <v>2</v>
      </c>
      <c r="B8891" s="1" t="s">
        <v>7157</v>
      </c>
      <c r="C8891" s="1" t="str">
        <f ca="1">IFERROR(__xludf.DUMMYFUNCTION("GOOGLETRANSLATE(B9028,""en"",""ja"")"),"エピデミック")</f>
        <v>エピデミック</v>
      </c>
    </row>
    <row r="8892" spans="1:3" ht="18" customHeight="1" x14ac:dyDescent="0.3">
      <c r="A8892" s="1">
        <v>2</v>
      </c>
      <c r="B8892" s="1" t="s">
        <v>7158</v>
      </c>
      <c r="C8892" s="1" t="str">
        <f ca="1">IFERROR(__xludf.DUMMYFUNCTION("GOOGLETRANSLATE(B9029,""en"",""ja"")"),"想定")</f>
        <v>想定</v>
      </c>
    </row>
    <row r="8893" spans="1:3" ht="18" customHeight="1" x14ac:dyDescent="0.3">
      <c r="A8893" s="1">
        <v>2</v>
      </c>
      <c r="B8893" s="1" t="s">
        <v>7159</v>
      </c>
      <c r="C8893" s="1" t="str">
        <f ca="1">IFERROR(__xludf.DUMMYFUNCTION("GOOGLETRANSLATE(B9030,""en"",""ja"")"),"環境保護")</f>
        <v>環境保護</v>
      </c>
    </row>
    <row r="8894" spans="1:3" ht="18" customHeight="1" x14ac:dyDescent="0.3">
      <c r="A8894" s="1">
        <v>2</v>
      </c>
      <c r="B8894" s="1" t="s">
        <v>7160</v>
      </c>
      <c r="C8894" s="1" t="str">
        <f ca="1">IFERROR(__xludf.DUMMYFUNCTION("GOOGLETRANSLATE(B9031,""en"",""ja"")"),"環境保護の")</f>
        <v>環境保護の</v>
      </c>
    </row>
    <row r="8895" spans="1:3" ht="18" customHeight="1" x14ac:dyDescent="0.3">
      <c r="A8895" s="1">
        <v>2</v>
      </c>
      <c r="B8895" s="1" t="s">
        <v>7161</v>
      </c>
      <c r="C8895" s="1" t="str">
        <f ca="1">IFERROR(__xludf.DUMMYFUNCTION("GOOGLETRANSLATE(B9032,""en"",""ja"")"),"委ねます")</f>
        <v>委ねます</v>
      </c>
    </row>
    <row r="8896" spans="1:3" ht="18" customHeight="1" x14ac:dyDescent="0.3">
      <c r="A8896" s="1">
        <v>2</v>
      </c>
      <c r="B8896" s="1" t="s">
        <v>7162</v>
      </c>
      <c r="C8896" s="1" t="str">
        <f ca="1">IFERROR(__xludf.DUMMYFUNCTION("GOOGLETRANSLATE(B9033,""en"",""ja"")"),"ざんごうで囲みます")</f>
        <v>ざんごうで囲みます</v>
      </c>
    </row>
    <row r="8897" spans="1:3" ht="18" customHeight="1" x14ac:dyDescent="0.3">
      <c r="A8897" s="1">
        <v>2</v>
      </c>
      <c r="B8897" s="1" t="s">
        <v>7163</v>
      </c>
      <c r="C8897" s="1" t="str">
        <f ca="1">IFERROR(__xludf.DUMMYFUNCTION("GOOGLETRANSLATE(B9034,""en"",""ja"")"),"熱心な")</f>
        <v>熱心な</v>
      </c>
    </row>
    <row r="8898" spans="1:3" ht="18" customHeight="1" x14ac:dyDescent="0.3">
      <c r="A8898" s="1">
        <v>2</v>
      </c>
      <c r="B8898" s="1" t="s">
        <v>7164</v>
      </c>
      <c r="C8898" s="1" t="str">
        <f ca="1">IFERROR(__xludf.DUMMYFUNCTION("GOOGLETRANSLATE(B9035,""en"",""ja"")"),"結果として起きます")</f>
        <v>結果として起きます</v>
      </c>
    </row>
    <row r="8899" spans="1:3" ht="18" customHeight="1" x14ac:dyDescent="0.3">
      <c r="A8899" s="1">
        <v>2</v>
      </c>
      <c r="B8899" s="1" t="s">
        <v>7165</v>
      </c>
      <c r="C8899" s="1" t="str">
        <f ca="1">IFERROR(__xludf.DUMMYFUNCTION("GOOGLETRANSLATE(B9036,""en"",""ja"")"),"楽しみ")</f>
        <v>楽しみ</v>
      </c>
    </row>
    <row r="8900" spans="1:3" ht="18" customHeight="1" x14ac:dyDescent="0.3">
      <c r="A8900" s="1">
        <v>2</v>
      </c>
      <c r="B8900" s="1" t="s">
        <v>4070</v>
      </c>
      <c r="C8900" s="1" t="str">
        <f ca="1">IFERROR(__xludf.DUMMYFUNCTION("GOOGLETRANSLATE(B9037,""en"",""ja"")"),"イングランド")</f>
        <v>イングランド</v>
      </c>
    </row>
    <row r="8901" spans="1:3" ht="18" customHeight="1" x14ac:dyDescent="0.3">
      <c r="A8901" s="1">
        <v>2</v>
      </c>
      <c r="B8901" s="1" t="s">
        <v>7166</v>
      </c>
      <c r="C8901" s="1" t="str">
        <f ca="1">IFERROR(__xludf.DUMMYFUNCTION("GOOGLETRANSLATE(B9038,""en"",""ja"")"),"エンゲージメント")</f>
        <v>エンゲージメント</v>
      </c>
    </row>
    <row r="8902" spans="1:3" ht="18" customHeight="1" x14ac:dyDescent="0.3">
      <c r="A8902" s="1">
        <v>2</v>
      </c>
      <c r="B8902" s="1" t="s">
        <v>1142</v>
      </c>
      <c r="C8902" s="1" t="str">
        <f ca="1">IFERROR(__xludf.DUMMYFUNCTION("GOOGLETRANSLATE(B9039,""en"",""ja"")"),"従事する")</f>
        <v>従事する</v>
      </c>
    </row>
    <row r="8903" spans="1:3" ht="18" customHeight="1" x14ac:dyDescent="0.3">
      <c r="A8903" s="1">
        <v>2</v>
      </c>
      <c r="B8903" s="1" t="s">
        <v>4892</v>
      </c>
      <c r="C8903" s="1" t="str">
        <f ca="1">IFERROR(__xludf.DUMMYFUNCTION("GOOGLETRANSLATE(B9040,""en"",""ja"")"),"エネルギッシュな")</f>
        <v>エネルギッシュな</v>
      </c>
    </row>
    <row r="8904" spans="1:3" ht="18" customHeight="1" x14ac:dyDescent="0.3">
      <c r="A8904" s="1">
        <v>2</v>
      </c>
      <c r="B8904" s="1" t="s">
        <v>1967</v>
      </c>
      <c r="C8904" s="1" t="str">
        <f ca="1">IFERROR(__xludf.DUMMYFUNCTION("GOOGLETRANSLATE(B9041,""en"",""ja"")"),"敵")</f>
        <v>敵</v>
      </c>
    </row>
    <row r="8905" spans="1:3" ht="18" customHeight="1" x14ac:dyDescent="0.3">
      <c r="A8905" s="1">
        <v>2</v>
      </c>
      <c r="B8905" s="1" t="s">
        <v>7167</v>
      </c>
      <c r="C8905" s="1" t="str">
        <f ca="1">IFERROR(__xludf.DUMMYFUNCTION("GOOGLETRANSLATE(B9042,""en"",""ja"")"),"与える")</f>
        <v>与える</v>
      </c>
    </row>
    <row r="8906" spans="1:3" ht="18" customHeight="1" x14ac:dyDescent="0.3">
      <c r="A8906" s="1">
        <v>2</v>
      </c>
      <c r="B8906" s="1" t="s">
        <v>6174</v>
      </c>
      <c r="C8906" s="1" t="str">
        <f ca="1">IFERROR(__xludf.DUMMYFUNCTION("GOOGLETRANSLATE(B9043,""en"",""ja"")"),"危険にさらします")</f>
        <v>危険にさらします</v>
      </c>
    </row>
    <row r="8907" spans="1:3" ht="18" customHeight="1" x14ac:dyDescent="0.3">
      <c r="A8907" s="1">
        <v>2</v>
      </c>
      <c r="B8907" s="1" t="s">
        <v>7168</v>
      </c>
      <c r="C8907" s="1" t="str">
        <f ca="1">IFERROR(__xludf.DUMMYFUNCTION("GOOGLETRANSLATE(B9044,""en"",""ja"")"),"包含されます")</f>
        <v>包含されます</v>
      </c>
    </row>
    <row r="8908" spans="1:3" ht="18" customHeight="1" x14ac:dyDescent="0.3">
      <c r="A8908" s="1">
        <v>2</v>
      </c>
      <c r="B8908" s="1" t="s">
        <v>7169</v>
      </c>
      <c r="C8908" s="1" t="str">
        <f ca="1">IFERROR(__xludf.DUMMYFUNCTION("GOOGLETRANSLATE(B9045,""en"",""ja"")"),"エンコード")</f>
        <v>エンコード</v>
      </c>
    </row>
    <row r="8909" spans="1:3" ht="18" customHeight="1" x14ac:dyDescent="0.3">
      <c r="A8909" s="1">
        <v>2</v>
      </c>
      <c r="B8909" s="1" t="s">
        <v>7170</v>
      </c>
      <c r="C8909" s="1" t="str">
        <f ca="1">IFERROR(__xludf.DUMMYFUNCTION("GOOGLETRANSLATE(B9046,""en"",""ja"")"),"取り囲み")</f>
        <v>取り囲み</v>
      </c>
    </row>
    <row r="8910" spans="1:3" ht="18" customHeight="1" x14ac:dyDescent="0.3">
      <c r="A8910" s="1">
        <v>2</v>
      </c>
      <c r="B8910" s="1" t="s">
        <v>7171</v>
      </c>
      <c r="C8910" s="1" t="str">
        <f ca="1">IFERROR(__xludf.DUMMYFUNCTION("GOOGLETRANSLATE(B9047,""en"",""ja"")"),"ENCE")</f>
        <v>ENCE</v>
      </c>
    </row>
    <row r="8911" spans="1:3" ht="18" customHeight="1" x14ac:dyDescent="0.3">
      <c r="A8911" s="1">
        <v>2</v>
      </c>
      <c r="B8911" s="1" t="s">
        <v>7172</v>
      </c>
      <c r="C8911" s="1" t="str">
        <f ca="1">IFERROR(__xludf.DUMMYFUNCTION("GOOGLETRANSLATE(B9048,""en"",""ja"")"),"包みます")</f>
        <v>包みます</v>
      </c>
    </row>
    <row r="8912" spans="1:3" ht="18" customHeight="1" x14ac:dyDescent="0.3">
      <c r="A8912" s="1">
        <v>2</v>
      </c>
      <c r="B8912" s="1" t="s">
        <v>7173</v>
      </c>
      <c r="C8912" s="1" t="str">
        <f ca="1">IFERROR(__xludf.DUMMYFUNCTION("GOOGLETRANSLATE(B9049,""en"",""ja"")"),"エン")</f>
        <v>エン</v>
      </c>
    </row>
    <row r="8913" spans="1:3" ht="18" customHeight="1" x14ac:dyDescent="0.3">
      <c r="A8913" s="1">
        <v>2</v>
      </c>
      <c r="B8913" s="1" t="s">
        <v>4901</v>
      </c>
      <c r="C8913" s="1" t="str">
        <f ca="1">IFERROR(__xludf.DUMMYFUNCTION("GOOGLETRANSLATE(B9050,""en"",""ja"")"),"エミュレート")</f>
        <v>エミュレート</v>
      </c>
    </row>
    <row r="8914" spans="1:3" ht="18" customHeight="1" x14ac:dyDescent="0.3">
      <c r="A8914" s="1">
        <v>2</v>
      </c>
      <c r="B8914" s="1" t="s">
        <v>7174</v>
      </c>
      <c r="C8914" s="1" t="str">
        <f ca="1">IFERROR(__xludf.DUMMYFUNCTION("GOOGLETRANSLATE(B9051,""en"",""ja"")"),"空の")</f>
        <v>空の</v>
      </c>
    </row>
    <row r="8915" spans="1:3" ht="18" customHeight="1" x14ac:dyDescent="0.3">
      <c r="A8915" s="1">
        <v>2</v>
      </c>
      <c r="B8915" s="1" t="s">
        <v>7175</v>
      </c>
      <c r="C8915" s="1" t="str">
        <f ca="1">IFERROR(__xludf.DUMMYFUNCTION("GOOGLETRANSLATE(B9052,""en"",""ja"")"),"雇用")</f>
        <v>雇用</v>
      </c>
    </row>
    <row r="8916" spans="1:3" ht="18" customHeight="1" x14ac:dyDescent="0.3">
      <c r="A8916" s="1">
        <v>2</v>
      </c>
      <c r="B8916" s="1" t="s">
        <v>7176</v>
      </c>
      <c r="C8916" s="1" t="str">
        <f ca="1">IFERROR(__xludf.DUMMYFUNCTION("GOOGLETRANSLATE(B9053,""en"",""ja"")"),"雇用者")</f>
        <v>雇用者</v>
      </c>
    </row>
    <row r="8917" spans="1:3" ht="18" customHeight="1" x14ac:dyDescent="0.3">
      <c r="A8917" s="1">
        <v>2</v>
      </c>
      <c r="B8917" s="1" t="s">
        <v>7177</v>
      </c>
      <c r="C8917" s="1" t="str">
        <f ca="1">IFERROR(__xludf.DUMMYFUNCTION("GOOGLETRANSLATE(B9054,""en"",""ja"")"),"従業員")</f>
        <v>従業員</v>
      </c>
    </row>
    <row r="8918" spans="1:3" ht="18" customHeight="1" x14ac:dyDescent="0.3">
      <c r="A8918" s="1">
        <v>2</v>
      </c>
      <c r="B8918" s="1" t="s">
        <v>7178</v>
      </c>
      <c r="C8918" s="1" t="str">
        <f ca="1">IFERROR(__xludf.DUMMYFUNCTION("GOOGLETRANSLATE(B9055,""en"",""ja"")"),"従業員")</f>
        <v>従業員</v>
      </c>
    </row>
    <row r="8919" spans="1:3" ht="18" customHeight="1" x14ac:dyDescent="0.3">
      <c r="A8919" s="1">
        <v>2</v>
      </c>
      <c r="B8919" s="1" t="s">
        <v>2739</v>
      </c>
      <c r="C8919" s="1" t="str">
        <f ca="1">IFERROR(__xludf.DUMMYFUNCTION("GOOGLETRANSLATE(B9056,""en"",""ja"")"),"強調")</f>
        <v>強調</v>
      </c>
    </row>
    <row r="8920" spans="1:3" ht="18" customHeight="1" x14ac:dyDescent="0.3">
      <c r="A8920" s="1">
        <v>2</v>
      </c>
      <c r="B8920" s="1" t="s">
        <v>7179</v>
      </c>
      <c r="C8920" s="1" t="str">
        <f ca="1">IFERROR(__xludf.DUMMYFUNCTION("GOOGLETRANSLATE(B9057,""en"",""ja"")"),"天皇")</f>
        <v>天皇</v>
      </c>
    </row>
    <row r="8921" spans="1:3" ht="18" customHeight="1" x14ac:dyDescent="0.3">
      <c r="A8921" s="1">
        <v>2</v>
      </c>
      <c r="B8921" s="1" t="s">
        <v>7180</v>
      </c>
      <c r="C8921" s="1" t="str">
        <f ca="1">IFERROR(__xludf.DUMMYFUNCTION("GOOGLETRANSLATE(B9058,""en"",""ja"")"),"放出されました")</f>
        <v>放出されました</v>
      </c>
    </row>
    <row r="8922" spans="1:3" ht="18" customHeight="1" x14ac:dyDescent="0.3">
      <c r="A8922" s="1">
        <v>2</v>
      </c>
      <c r="B8922" s="1" t="s">
        <v>1828</v>
      </c>
      <c r="C8922" s="1" t="str">
        <f ca="1">IFERROR(__xludf.DUMMYFUNCTION("GOOGLETRANSLATE(B9059,""en"",""ja"")"),"放射")</f>
        <v>放射</v>
      </c>
    </row>
    <row r="8923" spans="1:3" ht="18" customHeight="1" x14ac:dyDescent="0.3">
      <c r="A8923" s="1">
        <v>2</v>
      </c>
      <c r="B8923" s="1" t="s">
        <v>7181</v>
      </c>
      <c r="C8923" s="1" t="str">
        <f ca="1">IFERROR(__xludf.DUMMYFUNCTION("GOOGLETRANSLATE(B9060,""en"",""ja"")"),"移住します")</f>
        <v>移住します</v>
      </c>
    </row>
    <row r="8924" spans="1:3" ht="18" customHeight="1" x14ac:dyDescent="0.3">
      <c r="A8924" s="1">
        <v>2</v>
      </c>
      <c r="B8924" s="1" t="s">
        <v>7182</v>
      </c>
      <c r="C8924" s="1" t="str">
        <f ca="1">IFERROR(__xludf.DUMMYFUNCTION("GOOGLETRANSLATE(B9061,""en"",""ja"")"),"登場")</f>
        <v>登場</v>
      </c>
    </row>
    <row r="8925" spans="1:3" ht="18" customHeight="1" x14ac:dyDescent="0.3">
      <c r="A8925" s="1">
        <v>2</v>
      </c>
      <c r="B8925" s="1" t="s">
        <v>7183</v>
      </c>
      <c r="C8925" s="1" t="str">
        <f ca="1">IFERROR(__xludf.DUMMYFUNCTION("GOOGLETRANSLATE(B9062,""en"",""ja"")"),"抱擁")</f>
        <v>抱擁</v>
      </c>
    </row>
    <row r="8926" spans="1:3" ht="18" customHeight="1" x14ac:dyDescent="0.3">
      <c r="A8926" s="1">
        <v>2</v>
      </c>
      <c r="B8926" s="1" t="s">
        <v>7184</v>
      </c>
      <c r="C8926" s="1" t="str">
        <f ca="1">IFERROR(__xludf.DUMMYFUNCTION("GOOGLETRANSLATE(B9063,""en"",""ja"")"),"擁する")</f>
        <v>擁する</v>
      </c>
    </row>
    <row r="8927" spans="1:3" ht="18" customHeight="1" x14ac:dyDescent="0.3">
      <c r="A8927" s="1">
        <v>2</v>
      </c>
      <c r="B8927" s="1" t="s">
        <v>4905</v>
      </c>
      <c r="C8927" s="1" t="str">
        <f ca="1">IFERROR(__xludf.DUMMYFUNCTION("GOOGLETRANSLATE(B9064,""en"",""ja"")"),"具現化")</f>
        <v>具現化</v>
      </c>
    </row>
    <row r="8928" spans="1:3" ht="18" customHeight="1" x14ac:dyDescent="0.3">
      <c r="A8928" s="1">
        <v>2</v>
      </c>
      <c r="B8928" s="1" t="s">
        <v>3588</v>
      </c>
      <c r="C8928" s="1" t="str">
        <f ca="1">IFERROR(__xludf.DUMMYFUNCTION("GOOGLETRANSLATE(B9065,""en"",""ja"")"),"実施の形態")</f>
        <v>実施の形態</v>
      </c>
    </row>
    <row r="8929" spans="1:3" ht="18" customHeight="1" x14ac:dyDescent="0.3">
      <c r="A8929" s="1">
        <v>2</v>
      </c>
      <c r="B8929" s="1" t="s">
        <v>7185</v>
      </c>
      <c r="C8929" s="1" t="str">
        <f ca="1">IFERROR(__xludf.DUMMYFUNCTION("GOOGLETRANSLATE(B9066,""en"",""ja"")"),"埋め込み")</f>
        <v>埋め込み</v>
      </c>
    </row>
    <row r="8930" spans="1:3" ht="18" customHeight="1" x14ac:dyDescent="0.3">
      <c r="A8930" s="1">
        <v>2</v>
      </c>
      <c r="B8930" s="1" t="s">
        <v>4907</v>
      </c>
      <c r="C8930" s="1" t="str">
        <f ca="1">IFERROR(__xludf.DUMMYFUNCTION("GOOGLETRANSLATE(B9067,""en"",""ja"")"),"解放します")</f>
        <v>解放します</v>
      </c>
    </row>
    <row r="8931" spans="1:3" ht="18" customHeight="1" x14ac:dyDescent="0.3">
      <c r="A8931" s="1">
        <v>2</v>
      </c>
      <c r="B8931" s="1" t="s">
        <v>7186</v>
      </c>
      <c r="C8931" s="1" t="str">
        <f ca="1">IFERROR(__xludf.DUMMYFUNCTION("GOOGLETRANSLATE(B9068,""en"",""ja"")"),"elicite")</f>
        <v>elicite</v>
      </c>
    </row>
    <row r="8932" spans="1:3" ht="18" customHeight="1" x14ac:dyDescent="0.3">
      <c r="A8932" s="1">
        <v>2</v>
      </c>
      <c r="B8932" s="1" t="s">
        <v>7187</v>
      </c>
      <c r="C8932" s="1" t="str">
        <f ca="1">IFERROR(__xludf.DUMMYFUNCTION("GOOGLETRANSLATE(B9069,""en"",""ja"")"),"高齢者介護")</f>
        <v>高齢者介護</v>
      </c>
    </row>
    <row r="8933" spans="1:3" ht="18" customHeight="1" x14ac:dyDescent="0.3">
      <c r="A8933" s="1">
        <v>2</v>
      </c>
      <c r="B8933" s="1" t="s">
        <v>7188</v>
      </c>
      <c r="C8933" s="1" t="str">
        <f ca="1">IFERROR(__xludf.DUMMYFUNCTION("GOOGLETRANSLATE(B9070,""en"",""ja"")"),"eisensteins")</f>
        <v>eisensteins</v>
      </c>
    </row>
    <row r="8934" spans="1:3" ht="18" customHeight="1" x14ac:dyDescent="0.3">
      <c r="A8934" s="1">
        <v>2</v>
      </c>
      <c r="B8934" s="1" t="s">
        <v>7189</v>
      </c>
      <c r="C8934" s="1" t="str">
        <f ca="1">IFERROR(__xludf.DUMMYFUNCTION("GOOGLETRANSLATE(B9071,""en"",""ja"")"),"平等主義")</f>
        <v>平等主義</v>
      </c>
    </row>
    <row r="8935" spans="1:3" ht="18" customHeight="1" x14ac:dyDescent="0.3">
      <c r="A8935" s="1">
        <v>2</v>
      </c>
      <c r="B8935" s="1" t="s">
        <v>7190</v>
      </c>
      <c r="C8935" s="1" t="str">
        <f ca="1">IFERROR(__xludf.DUMMYFUNCTION("GOOGLETRANSLATE(B9072,""en"",""ja"")"),"教育者")</f>
        <v>教育者</v>
      </c>
    </row>
    <row r="8936" spans="1:3" ht="18" customHeight="1" x14ac:dyDescent="0.3">
      <c r="A8936" s="1">
        <v>2</v>
      </c>
      <c r="B8936" s="1" t="s">
        <v>3592</v>
      </c>
      <c r="C8936" s="1" t="str">
        <f ca="1">IFERROR(__xludf.DUMMYFUNCTION("GOOGLETRANSLATE(B9073,""en"",""ja"")"),"生態系")</f>
        <v>生態系</v>
      </c>
    </row>
    <row r="8937" spans="1:3" ht="18" customHeight="1" x14ac:dyDescent="0.3">
      <c r="A8937" s="1">
        <v>2</v>
      </c>
      <c r="B8937" s="1" t="s">
        <v>7191</v>
      </c>
      <c r="C8937" s="1" t="str">
        <f ca="1">IFERROR(__xludf.DUMMYFUNCTION("GOOGLETRANSLATE(B9074,""en"",""ja"")"),"食べます")</f>
        <v>食べます</v>
      </c>
    </row>
    <row r="8938" spans="1:3" ht="18" customHeight="1" x14ac:dyDescent="0.3">
      <c r="A8938" s="1">
        <v>2</v>
      </c>
      <c r="B8938" s="1" t="s">
        <v>7192</v>
      </c>
      <c r="C8938" s="1" t="str">
        <f ca="1">IFERROR(__xludf.DUMMYFUNCTION("GOOGLETRANSLATE(B9075,""en"",""ja"")"),"死んでいる")</f>
        <v>死んでいる</v>
      </c>
    </row>
    <row r="8939" spans="1:3" ht="18" customHeight="1" x14ac:dyDescent="0.3">
      <c r="A8939" s="1">
        <v>2</v>
      </c>
      <c r="B8939" s="1" t="s">
        <v>3061</v>
      </c>
      <c r="C8939" s="1" t="str">
        <f ca="1">IFERROR(__xludf.DUMMYFUNCTION("GOOGLETRANSLATE(B9076,""en"",""ja"")"),"重複")</f>
        <v>重複</v>
      </c>
    </row>
    <row r="8940" spans="1:3" ht="18" customHeight="1" x14ac:dyDescent="0.3">
      <c r="A8940" s="1">
        <v>2</v>
      </c>
      <c r="B8940" s="1" t="s">
        <v>1695</v>
      </c>
      <c r="C8940" s="1" t="str">
        <f ca="1">IFERROR(__xludf.DUMMYFUNCTION("GOOGLETRANSLATE(B9077,""en"",""ja"")"),"疑わしいです")</f>
        <v>疑わしいです</v>
      </c>
    </row>
    <row r="8941" spans="1:3" ht="18" customHeight="1" x14ac:dyDescent="0.3">
      <c r="A8941" s="1">
        <v>2</v>
      </c>
      <c r="B8941" s="1" t="s">
        <v>7193</v>
      </c>
      <c r="C8941" s="1" t="str">
        <f ca="1">IFERROR(__xludf.DUMMYFUNCTION("GOOGLETRANSLATE(B9078,""en"",""ja"")"),"ドラム")</f>
        <v>ドラム</v>
      </c>
    </row>
    <row r="8942" spans="1:3" ht="18" customHeight="1" x14ac:dyDescent="0.3">
      <c r="A8942" s="1">
        <v>2</v>
      </c>
      <c r="B8942" s="1" t="s">
        <v>2744</v>
      </c>
      <c r="C8942" s="1" t="str">
        <f ca="1">IFERROR(__xludf.DUMMYFUNCTION("GOOGLETRANSLATE(B9079,""en"",""ja"")"),"干ばつ")</f>
        <v>干ばつ</v>
      </c>
    </row>
    <row r="8943" spans="1:3" ht="18" customHeight="1" x14ac:dyDescent="0.3">
      <c r="A8943" s="1">
        <v>2</v>
      </c>
      <c r="B8943" s="1" t="s">
        <v>4922</v>
      </c>
      <c r="C8943" s="1" t="str">
        <f ca="1">IFERROR(__xludf.DUMMYFUNCTION("GOOGLETRANSLATE(B9080,""en"",""ja"")"),"ダウンリバー")</f>
        <v>ダウンリバー</v>
      </c>
    </row>
    <row r="8944" spans="1:3" ht="18" customHeight="1" x14ac:dyDescent="0.3">
      <c r="A8944" s="1">
        <v>2</v>
      </c>
      <c r="B8944" s="1" t="s">
        <v>7194</v>
      </c>
      <c r="C8944" s="1" t="str">
        <f ca="1">IFERROR(__xludf.DUMMYFUNCTION("GOOGLETRANSLATE(B9081,""en"",""ja"")"),"ドアのステップ")</f>
        <v>ドアのステップ</v>
      </c>
    </row>
    <row r="8945" spans="1:3" ht="18" customHeight="1" x14ac:dyDescent="0.3">
      <c r="A8945" s="1">
        <v>2</v>
      </c>
      <c r="B8945" s="1" t="s">
        <v>3600</v>
      </c>
      <c r="C8945" s="1" t="str">
        <f ca="1">IFERROR(__xludf.DUMMYFUNCTION("GOOGLETRANSLATE(B9082,""en"",""ja"")"),"支配")</f>
        <v>支配</v>
      </c>
    </row>
    <row r="8946" spans="1:3" ht="18" customHeight="1" x14ac:dyDescent="0.3">
      <c r="A8946" s="1">
        <v>2</v>
      </c>
      <c r="B8946" s="1" t="s">
        <v>7195</v>
      </c>
      <c r="C8946" s="1" t="str">
        <f ca="1">IFERROR(__xludf.DUMMYFUNCTION("GOOGLETRANSLATE(B9083,""en"",""ja"")"),"飼いならさ")</f>
        <v>飼いならさ</v>
      </c>
    </row>
    <row r="8947" spans="1:3" ht="18" customHeight="1" x14ac:dyDescent="0.3">
      <c r="A8947" s="1">
        <v>2</v>
      </c>
      <c r="B8947" s="1" t="s">
        <v>6214</v>
      </c>
      <c r="C8947" s="1" t="str">
        <f ca="1">IFERROR(__xludf.DUMMYFUNCTION("GOOGLETRANSLATE(B9084,""en"",""ja"")"),"ドル")</f>
        <v>ドル</v>
      </c>
    </row>
    <row r="8948" spans="1:3" ht="18" customHeight="1" x14ac:dyDescent="0.3">
      <c r="A8948" s="1">
        <v>2</v>
      </c>
      <c r="B8948" s="1" t="s">
        <v>7196</v>
      </c>
      <c r="C8948" s="1" t="str">
        <f ca="1">IFERROR(__xludf.DUMMYFUNCTION("GOOGLETRANSLATE(B9085,""en"",""ja"")"),"犬")</f>
        <v>犬</v>
      </c>
    </row>
    <row r="8949" spans="1:3" ht="18" customHeight="1" x14ac:dyDescent="0.3">
      <c r="A8949" s="1">
        <v>2</v>
      </c>
      <c r="B8949" s="1" t="s">
        <v>7197</v>
      </c>
      <c r="C8949" s="1" t="str">
        <f ca="1">IFERROR(__xludf.DUMMYFUNCTION("GOOGLETRANSLATE(B9086,""en"",""ja"")"),"しません")</f>
        <v>しません</v>
      </c>
    </row>
    <row r="8950" spans="1:3" ht="18" customHeight="1" x14ac:dyDescent="0.3">
      <c r="A8950" s="1">
        <v>2</v>
      </c>
      <c r="B8950" s="1" t="s">
        <v>7198</v>
      </c>
      <c r="C8950" s="1" t="str">
        <f ca="1">IFERROR(__xludf.DUMMYFUNCTION("GOOGLETRANSLATE(B9087,""en"",""ja"")"),"ドッドソン")</f>
        <v>ドッドソン</v>
      </c>
    </row>
    <row r="8951" spans="1:3" ht="18" customHeight="1" x14ac:dyDescent="0.3">
      <c r="A8951" s="1">
        <v>2</v>
      </c>
      <c r="B8951" s="1" t="s">
        <v>7199</v>
      </c>
      <c r="C8951" s="1" t="str">
        <f ca="1">IFERROR(__xludf.DUMMYFUNCTION("GOOGLETRANSLATE(B9088,""en"",""ja"")"),"離婚")</f>
        <v>離婚</v>
      </c>
    </row>
    <row r="8952" spans="1:3" ht="18" customHeight="1" x14ac:dyDescent="0.3">
      <c r="A8952" s="1">
        <v>2</v>
      </c>
      <c r="B8952" s="1" t="s">
        <v>2747</v>
      </c>
      <c r="C8952" s="1" t="str">
        <f ca="1">IFERROR(__xludf.DUMMYFUNCTION("GOOGLETRANSLATE(B9089,""en"",""ja"")"),"発散")</f>
        <v>発散</v>
      </c>
    </row>
    <row r="8953" spans="1:3" ht="18" customHeight="1" x14ac:dyDescent="0.3">
      <c r="A8953" s="1">
        <v>2</v>
      </c>
      <c r="B8953" s="1" t="s">
        <v>6217</v>
      </c>
      <c r="C8953" s="1" t="str">
        <f ca="1">IFERROR(__xludf.DUMMYFUNCTION("GOOGLETRANSLATE(B9090,""en"",""ja"")"),"発散")</f>
        <v>発散</v>
      </c>
    </row>
    <row r="8954" spans="1:3" ht="18" customHeight="1" x14ac:dyDescent="0.3">
      <c r="A8954" s="1">
        <v>2</v>
      </c>
      <c r="B8954" s="1" t="s">
        <v>2748</v>
      </c>
      <c r="C8954" s="1" t="str">
        <f ca="1">IFERROR(__xludf.DUMMYFUNCTION("GOOGLETRANSLATE(B9091,""en"",""ja"")"),"離別")</f>
        <v>離別</v>
      </c>
    </row>
    <row r="8955" spans="1:3" ht="18" customHeight="1" x14ac:dyDescent="0.3">
      <c r="A8955" s="1">
        <v>2</v>
      </c>
      <c r="B8955" s="1" t="s">
        <v>7200</v>
      </c>
      <c r="C8955" s="1" t="str">
        <f ca="1">IFERROR(__xludf.DUMMYFUNCTION("GOOGLETRANSLATE(B9092,""en"",""ja"")"),"ねじれ")</f>
        <v>ねじれ</v>
      </c>
    </row>
    <row r="8956" spans="1:3" ht="18" customHeight="1" x14ac:dyDescent="0.3">
      <c r="A8956" s="1">
        <v>2</v>
      </c>
      <c r="B8956" s="1" t="s">
        <v>1377</v>
      </c>
      <c r="C8956" s="1" t="str">
        <f ca="1">IFERROR(__xludf.DUMMYFUNCTION("GOOGLETRANSLATE(B9093,""en"",""ja"")"),"遠く")</f>
        <v>遠く</v>
      </c>
    </row>
    <row r="8957" spans="1:3" ht="18" customHeight="1" x14ac:dyDescent="0.3">
      <c r="A8957" s="1">
        <v>2</v>
      </c>
      <c r="B8957" s="1" t="s">
        <v>7201</v>
      </c>
      <c r="C8957" s="1" t="str">
        <f ca="1">IFERROR(__xludf.DUMMYFUNCTION("GOOGLETRANSLATE(B9094,""en"",""ja"")"),"放散")</f>
        <v>放散</v>
      </c>
    </row>
    <row r="8958" spans="1:3" ht="18" customHeight="1" x14ac:dyDescent="0.3">
      <c r="A8958" s="1">
        <v>2</v>
      </c>
      <c r="B8958" s="1" t="s">
        <v>6224</v>
      </c>
      <c r="C8958" s="1" t="str">
        <f ca="1">IFERROR(__xludf.DUMMYFUNCTION("GOOGLETRANSLATE(B9095,""en"",""ja"")"),"異議")</f>
        <v>異議</v>
      </c>
    </row>
    <row r="8959" spans="1:3" ht="18" customHeight="1" x14ac:dyDescent="0.3">
      <c r="A8959" s="1">
        <v>2</v>
      </c>
      <c r="B8959" s="1" t="s">
        <v>7202</v>
      </c>
      <c r="C8959" s="1" t="str">
        <f ca="1">IFERROR(__xludf.DUMMYFUNCTION("GOOGLETRANSLATE(B9096,""en"",""ja"")"),"廃棄")</f>
        <v>廃棄</v>
      </c>
    </row>
    <row r="8960" spans="1:3" ht="18" customHeight="1" x14ac:dyDescent="0.3">
      <c r="A8960" s="1">
        <v>2</v>
      </c>
      <c r="B8960" s="1" t="s">
        <v>4093</v>
      </c>
      <c r="C8960" s="1" t="str">
        <f ca="1">IFERROR(__xludf.DUMMYFUNCTION("GOOGLETRANSLATE(B9097,""en"",""ja"")"),"不服従")</f>
        <v>不服従</v>
      </c>
    </row>
    <row r="8961" spans="1:3" ht="18" customHeight="1" x14ac:dyDescent="0.3">
      <c r="A8961" s="1">
        <v>2</v>
      </c>
      <c r="B8961" s="1" t="s">
        <v>3607</v>
      </c>
      <c r="C8961" s="1" t="str">
        <f ca="1">IFERROR(__xludf.DUMMYFUNCTION("GOOGLETRANSLATE(B9098,""en"",""ja"")"),"違えます")</f>
        <v>違えます</v>
      </c>
    </row>
    <row r="8962" spans="1:3" ht="18" customHeight="1" x14ac:dyDescent="0.3">
      <c r="A8962" s="1">
        <v>2</v>
      </c>
      <c r="B8962" s="1" t="s">
        <v>7203</v>
      </c>
      <c r="C8962" s="1" t="str">
        <f ca="1">IFERROR(__xludf.DUMMYFUNCTION("GOOGLETRANSLATE(B9099,""en"",""ja"")"),"ディスク")</f>
        <v>ディスク</v>
      </c>
    </row>
    <row r="8963" spans="1:3" ht="18" customHeight="1" x14ac:dyDescent="0.3">
      <c r="A8963" s="1">
        <v>2</v>
      </c>
      <c r="B8963" s="1" t="s">
        <v>1978</v>
      </c>
      <c r="C8963" s="1" t="str">
        <f ca="1">IFERROR(__xludf.DUMMYFUNCTION("GOOGLETRANSLATE(B9100,""en"",""ja"")"),"討論")</f>
        <v>討論</v>
      </c>
    </row>
    <row r="8964" spans="1:3" ht="18" customHeight="1" x14ac:dyDescent="0.3">
      <c r="A8964" s="1">
        <v>2</v>
      </c>
      <c r="B8964" s="1" t="s">
        <v>7204</v>
      </c>
      <c r="C8964" s="1" t="str">
        <f ca="1">IFERROR(__xludf.DUMMYFUNCTION("GOOGLETRANSLATE(B9101,""en"",""ja"")"),"発見")</f>
        <v>発見</v>
      </c>
    </row>
    <row r="8965" spans="1:3" ht="18" customHeight="1" x14ac:dyDescent="0.3">
      <c r="A8965" s="1">
        <v>2</v>
      </c>
      <c r="B8965" s="1" t="s">
        <v>1838</v>
      </c>
      <c r="C8965" s="1" t="str">
        <f ca="1">IFERROR(__xludf.DUMMYFUNCTION("GOOGLETRANSLATE(B9102,""en"",""ja"")"),"姿を消す")</f>
        <v>姿を消す</v>
      </c>
    </row>
    <row r="8966" spans="1:3" ht="18" customHeight="1" x14ac:dyDescent="0.3">
      <c r="A8966" s="1">
        <v>2</v>
      </c>
      <c r="B8966" s="1" t="s">
        <v>7205</v>
      </c>
      <c r="C8966" s="1" t="str">
        <f ca="1">IFERROR(__xludf.DUMMYFUNCTION("GOOGLETRANSLATE(B9103,""en"",""ja"")"),"恵まれません")</f>
        <v>恵まれません</v>
      </c>
    </row>
    <row r="8967" spans="1:3" ht="18" customHeight="1" x14ac:dyDescent="0.3">
      <c r="A8967" s="1">
        <v>2</v>
      </c>
      <c r="B8967" s="1" t="s">
        <v>7206</v>
      </c>
      <c r="C8967" s="1" t="str">
        <f ca="1">IFERROR(__xludf.DUMMYFUNCTION("GOOGLETRANSLATE(B9104,""en"",""ja"")"),"晩ごはん")</f>
        <v>晩ごはん</v>
      </c>
    </row>
    <row r="8968" spans="1:3" ht="18" customHeight="1" x14ac:dyDescent="0.3">
      <c r="A8968" s="1">
        <v>2</v>
      </c>
      <c r="B8968" s="1" t="s">
        <v>7207</v>
      </c>
      <c r="C8968" s="1" t="str">
        <f ca="1">IFERROR(__xludf.DUMMYFUNCTION("GOOGLETRANSLATE(B9105,""en"",""ja"")"),"ダイジェスト")</f>
        <v>ダイジェスト</v>
      </c>
    </row>
    <row r="8969" spans="1:3" ht="18" customHeight="1" x14ac:dyDescent="0.3">
      <c r="A8969" s="1">
        <v>2</v>
      </c>
      <c r="B8969" s="1" t="s">
        <v>7208</v>
      </c>
      <c r="C8969" s="1" t="str">
        <f ca="1">IFERROR(__xludf.DUMMYFUNCTION("GOOGLETRANSLATE(B9106,""en"",""ja"")"),"異なります")</f>
        <v>異なります</v>
      </c>
    </row>
    <row r="8970" spans="1:3" ht="18" customHeight="1" x14ac:dyDescent="0.3">
      <c r="A8970" s="1">
        <v>2</v>
      </c>
      <c r="B8970" s="1" t="s">
        <v>962</v>
      </c>
      <c r="C8970" s="1" t="str">
        <f ca="1">IFERROR(__xludf.DUMMYFUNCTION("GOOGLETRANSLATE(B9107,""en"",""ja"")"),"方言")</f>
        <v>方言</v>
      </c>
    </row>
    <row r="8971" spans="1:3" ht="18" customHeight="1" x14ac:dyDescent="0.3">
      <c r="A8971" s="1">
        <v>2</v>
      </c>
      <c r="B8971" s="1" t="s">
        <v>7209</v>
      </c>
      <c r="C8971" s="1" t="str">
        <f ca="1">IFERROR(__xludf.DUMMYFUNCTION("GOOGLETRANSLATE(B9108,""en"",""ja"")"),"糖尿病")</f>
        <v>糖尿病</v>
      </c>
    </row>
    <row r="8972" spans="1:3" ht="18" customHeight="1" x14ac:dyDescent="0.3">
      <c r="A8972" s="1">
        <v>2</v>
      </c>
      <c r="B8972" s="1" t="s">
        <v>4947</v>
      </c>
      <c r="C8972" s="1" t="str">
        <f ca="1">IFERROR(__xludf.DUMMYFUNCTION("GOOGLETRANSLATE(B9109,""en"",""ja"")"),"献身")</f>
        <v>献身</v>
      </c>
    </row>
    <row r="8973" spans="1:3" ht="18" customHeight="1" x14ac:dyDescent="0.3">
      <c r="A8973" s="1">
        <v>2</v>
      </c>
      <c r="B8973" s="1" t="s">
        <v>3068</v>
      </c>
      <c r="C8973" s="1" t="str">
        <f ca="1">IFERROR(__xludf.DUMMYFUNCTION("GOOGLETRANSLATE(B9110,""en"",""ja"")"),"工夫")</f>
        <v>工夫</v>
      </c>
    </row>
    <row r="8974" spans="1:3" ht="18" customHeight="1" x14ac:dyDescent="0.3">
      <c r="A8974" s="1">
        <v>2</v>
      </c>
      <c r="B8974" s="1" t="s">
        <v>3617</v>
      </c>
      <c r="C8974" s="1" t="str">
        <f ca="1">IFERROR(__xludf.DUMMYFUNCTION("GOOGLETRANSLATE(B9111,""en"",""ja"")"),"悪魔")</f>
        <v>悪魔</v>
      </c>
    </row>
    <row r="8975" spans="1:3" ht="18" customHeight="1" x14ac:dyDescent="0.3">
      <c r="A8975" s="1">
        <v>2</v>
      </c>
      <c r="B8975" s="1" t="s">
        <v>7210</v>
      </c>
      <c r="C8975" s="1" t="str">
        <f ca="1">IFERROR(__xludf.DUMMYFUNCTION("GOOGLETRANSLATE(B9112,""en"",""ja"")"),"吹き荒れます")</f>
        <v>吹き荒れます</v>
      </c>
    </row>
    <row r="8976" spans="1:3" ht="18" customHeight="1" x14ac:dyDescent="0.3">
      <c r="A8976" s="1">
        <v>2</v>
      </c>
      <c r="B8976" s="1" t="s">
        <v>7211</v>
      </c>
      <c r="C8976" s="1" t="str">
        <f ca="1">IFERROR(__xludf.DUMMYFUNCTION("GOOGLETRANSLATE(B9113,""en"",""ja"")"),"デチューン")</f>
        <v>デチューン</v>
      </c>
    </row>
    <row r="8977" spans="1:3" ht="18" customHeight="1" x14ac:dyDescent="0.3">
      <c r="A8977" s="1">
        <v>2</v>
      </c>
      <c r="B8977" s="1" t="s">
        <v>3618</v>
      </c>
      <c r="C8977" s="1" t="str">
        <f ca="1">IFERROR(__xludf.DUMMYFUNCTION("GOOGLETRANSLATE(B9114,""en"",""ja"")"),"残骸")</f>
        <v>残骸</v>
      </c>
    </row>
    <row r="8978" spans="1:3" ht="18" customHeight="1" x14ac:dyDescent="0.3">
      <c r="A8978" s="1">
        <v>2</v>
      </c>
      <c r="B8978" s="1" t="s">
        <v>7212</v>
      </c>
      <c r="C8978" s="1" t="str">
        <f ca="1">IFERROR(__xludf.DUMMYFUNCTION("GOOGLETRANSLATE(B9115,""en"",""ja"")"),"迂回")</f>
        <v>迂回</v>
      </c>
    </row>
    <row r="8979" spans="1:3" ht="18" customHeight="1" x14ac:dyDescent="0.3">
      <c r="A8979" s="1">
        <v>2</v>
      </c>
      <c r="B8979" s="1" t="s">
        <v>6262</v>
      </c>
      <c r="C8979" s="1" t="str">
        <f ca="1">IFERROR(__xludf.DUMMYFUNCTION("GOOGLETRANSLATE(B9116,""en"",""ja"")"),"ディテール")</f>
        <v>ディテール</v>
      </c>
    </row>
    <row r="8980" spans="1:3" ht="18" customHeight="1" x14ac:dyDescent="0.3">
      <c r="A8980" s="1">
        <v>2</v>
      </c>
      <c r="B8980" s="1" t="s">
        <v>7213</v>
      </c>
      <c r="C8980" s="1" t="str">
        <f ca="1">IFERROR(__xludf.DUMMYFUNCTION("GOOGLETRANSLATE(B9117,""en"",""ja"")"),"デザイン")</f>
        <v>デザイン</v>
      </c>
    </row>
    <row r="8981" spans="1:3" ht="18" customHeight="1" x14ac:dyDescent="0.3">
      <c r="A8981" s="1">
        <v>2</v>
      </c>
      <c r="B8981" s="1" t="s">
        <v>7214</v>
      </c>
      <c r="C8981" s="1" t="str">
        <f ca="1">IFERROR(__xludf.DUMMYFUNCTION("GOOGLETRANSLATE(B9118,""en"",""ja"")"),"デザイン")</f>
        <v>デザイン</v>
      </c>
    </row>
    <row r="8982" spans="1:3" ht="18" customHeight="1" x14ac:dyDescent="0.3">
      <c r="A8982" s="1">
        <v>2</v>
      </c>
      <c r="B8982" s="1" t="s">
        <v>7215</v>
      </c>
      <c r="C8982" s="1" t="str">
        <f ca="1">IFERROR(__xludf.DUMMYFUNCTION("GOOGLETRANSLATE(B9119,""en"",""ja"")"),"深さ")</f>
        <v>深さ</v>
      </c>
    </row>
    <row r="8983" spans="1:3" ht="18" customHeight="1" x14ac:dyDescent="0.3">
      <c r="A8983" s="1">
        <v>2</v>
      </c>
      <c r="B8983" s="1" t="s">
        <v>7216</v>
      </c>
      <c r="C8983" s="1" t="str">
        <f ca="1">IFERROR(__xludf.DUMMYFUNCTION("GOOGLETRANSLATE(B9120,""en"",""ja"")"),"奪います")</f>
        <v>奪います</v>
      </c>
    </row>
    <row r="8984" spans="1:3" ht="18" customHeight="1" x14ac:dyDescent="0.3">
      <c r="A8984" s="1">
        <v>2</v>
      </c>
      <c r="B8984" s="1" t="s">
        <v>4957</v>
      </c>
      <c r="C8984" s="1" t="str">
        <f ca="1">IFERROR(__xludf.DUMMYFUNCTION("GOOGLETRANSLATE(B9121,""en"",""ja"")"),"うつ病")</f>
        <v>うつ病</v>
      </c>
    </row>
    <row r="8985" spans="1:3" ht="18" customHeight="1" x14ac:dyDescent="0.3">
      <c r="A8985" s="1">
        <v>2</v>
      </c>
      <c r="B8985" s="1" t="s">
        <v>7217</v>
      </c>
      <c r="C8985" s="1" t="str">
        <f ca="1">IFERROR(__xludf.DUMMYFUNCTION("GOOGLETRANSLATE(B9122,""en"",""ja"")"),"ディプリーション")</f>
        <v>ディプリーション</v>
      </c>
    </row>
    <row r="8986" spans="1:3" ht="18" customHeight="1" x14ac:dyDescent="0.3">
      <c r="A8986" s="1">
        <v>2</v>
      </c>
      <c r="B8986" s="1" t="s">
        <v>2758</v>
      </c>
      <c r="C8986" s="1" t="str">
        <f ca="1">IFERROR(__xludf.DUMMYFUNCTION("GOOGLETRANSLATE(B9123,""en"",""ja"")"),"依存")</f>
        <v>依存</v>
      </c>
    </row>
    <row r="8987" spans="1:3" ht="18" customHeight="1" x14ac:dyDescent="0.3">
      <c r="A8987" s="1">
        <v>2</v>
      </c>
      <c r="B8987" s="1" t="s">
        <v>7218</v>
      </c>
      <c r="C8987" s="1" t="str">
        <f ca="1">IFERROR(__xludf.DUMMYFUNCTION("GOOGLETRANSLATE(B9124,""en"",""ja"")"),"否定")</f>
        <v>否定</v>
      </c>
    </row>
    <row r="8988" spans="1:3" ht="18" customHeight="1" x14ac:dyDescent="0.3">
      <c r="A8988" s="1">
        <v>2</v>
      </c>
      <c r="B8988" s="1" t="s">
        <v>6274</v>
      </c>
      <c r="C8988" s="1" t="str">
        <f ca="1">IFERROR(__xludf.DUMMYFUNCTION("GOOGLETRANSLATE(B9125,""en"",""ja"")"),"密度")</f>
        <v>密度</v>
      </c>
    </row>
    <row r="8989" spans="1:3" ht="18" customHeight="1" x14ac:dyDescent="0.3">
      <c r="A8989" s="1">
        <v>2</v>
      </c>
      <c r="B8989" s="1" t="s">
        <v>7219</v>
      </c>
      <c r="C8989" s="1" t="str">
        <f ca="1">IFERROR(__xludf.DUMMYFUNCTION("GOOGLETRANSLATE(B9126,""en"",""ja"")"),"非難")</f>
        <v>非難</v>
      </c>
    </row>
    <row r="8990" spans="1:3" ht="18" customHeight="1" x14ac:dyDescent="0.3">
      <c r="A8990" s="1">
        <v>2</v>
      </c>
      <c r="B8990" s="1" t="s">
        <v>7220</v>
      </c>
      <c r="C8990" s="1" t="str">
        <f ca="1">IFERROR(__xludf.DUMMYFUNCTION("GOOGLETRANSLATE(B9127,""en"",""ja"")"),"非難")</f>
        <v>非難</v>
      </c>
    </row>
    <row r="8991" spans="1:3" ht="18" customHeight="1" x14ac:dyDescent="0.3">
      <c r="A8991" s="1">
        <v>2</v>
      </c>
      <c r="B8991" s="1" t="s">
        <v>7221</v>
      </c>
      <c r="C8991" s="1" t="str">
        <f ca="1">IFERROR(__xludf.DUMMYFUNCTION("GOOGLETRANSLATE(B9129,""en"",""ja"")"),"描きます")</f>
        <v>描きます</v>
      </c>
    </row>
    <row r="8992" spans="1:3" ht="18" customHeight="1" x14ac:dyDescent="0.3">
      <c r="A8992" s="1">
        <v>2</v>
      </c>
      <c r="B8992" s="1" t="s">
        <v>7222</v>
      </c>
      <c r="C8992" s="1" t="str">
        <f ca="1">IFERROR(__xludf.DUMMYFUNCTION("GOOGLETRANSLATE(B9130,""en"",""ja"")"),"わざと")</f>
        <v>わざと</v>
      </c>
    </row>
    <row r="8993" spans="1:3" ht="18" customHeight="1" x14ac:dyDescent="0.3">
      <c r="A8993" s="1">
        <v>2</v>
      </c>
      <c r="B8993" s="1" t="s">
        <v>2762</v>
      </c>
      <c r="C8993" s="1" t="str">
        <f ca="1">IFERROR(__xludf.DUMMYFUNCTION("GOOGLETRANSLATE(B9131,""en"",""ja"")"),"偏向")</f>
        <v>偏向</v>
      </c>
    </row>
    <row r="8994" spans="1:3" ht="18" customHeight="1" x14ac:dyDescent="0.3">
      <c r="A8994" s="1">
        <v>2</v>
      </c>
      <c r="B8994" s="1" t="s">
        <v>1295</v>
      </c>
      <c r="C8994" s="1" t="str">
        <f ca="1">IFERROR(__xludf.DUMMYFUNCTION("GOOGLETRANSLATE(B9132,""en"",""ja"")"),"深く")</f>
        <v>深く</v>
      </c>
    </row>
    <row r="8995" spans="1:3" ht="18" customHeight="1" x14ac:dyDescent="0.3">
      <c r="A8995" s="1">
        <v>2</v>
      </c>
      <c r="B8995" s="1" t="s">
        <v>7223</v>
      </c>
      <c r="C8995" s="1" t="str">
        <f ca="1">IFERROR(__xludf.DUMMYFUNCTION("GOOGLETRANSLATE(B9133,""en"",""ja"")"),"推論")</f>
        <v>推論</v>
      </c>
    </row>
    <row r="8996" spans="1:3" ht="18" customHeight="1" x14ac:dyDescent="0.3">
      <c r="A8996" s="1">
        <v>2</v>
      </c>
      <c r="B8996" s="1" t="s">
        <v>1380</v>
      </c>
      <c r="C8996" s="1" t="str">
        <f ca="1">IFERROR(__xludf.DUMMYFUNCTION("GOOGLETRANSLATE(B9134,""en"",""ja"")"),"宣言")</f>
        <v>宣言</v>
      </c>
    </row>
    <row r="8997" spans="1:3" ht="18" customHeight="1" x14ac:dyDescent="0.3">
      <c r="A8997" s="1">
        <v>2</v>
      </c>
      <c r="B8997" s="1" t="s">
        <v>7224</v>
      </c>
      <c r="C8997" s="1" t="str">
        <f ca="1">IFERROR(__xludf.DUMMYFUNCTION("GOOGLETRANSLATE(B9135,""en"",""ja"")"),"討論")</f>
        <v>討論</v>
      </c>
    </row>
    <row r="8998" spans="1:3" ht="18" customHeight="1" x14ac:dyDescent="0.3">
      <c r="A8998" s="1">
        <v>2</v>
      </c>
      <c r="B8998" s="1" t="s">
        <v>7225</v>
      </c>
      <c r="C8998" s="1" t="str">
        <f ca="1">IFERROR(__xludf.DUMMYFUNCTION("GOOGLETRANSLATE(B9136,""en"",""ja"")"),"闇")</f>
        <v>闇</v>
      </c>
    </row>
    <row r="8999" spans="1:3" ht="18" customHeight="1" x14ac:dyDescent="0.3">
      <c r="A8999" s="1">
        <v>2</v>
      </c>
      <c r="B8999" s="1" t="s">
        <v>7226</v>
      </c>
      <c r="C8999" s="1" t="str">
        <f ca="1">IFERROR(__xludf.DUMMYFUNCTION("GOOGLETRANSLATE(B9137,""en"",""ja"")"),"大胆")</f>
        <v>大胆</v>
      </c>
    </row>
    <row r="9000" spans="1:3" ht="18" customHeight="1" x14ac:dyDescent="0.3">
      <c r="A9000" s="1">
        <v>2</v>
      </c>
      <c r="B9000" s="1" t="s">
        <v>7227</v>
      </c>
      <c r="C9000" s="1" t="str">
        <f ca="1">IFERROR(__xludf.DUMMYFUNCTION("GOOGLETRANSLATE(B9138,""en"",""ja"")"),"ダニエル")</f>
        <v>ダニエル</v>
      </c>
    </row>
    <row r="9001" spans="1:3" ht="18" customHeight="1" x14ac:dyDescent="0.3">
      <c r="A9001" s="1">
        <v>2</v>
      </c>
      <c r="B9001" s="1" t="s">
        <v>7228</v>
      </c>
      <c r="C9001" s="1" t="str">
        <f ca="1">IFERROR(__xludf.DUMMYFUNCTION("GOOGLETRANSLATE(B9139,""en"",""ja"")"),"パパ")</f>
        <v>パパ</v>
      </c>
    </row>
    <row r="9002" spans="1:3" ht="18" customHeight="1" x14ac:dyDescent="0.3">
      <c r="A9002" s="1">
        <v>2</v>
      </c>
      <c r="B9002" s="1" t="s">
        <v>7229</v>
      </c>
      <c r="C9002" s="1" t="str">
        <f ca="1">IFERROR(__xludf.DUMMYFUNCTION("GOOGLETRANSLATE(B9140,""en"",""ja"")"),"サイバーセキュリティ")</f>
        <v>サイバーセキュリティ</v>
      </c>
    </row>
    <row r="9003" spans="1:3" ht="18" customHeight="1" x14ac:dyDescent="0.3">
      <c r="A9003" s="1">
        <v>2</v>
      </c>
      <c r="B9003" s="1" t="s">
        <v>3635</v>
      </c>
      <c r="C9003" s="1" t="str">
        <f ca="1">IFERROR(__xludf.DUMMYFUNCTION("GOOGLETRANSLATE(B9141,""en"",""ja"")"),"サイバー")</f>
        <v>サイバー</v>
      </c>
    </row>
    <row r="9004" spans="1:3" ht="18" customHeight="1" x14ac:dyDescent="0.3">
      <c r="A9004" s="1">
        <v>2</v>
      </c>
      <c r="B9004" s="1" t="s">
        <v>3638</v>
      </c>
      <c r="C9004" s="1" t="str">
        <f ca="1">IFERROR(__xludf.DUMMYFUNCTION("GOOGLETRANSLATE(B9142,""en"",""ja"")"),"曲線")</f>
        <v>曲線</v>
      </c>
    </row>
    <row r="9005" spans="1:3" ht="18" customHeight="1" x14ac:dyDescent="0.3">
      <c r="A9005" s="1">
        <v>2</v>
      </c>
      <c r="B9005" s="1" t="s">
        <v>4121</v>
      </c>
      <c r="C9005" s="1" t="str">
        <f ca="1">IFERROR(__xludf.DUMMYFUNCTION("GOOGLETRANSLATE(B9143,""en"",""ja"")"),"袖口")</f>
        <v>袖口</v>
      </c>
    </row>
    <row r="9006" spans="1:3" ht="18" customHeight="1" x14ac:dyDescent="0.3">
      <c r="A9006" s="1">
        <v>2</v>
      </c>
      <c r="B9006" s="1" t="s">
        <v>7230</v>
      </c>
      <c r="C9006" s="1" t="str">
        <f ca="1">IFERROR(__xludf.DUMMYFUNCTION("GOOGLETRANSLATE(B9144,""en"",""ja"")"),"CT")</f>
        <v>CT</v>
      </c>
    </row>
    <row r="9007" spans="1:3" ht="18" customHeight="1" x14ac:dyDescent="0.3">
      <c r="A9007" s="1">
        <v>2</v>
      </c>
      <c r="B9007" s="1" t="s">
        <v>7231</v>
      </c>
      <c r="C9007" s="1" t="str">
        <f ca="1">IFERROR(__xludf.DUMMYFUNCTION("GOOGLETRANSLATE(B9146,""en"",""ja"")"),"泣く")</f>
        <v>泣く</v>
      </c>
    </row>
    <row r="9008" spans="1:3" ht="18" customHeight="1" x14ac:dyDescent="0.3">
      <c r="A9008" s="1">
        <v>2</v>
      </c>
      <c r="B9008" s="1" t="s">
        <v>3640</v>
      </c>
      <c r="C9008" s="1" t="str">
        <f ca="1">IFERROR(__xludf.DUMMYFUNCTION("GOOGLETRANSLATE(B9147,""en"",""ja"")"),"クランブル")</f>
        <v>クランブル</v>
      </c>
    </row>
    <row r="9009" spans="1:3" ht="18" customHeight="1" x14ac:dyDescent="0.3">
      <c r="A9009" s="1">
        <v>2</v>
      </c>
      <c r="B9009" s="1" t="s">
        <v>7232</v>
      </c>
      <c r="C9009" s="1" t="str">
        <f ca="1">IFERROR(__xludf.DUMMYFUNCTION("GOOGLETRANSLATE(B9148,""en"",""ja"")"),"酷いです")</f>
        <v>酷いです</v>
      </c>
    </row>
    <row r="9010" spans="1:3" ht="18" customHeight="1" x14ac:dyDescent="0.3">
      <c r="A9010" s="1">
        <v>2</v>
      </c>
      <c r="B9010" s="1" t="s">
        <v>7233</v>
      </c>
      <c r="C9010" s="1" t="str">
        <f ca="1">IFERROR(__xludf.DUMMYFUNCTION("GOOGLETRANSLATE(B9149,""en"",""ja"")"),"批判")</f>
        <v>批判</v>
      </c>
    </row>
    <row r="9011" spans="1:3" ht="18" customHeight="1" x14ac:dyDescent="0.3">
      <c r="A9011" s="1">
        <v>2</v>
      </c>
      <c r="B9011" s="1" t="s">
        <v>1594</v>
      </c>
      <c r="C9011" s="1" t="str">
        <f ca="1">IFERROR(__xludf.DUMMYFUNCTION("GOOGLETRANSLATE(B9150,""en"",""ja"")"),"クリティカル")</f>
        <v>クリティカル</v>
      </c>
    </row>
    <row r="9012" spans="1:3" ht="18" customHeight="1" x14ac:dyDescent="0.3">
      <c r="A9012" s="1">
        <v>2</v>
      </c>
      <c r="B9012" s="1" t="s">
        <v>7234</v>
      </c>
      <c r="C9012" s="1" t="str">
        <f ca="1">IFERROR(__xludf.DUMMYFUNCTION("GOOGLETRANSLATE(B9151,""en"",""ja"")"),"基準")</f>
        <v>基準</v>
      </c>
    </row>
    <row r="9013" spans="1:3" ht="18" customHeight="1" x14ac:dyDescent="0.3">
      <c r="A9013" s="1">
        <v>2</v>
      </c>
      <c r="B9013" s="1" t="s">
        <v>4986</v>
      </c>
      <c r="C9013" s="1" t="str">
        <f ca="1">IFERROR(__xludf.DUMMYFUNCTION("GOOGLETRANSLATE(B9152,""en"",""ja"")"),"クリスピー")</f>
        <v>クリスピー</v>
      </c>
    </row>
    <row r="9014" spans="1:3" ht="18" customHeight="1" x14ac:dyDescent="0.3">
      <c r="A9014" s="1">
        <v>2</v>
      </c>
      <c r="B9014" s="1" t="s">
        <v>3642</v>
      </c>
      <c r="C9014" s="1" t="str">
        <f ca="1">IFERROR(__xludf.DUMMYFUNCTION("GOOGLETRANSLATE(B9153,""en"",""ja"")"),"危機")</f>
        <v>危機</v>
      </c>
    </row>
    <row r="9015" spans="1:3" ht="18" customHeight="1" x14ac:dyDescent="0.3">
      <c r="A9015" s="1">
        <v>2</v>
      </c>
      <c r="B9015" s="1" t="s">
        <v>7235</v>
      </c>
      <c r="C9015" s="1" t="str">
        <f ca="1">IFERROR(__xludf.DUMMYFUNCTION("GOOGLETRANSLATE(B9154,""en"",""ja"")"),"犯罪者")</f>
        <v>犯罪者</v>
      </c>
    </row>
    <row r="9016" spans="1:3" ht="18" customHeight="1" x14ac:dyDescent="0.3">
      <c r="A9016" s="1">
        <v>2</v>
      </c>
      <c r="B9016" s="1" t="s">
        <v>7236</v>
      </c>
      <c r="C9016" s="1" t="str">
        <f ca="1">IFERROR(__xludf.DUMMYFUNCTION("GOOGLETRANSLATE(B9155,""en"",""ja"")"),"クレスト")</f>
        <v>クレスト</v>
      </c>
    </row>
    <row r="9017" spans="1:3" ht="18" customHeight="1" x14ac:dyDescent="0.3">
      <c r="A9017" s="1">
        <v>2</v>
      </c>
      <c r="B9017" s="1" t="s">
        <v>7237</v>
      </c>
      <c r="C9017" s="1" t="str">
        <f ca="1">IFERROR(__xludf.DUMMYFUNCTION("GOOGLETRANSLATE(B9156,""en"",""ja"")"),"クラッシュ")</f>
        <v>クラッシュ</v>
      </c>
    </row>
    <row r="9018" spans="1:3" ht="18" customHeight="1" x14ac:dyDescent="0.3">
      <c r="A9018" s="1">
        <v>2</v>
      </c>
      <c r="B9018" s="1" t="s">
        <v>7238</v>
      </c>
      <c r="C9018" s="1" t="str">
        <f ca="1">IFERROR(__xludf.DUMMYFUNCTION("GOOGLETRANSLATE(B9157,""en"",""ja"")"),"カウボーイ")</f>
        <v>カウボーイ</v>
      </c>
    </row>
    <row r="9019" spans="1:3" ht="18" customHeight="1" x14ac:dyDescent="0.3">
      <c r="A9019" s="1">
        <v>2</v>
      </c>
      <c r="B9019" s="1" t="s">
        <v>7239</v>
      </c>
      <c r="C9019" s="1" t="str">
        <f ca="1">IFERROR(__xludf.DUMMYFUNCTION("GOOGLETRANSLATE(B9159,""en"",""ja"")"),"礼儀")</f>
        <v>礼儀</v>
      </c>
    </row>
    <row r="9020" spans="1:3" ht="18" customHeight="1" x14ac:dyDescent="0.3">
      <c r="A9020" s="1">
        <v>2</v>
      </c>
      <c r="B9020" s="1" t="s">
        <v>7240</v>
      </c>
      <c r="C9020" s="1" t="str">
        <f ca="1">IFERROR(__xludf.DUMMYFUNCTION("GOOGLETRANSLATE(B9160,""en"",""ja"")"),"コース")</f>
        <v>コース</v>
      </c>
    </row>
    <row r="9021" spans="1:3" ht="18" customHeight="1" x14ac:dyDescent="0.3">
      <c r="A9021" s="1">
        <v>2</v>
      </c>
      <c r="B9021" s="1" t="s">
        <v>4992</v>
      </c>
      <c r="C9021" s="1" t="str">
        <f ca="1">IFERROR(__xludf.DUMMYFUNCTION("GOOGLETRANSLATE(B9161,""en"",""ja"")"),"数え切れません")</f>
        <v>数え切れません</v>
      </c>
    </row>
    <row r="9022" spans="1:3" ht="18" customHeight="1" x14ac:dyDescent="0.3">
      <c r="A9022" s="1">
        <v>2</v>
      </c>
      <c r="B9022" s="1" t="s">
        <v>7241</v>
      </c>
      <c r="C9022" s="1" t="str">
        <f ca="1">IFERROR(__xludf.DUMMYFUNCTION("GOOGLETRANSLATE(B9162,""en"",""ja"")"),"カウンター")</f>
        <v>カウンター</v>
      </c>
    </row>
    <row r="9023" spans="1:3" ht="18" customHeight="1" x14ac:dyDescent="0.3">
      <c r="A9023" s="1">
        <v>2</v>
      </c>
      <c r="B9023" s="1" t="s">
        <v>7242</v>
      </c>
      <c r="C9023" s="1" t="str">
        <f ca="1">IFERROR(__xludf.DUMMYFUNCTION("GOOGLETRANSLATE(B9163,""en"",""ja"")"),"一致する")</f>
        <v>一致する</v>
      </c>
    </row>
    <row r="9024" spans="1:3" ht="18" customHeight="1" x14ac:dyDescent="0.3">
      <c r="A9024" s="1">
        <v>2</v>
      </c>
      <c r="B9024" s="1" t="s">
        <v>7243</v>
      </c>
      <c r="C9024" s="1" t="str">
        <f ca="1">IFERROR(__xludf.DUMMYFUNCTION("GOOGLETRANSLATE(B9164,""en"",""ja"")"),"株式会社")</f>
        <v>株式会社</v>
      </c>
    </row>
    <row r="9025" spans="1:3" ht="18" customHeight="1" x14ac:dyDescent="0.3">
      <c r="A9025" s="1">
        <v>2</v>
      </c>
      <c r="B9025" s="1" t="s">
        <v>1482</v>
      </c>
      <c r="C9025" s="1" t="str">
        <f ca="1">IFERROR(__xludf.DUMMYFUNCTION("GOOGLETRANSLATE(B9165,""en"",""ja"")"),"会社の")</f>
        <v>会社の</v>
      </c>
    </row>
    <row r="9026" spans="1:3" ht="18" customHeight="1" x14ac:dyDescent="0.3">
      <c r="A9026" s="1">
        <v>2</v>
      </c>
      <c r="B9026" s="1" t="s">
        <v>3088</v>
      </c>
      <c r="C9026" s="1" t="str">
        <f ca="1">IFERROR(__xludf.DUMMYFUNCTION("GOOGLETRANSLATE(B9166,""en"",""ja"")"),"協同組合")</f>
        <v>協同組合</v>
      </c>
    </row>
    <row r="9027" spans="1:3" ht="18" customHeight="1" x14ac:dyDescent="0.3">
      <c r="A9027" s="1">
        <v>2</v>
      </c>
      <c r="B9027" s="1" t="s">
        <v>3654</v>
      </c>
      <c r="C9027" s="1" t="str">
        <f ca="1">IFERROR(__xludf.DUMMYFUNCTION("GOOGLETRANSLATE(B9167,""en"",""ja"")"),"逆に")</f>
        <v>逆に</v>
      </c>
    </row>
    <row r="9028" spans="1:3" ht="18" customHeight="1" x14ac:dyDescent="0.3">
      <c r="A9028" s="1">
        <v>2</v>
      </c>
      <c r="B9028" s="1" t="s">
        <v>4129</v>
      </c>
      <c r="C9028" s="1" t="str">
        <f ca="1">IFERROR(__xludf.DUMMYFUNCTION("GOOGLETRANSLATE(B9168,""en"",""ja"")"),"会話")</f>
        <v>会話</v>
      </c>
    </row>
    <row r="9029" spans="1:3" ht="18" customHeight="1" x14ac:dyDescent="0.3">
      <c r="A9029" s="1">
        <v>2</v>
      </c>
      <c r="B9029" s="1" t="s">
        <v>7244</v>
      </c>
      <c r="C9029" s="1" t="str">
        <f ca="1">IFERROR(__xludf.DUMMYFUNCTION("GOOGLETRANSLATE(B9169,""en"",""ja"")"),"コンビニエンス")</f>
        <v>コンビニエンス</v>
      </c>
    </row>
    <row r="9030" spans="1:3" ht="18" customHeight="1" x14ac:dyDescent="0.3">
      <c r="A9030" s="1">
        <v>2</v>
      </c>
      <c r="B9030" s="1" t="s">
        <v>7245</v>
      </c>
      <c r="C9030" s="1" t="str">
        <f ca="1">IFERROR(__xludf.DUMMYFUNCTION("GOOGLETRANSLATE(B9171,""en"",""ja"")"),"コントラスト")</f>
        <v>コントラスト</v>
      </c>
    </row>
    <row r="9031" spans="1:3" ht="18" customHeight="1" x14ac:dyDescent="0.3">
      <c r="A9031" s="1">
        <v>2</v>
      </c>
      <c r="B9031" s="1" t="s">
        <v>5005</v>
      </c>
      <c r="C9031" s="1" t="str">
        <f ca="1">IFERROR(__xludf.DUMMYFUNCTION("GOOGLETRANSLATE(B9172,""en"",""ja"")"),"矛盾")</f>
        <v>矛盾</v>
      </c>
    </row>
    <row r="9032" spans="1:3" ht="18" customHeight="1" x14ac:dyDescent="0.3">
      <c r="A9032" s="1">
        <v>2</v>
      </c>
      <c r="B9032" s="1" t="s">
        <v>7246</v>
      </c>
      <c r="C9032" s="1" t="str">
        <f ca="1">IFERROR(__xludf.DUMMYFUNCTION("GOOGLETRANSLATE(B9173,""en"",""ja"")"),"連続")</f>
        <v>連続</v>
      </c>
    </row>
    <row r="9033" spans="1:3" ht="18" customHeight="1" x14ac:dyDescent="0.3">
      <c r="A9033" s="1">
        <v>2</v>
      </c>
      <c r="B9033" s="1" t="s">
        <v>2774</v>
      </c>
      <c r="C9033" s="1" t="str">
        <f ca="1">IFERROR(__xludf.DUMMYFUNCTION("GOOGLETRANSLATE(B9174,""en"",""ja"")"),"競技者")</f>
        <v>競技者</v>
      </c>
    </row>
    <row r="9034" spans="1:3" ht="18" customHeight="1" x14ac:dyDescent="0.3">
      <c r="A9034" s="1">
        <v>2</v>
      </c>
      <c r="B9034" s="1" t="s">
        <v>7247</v>
      </c>
      <c r="C9034" s="1" t="str">
        <f ca="1">IFERROR(__xludf.DUMMYFUNCTION("GOOGLETRANSLATE(B9175,""en"",""ja"")"),"争います")</f>
        <v>争います</v>
      </c>
    </row>
    <row r="9035" spans="1:3" ht="18" customHeight="1" x14ac:dyDescent="0.3">
      <c r="A9035" s="1">
        <v>2</v>
      </c>
      <c r="B9035" s="1" t="s">
        <v>7248</v>
      </c>
      <c r="C9035" s="1" t="str">
        <f ca="1">IFERROR(__xludf.DUMMYFUNCTION("GOOGLETRANSLATE(B9176,""en"",""ja"")"),"意図")</f>
        <v>意図</v>
      </c>
    </row>
    <row r="9036" spans="1:3" ht="18" customHeight="1" x14ac:dyDescent="0.3">
      <c r="A9036" s="1">
        <v>2</v>
      </c>
      <c r="B9036" s="1" t="s">
        <v>7249</v>
      </c>
      <c r="C9036" s="1" t="str">
        <f ca="1">IFERROR(__xludf.DUMMYFUNCTION("GOOGLETRANSLATE(B9177,""en"",""ja"")"),"企図")</f>
        <v>企図</v>
      </c>
    </row>
    <row r="9037" spans="1:3" ht="18" customHeight="1" x14ac:dyDescent="0.3">
      <c r="A9037" s="1">
        <v>2</v>
      </c>
      <c r="B9037" s="1" t="s">
        <v>7250</v>
      </c>
      <c r="C9037" s="1" t="str">
        <f ca="1">IFERROR(__xludf.DUMMYFUNCTION("GOOGLETRANSLATE(B9178,""en"",""ja"")"),"コンタクト")</f>
        <v>コンタクト</v>
      </c>
    </row>
    <row r="9038" spans="1:3" ht="18" customHeight="1" x14ac:dyDescent="0.3">
      <c r="A9038" s="1">
        <v>2</v>
      </c>
      <c r="B9038" s="1" t="s">
        <v>7251</v>
      </c>
      <c r="C9038" s="1" t="str">
        <f ca="1">IFERROR(__xludf.DUMMYFUNCTION("GOOGLETRANSLATE(B9179,""en"",""ja"")"),"消費します")</f>
        <v>消費します</v>
      </c>
    </row>
    <row r="9039" spans="1:3" ht="18" customHeight="1" x14ac:dyDescent="0.3">
      <c r="A9039" s="1">
        <v>2</v>
      </c>
      <c r="B9039" s="1" t="s">
        <v>7252</v>
      </c>
      <c r="C9039" s="1" t="str">
        <f ca="1">IFERROR(__xludf.DUMMYFUNCTION("GOOGLETRANSLATE(B9180,""en"",""ja"")"),"コンサルティング")</f>
        <v>コンサルティング</v>
      </c>
    </row>
    <row r="9040" spans="1:3" ht="18" customHeight="1" x14ac:dyDescent="0.3">
      <c r="A9040" s="1">
        <v>2</v>
      </c>
      <c r="B9040" s="1" t="s">
        <v>7253</v>
      </c>
      <c r="C9040" s="1" t="str">
        <f ca="1">IFERROR(__xludf.DUMMYFUNCTION("GOOGLETRANSLATE(B9181,""en"",""ja"")"),"建設")</f>
        <v>建設</v>
      </c>
    </row>
    <row r="9041" spans="1:3" ht="18" customHeight="1" x14ac:dyDescent="0.3">
      <c r="A9041" s="1">
        <v>2</v>
      </c>
      <c r="B9041" s="1" t="s">
        <v>7254</v>
      </c>
      <c r="C9041" s="1" t="str">
        <f ca="1">IFERROR(__xludf.DUMMYFUNCTION("GOOGLETRANSLATE(B9183,""en"",""ja"")"),"制約")</f>
        <v>制約</v>
      </c>
    </row>
    <row r="9042" spans="1:3" ht="18" customHeight="1" x14ac:dyDescent="0.3">
      <c r="A9042" s="1">
        <v>2</v>
      </c>
      <c r="B9042" s="1" t="s">
        <v>1082</v>
      </c>
      <c r="C9042" s="1" t="str">
        <f ca="1">IFERROR(__xludf.DUMMYFUNCTION("GOOGLETRANSLATE(B9184,""en"",""ja"")"),"首尾一貫した")</f>
        <v>首尾一貫した</v>
      </c>
    </row>
    <row r="9043" spans="1:3" ht="18" customHeight="1" x14ac:dyDescent="0.3">
      <c r="A9043" s="1">
        <v>2</v>
      </c>
      <c r="B9043" s="1" t="s">
        <v>6340</v>
      </c>
      <c r="C9043" s="1" t="str">
        <f ca="1">IFERROR(__xludf.DUMMYFUNCTION("GOOGLETRANSLATE(B9185,""en"",""ja"")"),"保守主義")</f>
        <v>保守主義</v>
      </c>
    </row>
    <row r="9044" spans="1:3" ht="18" customHeight="1" x14ac:dyDescent="0.3">
      <c r="A9044" s="1">
        <v>2</v>
      </c>
      <c r="B9044" s="1" t="s">
        <v>7255</v>
      </c>
      <c r="C9044" s="1" t="str">
        <f ca="1">IFERROR(__xludf.DUMMYFUNCTION("GOOGLETRANSLATE(B9186,""en"",""ja"")"),"自然保護論者")</f>
        <v>自然保護論者</v>
      </c>
    </row>
    <row r="9045" spans="1:3" ht="18" customHeight="1" x14ac:dyDescent="0.3">
      <c r="A9045" s="1">
        <v>2</v>
      </c>
      <c r="B9045" s="1" t="s">
        <v>7256</v>
      </c>
      <c r="C9045" s="1" t="str">
        <f ca="1">IFERROR(__xludf.DUMMYFUNCTION("GOOGLETRANSLATE(B9187,""en"",""ja"")"),"征服")</f>
        <v>征服</v>
      </c>
    </row>
    <row r="9046" spans="1:3" ht="18" customHeight="1" x14ac:dyDescent="0.3">
      <c r="A9046" s="1">
        <v>2</v>
      </c>
      <c r="B9046" s="1" t="s">
        <v>7257</v>
      </c>
      <c r="C9046" s="1" t="str">
        <f ca="1">IFERROR(__xludf.DUMMYFUNCTION("GOOGLETRANSLATE(B9188,""en"",""ja"")"),"接続")</f>
        <v>接続</v>
      </c>
    </row>
    <row r="9047" spans="1:3" ht="18" customHeight="1" x14ac:dyDescent="0.3">
      <c r="A9047" s="1">
        <v>2</v>
      </c>
      <c r="B9047" s="1" t="s">
        <v>7258</v>
      </c>
      <c r="C9047" s="1" t="str">
        <f ca="1">IFERROR(__xludf.DUMMYFUNCTION("GOOGLETRANSLATE(B9189,""en"",""ja"")"),"つながり")</f>
        <v>つながり</v>
      </c>
    </row>
    <row r="9048" spans="1:3" ht="18" customHeight="1" x14ac:dyDescent="0.3">
      <c r="A9048" s="1">
        <v>2</v>
      </c>
      <c r="B9048" s="1" t="s">
        <v>7259</v>
      </c>
      <c r="C9048" s="1" t="str">
        <f ca="1">IFERROR(__xludf.DUMMYFUNCTION("GOOGLETRANSLATE(B9190,""en"",""ja"")"),"接続詞")</f>
        <v>接続詞</v>
      </c>
    </row>
    <row r="9049" spans="1:3" ht="18" customHeight="1" x14ac:dyDescent="0.3">
      <c r="A9049" s="1">
        <v>2</v>
      </c>
      <c r="B9049" s="1" t="s">
        <v>6343</v>
      </c>
      <c r="C9049" s="1" t="str">
        <f ca="1">IFERROR(__xludf.DUMMYFUNCTION("GOOGLETRANSLATE(B9191,""en"",""ja"")"),"混雑")</f>
        <v>混雑</v>
      </c>
    </row>
    <row r="9050" spans="1:3" ht="18" customHeight="1" x14ac:dyDescent="0.3">
      <c r="A9050" s="1">
        <v>2</v>
      </c>
      <c r="B9050" s="1" t="s">
        <v>3667</v>
      </c>
      <c r="C9050" s="1" t="str">
        <f ca="1">IFERROR(__xludf.DUMMYFUNCTION("GOOGLETRANSLATE(B9192,""en"",""ja"")"),"隠蔽")</f>
        <v>隠蔽</v>
      </c>
    </row>
    <row r="9051" spans="1:3" ht="18" customHeight="1" x14ac:dyDescent="0.3">
      <c r="A9051" s="1">
        <v>2</v>
      </c>
      <c r="B9051" s="1" t="s">
        <v>1597</v>
      </c>
      <c r="C9051" s="1" t="str">
        <f ca="1">IFERROR(__xludf.DUMMYFUNCTION("GOOGLETRANSLATE(B9193,""en"",""ja"")"),"隠す")</f>
        <v>隠す</v>
      </c>
    </row>
    <row r="9052" spans="1:3" ht="18" customHeight="1" x14ac:dyDescent="0.3">
      <c r="A9052" s="1">
        <v>2</v>
      </c>
      <c r="B9052" s="1" t="s">
        <v>7260</v>
      </c>
      <c r="C9052" s="1" t="str">
        <f ca="1">IFERROR(__xludf.DUMMYFUNCTION("GOOGLETRANSLATE(B9194,""en"",""ja"")"),"計算されました")</f>
        <v>計算されました</v>
      </c>
    </row>
    <row r="9053" spans="1:3" ht="18" customHeight="1" x14ac:dyDescent="0.3">
      <c r="A9053" s="1">
        <v>2</v>
      </c>
      <c r="B9053" s="1" t="s">
        <v>3669</v>
      </c>
      <c r="C9053" s="1" t="str">
        <f ca="1">IFERROR(__xludf.DUMMYFUNCTION("GOOGLETRANSLATE(B9195,""en"",""ja"")"),"強制")</f>
        <v>強制</v>
      </c>
    </row>
    <row r="9054" spans="1:3" ht="18" customHeight="1" x14ac:dyDescent="0.3">
      <c r="A9054" s="1">
        <v>2</v>
      </c>
      <c r="B9054" s="1" t="s">
        <v>7261</v>
      </c>
      <c r="C9054" s="1" t="str">
        <f ca="1">IFERROR(__xludf.DUMMYFUNCTION("GOOGLETRANSLATE(B9196,""en"",""ja"")"),"composi")</f>
        <v>composi</v>
      </c>
    </row>
    <row r="9055" spans="1:3" ht="18" customHeight="1" x14ac:dyDescent="0.3">
      <c r="A9055" s="1">
        <v>2</v>
      </c>
      <c r="B9055" s="1" t="s">
        <v>6364</v>
      </c>
      <c r="C9055" s="1" t="str">
        <f ca="1">IFERROR(__xludf.DUMMYFUNCTION("GOOGLETRANSLATE(B9197,""en"",""ja"")"),"コン")</f>
        <v>コン</v>
      </c>
    </row>
    <row r="9056" spans="1:3" ht="18" customHeight="1" x14ac:dyDescent="0.3">
      <c r="A9056" s="1">
        <v>2</v>
      </c>
      <c r="B9056" s="1" t="s">
        <v>7262</v>
      </c>
      <c r="C9056" s="1" t="str">
        <f ca="1">IFERROR(__xludf.DUMMYFUNCTION("GOOGLETRANSLATE(B9198,""en"",""ja"")"),"完成")</f>
        <v>完成</v>
      </c>
    </row>
    <row r="9057" spans="1:3" ht="18" customHeight="1" x14ac:dyDescent="0.3">
      <c r="A9057" s="1">
        <v>2</v>
      </c>
      <c r="B9057" s="1" t="s">
        <v>580</v>
      </c>
      <c r="C9057" s="1" t="str">
        <f ca="1">IFERROR(__xludf.DUMMYFUNCTION("GOOGLETRANSLATE(B9199,""en"",""ja"")"),"コンプリート")</f>
        <v>コンプリート</v>
      </c>
    </row>
    <row r="9058" spans="1:3" ht="18" customHeight="1" x14ac:dyDescent="0.3">
      <c r="A9058" s="1">
        <v>2</v>
      </c>
      <c r="B9058" s="1" t="s">
        <v>7263</v>
      </c>
      <c r="C9058" s="1" t="str">
        <f ca="1">IFERROR(__xludf.DUMMYFUNCTION("GOOGLETRANSLATE(B9200,""en"",""ja"")"),"強います")</f>
        <v>強います</v>
      </c>
    </row>
    <row r="9059" spans="1:3" ht="18" customHeight="1" x14ac:dyDescent="0.3">
      <c r="A9059" s="1">
        <v>2</v>
      </c>
      <c r="B9059" s="1" t="s">
        <v>3099</v>
      </c>
      <c r="C9059" s="1" t="str">
        <f ca="1">IFERROR(__xludf.DUMMYFUNCTION("GOOGLETRANSLATE(B9201,""en"",""ja"")"),"情け深いです")</f>
        <v>情け深いです</v>
      </c>
    </row>
    <row r="9060" spans="1:3" ht="18" customHeight="1" x14ac:dyDescent="0.3">
      <c r="A9060" s="1">
        <v>2</v>
      </c>
      <c r="B9060" s="1" t="s">
        <v>581</v>
      </c>
      <c r="C9060" s="1" t="str">
        <f ca="1">IFERROR(__xludf.DUMMYFUNCTION("GOOGLETRANSLATE(B9202,""en"",""ja"")"),"コンパクト")</f>
        <v>コンパクト</v>
      </c>
    </row>
    <row r="9061" spans="1:3" ht="18" customHeight="1" x14ac:dyDescent="0.3">
      <c r="A9061" s="1">
        <v>2</v>
      </c>
      <c r="B9061" s="1" t="s">
        <v>7264</v>
      </c>
      <c r="C9061" s="1" t="str">
        <f ca="1">IFERROR(__xludf.DUMMYFUNCTION("GOOGLETRANSLATE(B9203,""en"",""ja"")"),"コミット")</f>
        <v>コミット</v>
      </c>
    </row>
    <row r="9062" spans="1:3" ht="18" customHeight="1" x14ac:dyDescent="0.3">
      <c r="A9062" s="1">
        <v>2</v>
      </c>
      <c r="B9062" s="1" t="s">
        <v>2214</v>
      </c>
      <c r="C9062" s="1" t="str">
        <f ca="1">IFERROR(__xludf.DUMMYFUNCTION("GOOGLETRANSLATE(B9204,""en"",""ja"")"),"コミットメント")</f>
        <v>コミットメント</v>
      </c>
    </row>
    <row r="9063" spans="1:3" ht="18" customHeight="1" x14ac:dyDescent="0.3">
      <c r="A9063" s="1">
        <v>2</v>
      </c>
      <c r="B9063" s="1" t="s">
        <v>7265</v>
      </c>
      <c r="C9063" s="1" t="str">
        <f ca="1">IFERROR(__xludf.DUMMYFUNCTION("GOOGLETRANSLATE(B9205,""en"",""ja"")"),"結合")</f>
        <v>結合</v>
      </c>
    </row>
    <row r="9064" spans="1:3" ht="18" customHeight="1" x14ac:dyDescent="0.3">
      <c r="A9064" s="1">
        <v>2</v>
      </c>
      <c r="B9064" s="1" t="s">
        <v>620</v>
      </c>
      <c r="C9064" s="1" t="str">
        <f ca="1">IFERROR(__xludf.DUMMYFUNCTION("GOOGLETRANSLATE(B9206,""en"",""ja"")"),"組み合わせ")</f>
        <v>組み合わせ</v>
      </c>
    </row>
    <row r="9065" spans="1:3" ht="18" customHeight="1" x14ac:dyDescent="0.3">
      <c r="A9065" s="1">
        <v>2</v>
      </c>
      <c r="B9065" s="1" t="s">
        <v>6374</v>
      </c>
      <c r="C9065" s="1" t="str">
        <f ca="1">IFERROR(__xludf.DUMMYFUNCTION("GOOGLETRANSLATE(B9207,""en"",""ja"")"),"コム")</f>
        <v>コム</v>
      </c>
    </row>
    <row r="9066" spans="1:3" ht="18" customHeight="1" x14ac:dyDescent="0.3">
      <c r="A9066" s="1">
        <v>2</v>
      </c>
      <c r="B9066" s="1" t="s">
        <v>3676</v>
      </c>
      <c r="C9066" s="1" t="str">
        <f ca="1">IFERROR(__xludf.DUMMYFUNCTION("GOOGLETRANSLATE(B9208,""en"",""ja"")"),"集産")</f>
        <v>集産</v>
      </c>
    </row>
    <row r="9067" spans="1:3" ht="18" customHeight="1" x14ac:dyDescent="0.3">
      <c r="A9067" s="1">
        <v>2</v>
      </c>
      <c r="B9067" s="1" t="s">
        <v>7266</v>
      </c>
      <c r="C9067" s="1" t="str">
        <f ca="1">IFERROR(__xludf.DUMMYFUNCTION("GOOGLETRANSLATE(B9209,""en"",""ja"")"),"コレクション")</f>
        <v>コレクション</v>
      </c>
    </row>
    <row r="9068" spans="1:3" ht="18" customHeight="1" x14ac:dyDescent="0.3">
      <c r="A9068" s="1">
        <v>2</v>
      </c>
      <c r="B9068" s="1" t="s">
        <v>7267</v>
      </c>
      <c r="C9068" s="1" t="str">
        <f ca="1">IFERROR(__xludf.DUMMYFUNCTION("GOOGLETRANSLATE(B9210,""en"",""ja"")"),"集めました")</f>
        <v>集めました</v>
      </c>
    </row>
    <row r="9069" spans="1:3" ht="18" customHeight="1" x14ac:dyDescent="0.3">
      <c r="A9069" s="1">
        <v>2</v>
      </c>
      <c r="B9069" s="1" t="s">
        <v>7268</v>
      </c>
      <c r="C9069" s="1" t="str">
        <f ca="1">IFERROR(__xludf.DUMMYFUNCTION("GOOGLETRANSLATE(B9211,""en"",""ja"")"),"コレクタブル")</f>
        <v>コレクタブル</v>
      </c>
    </row>
    <row r="9070" spans="1:3" ht="18" customHeight="1" x14ac:dyDescent="0.3">
      <c r="A9070" s="1">
        <v>2</v>
      </c>
      <c r="B9070" s="1" t="s">
        <v>7269</v>
      </c>
      <c r="C9070" s="1" t="str">
        <f ca="1">IFERROR(__xludf.DUMMYFUNCTION("GOOGLETRANSLATE(B9212,""en"",""ja"")"),"コイン")</f>
        <v>コイン</v>
      </c>
    </row>
    <row r="9071" spans="1:3" ht="18" customHeight="1" x14ac:dyDescent="0.3">
      <c r="A9071" s="1">
        <v>2</v>
      </c>
      <c r="B9071" s="1" t="s">
        <v>5041</v>
      </c>
      <c r="C9071" s="1" t="str">
        <f ca="1">IFERROR(__xludf.DUMMYFUNCTION("GOOGLETRANSLATE(B9213,""en"",""ja"")"),"凝集")</f>
        <v>凝集</v>
      </c>
    </row>
    <row r="9072" spans="1:3" ht="18" customHeight="1" x14ac:dyDescent="0.3">
      <c r="A9072" s="1">
        <v>2</v>
      </c>
      <c r="B9072" s="1" t="s">
        <v>3679</v>
      </c>
      <c r="C9072" s="1" t="str">
        <f ca="1">IFERROR(__xludf.DUMMYFUNCTION("GOOGLETRANSLATE(B9214,""en"",""ja"")"),"認識")</f>
        <v>認識</v>
      </c>
    </row>
    <row r="9073" spans="1:3" ht="18" customHeight="1" x14ac:dyDescent="0.3">
      <c r="A9073" s="1">
        <v>2</v>
      </c>
      <c r="B9073" s="1" t="s">
        <v>7270</v>
      </c>
      <c r="C9073" s="1" t="str">
        <f ca="1">IFERROR(__xludf.DUMMYFUNCTION("GOOGLETRANSLATE(B9215,""en"",""ja"")"),"粗い")</f>
        <v>粗い</v>
      </c>
    </row>
    <row r="9074" spans="1:3" ht="18" customHeight="1" x14ac:dyDescent="0.3">
      <c r="A9074" s="1">
        <v>2</v>
      </c>
      <c r="B9074" s="1" t="s">
        <v>2794</v>
      </c>
      <c r="C9074" s="1" t="str">
        <f ca="1">IFERROR(__xludf.DUMMYFUNCTION("GOOGLETRANSLATE(B9216,""en"",""ja"")"),"連立")</f>
        <v>連立</v>
      </c>
    </row>
    <row r="9075" spans="1:3" ht="18" customHeight="1" x14ac:dyDescent="0.3">
      <c r="A9075" s="1">
        <v>2</v>
      </c>
      <c r="B9075" s="1" t="s">
        <v>7271</v>
      </c>
      <c r="C9075" s="1" t="str">
        <f ca="1">IFERROR(__xludf.DUMMYFUNCTION("GOOGLETRANSLATE(B9217,""en"",""ja"")"),"クライアント")</f>
        <v>クライアント</v>
      </c>
    </row>
    <row r="9076" spans="1:3" ht="18" customHeight="1" x14ac:dyDescent="0.3">
      <c r="A9076" s="1">
        <v>2</v>
      </c>
      <c r="B9076" s="1" t="s">
        <v>6388</v>
      </c>
      <c r="C9076" s="1" t="str">
        <f ca="1">IFERROR(__xludf.DUMMYFUNCTION("GOOGLETRANSLATE(B9218,""en"",""ja"")"),"掃除")</f>
        <v>掃除</v>
      </c>
    </row>
    <row r="9077" spans="1:3" ht="18" customHeight="1" x14ac:dyDescent="0.3">
      <c r="A9077" s="1">
        <v>2</v>
      </c>
      <c r="B9077" s="1" t="s">
        <v>7272</v>
      </c>
      <c r="C9077" s="1" t="str">
        <f ca="1">IFERROR(__xludf.DUMMYFUNCTION("GOOGLETRANSLATE(B9219,""en"",""ja"")"),"クレイトン")</f>
        <v>クレイトン</v>
      </c>
    </row>
    <row r="9078" spans="1:3" ht="18" customHeight="1" x14ac:dyDescent="0.3">
      <c r="A9078" s="1">
        <v>2</v>
      </c>
      <c r="B9078" s="1" t="s">
        <v>7273</v>
      </c>
      <c r="C9078" s="1" t="str">
        <f ca="1">IFERROR(__xludf.DUMMYFUNCTION("GOOGLETRANSLATE(B9220,""en"",""ja"")"),"クラスメート")</f>
        <v>クラスメート</v>
      </c>
    </row>
    <row r="9079" spans="1:3" ht="18" customHeight="1" x14ac:dyDescent="0.3">
      <c r="A9079" s="1">
        <v>2</v>
      </c>
      <c r="B9079" s="1" t="s">
        <v>7274</v>
      </c>
      <c r="C9079" s="1" t="str">
        <f ca="1">IFERROR(__xludf.DUMMYFUNCTION("GOOGLETRANSLATE(B9221,""en"",""ja"")"),"同級生")</f>
        <v>同級生</v>
      </c>
    </row>
    <row r="9080" spans="1:3" ht="18" customHeight="1" x14ac:dyDescent="0.3">
      <c r="A9080" s="1">
        <v>2</v>
      </c>
      <c r="B9080" s="1" t="s">
        <v>784</v>
      </c>
      <c r="C9080" s="1" t="str">
        <f ca="1">IFERROR(__xludf.DUMMYFUNCTION("GOOGLETRANSLATE(B9222,""en"",""ja"")"),"クラシカル")</f>
        <v>クラシカル</v>
      </c>
    </row>
    <row r="9081" spans="1:3" ht="18" customHeight="1" x14ac:dyDescent="0.3">
      <c r="A9081" s="1">
        <v>2</v>
      </c>
      <c r="B9081" s="1" t="s">
        <v>7275</v>
      </c>
      <c r="C9081" s="1" t="str">
        <f ca="1">IFERROR(__xludf.DUMMYFUNCTION("GOOGLETRANSLATE(B9223,""en"",""ja"")"),"都市の")</f>
        <v>都市の</v>
      </c>
    </row>
    <row r="9082" spans="1:3" ht="18" customHeight="1" x14ac:dyDescent="0.3">
      <c r="A9082" s="1">
        <v>2</v>
      </c>
      <c r="B9082" s="1" t="s">
        <v>2218</v>
      </c>
      <c r="C9082" s="1" t="str">
        <f ca="1">IFERROR(__xludf.DUMMYFUNCTION("GOOGLETRANSLATE(B9224,""en"",""ja"")"),"サークル")</f>
        <v>サークル</v>
      </c>
    </row>
    <row r="9083" spans="1:3" ht="18" customHeight="1" x14ac:dyDescent="0.3">
      <c r="A9083" s="1">
        <v>2</v>
      </c>
      <c r="B9083" s="1" t="s">
        <v>7276</v>
      </c>
      <c r="C9083" s="1" t="str">
        <f ca="1">IFERROR(__xludf.DUMMYFUNCTION("GOOGLETRANSLATE(B9225,""en"",""ja"")"),"教会")</f>
        <v>教会</v>
      </c>
    </row>
    <row r="9084" spans="1:3" ht="18" customHeight="1" x14ac:dyDescent="0.3">
      <c r="A9084" s="1">
        <v>2</v>
      </c>
      <c r="B9084" s="1" t="s">
        <v>7277</v>
      </c>
      <c r="C9084" s="1" t="str">
        <f ca="1">IFERROR(__xludf.DUMMYFUNCTION("GOOGLETRANSLATE(B9226,""en"",""ja"")"),"選びました")</f>
        <v>選びました</v>
      </c>
    </row>
    <row r="9085" spans="1:3" ht="18" customHeight="1" x14ac:dyDescent="0.3">
      <c r="A9085" s="1">
        <v>2</v>
      </c>
      <c r="B9085" s="1" t="s">
        <v>7278</v>
      </c>
      <c r="C9085" s="1" t="str">
        <f ca="1">IFERROR(__xludf.DUMMYFUNCTION("GOOGLETRANSLATE(B9227,""en"",""ja"")"),"選びます")</f>
        <v>選びます</v>
      </c>
    </row>
    <row r="9086" spans="1:3" ht="18" customHeight="1" x14ac:dyDescent="0.3">
      <c r="A9086" s="1">
        <v>2</v>
      </c>
      <c r="B9086" s="1" t="s">
        <v>7279</v>
      </c>
      <c r="C9086" s="1" t="str">
        <f ca="1">IFERROR(__xludf.DUMMYFUNCTION("GOOGLETRANSLATE(B9228,""en"",""ja"")"),"chonsky")</f>
        <v>chonsky</v>
      </c>
    </row>
    <row r="9087" spans="1:3" ht="18" customHeight="1" x14ac:dyDescent="0.3">
      <c r="A9087" s="1">
        <v>2</v>
      </c>
      <c r="B9087" s="1" t="s">
        <v>7280</v>
      </c>
      <c r="C9087" s="1" t="str">
        <f ca="1">IFERROR(__xludf.DUMMYFUNCTION("GOOGLETRANSLATE(B9229,""en"",""ja"")"),"チョムスキーさん")</f>
        <v>チョムスキーさん</v>
      </c>
    </row>
    <row r="9088" spans="1:3" ht="18" customHeight="1" x14ac:dyDescent="0.3">
      <c r="A9088" s="1">
        <v>2</v>
      </c>
      <c r="B9088" s="1" t="s">
        <v>7281</v>
      </c>
      <c r="C9088" s="1" t="str">
        <f ca="1">IFERROR(__xludf.DUMMYFUNCTION("GOOGLETRANSLATE(B9230,""en"",""ja"")"),"顎")</f>
        <v>顎</v>
      </c>
    </row>
    <row r="9089" spans="1:3" ht="18" customHeight="1" x14ac:dyDescent="0.3">
      <c r="A9089" s="1">
        <v>2</v>
      </c>
      <c r="B9089" s="1" t="s">
        <v>683</v>
      </c>
      <c r="C9089" s="1" t="str">
        <f ca="1">IFERROR(__xludf.DUMMYFUNCTION("GOOGLETRANSLATE(B9231,""en"",""ja"")"),"ケミカル")</f>
        <v>ケミカル</v>
      </c>
    </row>
    <row r="9090" spans="1:3" ht="18" customHeight="1" x14ac:dyDescent="0.3">
      <c r="A9090" s="1">
        <v>2</v>
      </c>
      <c r="B9090" s="1" t="s">
        <v>7282</v>
      </c>
      <c r="C9090" s="1" t="str">
        <f ca="1">IFERROR(__xludf.DUMMYFUNCTION("GOOGLETRANSLATE(B9232,""en"",""ja"")"),"チャリティ")</f>
        <v>チャリティ</v>
      </c>
    </row>
    <row r="9091" spans="1:3" ht="18" customHeight="1" x14ac:dyDescent="0.3">
      <c r="A9091" s="1">
        <v>2</v>
      </c>
      <c r="B9091" s="1" t="s">
        <v>7283</v>
      </c>
      <c r="C9091" s="1" t="str">
        <f ca="1">IFERROR(__xludf.DUMMYFUNCTION("GOOGLETRANSLATE(B9233,""en"",""ja"")"),"特徴づけます")</f>
        <v>特徴づけます</v>
      </c>
    </row>
    <row r="9092" spans="1:3" ht="18" customHeight="1" x14ac:dyDescent="0.3">
      <c r="A9092" s="1">
        <v>2</v>
      </c>
      <c r="B9092" s="1" t="s">
        <v>7284</v>
      </c>
      <c r="C9092" s="1" t="str">
        <f ca="1">IFERROR(__xludf.DUMMYFUNCTION("GOOGLETRANSLATE(B9234,""en"",""ja"")"),"最高経営責任者（CEO")</f>
        <v>最高経営責任者（CEO</v>
      </c>
    </row>
    <row r="9093" spans="1:3" ht="18" customHeight="1" x14ac:dyDescent="0.3">
      <c r="A9093" s="1">
        <v>2</v>
      </c>
      <c r="B9093" s="1" t="s">
        <v>7285</v>
      </c>
      <c r="C9093" s="1" t="str">
        <f ca="1">IFERROR(__xludf.DUMMYFUNCTION("GOOGLETRANSLATE(B9235,""en"",""ja"")"),"集中")</f>
        <v>集中</v>
      </c>
    </row>
    <row r="9094" spans="1:3" ht="18" customHeight="1" x14ac:dyDescent="0.3">
      <c r="A9094" s="1">
        <v>2</v>
      </c>
      <c r="B9094" s="1" t="s">
        <v>6412</v>
      </c>
      <c r="C9094" s="1" t="str">
        <f ca="1">IFERROR(__xludf.DUMMYFUNCTION("GOOGLETRANSLATE(B9236,""en"",""ja"")"),"人口調査")</f>
        <v>人口調査</v>
      </c>
    </row>
    <row r="9095" spans="1:3" ht="18" customHeight="1" x14ac:dyDescent="0.3">
      <c r="A9095" s="1">
        <v>2</v>
      </c>
      <c r="B9095" s="1" t="s">
        <v>1708</v>
      </c>
      <c r="C9095" s="1" t="str">
        <f ca="1">IFERROR(__xludf.DUMMYFUNCTION("GOOGLETRANSLATE(B9237,""en"",""ja"")"),"セルラー")</f>
        <v>セルラー</v>
      </c>
    </row>
    <row r="9096" spans="1:3" ht="18" customHeight="1" x14ac:dyDescent="0.3">
      <c r="A9096" s="1">
        <v>2</v>
      </c>
      <c r="B9096" s="1" t="s">
        <v>7286</v>
      </c>
      <c r="C9096" s="1" t="str">
        <f ca="1">IFERROR(__xludf.DUMMYFUNCTION("GOOGLETRANSLATE(B9238,""en"",""ja"")"),"ceive")</f>
        <v>ceive</v>
      </c>
    </row>
    <row r="9097" spans="1:3" ht="18" customHeight="1" x14ac:dyDescent="0.3">
      <c r="A9097" s="1">
        <v>2</v>
      </c>
      <c r="B9097" s="1" t="s">
        <v>7287</v>
      </c>
      <c r="C9097" s="1" t="str">
        <f ca="1">IFERROR(__xludf.DUMMYFUNCTION("GOOGLETRANSLATE(B9239,""en"",""ja"")"),"猫")</f>
        <v>猫</v>
      </c>
    </row>
    <row r="9098" spans="1:3" ht="18" customHeight="1" x14ac:dyDescent="0.3">
      <c r="A9098" s="1">
        <v>2</v>
      </c>
      <c r="B9098" s="1" t="s">
        <v>3690</v>
      </c>
      <c r="C9098" s="1" t="str">
        <f ca="1">IFERROR(__xludf.DUMMYFUNCTION("GOOGLETRANSLATE(B9240,""en"",""ja"")"),"カソリック")</f>
        <v>カソリック</v>
      </c>
    </row>
    <row r="9099" spans="1:3" ht="18" customHeight="1" x14ac:dyDescent="0.3">
      <c r="A9099" s="1">
        <v>2</v>
      </c>
      <c r="B9099" s="1" t="s">
        <v>7288</v>
      </c>
      <c r="C9099" s="1" t="str">
        <f ca="1">IFERROR(__xludf.DUMMYFUNCTION("GOOGLETRANSLATE(B9241,""en"",""ja"")"),"catherinein")</f>
        <v>catherinein</v>
      </c>
    </row>
    <row r="9100" spans="1:3" ht="18" customHeight="1" x14ac:dyDescent="0.3">
      <c r="A9100" s="1">
        <v>2</v>
      </c>
      <c r="B9100" s="1" t="s">
        <v>7289</v>
      </c>
      <c r="C9100" s="1" t="str">
        <f ca="1">IFERROR(__xludf.DUMMYFUNCTION("GOOGLETRANSLATE(B9242,""en"",""ja"")"),"キャスト")</f>
        <v>キャスト</v>
      </c>
    </row>
    <row r="9101" spans="1:3" ht="18" customHeight="1" x14ac:dyDescent="0.3">
      <c r="A9101" s="1">
        <v>2</v>
      </c>
      <c r="B9101" s="1" t="s">
        <v>7290</v>
      </c>
      <c r="C9101" s="1" t="str">
        <f ca="1">IFERROR(__xludf.DUMMYFUNCTION("GOOGLETRANSLATE(B9243,""en"",""ja"")"),"現金")</f>
        <v>現金</v>
      </c>
    </row>
    <row r="9102" spans="1:3" ht="18" customHeight="1" x14ac:dyDescent="0.3">
      <c r="A9102" s="1">
        <v>2</v>
      </c>
      <c r="B9102" s="1" t="s">
        <v>2462</v>
      </c>
      <c r="C9102" s="1" t="str">
        <f ca="1">IFERROR(__xludf.DUMMYFUNCTION("GOOGLETRANSLATE(B9244,""en"",""ja"")"),"カーター")</f>
        <v>カーター</v>
      </c>
    </row>
    <row r="9103" spans="1:3" ht="18" customHeight="1" x14ac:dyDescent="0.3">
      <c r="A9103" s="1">
        <v>2</v>
      </c>
      <c r="B9103" s="1" t="s">
        <v>7291</v>
      </c>
      <c r="C9103" s="1" t="str">
        <f ca="1">IFERROR(__xludf.DUMMYFUNCTION("GOOGLETRANSLATE(B9245,""en"",""ja"")"),"カーニバル")</f>
        <v>カーニバル</v>
      </c>
    </row>
    <row r="9104" spans="1:3" ht="18" customHeight="1" x14ac:dyDescent="0.3">
      <c r="A9104" s="1">
        <v>2</v>
      </c>
      <c r="B9104" s="1" t="s">
        <v>7292</v>
      </c>
      <c r="C9104" s="1" t="str">
        <f ca="1">IFERROR(__xludf.DUMMYFUNCTION("GOOGLETRANSLATE(B9246,""en"",""ja"")"),"うっかり")</f>
        <v>うっかり</v>
      </c>
    </row>
    <row r="9105" spans="1:3" ht="18" customHeight="1" x14ac:dyDescent="0.3">
      <c r="A9105" s="1">
        <v>2</v>
      </c>
      <c r="B9105" s="1" t="s">
        <v>3692</v>
      </c>
      <c r="C9105" s="1" t="str">
        <f ca="1">IFERROR(__xludf.DUMMYFUNCTION("GOOGLETRANSLATE(B9247,""en"",""ja"")"),"降伏")</f>
        <v>降伏</v>
      </c>
    </row>
    <row r="9106" spans="1:3" ht="18" customHeight="1" x14ac:dyDescent="0.3">
      <c r="A9106" s="1">
        <v>2</v>
      </c>
      <c r="B9106" s="1" t="s">
        <v>6427</v>
      </c>
      <c r="C9106" s="1" t="str">
        <f ca="1">IFERROR(__xludf.DUMMYFUNCTION("GOOGLETRANSLATE(B9248,""en"",""ja"")"),"運動")</f>
        <v>運動</v>
      </c>
    </row>
    <row r="9107" spans="1:3" ht="18" customHeight="1" x14ac:dyDescent="0.3">
      <c r="A9107" s="1">
        <v>2</v>
      </c>
      <c r="B9107" s="1" t="s">
        <v>2801</v>
      </c>
      <c r="C9107" s="1" t="str">
        <f ca="1">IFERROR(__xludf.DUMMYFUNCTION("GOOGLETRANSLATE(B9249,""en"",""ja"")"),"カルバン")</f>
        <v>カルバン</v>
      </c>
    </row>
    <row r="9108" spans="1:3" ht="18" customHeight="1" x14ac:dyDescent="0.3">
      <c r="A9108" s="1">
        <v>2</v>
      </c>
      <c r="B9108" s="1" t="s">
        <v>655</v>
      </c>
      <c r="C9108" s="1" t="str">
        <f ca="1">IFERROR(__xludf.DUMMYFUNCTION("GOOGLETRANSLATE(B9250,""en"",""ja"")"),"コール")</f>
        <v>コール</v>
      </c>
    </row>
    <row r="9109" spans="1:3" ht="18" customHeight="1" x14ac:dyDescent="0.3">
      <c r="A9109" s="1">
        <v>2</v>
      </c>
      <c r="B9109" s="1" t="s">
        <v>7293</v>
      </c>
      <c r="C9109" s="1" t="str">
        <f ca="1">IFERROR(__xludf.DUMMYFUNCTION("GOOGLETRANSLATE(B9251,""en"",""ja"")"),"暦")</f>
        <v>暦</v>
      </c>
    </row>
    <row r="9110" spans="1:3" ht="18" customHeight="1" x14ac:dyDescent="0.3">
      <c r="A9110" s="1">
        <v>2</v>
      </c>
      <c r="B9110" s="1" t="s">
        <v>7294</v>
      </c>
      <c r="C9110" s="1" t="str">
        <f ca="1">IFERROR(__xludf.DUMMYFUNCTION("GOOGLETRANSLATE(B9252,""en"",""ja"")"),"計算")</f>
        <v>計算</v>
      </c>
    </row>
    <row r="9111" spans="1:3" ht="18" customHeight="1" x14ac:dyDescent="0.3">
      <c r="A9111" s="1">
        <v>2</v>
      </c>
      <c r="B9111" s="1" t="s">
        <v>7295</v>
      </c>
      <c r="C9111" s="1" t="str">
        <f ca="1">IFERROR(__xludf.DUMMYFUNCTION("GOOGLETRANSLATE(B9253,""en"",""ja"")"),"CAL")</f>
        <v>CAL</v>
      </c>
    </row>
    <row r="9112" spans="1:3" ht="18" customHeight="1" x14ac:dyDescent="0.3">
      <c r="A9112" s="1">
        <v>2</v>
      </c>
      <c r="B9112" s="1" t="s">
        <v>7296</v>
      </c>
      <c r="C9112" s="1" t="str">
        <f ca="1">IFERROR(__xludf.DUMMYFUNCTION("GOOGLETRANSLATE(B9254,""en"",""ja"")"),"バター")</f>
        <v>バター</v>
      </c>
    </row>
    <row r="9113" spans="1:3" ht="18" customHeight="1" x14ac:dyDescent="0.3">
      <c r="A9113" s="1">
        <v>2</v>
      </c>
      <c r="B9113" s="1" t="s">
        <v>7297</v>
      </c>
      <c r="C9113" s="1" t="str">
        <f ca="1">IFERROR(__xludf.DUMMYFUNCTION("GOOGLETRANSLATE(B9255,""en"",""ja"")"),"忙しい")</f>
        <v>忙しい</v>
      </c>
    </row>
    <row r="9114" spans="1:3" ht="18" customHeight="1" x14ac:dyDescent="0.3">
      <c r="A9114" s="1">
        <v>2</v>
      </c>
      <c r="B9114" s="1" t="s">
        <v>7298</v>
      </c>
      <c r="C9114" s="1" t="str">
        <f ca="1">IFERROR(__xludf.DUMMYFUNCTION("GOOGLETRANSLATE(B9256,""en"",""ja"")"),"予算")</f>
        <v>予算</v>
      </c>
    </row>
    <row r="9115" spans="1:3" ht="18" customHeight="1" x14ac:dyDescent="0.3">
      <c r="A9115" s="1">
        <v>2</v>
      </c>
      <c r="B9115" s="1" t="s">
        <v>6446</v>
      </c>
      <c r="C9115" s="1" t="str">
        <f ca="1">IFERROR(__xludf.DUMMYFUNCTION("GOOGLETRANSLATE(B9257,""en"",""ja"")"),"ブラウザ")</f>
        <v>ブラウザ</v>
      </c>
    </row>
    <row r="9116" spans="1:3" ht="18" customHeight="1" x14ac:dyDescent="0.3">
      <c r="A9116" s="1">
        <v>2</v>
      </c>
      <c r="B9116" s="1" t="s">
        <v>5087</v>
      </c>
      <c r="C9116" s="1" t="str">
        <f ca="1">IFERROR(__xludf.DUMMYFUNCTION("GOOGLETRANSLATE(B9258,""en"",""ja"")"),"考え込みます")</f>
        <v>考え込みます</v>
      </c>
    </row>
    <row r="9117" spans="1:3" ht="18" customHeight="1" x14ac:dyDescent="0.3">
      <c r="A9117" s="1">
        <v>2</v>
      </c>
      <c r="B9117" s="1" t="s">
        <v>7299</v>
      </c>
      <c r="C9117" s="1" t="str">
        <f ca="1">IFERROR(__xludf.DUMMYFUNCTION("GOOGLETRANSLATE(B9259,""en"",""ja"")"),"息")</f>
        <v>息</v>
      </c>
    </row>
    <row r="9118" spans="1:3" ht="18" customHeight="1" x14ac:dyDescent="0.3">
      <c r="A9118" s="1">
        <v>2</v>
      </c>
      <c r="B9118" s="1" t="s">
        <v>4175</v>
      </c>
      <c r="C9118" s="1" t="str">
        <f ca="1">IFERROR(__xludf.DUMMYFUNCTION("GOOGLETRANSLATE(B9260,""en"",""ja"")"),"パン")</f>
        <v>パン</v>
      </c>
    </row>
    <row r="9119" spans="1:3" ht="18" customHeight="1" x14ac:dyDescent="0.3">
      <c r="A9119" s="1">
        <v>2</v>
      </c>
      <c r="B9119" s="1" t="s">
        <v>4176</v>
      </c>
      <c r="C9119" s="1" t="str">
        <f ca="1">IFERROR(__xludf.DUMMYFUNCTION("GOOGLETRANSLATE(B9261,""en"",""ja"")"),"ブランド")</f>
        <v>ブランド</v>
      </c>
    </row>
    <row r="9120" spans="1:3" ht="18" customHeight="1" x14ac:dyDescent="0.3">
      <c r="A9120" s="1">
        <v>2</v>
      </c>
      <c r="B9120" s="1" t="s">
        <v>7300</v>
      </c>
      <c r="C9120" s="1" t="str">
        <f ca="1">IFERROR(__xludf.DUMMYFUNCTION("GOOGLETRANSLATE(B9262,""en"",""ja"")"),"ブラマプトラ")</f>
        <v>ブラマプトラ</v>
      </c>
    </row>
    <row r="9121" spans="1:3" ht="18" customHeight="1" x14ac:dyDescent="0.3">
      <c r="A9121" s="1">
        <v>2</v>
      </c>
      <c r="B9121" s="1" t="s">
        <v>3704</v>
      </c>
      <c r="C9121" s="1" t="str">
        <f ca="1">IFERROR(__xludf.DUMMYFUNCTION("GOOGLETRANSLATE(B9263,""en"",""ja"")"),"バーボン")</f>
        <v>バーボン</v>
      </c>
    </row>
    <row r="9122" spans="1:3" ht="18" customHeight="1" x14ac:dyDescent="0.3">
      <c r="A9122" s="1">
        <v>2</v>
      </c>
      <c r="B9122" s="1" t="s">
        <v>7301</v>
      </c>
      <c r="C9122" s="1" t="str">
        <f ca="1">IFERROR(__xludf.DUMMYFUNCTION("GOOGLETRANSLATE(B9264,""en"",""ja"")"),"買っ")</f>
        <v>買っ</v>
      </c>
    </row>
    <row r="9123" spans="1:3" ht="18" customHeight="1" x14ac:dyDescent="0.3">
      <c r="A9123" s="1">
        <v>2</v>
      </c>
      <c r="B9123" s="1" t="s">
        <v>7302</v>
      </c>
      <c r="C9123" s="1" t="str">
        <f ca="1">IFERROR(__xludf.DUMMYFUNCTION("GOOGLETRANSLATE(B9265,""en"",""ja"")"),"ボトル")</f>
        <v>ボトル</v>
      </c>
    </row>
    <row r="9124" spans="1:3" ht="18" customHeight="1" x14ac:dyDescent="0.3">
      <c r="A9124" s="1">
        <v>2</v>
      </c>
      <c r="B9124" s="1" t="s">
        <v>114</v>
      </c>
      <c r="C9124" s="1" t="str">
        <f ca="1">IFERROR(__xludf.DUMMYFUNCTION("GOOGLETRANSLATE(B9266,""en"",""ja"")"),"どちらも")</f>
        <v>どちらも</v>
      </c>
    </row>
    <row r="9125" spans="1:3" ht="18" customHeight="1" x14ac:dyDescent="0.3">
      <c r="A9125" s="1">
        <v>2</v>
      </c>
      <c r="B9125" s="1" t="s">
        <v>7303</v>
      </c>
      <c r="C9125" s="1" t="str">
        <f ca="1">IFERROR(__xludf.DUMMYFUNCTION("GOOGLETRANSLATE(B9267,""en"",""ja"")"),"骨格")</f>
        <v>骨格</v>
      </c>
    </row>
    <row r="9126" spans="1:3" ht="18" customHeight="1" x14ac:dyDescent="0.3">
      <c r="A9126" s="1">
        <v>2</v>
      </c>
      <c r="B9126" s="1" t="s">
        <v>2809</v>
      </c>
      <c r="C9126" s="1" t="str">
        <f ca="1">IFERROR(__xludf.DUMMYFUNCTION("GOOGLETRANSLATE(B9268,""en"",""ja"")"),"つなぐ")</f>
        <v>つなぐ</v>
      </c>
    </row>
    <row r="9127" spans="1:3" ht="18" customHeight="1" x14ac:dyDescent="0.3">
      <c r="A9127" s="1">
        <v>2</v>
      </c>
      <c r="B9127" s="1" t="s">
        <v>7304</v>
      </c>
      <c r="C9127" s="1" t="str">
        <f ca="1">IFERROR(__xludf.DUMMYFUNCTION("GOOGLETRANSLATE(B9269,""en"",""ja"")"),"大胆な")</f>
        <v>大胆な</v>
      </c>
    </row>
    <row r="9128" spans="1:3" ht="18" customHeight="1" x14ac:dyDescent="0.3">
      <c r="A9128" s="1">
        <v>2</v>
      </c>
      <c r="B9128" s="1" t="s">
        <v>7305</v>
      </c>
      <c r="C9128" s="1" t="str">
        <f ca="1">IFERROR(__xludf.DUMMYFUNCTION("GOOGLETRANSLATE(B9270,""en"",""ja"")"),"打撃")</f>
        <v>打撃</v>
      </c>
    </row>
    <row r="9129" spans="1:3" ht="18" customHeight="1" x14ac:dyDescent="0.3">
      <c r="A9129" s="1">
        <v>2</v>
      </c>
      <c r="B9129" s="1" t="s">
        <v>7306</v>
      </c>
      <c r="C9129" s="1" t="str">
        <f ca="1">IFERROR(__xludf.DUMMYFUNCTION("GOOGLETRANSLATE(B9271,""en"",""ja"")"),"バイオテクノロジーの")</f>
        <v>バイオテクノロジーの</v>
      </c>
    </row>
    <row r="9130" spans="1:3" ht="18" customHeight="1" x14ac:dyDescent="0.3">
      <c r="A9130" s="1">
        <v>2</v>
      </c>
      <c r="B9130" s="1" t="s">
        <v>7307</v>
      </c>
      <c r="C9130" s="1" t="str">
        <f ca="1">IFERROR(__xludf.DUMMYFUNCTION("GOOGLETRANSLATE(B9272,""en"",""ja"")"),"バイアス")</f>
        <v>バイアス</v>
      </c>
    </row>
    <row r="9131" spans="1:3" ht="18" customHeight="1" x14ac:dyDescent="0.3">
      <c r="A9131" s="1">
        <v>2</v>
      </c>
      <c r="B9131" s="1" t="s">
        <v>7308</v>
      </c>
      <c r="C9131" s="1" t="str">
        <f ca="1">IFERROR(__xludf.DUMMYFUNCTION("GOOGLETRANSLATE(B9273,""en"",""ja"")"),"ベンチ")</f>
        <v>ベンチ</v>
      </c>
    </row>
    <row r="9132" spans="1:3" ht="18" customHeight="1" x14ac:dyDescent="0.3">
      <c r="A9132" s="1">
        <v>2</v>
      </c>
      <c r="B9132" s="1" t="s">
        <v>7309</v>
      </c>
      <c r="C9132" s="1" t="str">
        <f ca="1">IFERROR(__xludf.DUMMYFUNCTION("GOOGLETRANSLATE(B9274,""en"",""ja"")"),"嘆きます")</f>
        <v>嘆きます</v>
      </c>
    </row>
    <row r="9133" spans="1:3" ht="18" customHeight="1" x14ac:dyDescent="0.3">
      <c r="A9133" s="1">
        <v>2</v>
      </c>
      <c r="B9133" s="1" t="s">
        <v>7310</v>
      </c>
      <c r="C9133" s="1" t="str">
        <f ca="1">IFERROR(__xludf.DUMMYFUNCTION("GOOGLETRANSLATE(B9275,""en"",""ja"")"),"信じます")</f>
        <v>信じます</v>
      </c>
    </row>
    <row r="9134" spans="1:3" ht="18" customHeight="1" x14ac:dyDescent="0.3">
      <c r="A9134" s="1">
        <v>2</v>
      </c>
      <c r="B9134" s="1" t="s">
        <v>7311</v>
      </c>
      <c r="C9134" s="1" t="str">
        <f ca="1">IFERROR(__xludf.DUMMYFUNCTION("GOOGLETRANSLATE(B9276,""en"",""ja"")"),"beholdの過去過去分詞")</f>
        <v>beholdの過去過去分詞</v>
      </c>
    </row>
    <row r="9135" spans="1:3" ht="18" customHeight="1" x14ac:dyDescent="0.3">
      <c r="A9135" s="1">
        <v>2</v>
      </c>
      <c r="B9135" s="1" t="s">
        <v>2006</v>
      </c>
      <c r="C9135" s="1" t="str">
        <f ca="1">IFERROR(__xludf.DUMMYFUNCTION("GOOGLETRANSLATE(B9277,""en"",""ja"")"),"行動")</f>
        <v>行動</v>
      </c>
    </row>
    <row r="9136" spans="1:3" ht="18" customHeight="1" x14ac:dyDescent="0.3">
      <c r="A9136" s="1">
        <v>2</v>
      </c>
      <c r="B9136" s="1" t="s">
        <v>7312</v>
      </c>
      <c r="C9136" s="1" t="str">
        <f ca="1">IFERROR(__xludf.DUMMYFUNCTION("GOOGLETRANSLATE(B9278,""en"",""ja"")"),"行儀")</f>
        <v>行儀</v>
      </c>
    </row>
    <row r="9137" spans="1:3" ht="18" customHeight="1" x14ac:dyDescent="0.3">
      <c r="A9137" s="1">
        <v>2</v>
      </c>
      <c r="B9137" s="1" t="s">
        <v>7313</v>
      </c>
      <c r="C9137" s="1" t="str">
        <f ca="1">IFERROR(__xludf.DUMMYFUNCTION("GOOGLETRANSLATE(B9279,""en"",""ja"")"),"ビール")</f>
        <v>ビール</v>
      </c>
    </row>
    <row r="9138" spans="1:3" ht="18" customHeight="1" x14ac:dyDescent="0.3">
      <c r="A9138" s="1">
        <v>2</v>
      </c>
      <c r="B9138" s="1" t="s">
        <v>5107</v>
      </c>
      <c r="C9138" s="1" t="str">
        <f ca="1">IFERROR(__xludf.DUMMYFUNCTION("GOOGLETRANSLATE(B9280,""en"",""ja"")"),"美しさ")</f>
        <v>美しさ</v>
      </c>
    </row>
    <row r="9139" spans="1:3" ht="18" customHeight="1" x14ac:dyDescent="0.3">
      <c r="A9139" s="1">
        <v>2</v>
      </c>
      <c r="B9139" s="1" t="s">
        <v>7314</v>
      </c>
      <c r="C9139" s="1" t="str">
        <f ca="1">IFERROR(__xludf.DUMMYFUNCTION("GOOGLETRANSLATE(B9281,""en"",""ja"")"),"戦います")</f>
        <v>戦います</v>
      </c>
    </row>
    <row r="9140" spans="1:3" ht="18" customHeight="1" x14ac:dyDescent="0.3">
      <c r="A9140" s="1">
        <v>2</v>
      </c>
      <c r="B9140" s="1" t="s">
        <v>6484</v>
      </c>
      <c r="C9140" s="1" t="str">
        <f ca="1">IFERROR(__xludf.DUMMYFUNCTION("GOOGLETRANSLATE(B9282,""en"",""ja"")"),"電池")</f>
        <v>電池</v>
      </c>
    </row>
    <row r="9141" spans="1:3" ht="18" customHeight="1" x14ac:dyDescent="0.3">
      <c r="A9141" s="1">
        <v>2</v>
      </c>
      <c r="B9141" s="1" t="s">
        <v>7315</v>
      </c>
      <c r="C9141" s="1" t="str">
        <f ca="1">IFERROR(__xludf.DUMMYFUNCTION("GOOGLETRANSLATE(B9283,""en"",""ja"")"),"不毛")</f>
        <v>不毛</v>
      </c>
    </row>
    <row r="9142" spans="1:3" ht="18" customHeight="1" x14ac:dyDescent="0.3">
      <c r="A9142" s="1">
        <v>2</v>
      </c>
      <c r="B9142" s="1" t="s">
        <v>7316</v>
      </c>
      <c r="C9142" s="1" t="str">
        <f ca="1">IFERROR(__xludf.DUMMYFUNCTION("GOOGLETRANSLATE(B9284,""en"",""ja"")"),"銀行")</f>
        <v>銀行</v>
      </c>
    </row>
    <row r="9143" spans="1:3" ht="18" customHeight="1" x14ac:dyDescent="0.3">
      <c r="A9143" s="1">
        <v>2</v>
      </c>
      <c r="B9143" s="1" t="s">
        <v>3723</v>
      </c>
      <c r="C9143" s="1" t="str">
        <f ca="1">IFERROR(__xludf.DUMMYFUNCTION("GOOGLETRANSLATE(B9285,""en"",""ja"")"),"バンド")</f>
        <v>バンド</v>
      </c>
    </row>
    <row r="9144" spans="1:3" ht="18" customHeight="1" x14ac:dyDescent="0.3">
      <c r="A9144" s="1">
        <v>2</v>
      </c>
      <c r="B9144" s="1" t="s">
        <v>7317</v>
      </c>
      <c r="C9144" s="1" t="str">
        <f ca="1">IFERROR(__xludf.DUMMYFUNCTION("GOOGLETRANSLATE(B9286,""en"",""ja"")"),"袋")</f>
        <v>袋</v>
      </c>
    </row>
    <row r="9145" spans="1:3" ht="18" customHeight="1" x14ac:dyDescent="0.3">
      <c r="A9145" s="1">
        <v>2</v>
      </c>
      <c r="B9145" s="1" t="s">
        <v>7318</v>
      </c>
      <c r="C9145" s="1" t="str">
        <f ca="1">IFERROR(__xludf.DUMMYFUNCTION("GOOGLETRANSLATE(B9287,""en"",""ja"")"),"バッグ")</f>
        <v>バッグ</v>
      </c>
    </row>
    <row r="9146" spans="1:3" ht="18" customHeight="1" x14ac:dyDescent="0.3">
      <c r="A9146" s="1">
        <v>2</v>
      </c>
      <c r="B9146" s="1" t="s">
        <v>7319</v>
      </c>
      <c r="C9146" s="1" t="str">
        <f ca="1">IFERROR(__xludf.DUMMYFUNCTION("GOOGLETRANSLATE(B9288,""en"",""ja"")"),"不可解")</f>
        <v>不可解</v>
      </c>
    </row>
    <row r="9147" spans="1:3" ht="18" customHeight="1" x14ac:dyDescent="0.3">
      <c r="A9147" s="1">
        <v>2</v>
      </c>
      <c r="B9147" s="1" t="s">
        <v>7320</v>
      </c>
      <c r="C9147" s="1" t="str">
        <f ca="1">IFERROR(__xludf.DUMMYFUNCTION("GOOGLETRANSLATE(B9289,""en"",""ja"")"),"ひどく")</f>
        <v>ひどく</v>
      </c>
    </row>
    <row r="9148" spans="1:3" ht="18" customHeight="1" x14ac:dyDescent="0.3">
      <c r="A9148" s="1">
        <v>2</v>
      </c>
      <c r="B9148" s="1" t="s">
        <v>4194</v>
      </c>
      <c r="C9148" s="1" t="str">
        <f ca="1">IFERROR(__xludf.DUMMYFUNCTION("GOOGLETRANSLATE(B9290,""en"",""ja"")"),"細菌")</f>
        <v>細菌</v>
      </c>
    </row>
    <row r="9149" spans="1:3" ht="18" customHeight="1" x14ac:dyDescent="0.3">
      <c r="A9149" s="1">
        <v>2</v>
      </c>
      <c r="B9149" s="1" t="s">
        <v>4196</v>
      </c>
      <c r="C9149" s="1" t="str">
        <f ca="1">IFERROR(__xludf.DUMMYFUNCTION("GOOGLETRANSLATE(B9291,""en"",""ja"")"),"意識")</f>
        <v>意識</v>
      </c>
    </row>
    <row r="9150" spans="1:3" ht="18" customHeight="1" x14ac:dyDescent="0.3">
      <c r="A9150" s="1">
        <v>2</v>
      </c>
      <c r="B9150" s="1" t="s">
        <v>5115</v>
      </c>
      <c r="C9150" s="1" t="str">
        <f ca="1">IFERROR(__xludf.DUMMYFUNCTION("GOOGLETRANSLATE(B9292,""en"",""ja"")"),"航空")</f>
        <v>航空</v>
      </c>
    </row>
    <row r="9151" spans="1:3" ht="18" customHeight="1" x14ac:dyDescent="0.3">
      <c r="A9151" s="1">
        <v>2</v>
      </c>
      <c r="B9151" s="1" t="s">
        <v>3728</v>
      </c>
      <c r="C9151" s="1" t="str">
        <f ca="1">IFERROR(__xludf.DUMMYFUNCTION("GOOGLETRANSLATE(B9293,""en"",""ja"")"),"可用性")</f>
        <v>可用性</v>
      </c>
    </row>
    <row r="9152" spans="1:3" ht="18" customHeight="1" x14ac:dyDescent="0.3">
      <c r="A9152" s="1">
        <v>2</v>
      </c>
      <c r="B9152" s="1" t="s">
        <v>7321</v>
      </c>
      <c r="C9152" s="1" t="str">
        <f ca="1">IFERROR(__xludf.DUMMYFUNCTION("GOOGLETRANSLATE(B9294,""en"",""ja"")"),"無駄")</f>
        <v>無駄</v>
      </c>
    </row>
    <row r="9153" spans="1:3" ht="18" customHeight="1" x14ac:dyDescent="0.3">
      <c r="A9153" s="1">
        <v>2</v>
      </c>
      <c r="B9153" s="1" t="s">
        <v>7322</v>
      </c>
      <c r="C9153" s="1" t="str">
        <f ca="1">IFERROR(__xludf.DUMMYFUNCTION("GOOGLETRANSLATE(B9295,""en"",""ja"")"),"オーセンティック")</f>
        <v>オーセンティック</v>
      </c>
    </row>
    <row r="9154" spans="1:3" ht="18" customHeight="1" x14ac:dyDescent="0.3">
      <c r="A9154" s="1">
        <v>2</v>
      </c>
      <c r="B9154" s="1" t="s">
        <v>1604</v>
      </c>
      <c r="C9154" s="1" t="str">
        <f ca="1">IFERROR(__xludf.DUMMYFUNCTION("GOOGLETRANSLATE(B9296,""en"",""ja"")"),"出席")</f>
        <v>出席</v>
      </c>
    </row>
    <row r="9155" spans="1:3" ht="18" customHeight="1" x14ac:dyDescent="0.3">
      <c r="A9155" s="1">
        <v>2</v>
      </c>
      <c r="B9155" s="1" t="s">
        <v>2234</v>
      </c>
      <c r="C9155" s="1" t="str">
        <f ca="1">IFERROR(__xludf.DUMMYFUNCTION("GOOGLETRANSLATE(B9297,""en"",""ja"")"),"仮定")</f>
        <v>仮定</v>
      </c>
    </row>
    <row r="9156" spans="1:3" ht="18" customHeight="1" x14ac:dyDescent="0.3">
      <c r="A9156" s="1">
        <v>2</v>
      </c>
      <c r="B9156" s="1" t="s">
        <v>744</v>
      </c>
      <c r="C9156" s="1" t="str">
        <f ca="1">IFERROR(__xludf.DUMMYFUNCTION("GOOGLETRANSLATE(B9298,""en"",""ja"")"),"協会")</f>
        <v>協会</v>
      </c>
    </row>
    <row r="9157" spans="1:3" ht="18" customHeight="1" x14ac:dyDescent="0.3">
      <c r="A9157" s="1">
        <v>2</v>
      </c>
      <c r="B9157" s="1" t="s">
        <v>7323</v>
      </c>
      <c r="C9157" s="1" t="str">
        <f ca="1">IFERROR(__xludf.DUMMYFUNCTION("GOOGLETRANSLATE(B9299,""en"",""ja"")"),"アセンブリ")</f>
        <v>アセンブリ</v>
      </c>
    </row>
    <row r="9158" spans="1:3" ht="18" customHeight="1" x14ac:dyDescent="0.3">
      <c r="A9158" s="1">
        <v>2</v>
      </c>
      <c r="B9158" s="1" t="s">
        <v>831</v>
      </c>
      <c r="C9158" s="1" t="str">
        <f ca="1">IFERROR(__xludf.DUMMYFUNCTION("GOOGLETRANSLATE(B9300,""en"",""ja"")"),"側面")</f>
        <v>側面</v>
      </c>
    </row>
    <row r="9159" spans="1:3" ht="18" customHeight="1" x14ac:dyDescent="0.3">
      <c r="A9159" s="1">
        <v>2</v>
      </c>
      <c r="B9159" s="1" t="s">
        <v>7324</v>
      </c>
      <c r="C9159" s="1" t="str">
        <f ca="1">IFERROR(__xludf.DUMMYFUNCTION("GOOGLETRANSLATE(B9301,""en"",""ja"")"),"頼みます")</f>
        <v>頼みます</v>
      </c>
    </row>
    <row r="9160" spans="1:3" ht="18" customHeight="1" x14ac:dyDescent="0.3">
      <c r="A9160" s="1">
        <v>2</v>
      </c>
      <c r="B9160" s="1" t="s">
        <v>7325</v>
      </c>
      <c r="C9160" s="1" t="str">
        <f ca="1">IFERROR(__xludf.DUMMYFUNCTION("GOOGLETRANSLATE(B9302,""en"",""ja"")"),"帰属")</f>
        <v>帰属</v>
      </c>
    </row>
    <row r="9161" spans="1:3" ht="18" customHeight="1" x14ac:dyDescent="0.3">
      <c r="A9161" s="1">
        <v>2</v>
      </c>
      <c r="B9161" s="1" t="s">
        <v>7326</v>
      </c>
      <c r="C9161" s="1" t="str">
        <f ca="1">IFERROR(__xludf.DUMMYFUNCTION("GOOGLETRANSLATE(B9303,""en"",""ja"")"),"確かめます")</f>
        <v>確かめます</v>
      </c>
    </row>
    <row r="9162" spans="1:3" ht="18" customHeight="1" x14ac:dyDescent="0.3">
      <c r="A9162" s="1">
        <v>2</v>
      </c>
      <c r="B9162" s="1" t="s">
        <v>6525</v>
      </c>
      <c r="C9162" s="1" t="str">
        <f ca="1">IFERROR(__xludf.DUMMYFUNCTION("GOOGLETRANSLATE(B9304,""en"",""ja"")"),"芸術作品")</f>
        <v>芸術作品</v>
      </c>
    </row>
    <row r="9163" spans="1:3" ht="18" customHeight="1" x14ac:dyDescent="0.3">
      <c r="A9163" s="1">
        <v>2</v>
      </c>
      <c r="B9163" s="1" t="s">
        <v>7327</v>
      </c>
      <c r="C9163" s="1" t="str">
        <f ca="1">IFERROR(__xludf.DUMMYFUNCTION("GOOGLETRANSLATE(B9305,""en"",""ja"")"),"芸術")</f>
        <v>芸術</v>
      </c>
    </row>
    <row r="9164" spans="1:3" ht="18" customHeight="1" x14ac:dyDescent="0.3">
      <c r="A9164" s="1">
        <v>2</v>
      </c>
      <c r="B9164" s="1" t="s">
        <v>7328</v>
      </c>
      <c r="C9164" s="1" t="str">
        <f ca="1">IFERROR(__xludf.DUMMYFUNCTION("GOOGLETRANSLATE(B9306,""en"",""ja"")"),"アーティスト")</f>
        <v>アーティスト</v>
      </c>
    </row>
    <row r="9165" spans="1:3" ht="18" customHeight="1" x14ac:dyDescent="0.3">
      <c r="A9165" s="1">
        <v>2</v>
      </c>
      <c r="B9165" s="1" t="s">
        <v>7329</v>
      </c>
      <c r="C9165" s="1" t="str">
        <f ca="1">IFERROR(__xludf.DUMMYFUNCTION("GOOGLETRANSLATE(B9307,""en"",""ja"")"),"配置されました")</f>
        <v>配置されました</v>
      </c>
    </row>
    <row r="9166" spans="1:3" ht="18" customHeight="1" x14ac:dyDescent="0.3">
      <c r="A9166" s="1">
        <v>2</v>
      </c>
      <c r="B9166" s="1" t="s">
        <v>5137</v>
      </c>
      <c r="C9166" s="1" t="str">
        <f ca="1">IFERROR(__xludf.DUMMYFUNCTION("GOOGLETRANSLATE(B9308,""en"",""ja"")"),"そそります")</f>
        <v>そそります</v>
      </c>
    </row>
    <row r="9167" spans="1:3" ht="18" customHeight="1" x14ac:dyDescent="0.3">
      <c r="A9167" s="1">
        <v>2</v>
      </c>
      <c r="B9167" s="1" t="s">
        <v>7330</v>
      </c>
      <c r="C9167" s="1" t="str">
        <f ca="1">IFERROR(__xludf.DUMMYFUNCTION("GOOGLETRANSLATE(B9309,""en"",""ja"")"),"生じます")</f>
        <v>生じます</v>
      </c>
    </row>
    <row r="9168" spans="1:3" ht="18" customHeight="1" x14ac:dyDescent="0.3">
      <c r="A9168" s="1">
        <v>2</v>
      </c>
      <c r="B9168" s="1" t="s">
        <v>3142</v>
      </c>
      <c r="C9168" s="1" t="str">
        <f ca="1">IFERROR(__xludf.DUMMYFUNCTION("GOOGLETRANSLATE(B9310,""en"",""ja"")"),"耕作")</f>
        <v>耕作</v>
      </c>
    </row>
    <row r="9169" spans="1:3" ht="18" customHeight="1" x14ac:dyDescent="0.3">
      <c r="A9169" s="1">
        <v>2</v>
      </c>
      <c r="B9169" s="1" t="s">
        <v>7331</v>
      </c>
      <c r="C9169" s="1" t="str">
        <f ca="1">IFERROR(__xludf.DUMMYFUNCTION("GOOGLETRANSLATE(B9311,""en"",""ja"")"),"承認")</f>
        <v>承認</v>
      </c>
    </row>
    <row r="9170" spans="1:3" ht="18" customHeight="1" x14ac:dyDescent="0.3">
      <c r="A9170" s="1">
        <v>2</v>
      </c>
      <c r="B9170" s="1" t="s">
        <v>3145</v>
      </c>
      <c r="C9170" s="1" t="str">
        <f ca="1">IFERROR(__xludf.DUMMYFUNCTION("GOOGLETRANSLATE(B9312,""en"",""ja"")"),"感謝")</f>
        <v>感謝</v>
      </c>
    </row>
    <row r="9171" spans="1:3" ht="18" customHeight="1" x14ac:dyDescent="0.3">
      <c r="A9171" s="1">
        <v>2</v>
      </c>
      <c r="B9171" s="1" t="s">
        <v>7332</v>
      </c>
      <c r="C9171" s="1" t="str">
        <f ca="1">IFERROR(__xludf.DUMMYFUNCTION("GOOGLETRANSLATE(B9313,""en"",""ja"")"),"蟻")</f>
        <v>蟻</v>
      </c>
    </row>
    <row r="9172" spans="1:3" ht="18" customHeight="1" x14ac:dyDescent="0.3">
      <c r="A9172" s="1">
        <v>2</v>
      </c>
      <c r="B9172" s="1" t="s">
        <v>7333</v>
      </c>
      <c r="C9172" s="1" t="str">
        <f ca="1">IFERROR(__xludf.DUMMYFUNCTION("GOOGLETRANSLATE(B9314,""en"",""ja"")"),"発表")</f>
        <v>発表</v>
      </c>
    </row>
    <row r="9173" spans="1:3" ht="18" customHeight="1" x14ac:dyDescent="0.3">
      <c r="A9173" s="1">
        <v>2</v>
      </c>
      <c r="B9173" s="1" t="s">
        <v>2240</v>
      </c>
      <c r="C9173" s="1" t="str">
        <f ca="1">IFERROR(__xludf.DUMMYFUNCTION("GOOGLETRANSLATE(B9315,""en"",""ja"")"),"新たに")</f>
        <v>新たに</v>
      </c>
    </row>
    <row r="9174" spans="1:3" ht="18" customHeight="1" x14ac:dyDescent="0.3">
      <c r="A9174" s="1">
        <v>2</v>
      </c>
      <c r="B9174" s="1" t="s">
        <v>2241</v>
      </c>
      <c r="C9174" s="1" t="str">
        <f ca="1">IFERROR(__xludf.DUMMYFUNCTION("GOOGLETRANSLATE(B9316,""en"",""ja"")"),"解剖学")</f>
        <v>解剖学</v>
      </c>
    </row>
    <row r="9175" spans="1:3" ht="18" customHeight="1" x14ac:dyDescent="0.3">
      <c r="A9175" s="1">
        <v>2</v>
      </c>
      <c r="B9175" s="1" t="s">
        <v>7334</v>
      </c>
      <c r="C9175" s="1" t="str">
        <f ca="1">IFERROR(__xludf.DUMMYFUNCTION("GOOGLETRANSLATE(B9317,""en"",""ja"")"),"解剖学的に")</f>
        <v>解剖学的に</v>
      </c>
    </row>
    <row r="9176" spans="1:3" ht="18" customHeight="1" x14ac:dyDescent="0.3">
      <c r="A9176" s="1">
        <v>2</v>
      </c>
      <c r="B9176" s="1" t="s">
        <v>1608</v>
      </c>
      <c r="C9176" s="1" t="str">
        <f ca="1">IFERROR(__xludf.DUMMYFUNCTION("GOOGLETRANSLATE(B9318,""en"",""ja"")"),"解剖")</f>
        <v>解剖</v>
      </c>
    </row>
    <row r="9177" spans="1:3" ht="18" customHeight="1" x14ac:dyDescent="0.3">
      <c r="A9177" s="1">
        <v>2</v>
      </c>
      <c r="B9177" s="1" t="s">
        <v>7335</v>
      </c>
      <c r="C9177" s="1" t="str">
        <f ca="1">IFERROR(__xludf.DUMMYFUNCTION("GOOGLETRANSLATE(B9319,""en"",""ja"")"),"分析")</f>
        <v>分析</v>
      </c>
    </row>
    <row r="9178" spans="1:3" ht="18" customHeight="1" x14ac:dyDescent="0.3">
      <c r="A9178" s="1">
        <v>2</v>
      </c>
      <c r="B9178" s="1" t="s">
        <v>7336</v>
      </c>
      <c r="C9178" s="1" t="str">
        <f ca="1">IFERROR(__xludf.DUMMYFUNCTION("GOOGLETRANSLATE(B9320,""en"",""ja"")"),"増幅")</f>
        <v>増幅</v>
      </c>
    </row>
    <row r="9179" spans="1:3" ht="18" customHeight="1" x14ac:dyDescent="0.3">
      <c r="A9179" s="1">
        <v>2</v>
      </c>
      <c r="B9179" s="1" t="s">
        <v>241</v>
      </c>
      <c r="C9179" s="1" t="str">
        <f ca="1">IFERROR(__xludf.DUMMYFUNCTION("GOOGLETRANSLATE(B9321,""en"",""ja"")"),"アメリカン")</f>
        <v>アメリカン</v>
      </c>
    </row>
    <row r="9180" spans="1:3" ht="18" customHeight="1" x14ac:dyDescent="0.3">
      <c r="A9180" s="1">
        <v>2</v>
      </c>
      <c r="B9180" s="1" t="s">
        <v>2826</v>
      </c>
      <c r="C9180" s="1" t="str">
        <f ca="1">IFERROR(__xludf.DUMMYFUNCTION("GOOGLETRANSLATE(B9322,""en"",""ja"")"),"他愛")</f>
        <v>他愛</v>
      </c>
    </row>
    <row r="9181" spans="1:3" ht="18" customHeight="1" x14ac:dyDescent="0.3">
      <c r="A9181" s="1">
        <v>2</v>
      </c>
      <c r="B9181" s="1" t="s">
        <v>7337</v>
      </c>
      <c r="C9181" s="1" t="str">
        <f ca="1">IFERROR(__xludf.DUMMYFUNCTION("GOOGLETRANSLATE(B9323,""en"",""ja"")"),"代替案")</f>
        <v>代替案</v>
      </c>
    </row>
    <row r="9182" spans="1:3" ht="18" customHeight="1" x14ac:dyDescent="0.3">
      <c r="A9182" s="1">
        <v>2</v>
      </c>
      <c r="B9182" s="1" t="s">
        <v>6562</v>
      </c>
      <c r="C9182" s="1" t="str">
        <f ca="1">IFERROR(__xludf.DUMMYFUNCTION("GOOGLETRANSLATE(B9324,""en"",""ja"")"),"祭壇")</f>
        <v>祭壇</v>
      </c>
    </row>
    <row r="9183" spans="1:3" ht="18" customHeight="1" x14ac:dyDescent="0.3">
      <c r="A9183" s="1">
        <v>2</v>
      </c>
      <c r="B9183" s="1" t="s">
        <v>7338</v>
      </c>
      <c r="C9183" s="1" t="str">
        <f ca="1">IFERROR(__xludf.DUMMYFUNCTION("GOOGLETRANSLATE(B9325,""en"",""ja"")"),"味方")</f>
        <v>味方</v>
      </c>
    </row>
    <row r="9184" spans="1:3" ht="18" customHeight="1" x14ac:dyDescent="0.3">
      <c r="A9184" s="1">
        <v>2</v>
      </c>
      <c r="B9184" s="1" t="s">
        <v>689</v>
      </c>
      <c r="C9184" s="1" t="str">
        <f ca="1">IFERROR(__xludf.DUMMYFUNCTION("GOOGLETRANSLATE(B9326,""en"",""ja"")"),"許します")</f>
        <v>許します</v>
      </c>
    </row>
    <row r="9185" spans="1:3" ht="18" customHeight="1" x14ac:dyDescent="0.3">
      <c r="A9185" s="1">
        <v>2</v>
      </c>
      <c r="B9185" s="1" t="s">
        <v>7339</v>
      </c>
      <c r="C9185" s="1" t="str">
        <f ca="1">IFERROR(__xludf.DUMMYFUNCTION("GOOGLETRANSLATE(B9327,""en"",""ja"")"),"アレル")</f>
        <v>アレル</v>
      </c>
    </row>
    <row r="9186" spans="1:3" ht="18" customHeight="1" x14ac:dyDescent="0.3">
      <c r="A9186" s="1">
        <v>2</v>
      </c>
      <c r="B9186" s="1" t="s">
        <v>2479</v>
      </c>
      <c r="C9186" s="1" t="str">
        <f ca="1">IFERROR(__xludf.DUMMYFUNCTION("GOOGLETRANSLATE(B9328,""en"",""ja"")"),"生きています")</f>
        <v>生きています</v>
      </c>
    </row>
    <row r="9187" spans="1:3" ht="18" customHeight="1" x14ac:dyDescent="0.3">
      <c r="A9187" s="1">
        <v>2</v>
      </c>
      <c r="B9187" s="1" t="s">
        <v>2243</v>
      </c>
      <c r="C9187" s="1" t="str">
        <f ca="1">IFERROR(__xludf.DUMMYFUNCTION("GOOGLETRANSLATE(B9329,""en"",""ja"")"),"警戒心")</f>
        <v>警戒心</v>
      </c>
    </row>
    <row r="9188" spans="1:3" ht="18" customHeight="1" x14ac:dyDescent="0.3">
      <c r="A9188" s="1">
        <v>2</v>
      </c>
      <c r="B9188" s="1" t="s">
        <v>7340</v>
      </c>
      <c r="C9188" s="1" t="str">
        <f ca="1">IFERROR(__xludf.DUMMYFUNCTION("GOOGLETRANSLATE(B9330,""en"",""ja"")"),"アルコール性の")</f>
        <v>アルコール性の</v>
      </c>
    </row>
    <row r="9189" spans="1:3" ht="18" customHeight="1" x14ac:dyDescent="0.3">
      <c r="A9189" s="1">
        <v>2</v>
      </c>
      <c r="B9189" s="1" t="s">
        <v>7341</v>
      </c>
      <c r="C9189" s="1" t="str">
        <f ca="1">IFERROR(__xludf.DUMMYFUNCTION("GOOGLETRANSLATE(B9331,""en"",""ja"")"),"アル")</f>
        <v>アル</v>
      </c>
    </row>
    <row r="9190" spans="1:3" ht="18" customHeight="1" x14ac:dyDescent="0.3">
      <c r="A9190" s="1">
        <v>2</v>
      </c>
      <c r="B9190" s="1" t="s">
        <v>7342</v>
      </c>
      <c r="C9190" s="1" t="str">
        <f ca="1">IFERROR(__xludf.DUMMYFUNCTION("GOOGLETRANSLATE(B9332,""en"",""ja"")"),"ainted")</f>
        <v>ainted</v>
      </c>
    </row>
    <row r="9191" spans="1:3" ht="18" customHeight="1" x14ac:dyDescent="0.3">
      <c r="A9191" s="1">
        <v>2</v>
      </c>
      <c r="B9191" s="1" t="s">
        <v>7343</v>
      </c>
      <c r="C9191" s="1" t="str">
        <f ca="1">IFERROR(__xludf.DUMMYFUNCTION("GOOGLETRANSLATE(B9333,""en"",""ja"")"),"目的としました")</f>
        <v>目的としました</v>
      </c>
    </row>
    <row r="9192" spans="1:3" ht="18" customHeight="1" x14ac:dyDescent="0.3">
      <c r="A9192" s="1">
        <v>2</v>
      </c>
      <c r="B9192" s="1" t="s">
        <v>7344</v>
      </c>
      <c r="C9192" s="1" t="str">
        <f ca="1">IFERROR(__xludf.DUMMYFUNCTION("GOOGLETRANSLATE(B9334,""en"",""ja"")"),"攪拌")</f>
        <v>攪拌</v>
      </c>
    </row>
    <row r="9193" spans="1:3" ht="18" customHeight="1" x14ac:dyDescent="0.3">
      <c r="A9193" s="1">
        <v>2</v>
      </c>
      <c r="B9193" s="1" t="s">
        <v>7345</v>
      </c>
      <c r="C9193" s="1" t="str">
        <f ca="1">IFERROR(__xludf.DUMMYFUNCTION("GOOGLETRANSLATE(B9335,""en"",""ja"")"),"エージング")</f>
        <v>エージング</v>
      </c>
    </row>
    <row r="9194" spans="1:3" ht="18" customHeight="1" x14ac:dyDescent="0.3">
      <c r="A9194" s="1">
        <v>2</v>
      </c>
      <c r="B9194" s="1" t="s">
        <v>4218</v>
      </c>
      <c r="C9194" s="1" t="str">
        <f ca="1">IFERROR(__xludf.DUMMYFUNCTION("GOOGLETRANSLATE(B9336,""en"",""ja"")"),"代理店")</f>
        <v>代理店</v>
      </c>
    </row>
    <row r="9195" spans="1:3" ht="18" customHeight="1" x14ac:dyDescent="0.3">
      <c r="A9195" s="1">
        <v>2</v>
      </c>
      <c r="B9195" s="1" t="s">
        <v>7346</v>
      </c>
      <c r="C9195" s="1" t="str">
        <f ca="1">IFERROR(__xludf.DUMMYFUNCTION("GOOGLETRANSLATE(B9337,""en"",""ja"")"),"歩いて")</f>
        <v>歩いて</v>
      </c>
    </row>
    <row r="9196" spans="1:3" ht="18" customHeight="1" x14ac:dyDescent="0.3">
      <c r="A9196" s="1">
        <v>2</v>
      </c>
      <c r="B9196" s="1" t="s">
        <v>4220</v>
      </c>
      <c r="C9196" s="1" t="str">
        <f ca="1">IFERROR(__xludf.DUMMYFUNCTION("GOOGLETRANSLATE(B9338,""en"",""ja"")"),"AFFIRM")</f>
        <v>AFFIRM</v>
      </c>
    </row>
    <row r="9197" spans="1:3" ht="18" customHeight="1" x14ac:dyDescent="0.3">
      <c r="A9197" s="1">
        <v>2</v>
      </c>
      <c r="B9197" s="1" t="s">
        <v>2012</v>
      </c>
      <c r="C9197" s="1" t="str">
        <f ca="1">IFERROR(__xludf.DUMMYFUNCTION("GOOGLETRANSLATE(B9339,""en"",""ja"")"),"加入")</f>
        <v>加入</v>
      </c>
    </row>
    <row r="9198" spans="1:3" ht="18" customHeight="1" x14ac:dyDescent="0.3">
      <c r="A9198" s="1">
        <v>2</v>
      </c>
      <c r="B9198" s="1" t="s">
        <v>5172</v>
      </c>
      <c r="C9198" s="1" t="str">
        <f ca="1">IFERROR(__xludf.DUMMYFUNCTION("GOOGLETRANSLATE(B9340,""en"",""ja"")"),"事件、出来事")</f>
        <v>事件、出来事</v>
      </c>
    </row>
    <row r="9199" spans="1:3" ht="18" customHeight="1" x14ac:dyDescent="0.3">
      <c r="A9199" s="1">
        <v>2</v>
      </c>
      <c r="B9199" s="1" t="s">
        <v>7347</v>
      </c>
      <c r="C9199" s="1" t="str">
        <f ca="1">IFERROR(__xludf.DUMMYFUNCTION("GOOGLETRANSLATE(B9341,""en"",""ja"")"),"提唱")</f>
        <v>提唱</v>
      </c>
    </row>
    <row r="9200" spans="1:3" ht="18" customHeight="1" x14ac:dyDescent="0.3">
      <c r="A9200" s="1">
        <v>2</v>
      </c>
      <c r="B9200" s="1" t="s">
        <v>7348</v>
      </c>
      <c r="C9200" s="1" t="str">
        <f ca="1">IFERROR(__xludf.DUMMYFUNCTION("GOOGLETRANSLATE(B9342,""en"",""ja"")"),"顧問")</f>
        <v>顧問</v>
      </c>
    </row>
    <row r="9201" spans="1:3" ht="18" customHeight="1" x14ac:dyDescent="0.3">
      <c r="A9201" s="1">
        <v>2</v>
      </c>
      <c r="B9201" s="1" t="s">
        <v>7349</v>
      </c>
      <c r="C9201" s="1" t="str">
        <f ca="1">IFERROR(__xludf.DUMMYFUNCTION("GOOGLETRANSLATE(B9343,""en"",""ja"")"),"アドバイス")</f>
        <v>アドバイス</v>
      </c>
    </row>
    <row r="9202" spans="1:3" ht="18" customHeight="1" x14ac:dyDescent="0.3">
      <c r="A9202" s="1">
        <v>2</v>
      </c>
      <c r="B9202" s="1" t="s">
        <v>7350</v>
      </c>
      <c r="C9202" s="1" t="str">
        <f ca="1">IFERROR(__xludf.DUMMYFUNCTION("GOOGLETRANSLATE(B9344,""en"",""ja"")"),"広告主")</f>
        <v>広告主</v>
      </c>
    </row>
    <row r="9203" spans="1:3" ht="18" customHeight="1" x14ac:dyDescent="0.3">
      <c r="A9203" s="1">
        <v>2</v>
      </c>
      <c r="B9203" s="1" t="s">
        <v>7351</v>
      </c>
      <c r="C9203" s="1" t="str">
        <f ca="1">IFERROR(__xludf.DUMMYFUNCTION("GOOGLETRANSLATE(B9345,""en"",""ja"")"),"アドバンス")</f>
        <v>アドバンス</v>
      </c>
    </row>
    <row r="9204" spans="1:3" ht="18" customHeight="1" x14ac:dyDescent="0.3">
      <c r="A9204" s="1">
        <v>2</v>
      </c>
      <c r="B9204" s="1" t="s">
        <v>7352</v>
      </c>
      <c r="C9204" s="1" t="str">
        <f ca="1">IFERROR(__xludf.DUMMYFUNCTION("GOOGLETRANSLATE(B9346,""en"",""ja"")"),"大人")</f>
        <v>大人</v>
      </c>
    </row>
    <row r="9205" spans="1:3" ht="18" customHeight="1" x14ac:dyDescent="0.3">
      <c r="A9205" s="1">
        <v>2</v>
      </c>
      <c r="B9205" s="1" t="s">
        <v>2483</v>
      </c>
      <c r="C9205" s="1" t="str">
        <f ca="1">IFERROR(__xludf.DUMMYFUNCTION("GOOGLETRANSLATE(B9347,""en"",""ja"")"),"採用")</f>
        <v>採用</v>
      </c>
    </row>
    <row r="9206" spans="1:3" ht="18" customHeight="1" x14ac:dyDescent="0.3">
      <c r="A9206" s="1">
        <v>2</v>
      </c>
      <c r="B9206" s="1" t="s">
        <v>7353</v>
      </c>
      <c r="C9206" s="1" t="str">
        <f ca="1">IFERROR(__xludf.DUMMYFUNCTION("GOOGLETRANSLATE(B9348,""en"",""ja"")"),"入院")</f>
        <v>入院</v>
      </c>
    </row>
    <row r="9207" spans="1:3" ht="18" customHeight="1" x14ac:dyDescent="0.3">
      <c r="A9207" s="1">
        <v>2</v>
      </c>
      <c r="B9207" s="1" t="s">
        <v>7354</v>
      </c>
      <c r="C9207" s="1" t="str">
        <f ca="1">IFERROR(__xludf.DUMMYFUNCTION("GOOGLETRANSLATE(B9349,""en"",""ja"")"),"賞賛")</f>
        <v>賞賛</v>
      </c>
    </row>
    <row r="9208" spans="1:3" ht="18" customHeight="1" x14ac:dyDescent="0.3">
      <c r="A9208" s="1">
        <v>2</v>
      </c>
      <c r="B9208" s="1" t="s">
        <v>7355</v>
      </c>
      <c r="C9208" s="1" t="str">
        <f ca="1">IFERROR(__xludf.DUMMYFUNCTION("GOOGLETRANSLATE(B9350,""en"",""ja"")"),"固執")</f>
        <v>固執</v>
      </c>
    </row>
    <row r="9209" spans="1:3" ht="18" customHeight="1" x14ac:dyDescent="0.3">
      <c r="A9209" s="1">
        <v>2</v>
      </c>
      <c r="B9209" s="1" t="s">
        <v>7356</v>
      </c>
      <c r="C9209" s="1" t="str">
        <f ca="1">IFERROR(__xludf.DUMMYFUNCTION("GOOGLETRANSLATE(B9351,""en"",""ja"")"),"受取人")</f>
        <v>受取人</v>
      </c>
    </row>
    <row r="9210" spans="1:3" ht="18" customHeight="1" x14ac:dyDescent="0.3">
      <c r="A9210" s="1">
        <v>2</v>
      </c>
      <c r="B9210" s="1" t="s">
        <v>3762</v>
      </c>
      <c r="C9210" s="1" t="str">
        <f ca="1">IFERROR(__xludf.DUMMYFUNCTION("GOOGLETRANSLATE(B9352,""en"",""ja"")"),"さらに")</f>
        <v>さらに</v>
      </c>
    </row>
    <row r="9211" spans="1:3" ht="18" customHeight="1" x14ac:dyDescent="0.3">
      <c r="A9211" s="1">
        <v>2</v>
      </c>
      <c r="B9211" s="1" t="s">
        <v>7357</v>
      </c>
      <c r="C9211" s="1" t="str">
        <f ca="1">IFERROR(__xludf.DUMMYFUNCTION("GOOGLETRANSLATE(B9353,""en"",""ja"")"),"適応")</f>
        <v>適応</v>
      </c>
    </row>
    <row r="9212" spans="1:3" ht="18" customHeight="1" x14ac:dyDescent="0.3">
      <c r="A9212" s="1">
        <v>2</v>
      </c>
      <c r="B9212" s="1" t="s">
        <v>7358</v>
      </c>
      <c r="C9212" s="1" t="str">
        <f ca="1">IFERROR(__xludf.DUMMYFUNCTION("GOOGLETRANSLATE(B9354,""en"",""ja"")"),"適応")</f>
        <v>適応</v>
      </c>
    </row>
    <row r="9213" spans="1:3" ht="18" customHeight="1" x14ac:dyDescent="0.3">
      <c r="A9213" s="1">
        <v>2</v>
      </c>
      <c r="B9213" s="1" t="s">
        <v>3149</v>
      </c>
      <c r="C9213" s="1" t="str">
        <f ca="1">IFERROR(__xludf.DUMMYFUNCTION("GOOGLETRANSLATE(B9355,""en"",""ja"")"),"適応する")</f>
        <v>適応する</v>
      </c>
    </row>
    <row r="9214" spans="1:3" ht="18" customHeight="1" x14ac:dyDescent="0.3">
      <c r="A9214" s="1">
        <v>2</v>
      </c>
      <c r="B9214" s="1" t="s">
        <v>7359</v>
      </c>
      <c r="C9214" s="1" t="str">
        <f ca="1">IFERROR(__xludf.DUMMYFUNCTION("GOOGLETRANSLATE(B9356,""en"",""ja"")"),"顕在")</f>
        <v>顕在</v>
      </c>
    </row>
    <row r="9215" spans="1:3" ht="18" customHeight="1" x14ac:dyDescent="0.3">
      <c r="A9215" s="1">
        <v>2</v>
      </c>
      <c r="B9215" s="1" t="s">
        <v>7360</v>
      </c>
      <c r="C9215" s="1" t="str">
        <f ca="1">IFERROR(__xludf.DUMMYFUNCTION("GOOGLETRANSLATE(B9358,""en"",""ja"")"),"アクティビズム")</f>
        <v>アクティビズム</v>
      </c>
    </row>
    <row r="9216" spans="1:3" ht="18" customHeight="1" x14ac:dyDescent="0.3">
      <c r="A9216" s="1">
        <v>2</v>
      </c>
      <c r="B9216" s="1" t="s">
        <v>540</v>
      </c>
      <c r="C9216" s="1" t="str">
        <f ca="1">IFERROR(__xludf.DUMMYFUNCTION("GOOGLETRANSLATE(B9359,""en"",""ja"")"),"横切って")</f>
        <v>横切って</v>
      </c>
    </row>
    <row r="9217" spans="1:3" ht="18" customHeight="1" x14ac:dyDescent="0.3">
      <c r="A9217" s="1">
        <v>2</v>
      </c>
      <c r="B9217" s="1" t="s">
        <v>7361</v>
      </c>
      <c r="C9217" s="1" t="str">
        <f ca="1">IFERROR(__xludf.DUMMYFUNCTION("GOOGLETRANSLATE(B9360,""en"",""ja"")"),"従っ")</f>
        <v>従っ</v>
      </c>
    </row>
    <row r="9218" spans="1:3" ht="18" customHeight="1" x14ac:dyDescent="0.3">
      <c r="A9218" s="1">
        <v>2</v>
      </c>
      <c r="B9218" s="1" t="s">
        <v>7362</v>
      </c>
      <c r="C9218" s="1" t="str">
        <f ca="1">IFERROR(__xludf.DUMMYFUNCTION("GOOGLETRANSLATE(B9361,""en"",""ja"")"),"アコード")</f>
        <v>アコード</v>
      </c>
    </row>
    <row r="9219" spans="1:3" ht="18" customHeight="1" x14ac:dyDescent="0.3">
      <c r="A9219" s="1">
        <v>2</v>
      </c>
      <c r="B9219" s="1" t="s">
        <v>7363</v>
      </c>
      <c r="C9219" s="1" t="str">
        <f ca="1">IFERROR(__xludf.DUMMYFUNCTION("GOOGLETRANSLATE(B9362,""en"",""ja"")"),"アクセサリー")</f>
        <v>アクセサリー</v>
      </c>
    </row>
    <row r="9220" spans="1:3" ht="18" customHeight="1" x14ac:dyDescent="0.3">
      <c r="A9220" s="1">
        <v>2</v>
      </c>
      <c r="B9220" s="1" t="s">
        <v>7364</v>
      </c>
      <c r="C9220" s="1" t="str">
        <f ca="1">IFERROR(__xludf.DUMMYFUNCTION("GOOGLETRANSLATE(B9363,""en"",""ja"")"),"加速")</f>
        <v>加速</v>
      </c>
    </row>
    <row r="9221" spans="1:3" ht="18" customHeight="1" x14ac:dyDescent="0.3">
      <c r="A9221" s="1">
        <v>2</v>
      </c>
      <c r="B9221" s="1" t="s">
        <v>1090</v>
      </c>
      <c r="C9221" s="1" t="str">
        <f ca="1">IFERROR(__xludf.DUMMYFUNCTION("GOOGLETRANSLATE(B9364,""en"",""ja"")"),"アカデミック")</f>
        <v>アカデミック</v>
      </c>
    </row>
    <row r="9222" spans="1:3" ht="18" customHeight="1" x14ac:dyDescent="0.3">
      <c r="A9222" s="1">
        <v>2</v>
      </c>
      <c r="B9222" s="1" t="s">
        <v>3766</v>
      </c>
      <c r="C9222" s="1" t="str">
        <f ca="1">IFERROR(__xludf.DUMMYFUNCTION("GOOGLETRANSLATE(B9365,""en"",""ja"")"),"不合理")</f>
        <v>不合理</v>
      </c>
    </row>
    <row r="9223" spans="1:3" ht="18" customHeight="1" x14ac:dyDescent="0.3">
      <c r="A9223" s="1">
        <v>2</v>
      </c>
      <c r="B9223" s="1" t="s">
        <v>3768</v>
      </c>
      <c r="C9223" s="1" t="str">
        <f ca="1">IFERROR(__xludf.DUMMYFUNCTION("GOOGLETRANSLATE(B9366,""en"",""ja"")"),"吸収")</f>
        <v>吸収</v>
      </c>
    </row>
    <row r="9224" spans="1:3" ht="18" customHeight="1" x14ac:dyDescent="0.3">
      <c r="A9224" s="1">
        <v>2</v>
      </c>
      <c r="B9224" s="1" t="s">
        <v>7365</v>
      </c>
      <c r="C9224" s="1" t="str">
        <f ca="1">IFERROR(__xludf.DUMMYFUNCTION("GOOGLETRANSLATE(B9367,""en"",""ja"")"),"全く")</f>
        <v>全く</v>
      </c>
    </row>
    <row r="9225" spans="1:3" ht="18" customHeight="1" x14ac:dyDescent="0.3">
      <c r="A9225" s="1">
        <v>2</v>
      </c>
      <c r="B9225" s="1" t="s">
        <v>7366</v>
      </c>
      <c r="C9225" s="1" t="str">
        <f ca="1">IFERROR(__xludf.DUMMYFUNCTION("GOOGLETRANSLATE(B9368,""en"",""ja"")"),"死にません")</f>
        <v>死にません</v>
      </c>
    </row>
    <row r="9226" spans="1:3" ht="18" customHeight="1" x14ac:dyDescent="0.3">
      <c r="A9226" s="1">
        <v>2</v>
      </c>
      <c r="B9226" s="1" t="s">
        <v>7367</v>
      </c>
      <c r="C9226" s="1" t="str">
        <f ca="1">IFERROR(__xludf.DUMMYFUNCTION("GOOGLETRANSLATE(B9369,""en"",""ja"")"),"abased")</f>
        <v>abased</v>
      </c>
    </row>
    <row r="9227" spans="1:3" ht="18" customHeight="1" x14ac:dyDescent="0.3">
      <c r="A9227" s="1">
        <v>2</v>
      </c>
      <c r="B9227" s="1" t="s">
        <v>7368</v>
      </c>
      <c r="C9227" s="1" t="str">
        <f ca="1">IFERROR(__xludf.DUMMYFUNCTION("GOOGLETRANSLATE(B9370,""en"",""ja"")"),"AB")</f>
        <v>AB</v>
      </c>
    </row>
    <row r="9228" spans="1:3" ht="18" customHeight="1" x14ac:dyDescent="0.3">
      <c r="A9228" s="1">
        <v>1</v>
      </c>
      <c r="B9228" s="1" t="s">
        <v>115</v>
      </c>
      <c r="C9228" s="1" t="str">
        <f ca="1">IFERROR(__xludf.DUMMYFUNCTION("GOOGLETRANSLATE(B9371,""en"",""ja"")"),"君の")</f>
        <v>君の</v>
      </c>
    </row>
    <row r="9229" spans="1:3" ht="18" customHeight="1" x14ac:dyDescent="0.3">
      <c r="A9229" s="1">
        <v>1</v>
      </c>
      <c r="B9229" s="1" t="s">
        <v>1396</v>
      </c>
      <c r="C9229" s="1" t="str">
        <f ca="1">IFERROR(__xludf.DUMMYFUNCTION("GOOGLETRANSLATE(B9372,""en"",""ja"")"),"ニューヨーク")</f>
        <v>ニューヨーク</v>
      </c>
    </row>
    <row r="9230" spans="1:3" ht="18" customHeight="1" x14ac:dyDescent="0.3">
      <c r="A9230" s="1">
        <v>1</v>
      </c>
      <c r="B9230" s="1" t="s">
        <v>7369</v>
      </c>
      <c r="C9230" s="1" t="str">
        <f ca="1">IFERROR(__xludf.DUMMYFUNCTION("GOOGLETRANSLATE(B9373,""en"",""ja"")"),"産出")</f>
        <v>産出</v>
      </c>
    </row>
    <row r="9231" spans="1:3" ht="18" customHeight="1" x14ac:dyDescent="0.3">
      <c r="A9231" s="1">
        <v>1</v>
      </c>
      <c r="B9231" s="1" t="s">
        <v>4237</v>
      </c>
      <c r="C9231" s="1" t="str">
        <f ca="1">IFERROR(__xludf.DUMMYFUNCTION("GOOGLETRANSLATE(B9374,""en"",""ja"")"),"クセノパネス")</f>
        <v>クセノパネス</v>
      </c>
    </row>
    <row r="9232" spans="1:3" ht="18" customHeight="1" x14ac:dyDescent="0.3">
      <c r="A9232" s="1">
        <v>1</v>
      </c>
      <c r="B9232" s="1" t="s">
        <v>7370</v>
      </c>
      <c r="C9232" s="1" t="str">
        <f ca="1">IFERROR(__xludf.DUMMYFUNCTION("GOOGLETRANSLATE(B9375,""en"",""ja"")"),"のたくります")</f>
        <v>のたくります</v>
      </c>
    </row>
    <row r="9233" spans="1:3" ht="18" customHeight="1" x14ac:dyDescent="0.3">
      <c r="A9233" s="1">
        <v>1</v>
      </c>
      <c r="B9233" s="1" t="s">
        <v>7371</v>
      </c>
      <c r="C9233" s="1" t="str">
        <f ca="1">IFERROR(__xludf.DUMMYFUNCTION("GOOGLETRANSLATE(B9376,""en"",""ja"")"),"ライター")</f>
        <v>ライター</v>
      </c>
    </row>
    <row r="9234" spans="1:3" ht="18" customHeight="1" x14ac:dyDescent="0.3">
      <c r="A9234" s="1">
        <v>1</v>
      </c>
      <c r="B9234" s="1" t="s">
        <v>7372</v>
      </c>
      <c r="C9234" s="1" t="str">
        <f ca="1">IFERROR(__xludf.DUMMYFUNCTION("GOOGLETRANSLATE(B9377,""en"",""ja"")"),"レスト")</f>
        <v>レスト</v>
      </c>
    </row>
    <row r="9235" spans="1:3" ht="18" customHeight="1" x14ac:dyDescent="0.3">
      <c r="A9235" s="1">
        <v>1</v>
      </c>
      <c r="B9235" s="1" t="s">
        <v>1231</v>
      </c>
      <c r="C9235" s="1" t="str">
        <f ca="1">IFERROR(__xludf.DUMMYFUNCTION("GOOGLETRANSLATE(B9378,""en"",""ja"")"),"価値")</f>
        <v>価値</v>
      </c>
    </row>
    <row r="9236" spans="1:3" ht="18" customHeight="1" x14ac:dyDescent="0.3">
      <c r="A9236" s="1">
        <v>1</v>
      </c>
      <c r="B9236" s="1" t="s">
        <v>6612</v>
      </c>
      <c r="C9236" s="1" t="str">
        <f ca="1">IFERROR(__xludf.DUMMYFUNCTION("GOOGLETRANSLATE(B9379,""en"",""ja"")"),"やっかいな")</f>
        <v>やっかいな</v>
      </c>
    </row>
    <row r="9237" spans="1:3" ht="18" customHeight="1" x14ac:dyDescent="0.3">
      <c r="A9237" s="1">
        <v>1</v>
      </c>
      <c r="B9237" s="1" t="s">
        <v>2252</v>
      </c>
      <c r="C9237" s="1" t="str">
        <f ca="1">IFERROR(__xludf.DUMMYFUNCTION("GOOGLETRANSLATE(B9380,""en"",""ja"")"),"世界的に")</f>
        <v>世界的に</v>
      </c>
    </row>
    <row r="9238" spans="1:3" ht="18" customHeight="1" x14ac:dyDescent="0.3">
      <c r="A9238" s="1">
        <v>1</v>
      </c>
      <c r="B9238" s="1" t="s">
        <v>3776</v>
      </c>
      <c r="C9238" s="1" t="str">
        <f ca="1">IFERROR(__xludf.DUMMYFUNCTION("GOOGLETRANSLATE(B9381,""en"",""ja"")"),"職場")</f>
        <v>職場</v>
      </c>
    </row>
    <row r="9239" spans="1:3" ht="18" customHeight="1" x14ac:dyDescent="0.3">
      <c r="A9239" s="1">
        <v>1</v>
      </c>
      <c r="B9239" s="1" t="s">
        <v>7373</v>
      </c>
      <c r="C9239" s="1" t="str">
        <f ca="1">IFERROR(__xludf.DUMMYFUNCTION("GOOGLETRANSLATE(B9382,""en"",""ja"")"),"ワーカー")</f>
        <v>ワーカー</v>
      </c>
    </row>
    <row r="9240" spans="1:3" ht="18" customHeight="1" x14ac:dyDescent="0.3">
      <c r="A9240" s="1">
        <v>1</v>
      </c>
      <c r="B9240" s="1" t="s">
        <v>7374</v>
      </c>
      <c r="C9240" s="1" t="str">
        <f ca="1">IFERROR(__xludf.DUMMYFUNCTION("GOOGLETRANSLATE(B9383,""en"",""ja"")"),"素晴らしい")</f>
        <v>素晴らしい</v>
      </c>
    </row>
    <row r="9241" spans="1:3" ht="18" customHeight="1" x14ac:dyDescent="0.3">
      <c r="A9241" s="1">
        <v>1</v>
      </c>
      <c r="B9241" s="1" t="s">
        <v>7375</v>
      </c>
      <c r="C9241" s="1" t="str">
        <f ca="1">IFERROR(__xludf.DUMMYFUNCTION("GOOGLETRANSLATE(B9384,""en"",""ja"")"),"婦人向け")</f>
        <v>婦人向け</v>
      </c>
    </row>
    <row r="9242" spans="1:3" ht="18" customHeight="1" x14ac:dyDescent="0.3">
      <c r="A9242" s="1">
        <v>1</v>
      </c>
      <c r="B9242" s="1" t="s">
        <v>5207</v>
      </c>
      <c r="C9242" s="1" t="str">
        <f ca="1">IFERROR(__xludf.DUMMYFUNCTION("GOOGLETRANSLATE(B9385,""en"",""ja"")"),"グラグラ")</f>
        <v>グラグラ</v>
      </c>
    </row>
    <row r="9243" spans="1:3" ht="18" customHeight="1" x14ac:dyDescent="0.3">
      <c r="A9243" s="1">
        <v>1</v>
      </c>
      <c r="B9243" s="1" t="s">
        <v>4242</v>
      </c>
      <c r="C9243" s="1" t="str">
        <f ca="1">IFERROR(__xludf.DUMMYFUNCTION("GOOGLETRANSLATE(B9386,""en"",""ja"")"),"差し控える")</f>
        <v>差し控える</v>
      </c>
    </row>
    <row r="9244" spans="1:3" ht="18" customHeight="1" x14ac:dyDescent="0.3">
      <c r="A9244" s="1">
        <v>1</v>
      </c>
      <c r="B9244" s="1" t="s">
        <v>979</v>
      </c>
      <c r="C9244" s="1" t="str">
        <f ca="1">IFERROR(__xludf.DUMMYFUNCTION("GOOGLETRANSLATE(B9387,""en"",""ja"")"),"願い")</f>
        <v>願い</v>
      </c>
    </row>
    <row r="9245" spans="1:3" ht="18" customHeight="1" x14ac:dyDescent="0.3">
      <c r="A9245" s="1">
        <v>1</v>
      </c>
      <c r="B9245" s="1" t="s">
        <v>7376</v>
      </c>
      <c r="C9245" s="1" t="str">
        <f ca="1">IFERROR(__xludf.DUMMYFUNCTION("GOOGLETRANSLATE(B9388,""en"",""ja"")"),"選別し")</f>
        <v>選別し</v>
      </c>
    </row>
    <row r="9246" spans="1:3" ht="18" customHeight="1" x14ac:dyDescent="0.3">
      <c r="A9246" s="1">
        <v>1</v>
      </c>
      <c r="B9246" s="1" t="s">
        <v>7377</v>
      </c>
      <c r="C9246" s="1" t="str">
        <f ca="1">IFERROR(__xludf.DUMMYFUNCTION("GOOGLETRANSLATE(B9389,""en"",""ja"")"),"選り抜きます")</f>
        <v>選り抜きます</v>
      </c>
    </row>
    <row r="9247" spans="1:3" ht="18" customHeight="1" x14ac:dyDescent="0.3">
      <c r="A9247" s="1">
        <v>1</v>
      </c>
      <c r="B9247" s="1" t="s">
        <v>7378</v>
      </c>
      <c r="C9247" s="1" t="str">
        <f ca="1">IFERROR(__xludf.DUMMYFUNCTION("GOOGLETRANSLATE(B9390,""en"",""ja"")"),"勝者")</f>
        <v>勝者</v>
      </c>
    </row>
    <row r="9248" spans="1:3" ht="18" customHeight="1" x14ac:dyDescent="0.3">
      <c r="A9248" s="1">
        <v>1</v>
      </c>
      <c r="B9248" s="1" t="s">
        <v>5210</v>
      </c>
      <c r="C9248" s="1" t="str">
        <f ca="1">IFERROR(__xludf.DUMMYFUNCTION("GOOGLETRANSLATE(B9391,""en"",""ja"")"),"勝者")</f>
        <v>勝者</v>
      </c>
    </row>
    <row r="9249" spans="1:3" ht="18" customHeight="1" x14ac:dyDescent="0.3">
      <c r="A9249" s="1">
        <v>1</v>
      </c>
      <c r="B9249" s="1" t="s">
        <v>7379</v>
      </c>
      <c r="C9249" s="1" t="str">
        <f ca="1">IFERROR(__xludf.DUMMYFUNCTION("GOOGLETRANSLATE(B9392,""en"",""ja"")"),"ウィル")</f>
        <v>ウィル</v>
      </c>
    </row>
    <row r="9250" spans="1:3" ht="18" customHeight="1" x14ac:dyDescent="0.3">
      <c r="A9250" s="1">
        <v>1</v>
      </c>
      <c r="B9250" s="1" t="s">
        <v>1727</v>
      </c>
      <c r="C9250" s="1" t="str">
        <f ca="1">IFERROR(__xludf.DUMMYFUNCTION("GOOGLETRANSLATE(B9393,""en"",""ja"")"),"広く")</f>
        <v>広く</v>
      </c>
    </row>
    <row r="9251" spans="1:3" ht="18" customHeight="1" x14ac:dyDescent="0.3">
      <c r="A9251" s="1">
        <v>1</v>
      </c>
      <c r="B9251" s="1" t="s">
        <v>205</v>
      </c>
      <c r="C9251" s="1" t="str">
        <f ca="1">IFERROR(__xludf.DUMMYFUNCTION("GOOGLETRANSLATE(B9394,""en"",""ja"")"),"同時に")</f>
        <v>同時に</v>
      </c>
    </row>
    <row r="9252" spans="1:3" ht="18" customHeight="1" x14ac:dyDescent="0.3">
      <c r="A9252" s="1">
        <v>1</v>
      </c>
      <c r="B9252" s="1" t="s">
        <v>5214</v>
      </c>
      <c r="C9252" s="1" t="str">
        <f ca="1">IFERROR(__xludf.DUMMYFUNCTION("GOOGLETRANSLATE(B9395,""en"",""ja"")"),"これにより")</f>
        <v>これにより</v>
      </c>
    </row>
    <row r="9253" spans="1:3" ht="18" customHeight="1" x14ac:dyDescent="0.3">
      <c r="A9253" s="1">
        <v>1</v>
      </c>
      <c r="B9253" s="1" t="s">
        <v>1315</v>
      </c>
      <c r="C9253" s="1" t="str">
        <f ca="1">IFERROR(__xludf.DUMMYFUNCTION("GOOGLETRANSLATE(B9396,""en"",""ja"")"),"一方、")</f>
        <v>一方、</v>
      </c>
    </row>
    <row r="9254" spans="1:3" ht="18" customHeight="1" x14ac:dyDescent="0.3">
      <c r="A9254" s="1">
        <v>1</v>
      </c>
      <c r="B9254" s="1" t="s">
        <v>5216</v>
      </c>
      <c r="C9254" s="1" t="str">
        <f ca="1">IFERROR(__xludf.DUMMYFUNCTION("GOOGLETRANSLATE(B9397,""en"",""ja"")"),"ホイール")</f>
        <v>ホイール</v>
      </c>
    </row>
    <row r="9255" spans="1:3" ht="18" customHeight="1" x14ac:dyDescent="0.3">
      <c r="A9255" s="1">
        <v>1</v>
      </c>
      <c r="B9255" s="1" t="s">
        <v>40</v>
      </c>
      <c r="C9255" s="1" t="str">
        <f ca="1">IFERROR(__xludf.DUMMYFUNCTION("GOOGLETRANSLATE(B9398,""en"",""ja"")"),"何")</f>
        <v>何</v>
      </c>
    </row>
    <row r="9256" spans="1:3" ht="18" customHeight="1" x14ac:dyDescent="0.3">
      <c r="A9256" s="1">
        <v>1</v>
      </c>
      <c r="B9256" s="1" t="s">
        <v>7380</v>
      </c>
      <c r="C9256" s="1" t="str">
        <f ca="1">IFERROR(__xludf.DUMMYFUNCTION("GOOGLETRANSLATE(B9399,""en"",""ja"")"),"何")</f>
        <v>何</v>
      </c>
    </row>
    <row r="9257" spans="1:3" ht="18" customHeight="1" x14ac:dyDescent="0.3">
      <c r="A9257" s="1">
        <v>1</v>
      </c>
      <c r="B9257" s="1" t="s">
        <v>7381</v>
      </c>
      <c r="C9257" s="1" t="str">
        <f ca="1">IFERROR(__xludf.DUMMYFUNCTION("GOOGLETRANSLATE(B9400,""en"",""ja"")"),"幸福")</f>
        <v>幸福</v>
      </c>
    </row>
    <row r="9258" spans="1:3" ht="18" customHeight="1" x14ac:dyDescent="0.3">
      <c r="A9258" s="1">
        <v>1</v>
      </c>
      <c r="B9258" s="1" t="s">
        <v>2255</v>
      </c>
      <c r="C9258" s="1" t="str">
        <f ca="1">IFERROR(__xludf.DUMMYFUNCTION("GOOGLETRANSLATE(B9401,""en"",""ja"")"),"福祉")</f>
        <v>福祉</v>
      </c>
    </row>
    <row r="9259" spans="1:3" ht="18" customHeight="1" x14ac:dyDescent="0.3">
      <c r="A9259" s="1">
        <v>1</v>
      </c>
      <c r="B9259" s="1" t="s">
        <v>7382</v>
      </c>
      <c r="C9259" s="1" t="str">
        <f ca="1">IFERROR(__xludf.DUMMYFUNCTION("GOOGLETRANSLATE(B9402,""en"",""ja"")"),"量ります")</f>
        <v>量ります</v>
      </c>
    </row>
    <row r="9260" spans="1:3" ht="18" customHeight="1" x14ac:dyDescent="0.3">
      <c r="A9260" s="1">
        <v>1</v>
      </c>
      <c r="B9260" s="1" t="s">
        <v>7383</v>
      </c>
      <c r="C9260" s="1" t="str">
        <f ca="1">IFERROR(__xludf.DUMMYFUNCTION("GOOGLETRANSLATE(B9403,""en"",""ja"")"),"雑草")</f>
        <v>雑草</v>
      </c>
    </row>
    <row r="9261" spans="1:3" ht="18" customHeight="1" x14ac:dyDescent="0.3">
      <c r="A9261" s="1">
        <v>1</v>
      </c>
      <c r="B9261" s="1" t="s">
        <v>7384</v>
      </c>
      <c r="C9261" s="1" t="str">
        <f ca="1">IFERROR(__xludf.DUMMYFUNCTION("GOOGLETRANSLATE(B9404,""en"",""ja"")"),"ウェブサイト")</f>
        <v>ウェブサイト</v>
      </c>
    </row>
    <row r="9262" spans="1:3" ht="18" customHeight="1" x14ac:dyDescent="0.3">
      <c r="A9262" s="1">
        <v>1</v>
      </c>
      <c r="B9262" s="1" t="s">
        <v>1092</v>
      </c>
      <c r="C9262" s="1" t="str">
        <f ca="1">IFERROR(__xludf.DUMMYFUNCTION("GOOGLETRANSLATE(B9405,""en"",""ja"")"),"富")</f>
        <v>富</v>
      </c>
    </row>
    <row r="9263" spans="1:3" ht="18" customHeight="1" x14ac:dyDescent="0.3">
      <c r="A9263" s="1">
        <v>1</v>
      </c>
      <c r="B9263" s="1" t="s">
        <v>7385</v>
      </c>
      <c r="C9263" s="1" t="str">
        <f ca="1">IFERROR(__xludf.DUMMYFUNCTION("GOOGLETRANSLATE(B9406,""en"",""ja"")"),"弱点")</f>
        <v>弱点</v>
      </c>
    </row>
    <row r="9264" spans="1:3" ht="18" customHeight="1" x14ac:dyDescent="0.3">
      <c r="A9264" s="1">
        <v>1</v>
      </c>
      <c r="B9264" s="1" t="s">
        <v>2493</v>
      </c>
      <c r="C9264" s="1" t="str">
        <f ca="1">IFERROR(__xludf.DUMMYFUNCTION("GOOGLETRANSLATE(B9407,""en"",""ja"")"),"弱い")</f>
        <v>弱い</v>
      </c>
    </row>
    <row r="9265" spans="1:3" ht="18" customHeight="1" x14ac:dyDescent="0.3">
      <c r="A9265" s="1">
        <v>1</v>
      </c>
      <c r="B9265" s="1" t="s">
        <v>7386</v>
      </c>
      <c r="C9265" s="1" t="str">
        <f ca="1">IFERROR(__xludf.DUMMYFUNCTION("GOOGLETRANSLATE(B9408,""en"",""ja"")"),"WAVER")</f>
        <v>WAVER</v>
      </c>
    </row>
    <row r="9266" spans="1:3" ht="18" customHeight="1" x14ac:dyDescent="0.3">
      <c r="A9266" s="1">
        <v>1</v>
      </c>
      <c r="B9266" s="1" t="s">
        <v>7387</v>
      </c>
      <c r="C9266" s="1" t="str">
        <f ca="1">IFERROR(__xludf.DUMMYFUNCTION("GOOGLETRANSLATE(B9409,""en"",""ja"")"),"時計")</f>
        <v>時計</v>
      </c>
    </row>
    <row r="9267" spans="1:3" ht="18" customHeight="1" x14ac:dyDescent="0.3">
      <c r="A9267" s="1">
        <v>1</v>
      </c>
      <c r="B9267" s="1" t="s">
        <v>7388</v>
      </c>
      <c r="C9267" s="1" t="str">
        <f ca="1">IFERROR(__xludf.DUMMYFUNCTION("GOOGLETRANSLATE(B9410,""en"",""ja"")"),"ありませんでした")</f>
        <v>ありませんでした</v>
      </c>
    </row>
    <row r="9268" spans="1:3" ht="18" customHeight="1" x14ac:dyDescent="0.3">
      <c r="A9268" s="1">
        <v>1</v>
      </c>
      <c r="B9268" s="1" t="s">
        <v>7389</v>
      </c>
      <c r="C9268" s="1" t="str">
        <f ca="1">IFERROR(__xludf.DUMMYFUNCTION("GOOGLETRANSLATE(B9411,""en"",""ja"")"),"ワール")</f>
        <v>ワール</v>
      </c>
    </row>
    <row r="9269" spans="1:3" ht="18" customHeight="1" x14ac:dyDescent="0.3">
      <c r="A9269" s="1">
        <v>1</v>
      </c>
      <c r="B9269" s="1" t="s">
        <v>7390</v>
      </c>
      <c r="C9269" s="1" t="str">
        <f ca="1">IFERROR(__xludf.DUMMYFUNCTION("GOOGLETRANSLATE(B9412,""en"",""ja"")"),"ボランティア活動")</f>
        <v>ボランティア活動</v>
      </c>
    </row>
    <row r="9270" spans="1:3" ht="18" customHeight="1" x14ac:dyDescent="0.3">
      <c r="A9270" s="1">
        <v>1</v>
      </c>
      <c r="B9270" s="1" t="s">
        <v>4260</v>
      </c>
      <c r="C9270" s="1" t="str">
        <f ca="1">IFERROR(__xludf.DUMMYFUNCTION("GOOGLETRANSLATE(B9413,""en"",""ja"")"),"自発的")</f>
        <v>自発的</v>
      </c>
    </row>
    <row r="9271" spans="1:3" ht="18" customHeight="1" x14ac:dyDescent="0.3">
      <c r="A9271" s="1">
        <v>1</v>
      </c>
      <c r="B9271" s="1" t="s">
        <v>7391</v>
      </c>
      <c r="C9271" s="1" t="str">
        <f ca="1">IFERROR(__xludf.DUMMYFUNCTION("GOOGLETRANSLATE(B9414,""en"",""ja"")"),"voition")</f>
        <v>voition</v>
      </c>
    </row>
    <row r="9272" spans="1:3" ht="18" customHeight="1" x14ac:dyDescent="0.3">
      <c r="A9272" s="1">
        <v>1</v>
      </c>
      <c r="B9272" s="1" t="s">
        <v>5243</v>
      </c>
      <c r="C9272" s="1" t="str">
        <f ca="1">IFERROR(__xludf.DUMMYFUNCTION("GOOGLETRANSLATE(B9415,""en"",""ja"")"),"vitascope")</f>
        <v>vitascope</v>
      </c>
    </row>
    <row r="9273" spans="1:3" ht="18" customHeight="1" x14ac:dyDescent="0.3">
      <c r="A9273" s="1">
        <v>1</v>
      </c>
      <c r="B9273" s="1" t="s">
        <v>7392</v>
      </c>
      <c r="C9273" s="1" t="str">
        <f ca="1">IFERROR(__xludf.DUMMYFUNCTION("GOOGLETRANSLATE(B9416,""en"",""ja"")"),"ビジター")</f>
        <v>ビジター</v>
      </c>
    </row>
    <row r="9274" spans="1:3" ht="18" customHeight="1" x14ac:dyDescent="0.3">
      <c r="A9274" s="1">
        <v>1</v>
      </c>
      <c r="B9274" s="1" t="s">
        <v>7393</v>
      </c>
      <c r="C9274" s="1" t="str">
        <f ca="1">IFERROR(__xludf.DUMMYFUNCTION("GOOGLETRANSLATE(B9417,""en"",""ja"")"),"訪問")</f>
        <v>訪問</v>
      </c>
    </row>
    <row r="9275" spans="1:3" ht="18" customHeight="1" x14ac:dyDescent="0.3">
      <c r="A9275" s="1">
        <v>1</v>
      </c>
      <c r="B9275" s="1" t="s">
        <v>2494</v>
      </c>
      <c r="C9275" s="1" t="str">
        <f ca="1">IFERROR(__xludf.DUMMYFUNCTION("GOOGLETRANSLATE(B9418,""en"",""ja"")"),"訪問")</f>
        <v>訪問</v>
      </c>
    </row>
    <row r="9276" spans="1:3" ht="18" customHeight="1" x14ac:dyDescent="0.3">
      <c r="A9276" s="1">
        <v>1</v>
      </c>
      <c r="B9276" s="1" t="s">
        <v>2262</v>
      </c>
      <c r="C9276" s="1" t="str">
        <f ca="1">IFERROR(__xludf.DUMMYFUNCTION("GOOGLETRANSLATE(B9419,""en"",""ja"")"),"目に見えます")</f>
        <v>目に見えます</v>
      </c>
    </row>
    <row r="9277" spans="1:3" ht="18" customHeight="1" x14ac:dyDescent="0.3">
      <c r="A9277" s="1">
        <v>1</v>
      </c>
      <c r="B9277" s="1" t="s">
        <v>6627</v>
      </c>
      <c r="C9277" s="1" t="str">
        <f ca="1">IFERROR(__xludf.DUMMYFUNCTION("GOOGLETRANSLATE(B9420,""en"",""ja"")"),"徳の高いです")</f>
        <v>徳の高いです</v>
      </c>
    </row>
    <row r="9278" spans="1:3" ht="18" customHeight="1" x14ac:dyDescent="0.3">
      <c r="A9278" s="1">
        <v>1</v>
      </c>
      <c r="B9278" s="1" t="s">
        <v>7394</v>
      </c>
      <c r="C9278" s="1" t="str">
        <f ca="1">IFERROR(__xludf.DUMMYFUNCTION("GOOGLETRANSLATE(B9421,""en"",""ja"")"),"バーチャル")</f>
        <v>バーチャル</v>
      </c>
    </row>
    <row r="9279" spans="1:3" ht="18" customHeight="1" x14ac:dyDescent="0.3">
      <c r="A9279" s="1">
        <v>1</v>
      </c>
      <c r="B9279" s="1" t="s">
        <v>5248</v>
      </c>
      <c r="C9279" s="1" t="str">
        <f ca="1">IFERROR(__xludf.DUMMYFUNCTION("GOOGLETRANSLATE(B9422,""en"",""ja"")"),"暴力")</f>
        <v>暴力</v>
      </c>
    </row>
    <row r="9280" spans="1:3" ht="18" customHeight="1" x14ac:dyDescent="0.3">
      <c r="A9280" s="1">
        <v>1</v>
      </c>
      <c r="B9280" s="1" t="s">
        <v>7395</v>
      </c>
      <c r="C9280" s="1" t="str">
        <f ca="1">IFERROR(__xludf.DUMMYFUNCTION("GOOGLETRANSLATE(B9423,""en"",""ja"")"),"村")</f>
        <v>村</v>
      </c>
    </row>
    <row r="9281" spans="1:3" ht="18" customHeight="1" x14ac:dyDescent="0.3">
      <c r="A9281" s="1">
        <v>1</v>
      </c>
      <c r="B9281" s="1" t="s">
        <v>104</v>
      </c>
      <c r="C9281" s="1" t="str">
        <f ca="1">IFERROR(__xludf.DUMMYFUNCTION("GOOGLETRANSLATE(B9424,""en"",""ja"")"),"非常に")</f>
        <v>非常に</v>
      </c>
    </row>
    <row r="9282" spans="1:3" ht="18" customHeight="1" x14ac:dyDescent="0.3">
      <c r="A9282" s="1">
        <v>1</v>
      </c>
      <c r="B9282" s="1" t="s">
        <v>982</v>
      </c>
      <c r="C9282" s="1" t="str">
        <f ca="1">IFERROR(__xludf.DUMMYFUNCTION("GOOGLETRANSLATE(B9425,""en"",""ja"")"),"対")</f>
        <v>対</v>
      </c>
    </row>
    <row r="9283" spans="1:3" ht="18" customHeight="1" x14ac:dyDescent="0.3">
      <c r="A9283" s="1">
        <v>1</v>
      </c>
      <c r="B9283" s="1" t="s">
        <v>5256</v>
      </c>
      <c r="C9283" s="1" t="str">
        <f ca="1">IFERROR(__xludf.DUMMYFUNCTION("GOOGLETRANSLATE(B9426,""en"",""ja"")"),"確認")</f>
        <v>確認</v>
      </c>
    </row>
    <row r="9284" spans="1:3" ht="18" customHeight="1" x14ac:dyDescent="0.3">
      <c r="A9284" s="1">
        <v>1</v>
      </c>
      <c r="B9284" s="1" t="s">
        <v>4265</v>
      </c>
      <c r="C9284" s="1" t="str">
        <f ca="1">IFERROR(__xludf.DUMMYFUNCTION("GOOGLETRANSLATE(B9427,""en"",""ja"")"),"会場")</f>
        <v>会場</v>
      </c>
    </row>
    <row r="9285" spans="1:3" ht="18" customHeight="1" x14ac:dyDescent="0.3">
      <c r="A9285" s="1">
        <v>1</v>
      </c>
      <c r="B9285" s="1" t="s">
        <v>7396</v>
      </c>
      <c r="C9285" s="1" t="str">
        <f ca="1">IFERROR(__xludf.DUMMYFUNCTION("GOOGLETRANSLATE(B9428,""en"",""ja"")"),"venient")</f>
        <v>venient</v>
      </c>
    </row>
    <row r="9286" spans="1:3" ht="18" customHeight="1" x14ac:dyDescent="0.3">
      <c r="A9286" s="1">
        <v>1</v>
      </c>
      <c r="B9286" s="1" t="s">
        <v>5259</v>
      </c>
      <c r="C9286" s="1" t="str">
        <f ca="1">IFERROR(__xludf.DUMMYFUNCTION("GOOGLETRANSLATE(B9429,""en"",""ja"")"),"草木")</f>
        <v>草木</v>
      </c>
    </row>
    <row r="9287" spans="1:3" ht="18" customHeight="1" x14ac:dyDescent="0.3">
      <c r="A9287" s="1">
        <v>1</v>
      </c>
      <c r="B9287" s="1" t="s">
        <v>5261</v>
      </c>
      <c r="C9287" s="1" t="str">
        <f ca="1">IFERROR(__xludf.DUMMYFUNCTION("GOOGLETRANSLATE(B9430,""en"",""ja"")"),"ワニス")</f>
        <v>ワニス</v>
      </c>
    </row>
    <row r="9288" spans="1:3" ht="18" customHeight="1" x14ac:dyDescent="0.3">
      <c r="A9288" s="1">
        <v>1</v>
      </c>
      <c r="B9288" s="1" t="s">
        <v>3170</v>
      </c>
      <c r="C9288" s="1" t="str">
        <f ca="1">IFERROR(__xludf.DUMMYFUNCTION("GOOGLETRANSLATE(B9431,""en"",""ja"")"),"貴重")</f>
        <v>貴重</v>
      </c>
    </row>
    <row r="9289" spans="1:3" ht="18" customHeight="1" x14ac:dyDescent="0.3">
      <c r="A9289" s="1">
        <v>1</v>
      </c>
      <c r="B9289" s="1" t="s">
        <v>4267</v>
      </c>
      <c r="C9289" s="1" t="str">
        <f ca="1">IFERROR(__xludf.DUMMYFUNCTION("GOOGLETRANSLATE(B9432,""en"",""ja"")"),"検証")</f>
        <v>検証</v>
      </c>
    </row>
    <row r="9290" spans="1:3" ht="18" customHeight="1" x14ac:dyDescent="0.3">
      <c r="A9290" s="1">
        <v>1</v>
      </c>
      <c r="B9290" s="1" t="s">
        <v>7397</v>
      </c>
      <c r="C9290" s="1" t="str">
        <f ca="1">IFERROR(__xludf.DUMMYFUNCTION("GOOGLETRANSLATE(B9433,""en"",""ja"")"),"妥当")</f>
        <v>妥当</v>
      </c>
    </row>
    <row r="9291" spans="1:3" ht="18" customHeight="1" x14ac:dyDescent="0.3">
      <c r="A9291" s="1">
        <v>1</v>
      </c>
      <c r="B9291" s="1" t="s">
        <v>7398</v>
      </c>
      <c r="C9291" s="1" t="str">
        <f ca="1">IFERROR(__xludf.DUMMYFUNCTION("GOOGLETRANSLATE(B9434,""en"",""ja"")"),"器具")</f>
        <v>器具</v>
      </c>
    </row>
    <row r="9292" spans="1:3" ht="18" customHeight="1" x14ac:dyDescent="0.3">
      <c r="A9292" s="1">
        <v>1</v>
      </c>
      <c r="B9292" s="1" t="s">
        <v>3172</v>
      </c>
      <c r="C9292" s="1" t="str">
        <f ca="1">IFERROR(__xludf.DUMMYFUNCTION("GOOGLETRANSLATE(B9435,""en"",""ja"")"),"一般")</f>
        <v>一般</v>
      </c>
    </row>
    <row r="9293" spans="1:3" ht="18" customHeight="1" x14ac:dyDescent="0.3">
      <c r="A9293" s="1">
        <v>1</v>
      </c>
      <c r="B9293" s="1" t="s">
        <v>7399</v>
      </c>
      <c r="C9293" s="1" t="str">
        <f ca="1">IFERROR(__xludf.DUMMYFUNCTION("GOOGLETRANSLATE(B9436,""en"",""ja"")"),"ユーザーの")</f>
        <v>ユーザーの</v>
      </c>
    </row>
    <row r="9294" spans="1:3" ht="18" customHeight="1" x14ac:dyDescent="0.3">
      <c r="A9294" s="1">
        <v>1</v>
      </c>
      <c r="B9294" s="1" t="s">
        <v>5262</v>
      </c>
      <c r="C9294" s="1" t="str">
        <f ca="1">IFERROR(__xludf.DUMMYFUNCTION("GOOGLETRANSLATE(B9437,""en"",""ja"")"),"役に立ちません")</f>
        <v>役に立ちません</v>
      </c>
    </row>
    <row r="9295" spans="1:3" ht="18" customHeight="1" x14ac:dyDescent="0.3">
      <c r="A9295" s="1">
        <v>1</v>
      </c>
      <c r="B9295" s="1" t="s">
        <v>346</v>
      </c>
      <c r="C9295" s="1" t="str">
        <f ca="1">IFERROR(__xludf.DUMMYFUNCTION("GOOGLETRANSLATE(B9438,""en"",""ja"")"),"都市")</f>
        <v>都市</v>
      </c>
    </row>
    <row r="9296" spans="1:3" ht="18" customHeight="1" x14ac:dyDescent="0.3">
      <c r="A9296" s="1">
        <v>1</v>
      </c>
      <c r="B9296" s="1" t="s">
        <v>5264</v>
      </c>
      <c r="C9296" s="1" t="str">
        <f ca="1">IFERROR(__xludf.DUMMYFUNCTION("GOOGLETRANSLATE(B9439,""en"",""ja"")"),"最上")</f>
        <v>最上</v>
      </c>
    </row>
    <row r="9297" spans="1:3" ht="18" customHeight="1" x14ac:dyDescent="0.3">
      <c r="A9297" s="1">
        <v>1</v>
      </c>
      <c r="B9297" s="1" t="s">
        <v>7400</v>
      </c>
      <c r="C9297" s="1" t="str">
        <f ca="1">IFERROR(__xludf.DUMMYFUNCTION("GOOGLETRANSLATE(B9440,""en"",""ja"")"),"激動")</f>
        <v>激動</v>
      </c>
    </row>
    <row r="9298" spans="1:3" ht="18" customHeight="1" x14ac:dyDescent="0.3">
      <c r="A9298" s="1">
        <v>1</v>
      </c>
      <c r="B9298" s="1" t="s">
        <v>7401</v>
      </c>
      <c r="C9298" s="1" t="str">
        <f ca="1">IFERROR(__xludf.DUMMYFUNCTION("GOOGLETRANSLATE(B9441,""en"",""ja"")"),"アップグレード")</f>
        <v>アップグレード</v>
      </c>
    </row>
    <row r="9299" spans="1:3" ht="18" customHeight="1" x14ac:dyDescent="0.3">
      <c r="A9299" s="1">
        <v>1</v>
      </c>
      <c r="B9299" s="1" t="s">
        <v>452</v>
      </c>
      <c r="C9299" s="1" t="str">
        <f ca="1">IFERROR(__xludf.DUMMYFUNCTION("GOOGLETRANSLATE(B9442,""en"",""ja"")"),"まで")</f>
        <v>まで</v>
      </c>
    </row>
    <row r="9300" spans="1:3" ht="18" customHeight="1" x14ac:dyDescent="0.3">
      <c r="A9300" s="1">
        <v>1</v>
      </c>
      <c r="B9300" s="1" t="s">
        <v>5266</v>
      </c>
      <c r="C9300" s="1" t="str">
        <f ca="1">IFERROR(__xludf.DUMMYFUNCTION("GOOGLETRANSLATE(B9444,""en"",""ja"")"),"意想外")</f>
        <v>意想外</v>
      </c>
    </row>
    <row r="9301" spans="1:3" ht="18" customHeight="1" x14ac:dyDescent="0.3">
      <c r="A9301" s="1">
        <v>1</v>
      </c>
      <c r="B9301" s="1" t="s">
        <v>4281</v>
      </c>
      <c r="C9301" s="1" t="str">
        <f ca="1">IFERROR(__xludf.DUMMYFUNCTION("GOOGLETRANSLATE(B9445,""en"",""ja"")"),"不安定な")</f>
        <v>不安定な</v>
      </c>
    </row>
    <row r="9302" spans="1:3" ht="18" customHeight="1" x14ac:dyDescent="0.3">
      <c r="A9302" s="1">
        <v>1</v>
      </c>
      <c r="B9302" s="1" t="s">
        <v>7402</v>
      </c>
      <c r="C9302" s="1" t="str">
        <f ca="1">IFERROR(__xludf.DUMMYFUNCTION("GOOGLETRANSLATE(B9446,""en"",""ja"")"),"未熟")</f>
        <v>未熟</v>
      </c>
    </row>
    <row r="9303" spans="1:3" ht="18" customHeight="1" x14ac:dyDescent="0.3">
      <c r="A9303" s="1">
        <v>1</v>
      </c>
      <c r="B9303" s="1" t="s">
        <v>7403</v>
      </c>
      <c r="C9303" s="1" t="str">
        <f ca="1">IFERROR(__xludf.DUMMYFUNCTION("GOOGLETRANSLATE(B9447,""en"",""ja"")"),"安全ではありません")</f>
        <v>安全ではありません</v>
      </c>
    </row>
    <row r="9304" spans="1:3" ht="18" customHeight="1" x14ac:dyDescent="0.3">
      <c r="A9304" s="1">
        <v>1</v>
      </c>
      <c r="B9304" s="1" t="s">
        <v>5267</v>
      </c>
      <c r="C9304" s="1" t="str">
        <f ca="1">IFERROR(__xludf.DUMMYFUNCTION("GOOGLETRANSLATE(B9448,""en"",""ja"")"),"不穏")</f>
        <v>不穏</v>
      </c>
    </row>
    <row r="9305" spans="1:3" ht="18" customHeight="1" x14ac:dyDescent="0.3">
      <c r="A9305" s="1">
        <v>1</v>
      </c>
      <c r="B9305" s="1" t="s">
        <v>5268</v>
      </c>
      <c r="C9305" s="1" t="str">
        <f ca="1">IFERROR(__xludf.DUMMYFUNCTION("GOOGLETRANSLATE(B9449,""en"",""ja"")"),"応答しません")</f>
        <v>応答しません</v>
      </c>
    </row>
    <row r="9306" spans="1:3" ht="18" customHeight="1" x14ac:dyDescent="0.3">
      <c r="A9306" s="1">
        <v>1</v>
      </c>
      <c r="B9306" s="1" t="s">
        <v>5272</v>
      </c>
      <c r="C9306" s="1" t="str">
        <f ca="1">IFERROR(__xludf.DUMMYFUNCTION("GOOGLETRANSLATE(B9450,""en"",""ja"")"),"未実現")</f>
        <v>未実現</v>
      </c>
    </row>
    <row r="9307" spans="1:3" ht="18" customHeight="1" x14ac:dyDescent="0.3">
      <c r="A9307" s="1">
        <v>1</v>
      </c>
      <c r="B9307" s="1" t="s">
        <v>2504</v>
      </c>
      <c r="C9307" s="1" t="str">
        <f ca="1">IFERROR(__xludf.DUMMYFUNCTION("GOOGLETRANSLATE(B9451,""en"",""ja"")"),"未曾有")</f>
        <v>未曾有</v>
      </c>
    </row>
    <row r="9308" spans="1:3" ht="18" customHeight="1" x14ac:dyDescent="0.3">
      <c r="A9308" s="1">
        <v>1</v>
      </c>
      <c r="B9308" s="1" t="s">
        <v>7404</v>
      </c>
      <c r="C9308" s="1" t="str">
        <f ca="1">IFERROR(__xludf.DUMMYFUNCTION("GOOGLETRANSLATE(B9452,""en"",""ja"")"),"わからない")</f>
        <v>わからない</v>
      </c>
    </row>
    <row r="9309" spans="1:3" ht="18" customHeight="1" x14ac:dyDescent="0.3">
      <c r="A9309" s="1">
        <v>1</v>
      </c>
      <c r="B9309" s="1" t="s">
        <v>7405</v>
      </c>
      <c r="C9309" s="1" t="str">
        <f ca="1">IFERROR(__xludf.DUMMYFUNCTION("GOOGLETRANSLATE(B9453,""en"",""ja"")"),"不当な")</f>
        <v>不当な</v>
      </c>
    </row>
    <row r="9310" spans="1:3" ht="18" customHeight="1" x14ac:dyDescent="0.3">
      <c r="A9310" s="1">
        <v>1</v>
      </c>
      <c r="B9310" s="1" t="s">
        <v>7406</v>
      </c>
      <c r="C9310" s="1" t="str">
        <f ca="1">IFERROR(__xludf.DUMMYFUNCTION("GOOGLETRANSLATE(B9454,""en"",""ja"")"),"ユナイト")</f>
        <v>ユナイト</v>
      </c>
    </row>
    <row r="9311" spans="1:3" ht="18" customHeight="1" x14ac:dyDescent="0.3">
      <c r="A9311" s="1">
        <v>1</v>
      </c>
      <c r="B9311" s="1" t="s">
        <v>6640</v>
      </c>
      <c r="C9311" s="1" t="str">
        <f ca="1">IFERROR(__xludf.DUMMYFUNCTION("GOOGLETRANSLATE(B9455,""en"",""ja"")"),"一元")</f>
        <v>一元</v>
      </c>
    </row>
    <row r="9312" spans="1:3" ht="18" customHeight="1" x14ac:dyDescent="0.3">
      <c r="A9312" s="1">
        <v>1</v>
      </c>
      <c r="B9312" s="1" t="s">
        <v>565</v>
      </c>
      <c r="C9312" s="1" t="str">
        <f ca="1">IFERROR(__xludf.DUMMYFUNCTION("GOOGLETRANSLATE(B9456,""en"",""ja"")"),"ユニーク")</f>
        <v>ユニーク</v>
      </c>
    </row>
    <row r="9313" spans="1:3" ht="18" customHeight="1" x14ac:dyDescent="0.3">
      <c r="A9313" s="1">
        <v>1</v>
      </c>
      <c r="B9313" s="1" t="s">
        <v>7407</v>
      </c>
      <c r="C9313" s="1" t="str">
        <f ca="1">IFERROR(__xludf.DUMMYFUNCTION("GOOGLETRANSLATE(B9457,""en"",""ja"")"),"連合")</f>
        <v>連合</v>
      </c>
    </row>
    <row r="9314" spans="1:3" ht="18" customHeight="1" x14ac:dyDescent="0.3">
      <c r="A9314" s="1">
        <v>1</v>
      </c>
      <c r="B9314" s="1" t="s">
        <v>7408</v>
      </c>
      <c r="C9314" s="1" t="str">
        <f ca="1">IFERROR(__xludf.DUMMYFUNCTION("GOOGLETRANSLATE(B9459,""en"",""ja"")"),"統一")</f>
        <v>統一</v>
      </c>
    </row>
    <row r="9315" spans="1:3" ht="18" customHeight="1" x14ac:dyDescent="0.3">
      <c r="A9315" s="1">
        <v>1</v>
      </c>
      <c r="B9315" s="1" t="s">
        <v>7409</v>
      </c>
      <c r="C9315" s="1" t="str">
        <f ca="1">IFERROR(__xludf.DUMMYFUNCTION("GOOGLETRANSLATE(B9461,""en"",""ja"")"),"不利")</f>
        <v>不利</v>
      </c>
    </row>
    <row r="9316" spans="1:3" ht="18" customHeight="1" x14ac:dyDescent="0.3">
      <c r="A9316" s="1">
        <v>1</v>
      </c>
      <c r="B9316" s="1" t="s">
        <v>7410</v>
      </c>
      <c r="C9316" s="1" t="str">
        <f ca="1">IFERROR(__xludf.DUMMYFUNCTION("GOOGLETRANSLATE(B9462,""en"",""ja"")"),"未踏")</f>
        <v>未踏</v>
      </c>
    </row>
    <row r="9317" spans="1:3" ht="18" customHeight="1" x14ac:dyDescent="0.3">
      <c r="A9317" s="1">
        <v>1</v>
      </c>
      <c r="B9317" s="1" t="s">
        <v>2268</v>
      </c>
      <c r="C9317" s="1" t="str">
        <f ca="1">IFERROR(__xludf.DUMMYFUNCTION("GOOGLETRANSLATE(B9464,""en"",""ja"")"),"意外と")</f>
        <v>意外と</v>
      </c>
    </row>
    <row r="9318" spans="1:3" ht="18" customHeight="1" x14ac:dyDescent="0.3">
      <c r="A9318" s="1">
        <v>1</v>
      </c>
      <c r="B9318" s="1" t="s">
        <v>4295</v>
      </c>
      <c r="C9318" s="1" t="str">
        <f ca="1">IFERROR(__xludf.DUMMYFUNCTION("GOOGLETRANSLATE(B9465,""en"",""ja"")"),"不経済")</f>
        <v>不経済</v>
      </c>
    </row>
    <row r="9319" spans="1:3" ht="18" customHeight="1" x14ac:dyDescent="0.3">
      <c r="A9319" s="1">
        <v>1</v>
      </c>
      <c r="B9319" s="1" t="s">
        <v>7411</v>
      </c>
      <c r="C9319" s="1" t="str">
        <f ca="1">IFERROR(__xludf.DUMMYFUNCTION("GOOGLETRANSLATE(B9466,""en"",""ja"")"),"理解")</f>
        <v>理解</v>
      </c>
    </row>
    <row r="9320" spans="1:3" ht="18" customHeight="1" x14ac:dyDescent="0.3">
      <c r="A9320" s="1">
        <v>1</v>
      </c>
      <c r="B9320" s="1" t="s">
        <v>2849</v>
      </c>
      <c r="C9320" s="1" t="str">
        <f ca="1">IFERROR(__xludf.DUMMYFUNCTION("GOOGLETRANSLATE(B9467,""en"",""ja"")"),"覆します")</f>
        <v>覆します</v>
      </c>
    </row>
    <row r="9321" spans="1:3" ht="18" customHeight="1" x14ac:dyDescent="0.3">
      <c r="A9321" s="1">
        <v>1</v>
      </c>
      <c r="B9321" s="1" t="s">
        <v>5286</v>
      </c>
      <c r="C9321" s="1" t="str">
        <f ca="1">IFERROR(__xludf.DUMMYFUNCTION("GOOGLETRANSLATE(B9468,""en"",""ja"")"),"下地")</f>
        <v>下地</v>
      </c>
    </row>
    <row r="9322" spans="1:3" ht="18" customHeight="1" x14ac:dyDescent="0.3">
      <c r="A9322" s="1">
        <v>1</v>
      </c>
      <c r="B9322" s="1" t="s">
        <v>6647</v>
      </c>
      <c r="C9322" s="1" t="str">
        <f ca="1">IFERROR(__xludf.DUMMYFUNCTION("GOOGLETRANSLATE(B9469,""en"",""ja"")"),"拘束されていません")</f>
        <v>拘束されていません</v>
      </c>
    </row>
    <row r="9323" spans="1:3" ht="18" customHeight="1" x14ac:dyDescent="0.3">
      <c r="A9323" s="1">
        <v>1</v>
      </c>
      <c r="B9323" s="1" t="s">
        <v>5291</v>
      </c>
      <c r="C9323" s="1" t="str">
        <f ca="1">IFERROR(__xludf.DUMMYFUNCTION("GOOGLETRANSLATE(B9470,""en"",""ja"")"),"不明瞭")</f>
        <v>不明瞭</v>
      </c>
    </row>
    <row r="9324" spans="1:3" ht="18" customHeight="1" x14ac:dyDescent="0.3">
      <c r="A9324" s="1">
        <v>1</v>
      </c>
      <c r="B9324" s="1" t="s">
        <v>5292</v>
      </c>
      <c r="C9324" s="1" t="str">
        <f ca="1">IFERROR(__xludf.DUMMYFUNCTION("GOOGLETRANSLATE(B9471,""en"",""ja"")"),"未知")</f>
        <v>未知</v>
      </c>
    </row>
    <row r="9325" spans="1:3" ht="18" customHeight="1" x14ac:dyDescent="0.3">
      <c r="A9325" s="1">
        <v>1</v>
      </c>
      <c r="B9325" s="1" t="s">
        <v>7412</v>
      </c>
      <c r="C9325" s="1" t="str">
        <f ca="1">IFERROR(__xludf.DUMMYFUNCTION("GOOGLETRANSLATE(B9472,""en"",""ja"")"),"気付いていません")</f>
        <v>気付いていません</v>
      </c>
    </row>
    <row r="9326" spans="1:3" ht="18" customHeight="1" x14ac:dyDescent="0.3">
      <c r="A9326" s="1">
        <v>1</v>
      </c>
      <c r="B9326" s="1" t="s">
        <v>7413</v>
      </c>
      <c r="C9326" s="1" t="str">
        <f ca="1">IFERROR(__xludf.DUMMYFUNCTION("GOOGLETRANSLATE(B9473,""en"",""ja"")"),"やむをえないです")</f>
        <v>やむをえないです</v>
      </c>
    </row>
    <row r="9327" spans="1:3" ht="18" customHeight="1" x14ac:dyDescent="0.3">
      <c r="A9327" s="1">
        <v>1</v>
      </c>
      <c r="B9327" s="1" t="s">
        <v>6651</v>
      </c>
      <c r="C9327" s="1" t="str">
        <f ca="1">IFERROR(__xludf.DUMMYFUNCTION("GOOGLETRANSLATE(B9474,""en"",""ja"")"),"全会一致")</f>
        <v>全会一致</v>
      </c>
    </row>
    <row r="9328" spans="1:3" ht="18" customHeight="1" x14ac:dyDescent="0.3">
      <c r="A9328" s="1">
        <v>1</v>
      </c>
      <c r="B9328" s="1" t="s">
        <v>6652</v>
      </c>
      <c r="C9328" s="1" t="str">
        <f ca="1">IFERROR(__xludf.DUMMYFUNCTION("GOOGLETRANSLATE(B9475,""en"",""ja"")"),"不慣れな")</f>
        <v>不慣れな</v>
      </c>
    </row>
    <row r="9329" spans="1:3" ht="18" customHeight="1" x14ac:dyDescent="0.3">
      <c r="A9329" s="1">
        <v>1</v>
      </c>
      <c r="B9329" s="1" t="s">
        <v>7414</v>
      </c>
      <c r="C9329" s="1" t="str">
        <f ca="1">IFERROR(__xludf.DUMMYFUNCTION("GOOGLETRANSLATE(B9476,""en"",""ja"")"),"衰えません")</f>
        <v>衰えません</v>
      </c>
    </row>
    <row r="9330" spans="1:3" ht="18" customHeight="1" x14ac:dyDescent="0.3">
      <c r="A9330" s="1">
        <v>1</v>
      </c>
      <c r="B9330" s="1" t="s">
        <v>2029</v>
      </c>
      <c r="C9330" s="1" t="str">
        <f ca="1">IFERROR(__xludf.DUMMYFUNCTION("GOOGLETRANSLATE(B9477,""en"",""ja"")"),"究極")</f>
        <v>究極</v>
      </c>
    </row>
    <row r="9331" spans="1:3" ht="18" customHeight="1" x14ac:dyDescent="0.3">
      <c r="A9331" s="1">
        <v>1</v>
      </c>
      <c r="B9331" s="1" t="s">
        <v>4301</v>
      </c>
      <c r="C9331" s="1" t="str">
        <f ca="1">IFERROR(__xludf.DUMMYFUNCTION("GOOGLETRANSLATE(B9478,""en"",""ja"")"),"暴君")</f>
        <v>暴君</v>
      </c>
    </row>
    <row r="9332" spans="1:3" ht="18" customHeight="1" x14ac:dyDescent="0.3">
      <c r="A9332" s="1">
        <v>1</v>
      </c>
      <c r="B9332" s="1" t="s">
        <v>6654</v>
      </c>
      <c r="C9332" s="1" t="str">
        <f ca="1">IFERROR(__xludf.DUMMYFUNCTION("GOOGLETRANSLATE(B9479,""en"",""ja"")"),"横暴")</f>
        <v>横暴</v>
      </c>
    </row>
    <row r="9333" spans="1:3" ht="18" customHeight="1" x14ac:dyDescent="0.3">
      <c r="A9333" s="1">
        <v>1</v>
      </c>
      <c r="B9333" s="1" t="s">
        <v>7415</v>
      </c>
      <c r="C9333" s="1" t="str">
        <f ca="1">IFERROR(__xludf.DUMMYFUNCTION("GOOGLETRANSLATE(B9480,""en"",""ja"")"),"タイピング")</f>
        <v>タイピング</v>
      </c>
    </row>
    <row r="9334" spans="1:3" ht="18" customHeight="1" x14ac:dyDescent="0.3">
      <c r="A9334" s="1">
        <v>1</v>
      </c>
      <c r="B9334" s="1" t="s">
        <v>6655</v>
      </c>
      <c r="C9334" s="1" t="str">
        <f ca="1">IFERROR(__xludf.DUMMYFUNCTION("GOOGLETRANSLATE(B9481,""en"",""ja"")"),"ねじれ")</f>
        <v>ねじれ</v>
      </c>
    </row>
    <row r="9335" spans="1:3" ht="18" customHeight="1" x14ac:dyDescent="0.3">
      <c r="A9335" s="1">
        <v>1</v>
      </c>
      <c r="B9335" s="1" t="s">
        <v>6656</v>
      </c>
      <c r="C9335" s="1" t="str">
        <f ca="1">IFERROR(__xludf.DUMMYFUNCTION("GOOGLETRANSLATE(B9482,""en"",""ja"")"),"売上高")</f>
        <v>売上高</v>
      </c>
    </row>
    <row r="9336" spans="1:3" ht="18" customHeight="1" x14ac:dyDescent="0.3">
      <c r="A9336" s="1">
        <v>1</v>
      </c>
      <c r="B9336" s="1" t="s">
        <v>7416</v>
      </c>
      <c r="C9336" s="1" t="str">
        <f ca="1">IFERROR(__xludf.DUMMYFUNCTION("GOOGLETRANSLATE(B9483,""en"",""ja"")"),"turmoils")</f>
        <v>turmoils</v>
      </c>
    </row>
    <row r="9337" spans="1:3" ht="18" customHeight="1" x14ac:dyDescent="0.3">
      <c r="A9337" s="1">
        <v>1</v>
      </c>
      <c r="B9337" s="1" t="s">
        <v>465</v>
      </c>
      <c r="C9337" s="1" t="str">
        <f ca="1">IFERROR(__xludf.DUMMYFUNCTION("GOOGLETRANSLATE(B9484,""en"",""ja"")"),"試します")</f>
        <v>試します</v>
      </c>
    </row>
    <row r="9338" spans="1:3" ht="18" customHeight="1" x14ac:dyDescent="0.3">
      <c r="A9338" s="1">
        <v>1</v>
      </c>
      <c r="B9338" s="1" t="s">
        <v>7417</v>
      </c>
      <c r="C9338" s="1" t="str">
        <f ca="1">IFERROR(__xludf.DUMMYFUNCTION("GOOGLETRANSLATE(B9485,""en"",""ja"")"),"引き金になった")</f>
        <v>引き金になった</v>
      </c>
    </row>
    <row r="9339" spans="1:3" ht="18" customHeight="1" x14ac:dyDescent="0.3">
      <c r="A9339" s="1">
        <v>1</v>
      </c>
      <c r="B9339" s="1" t="s">
        <v>5300</v>
      </c>
      <c r="C9339" s="1" t="str">
        <f ca="1">IFERROR(__xludf.DUMMYFUNCTION("GOOGLETRANSLATE(B9486,""en"",""ja"")"),"ぺてん")</f>
        <v>ぺてん</v>
      </c>
    </row>
    <row r="9340" spans="1:3" ht="18" customHeight="1" x14ac:dyDescent="0.3">
      <c r="A9340" s="1">
        <v>1</v>
      </c>
      <c r="B9340" s="1" t="s">
        <v>2034</v>
      </c>
      <c r="C9340" s="1" t="str">
        <f ca="1">IFERROR(__xludf.DUMMYFUNCTION("GOOGLETRANSLATE(B9487,""en"",""ja"")"),"トライアル")</f>
        <v>トライアル</v>
      </c>
    </row>
    <row r="9341" spans="1:3" ht="18" customHeight="1" x14ac:dyDescent="0.3">
      <c r="A9341" s="1">
        <v>1</v>
      </c>
      <c r="B9341" s="1" t="s">
        <v>5305</v>
      </c>
      <c r="C9341" s="1" t="str">
        <f ca="1">IFERROR(__xludf.DUMMYFUNCTION("GOOGLETRANSLATE(B9488,""en"",""ja"")"),"処理")</f>
        <v>処理</v>
      </c>
    </row>
    <row r="9342" spans="1:3" ht="18" customHeight="1" x14ac:dyDescent="0.3">
      <c r="A9342" s="1">
        <v>1</v>
      </c>
      <c r="B9342" s="1" t="s">
        <v>7418</v>
      </c>
      <c r="C9342" s="1" t="str">
        <f ca="1">IFERROR(__xludf.DUMMYFUNCTION("GOOGLETRANSLATE(B9489,""en"",""ja"")"),"条約")</f>
        <v>条約</v>
      </c>
    </row>
    <row r="9343" spans="1:3" ht="18" customHeight="1" x14ac:dyDescent="0.3">
      <c r="A9343" s="1">
        <v>1</v>
      </c>
      <c r="B9343" s="1" t="s">
        <v>7419</v>
      </c>
      <c r="C9343" s="1" t="str">
        <f ca="1">IFERROR(__xludf.DUMMYFUNCTION("GOOGLETRANSLATE(B9490,""en"",""ja"")"),"治療")</f>
        <v>治療</v>
      </c>
    </row>
    <row r="9344" spans="1:3" ht="18" customHeight="1" x14ac:dyDescent="0.3">
      <c r="A9344" s="1">
        <v>1</v>
      </c>
      <c r="B9344" s="1" t="s">
        <v>6660</v>
      </c>
      <c r="C9344" s="1" t="str">
        <f ca="1">IFERROR(__xludf.DUMMYFUNCTION("GOOGLETRANSLATE(B9491,""en"",""ja"")"),"御馳走")</f>
        <v>御馳走</v>
      </c>
    </row>
    <row r="9345" spans="1:3" ht="18" customHeight="1" x14ac:dyDescent="0.3">
      <c r="A9345" s="1">
        <v>1</v>
      </c>
      <c r="B9345" s="1" t="s">
        <v>7420</v>
      </c>
      <c r="C9345" s="1" t="str">
        <f ca="1">IFERROR(__xludf.DUMMYFUNCTION("GOOGLETRANSLATE(B9492,""en"",""ja"")"),"宝")</f>
        <v>宝</v>
      </c>
    </row>
    <row r="9346" spans="1:3" ht="18" customHeight="1" x14ac:dyDescent="0.3">
      <c r="A9346" s="1">
        <v>1</v>
      </c>
      <c r="B9346" s="1" t="s">
        <v>5307</v>
      </c>
      <c r="C9346" s="1" t="str">
        <f ca="1">IFERROR(__xludf.DUMMYFUNCTION("GOOGLETRANSLATE(B9493,""en"",""ja"")"),"トラウマ")</f>
        <v>トラウマ</v>
      </c>
    </row>
    <row r="9347" spans="1:3" ht="18" customHeight="1" x14ac:dyDescent="0.3">
      <c r="A9347" s="1">
        <v>1</v>
      </c>
      <c r="B9347" s="1" t="s">
        <v>7421</v>
      </c>
      <c r="C9347" s="1" t="str">
        <f ca="1">IFERROR(__xludf.DUMMYFUNCTION("GOOGLETRANSLATE(B9494,""en"",""ja"")"),"トラップ")</f>
        <v>トラップ</v>
      </c>
    </row>
    <row r="9348" spans="1:3" ht="18" customHeight="1" x14ac:dyDescent="0.3">
      <c r="A9348" s="1">
        <v>1</v>
      </c>
      <c r="B9348" s="1" t="s">
        <v>7422</v>
      </c>
      <c r="C9348" s="1" t="str">
        <f ca="1">IFERROR(__xludf.DUMMYFUNCTION("GOOGLETRANSLATE(B9495,""en"",""ja"")"),"送信します")</f>
        <v>送信します</v>
      </c>
    </row>
    <row r="9349" spans="1:3" ht="18" customHeight="1" x14ac:dyDescent="0.3">
      <c r="A9349" s="1">
        <v>1</v>
      </c>
      <c r="B9349" s="1" t="s">
        <v>7423</v>
      </c>
      <c r="C9349" s="1" t="str">
        <f ca="1">IFERROR(__xludf.DUMMYFUNCTION("GOOGLETRANSLATE(B9496,""en"",""ja"")"),"違反")</f>
        <v>違反</v>
      </c>
    </row>
    <row r="9350" spans="1:3" ht="18" customHeight="1" x14ac:dyDescent="0.3">
      <c r="A9350" s="1">
        <v>1</v>
      </c>
      <c r="B9350" s="1" t="s">
        <v>3195</v>
      </c>
      <c r="C9350" s="1" t="str">
        <f ca="1">IFERROR(__xludf.DUMMYFUNCTION("GOOGLETRANSLATE(B9497,""en"",""ja"")"),"変革")</f>
        <v>変革</v>
      </c>
    </row>
    <row r="9351" spans="1:3" ht="18" customHeight="1" x14ac:dyDescent="0.3">
      <c r="A9351" s="1">
        <v>1</v>
      </c>
      <c r="B9351" s="1" t="s">
        <v>1503</v>
      </c>
      <c r="C9351" s="1" t="str">
        <f ca="1">IFERROR(__xludf.DUMMYFUNCTION("GOOGLETRANSLATE(B9498,""en"",""ja"")"),"転送")</f>
        <v>転送</v>
      </c>
    </row>
    <row r="9352" spans="1:3" ht="18" customHeight="1" x14ac:dyDescent="0.3">
      <c r="A9352" s="1">
        <v>1</v>
      </c>
      <c r="B9352" s="1" t="s">
        <v>5316</v>
      </c>
      <c r="C9352" s="1" t="str">
        <f ca="1">IFERROR(__xludf.DUMMYFUNCTION("GOOGLETRANSLATE(B9499,""en"",""ja"")"),"トランセンド")</f>
        <v>トランセンド</v>
      </c>
    </row>
    <row r="9353" spans="1:3" ht="18" customHeight="1" x14ac:dyDescent="0.3">
      <c r="A9353" s="1">
        <v>1</v>
      </c>
      <c r="B9353" s="1" t="s">
        <v>7424</v>
      </c>
      <c r="C9353" s="1" t="str">
        <f ca="1">IFERROR(__xludf.DUMMYFUNCTION("GOOGLETRANSLATE(B9500,""en"",""ja"")"),"トランザクション")</f>
        <v>トランザクション</v>
      </c>
    </row>
    <row r="9354" spans="1:3" ht="18" customHeight="1" x14ac:dyDescent="0.3">
      <c r="A9354" s="1">
        <v>1</v>
      </c>
      <c r="B9354" s="1" t="s">
        <v>7425</v>
      </c>
      <c r="C9354" s="1" t="str">
        <f ca="1">IFERROR(__xludf.DUMMYFUNCTION("GOOGLETRANSLATE(B9502,""en"",""ja"")"),"取引")</f>
        <v>取引</v>
      </c>
    </row>
    <row r="9355" spans="1:3" ht="18" customHeight="1" x14ac:dyDescent="0.3">
      <c r="A9355" s="1">
        <v>1</v>
      </c>
      <c r="B9355" s="1" t="s">
        <v>7426</v>
      </c>
      <c r="C9355" s="1" t="str">
        <f ca="1">IFERROR(__xludf.DUMMYFUNCTION("GOOGLETRANSLATE(B9503,""en"",""ja"")"),"道")</f>
        <v>道</v>
      </c>
    </row>
    <row r="9356" spans="1:3" ht="18" customHeight="1" x14ac:dyDescent="0.3">
      <c r="A9356" s="1">
        <v>1</v>
      </c>
      <c r="B9356" s="1" t="s">
        <v>7427</v>
      </c>
      <c r="C9356" s="1" t="str">
        <f ca="1">IFERROR(__xludf.DUMMYFUNCTION("GOOGLETRANSLATE(B9504,""en"",""ja"")"),"トレースされました")</f>
        <v>トレースされました</v>
      </c>
    </row>
    <row r="9357" spans="1:3" ht="18" customHeight="1" x14ac:dyDescent="0.3">
      <c r="A9357" s="1">
        <v>1</v>
      </c>
      <c r="B9357" s="1" t="s">
        <v>2272</v>
      </c>
      <c r="C9357" s="1" t="str">
        <f ca="1">IFERROR(__xludf.DUMMYFUNCTION("GOOGLETRANSLATE(B9505,""en"",""ja"")"),"トヨタ")</f>
        <v>トヨタ</v>
      </c>
    </row>
    <row r="9358" spans="1:3" ht="18" customHeight="1" x14ac:dyDescent="0.3">
      <c r="A9358" s="1">
        <v>1</v>
      </c>
      <c r="B9358" s="1" t="s">
        <v>3811</v>
      </c>
      <c r="C9358" s="1" t="str">
        <f ca="1">IFERROR(__xludf.DUMMYFUNCTION("GOOGLETRANSLATE(B9506,""en"",""ja"")"),"毒性")</f>
        <v>毒性</v>
      </c>
    </row>
    <row r="9359" spans="1:3" ht="18" customHeight="1" x14ac:dyDescent="0.3">
      <c r="A9359" s="1">
        <v>1</v>
      </c>
      <c r="B9359" s="1" t="s">
        <v>1095</v>
      </c>
      <c r="C9359" s="1" t="str">
        <f ca="1">IFERROR(__xludf.DUMMYFUNCTION("GOOGLETRANSLATE(B9507,""en"",""ja"")"),"向かって")</f>
        <v>向かって</v>
      </c>
    </row>
    <row r="9360" spans="1:3" ht="18" customHeight="1" x14ac:dyDescent="0.3">
      <c r="A9360" s="1">
        <v>1</v>
      </c>
      <c r="B9360" s="1" t="s">
        <v>2857</v>
      </c>
      <c r="C9360" s="1" t="str">
        <f ca="1">IFERROR(__xludf.DUMMYFUNCTION("GOOGLETRANSLATE(B9508,""en"",""ja"")"),"タフ")</f>
        <v>タフ</v>
      </c>
    </row>
    <row r="9361" spans="1:3" ht="18" customHeight="1" x14ac:dyDescent="0.3">
      <c r="A9361" s="1">
        <v>1</v>
      </c>
      <c r="B9361" s="1" t="s">
        <v>7428</v>
      </c>
      <c r="C9361" s="1" t="str">
        <f ca="1">IFERROR(__xludf.DUMMYFUNCTION("GOOGLETRANSLATE(B9509,""en"",""ja"")"),"皆既")</f>
        <v>皆既</v>
      </c>
    </row>
    <row r="9362" spans="1:3" ht="18" customHeight="1" x14ac:dyDescent="0.3">
      <c r="A9362" s="1">
        <v>1</v>
      </c>
      <c r="B9362" s="1" t="s">
        <v>7429</v>
      </c>
      <c r="C9362" s="1" t="str">
        <f ca="1">IFERROR(__xludf.DUMMYFUNCTION("GOOGLETRANSLATE(B9510,""en"",""ja"")"),"トポロジカル")</f>
        <v>トポロジカル</v>
      </c>
    </row>
    <row r="9363" spans="1:3" ht="18" customHeight="1" x14ac:dyDescent="0.3">
      <c r="A9363" s="1">
        <v>1</v>
      </c>
      <c r="B9363" s="1" t="s">
        <v>4314</v>
      </c>
      <c r="C9363" s="1" t="str">
        <f ca="1">IFERROR(__xludf.DUMMYFUNCTION("GOOGLETRANSLATE(B9511,""en"",""ja"")"),"舌")</f>
        <v>舌</v>
      </c>
    </row>
    <row r="9364" spans="1:3" ht="18" customHeight="1" x14ac:dyDescent="0.3">
      <c r="A9364" s="1">
        <v>1</v>
      </c>
      <c r="B9364" s="1" t="s">
        <v>5324</v>
      </c>
      <c r="C9364" s="1" t="str">
        <f ca="1">IFERROR(__xludf.DUMMYFUNCTION("GOOGLETRANSLATE(B9512,""en"",""ja"")"),"トレラント")</f>
        <v>トレラント</v>
      </c>
    </row>
    <row r="9365" spans="1:3" ht="18" customHeight="1" x14ac:dyDescent="0.3">
      <c r="A9365" s="1">
        <v>1</v>
      </c>
      <c r="B9365" s="1" t="s">
        <v>7430</v>
      </c>
      <c r="C9365" s="1" t="str">
        <f ca="1">IFERROR(__xludf.DUMMYFUNCTION("GOOGLETRANSLATE(B9513,""en"",""ja"")"),"今日")</f>
        <v>今日</v>
      </c>
    </row>
    <row r="9366" spans="1:3" ht="18" customHeight="1" x14ac:dyDescent="0.3">
      <c r="A9366" s="1">
        <v>1</v>
      </c>
      <c r="B9366" s="1" t="s">
        <v>2</v>
      </c>
      <c r="C9366" s="1" t="str">
        <f ca="1">IFERROR(__xludf.DUMMYFUNCTION("GOOGLETRANSLATE(B9514,""en"",""ja"")"),"に")</f>
        <v>に</v>
      </c>
    </row>
    <row r="9367" spans="1:3" ht="18" customHeight="1" x14ac:dyDescent="0.3">
      <c r="A9367" s="1">
        <v>1</v>
      </c>
      <c r="B9367" s="1" t="s">
        <v>7431</v>
      </c>
      <c r="C9367" s="1" t="str">
        <f ca="1">IFERROR(__xludf.DUMMYFUNCTION("GOOGLETRANSLATE(B9515,""en"",""ja"")"),"疲れました")</f>
        <v>疲れました</v>
      </c>
    </row>
    <row r="9368" spans="1:3" ht="18" customHeight="1" x14ac:dyDescent="0.3">
      <c r="A9368" s="1">
        <v>1</v>
      </c>
      <c r="B9368" s="1" t="s">
        <v>7432</v>
      </c>
      <c r="C9368" s="1" t="str">
        <f ca="1">IFERROR(__xludf.DUMMYFUNCTION("GOOGLETRANSLATE(B9516,""en"",""ja"")"),"タイヤ")</f>
        <v>タイヤ</v>
      </c>
    </row>
    <row r="9369" spans="1:3" ht="18" customHeight="1" x14ac:dyDescent="0.3">
      <c r="A9369" s="1">
        <v>1</v>
      </c>
      <c r="B9369" s="1" t="s">
        <v>7433</v>
      </c>
      <c r="C9369" s="1" t="str">
        <f ca="1">IFERROR(__xludf.DUMMYFUNCTION("GOOGLETRANSLATE(B9517,""en"",""ja"")"),"いじくります")</f>
        <v>いじくります</v>
      </c>
    </row>
    <row r="9370" spans="1:3" ht="18" customHeight="1" x14ac:dyDescent="0.3">
      <c r="A9370" s="1">
        <v>1</v>
      </c>
      <c r="B9370" s="1" t="s">
        <v>7434</v>
      </c>
      <c r="C9370" s="1" t="str">
        <f ca="1">IFERROR(__xludf.DUMMYFUNCTION("GOOGLETRANSLATE(B9518,""en"",""ja"")"),"タイミング")</f>
        <v>タイミング</v>
      </c>
    </row>
    <row r="9371" spans="1:3" ht="18" customHeight="1" x14ac:dyDescent="0.3">
      <c r="A9371" s="1">
        <v>1</v>
      </c>
      <c r="B9371" s="1" t="s">
        <v>6674</v>
      </c>
      <c r="C9371" s="1" t="str">
        <f ca="1">IFERROR(__xludf.DUMMYFUNCTION("GOOGLETRANSLATE(B9519,""en"",""ja"")"),"阻みます")</f>
        <v>阻みます</v>
      </c>
    </row>
    <row r="9372" spans="1:3" ht="18" customHeight="1" x14ac:dyDescent="0.3">
      <c r="A9372" s="1">
        <v>1</v>
      </c>
      <c r="B9372" s="1" t="s">
        <v>7435</v>
      </c>
      <c r="C9372" s="1" t="str">
        <f ca="1">IFERROR(__xludf.DUMMYFUNCTION("GOOGLETRANSLATE(B9520,""en"",""ja"")"),"トラキア")</f>
        <v>トラキア</v>
      </c>
    </row>
    <row r="9373" spans="1:3" ht="18" customHeight="1" x14ac:dyDescent="0.3">
      <c r="A9373" s="1">
        <v>1</v>
      </c>
      <c r="B9373" s="1" t="s">
        <v>6677</v>
      </c>
      <c r="C9373" s="1" t="str">
        <f ca="1">IFERROR(__xludf.DUMMYFUNCTION("GOOGLETRANSLATE(B9522,""en"",""ja"")"),"徹底的に")</f>
        <v>徹底的に</v>
      </c>
    </row>
    <row r="9374" spans="1:3" ht="18" customHeight="1" x14ac:dyDescent="0.3">
      <c r="A9374" s="1">
        <v>1</v>
      </c>
      <c r="B9374" s="1" t="s">
        <v>2862</v>
      </c>
      <c r="C9374" s="1" t="str">
        <f ca="1">IFERROR(__xludf.DUMMYFUNCTION("GOOGLETRANSLATE(B9523,""en"",""ja"")"),"ティク")</f>
        <v>ティク</v>
      </c>
    </row>
    <row r="9375" spans="1:3" ht="18" customHeight="1" x14ac:dyDescent="0.3">
      <c r="A9375" s="1">
        <v>1</v>
      </c>
      <c r="B9375" s="1" t="s">
        <v>2863</v>
      </c>
      <c r="C9375" s="1" t="str">
        <f ca="1">IFERROR(__xludf.DUMMYFUNCTION("GOOGLETRANSLATE(B9524,""en"",""ja"")"),"治療")</f>
        <v>治療</v>
      </c>
    </row>
    <row r="9376" spans="1:3" ht="18" customHeight="1" x14ac:dyDescent="0.3">
      <c r="A9376" s="1">
        <v>1</v>
      </c>
      <c r="B9376" s="1" t="s">
        <v>29</v>
      </c>
      <c r="C9376" s="1" t="str">
        <f ca="1">IFERROR(__xludf.DUMMYFUNCTION("GOOGLETRANSLATE(B9525,""en"",""ja"")"),"彼らの")</f>
        <v>彼らの</v>
      </c>
    </row>
    <row r="9377" spans="1:3" ht="18" customHeight="1" x14ac:dyDescent="0.3">
      <c r="A9377" s="1">
        <v>1</v>
      </c>
      <c r="B9377" s="1" t="s">
        <v>7436</v>
      </c>
      <c r="C9377" s="1" t="str">
        <f ca="1">IFERROR(__xludf.DUMMYFUNCTION("GOOGLETRANSLATE(B9526,""en"",""ja"")"),"こと")</f>
        <v>こと</v>
      </c>
    </row>
    <row r="9378" spans="1:3" ht="18" customHeight="1" x14ac:dyDescent="0.3">
      <c r="A9378" s="1">
        <v>1</v>
      </c>
      <c r="B9378" s="1" t="s">
        <v>6</v>
      </c>
      <c r="C9378" s="1" t="str">
        <f ca="1">IFERROR(__xludf.DUMMYFUNCTION("GOOGLETRANSLATE(B9527,""en"",""ja"")"),"それ")</f>
        <v>それ</v>
      </c>
    </row>
    <row r="9379" spans="1:3" ht="18" customHeight="1" x14ac:dyDescent="0.3">
      <c r="A9379" s="1">
        <v>1</v>
      </c>
      <c r="B9379" s="1" t="s">
        <v>6684</v>
      </c>
      <c r="C9379" s="1" t="str">
        <f ca="1">IFERROR(__xludf.DUMMYFUNCTION("GOOGLETRANSLATE(B9528,""en"",""ja"")"),"地上の")</f>
        <v>地上の</v>
      </c>
    </row>
    <row r="9380" spans="1:3" ht="18" customHeight="1" x14ac:dyDescent="0.3">
      <c r="A9380" s="1">
        <v>1</v>
      </c>
      <c r="B9380" s="1" t="s">
        <v>5342</v>
      </c>
      <c r="C9380" s="1" t="str">
        <f ca="1">IFERROR(__xludf.DUMMYFUNCTION("GOOGLETRANSLATE(B9529,""en"",""ja"")"),"テンション")</f>
        <v>テンション</v>
      </c>
    </row>
    <row r="9381" spans="1:3" ht="18" customHeight="1" x14ac:dyDescent="0.3">
      <c r="A9381" s="1">
        <v>1</v>
      </c>
      <c r="B9381" s="1" t="s">
        <v>475</v>
      </c>
      <c r="C9381" s="1" t="str">
        <f ca="1">IFERROR(__xludf.DUMMYFUNCTION("GOOGLETRANSLATE(B9530,""en"",""ja"")"),"傾向があります")</f>
        <v>傾向があります</v>
      </c>
    </row>
    <row r="9382" spans="1:3" ht="18" customHeight="1" x14ac:dyDescent="0.3">
      <c r="A9382" s="1">
        <v>1</v>
      </c>
      <c r="B9382" s="1" t="s">
        <v>7437</v>
      </c>
      <c r="C9382" s="1" t="str">
        <f ca="1">IFERROR(__xludf.DUMMYFUNCTION("GOOGLETRANSLATE(B9531,""en"",""ja"")"),"誘惑")</f>
        <v>誘惑</v>
      </c>
    </row>
    <row r="9383" spans="1:3" ht="18" customHeight="1" x14ac:dyDescent="0.3">
      <c r="A9383" s="1">
        <v>1</v>
      </c>
      <c r="B9383" s="1" t="s">
        <v>2278</v>
      </c>
      <c r="C9383" s="1" t="str">
        <f ca="1">IFERROR(__xludf.DUMMYFUNCTION("GOOGLETRANSLATE(B9532,""en"",""ja"")"),"時間的")</f>
        <v>時間的</v>
      </c>
    </row>
    <row r="9384" spans="1:3" ht="18" customHeight="1" x14ac:dyDescent="0.3">
      <c r="A9384" s="1">
        <v>1</v>
      </c>
      <c r="B9384" s="1" t="s">
        <v>4330</v>
      </c>
      <c r="C9384" s="1" t="str">
        <f ca="1">IFERROR(__xludf.DUMMYFUNCTION("GOOGLETRANSLATE(B9533,""en"",""ja"")"),"出納係")</f>
        <v>出納係</v>
      </c>
    </row>
    <row r="9385" spans="1:3" ht="18" customHeight="1" x14ac:dyDescent="0.3">
      <c r="A9385" s="1">
        <v>1</v>
      </c>
      <c r="B9385" s="1" t="s">
        <v>5345</v>
      </c>
      <c r="C9385" s="1" t="str">
        <f ca="1">IFERROR(__xludf.DUMMYFUNCTION("GOOGLETRANSLATE(B9534,""en"",""ja"")"),"望遠鏡")</f>
        <v>望遠鏡</v>
      </c>
    </row>
    <row r="9386" spans="1:3" ht="18" customHeight="1" x14ac:dyDescent="0.3">
      <c r="A9386" s="1">
        <v>1</v>
      </c>
      <c r="B9386" s="1" t="s">
        <v>7438</v>
      </c>
      <c r="C9386" s="1" t="str">
        <f ca="1">IFERROR(__xludf.DUMMYFUNCTION("GOOGLETRANSLATE(B9535,""en"",""ja"")"),"チームワーク")</f>
        <v>チームワーク</v>
      </c>
    </row>
    <row r="9387" spans="1:3" ht="18" customHeight="1" x14ac:dyDescent="0.3">
      <c r="A9387" s="1">
        <v>1</v>
      </c>
      <c r="B9387" s="1" t="s">
        <v>1096</v>
      </c>
      <c r="C9387" s="1" t="str">
        <f ca="1">IFERROR(__xludf.DUMMYFUNCTION("GOOGLETRANSLATE(B9536,""en"",""ja"")"),"目標")</f>
        <v>目標</v>
      </c>
    </row>
    <row r="9388" spans="1:3" ht="18" customHeight="1" x14ac:dyDescent="0.3">
      <c r="A9388" s="1">
        <v>1</v>
      </c>
      <c r="B9388" s="1" t="s">
        <v>5354</v>
      </c>
      <c r="C9388" s="1" t="str">
        <f ca="1">IFERROR(__xludf.DUMMYFUNCTION("GOOGLETRANSLATE(B9537,""en"",""ja"")"),"有形")</f>
        <v>有形</v>
      </c>
    </row>
    <row r="9389" spans="1:3" ht="18" customHeight="1" x14ac:dyDescent="0.3">
      <c r="A9389" s="1">
        <v>1</v>
      </c>
      <c r="B9389" s="1" t="s">
        <v>7439</v>
      </c>
      <c r="C9389" s="1" t="str">
        <f ca="1">IFERROR(__xludf.DUMMYFUNCTION("GOOGLETRANSLATE(B9538,""en"",""ja"")"),"飼いならさ")</f>
        <v>飼いならさ</v>
      </c>
    </row>
    <row r="9390" spans="1:3" ht="18" customHeight="1" x14ac:dyDescent="0.3">
      <c r="A9390" s="1">
        <v>1</v>
      </c>
      <c r="B9390" s="1" t="s">
        <v>7440</v>
      </c>
      <c r="C9390" s="1" t="str">
        <f ca="1">IFERROR(__xludf.DUMMYFUNCTION("GOOGLETRANSLATE(B9539,""en"",""ja"")"),"背が高いです")</f>
        <v>背が高いです</v>
      </c>
    </row>
    <row r="9391" spans="1:3" ht="18" customHeight="1" x14ac:dyDescent="0.3">
      <c r="A9391" s="1">
        <v>1</v>
      </c>
      <c r="B9391" s="1" t="s">
        <v>7441</v>
      </c>
      <c r="C9391" s="1" t="str">
        <f ca="1">IFERROR(__xludf.DUMMYFUNCTION("GOOGLETRANSLATE(B9540,""en"",""ja"")"),"才能")</f>
        <v>才能</v>
      </c>
    </row>
    <row r="9392" spans="1:3" ht="18" customHeight="1" x14ac:dyDescent="0.3">
      <c r="A9392" s="1">
        <v>1</v>
      </c>
      <c r="B9392" s="1" t="s">
        <v>7442</v>
      </c>
      <c r="C9392" s="1" t="str">
        <f ca="1">IFERROR(__xludf.DUMMYFUNCTION("GOOGLETRANSLATE(B9541,""en"",""ja"")"),"汚点")</f>
        <v>汚点</v>
      </c>
    </row>
    <row r="9393" spans="1:3" ht="18" customHeight="1" x14ac:dyDescent="0.3">
      <c r="A9393" s="1">
        <v>1</v>
      </c>
      <c r="B9393" s="1" t="s">
        <v>7443</v>
      </c>
      <c r="C9393" s="1" t="str">
        <f ca="1">IFERROR(__xludf.DUMMYFUNCTION("GOOGLETRANSLATE(B9542,""en"",""ja"")"),"タック")</f>
        <v>タック</v>
      </c>
    </row>
    <row r="9394" spans="1:3" ht="18" customHeight="1" x14ac:dyDescent="0.3">
      <c r="A9394" s="1">
        <v>1</v>
      </c>
      <c r="B9394" s="1" t="s">
        <v>6692</v>
      </c>
      <c r="C9394" s="1" t="str">
        <f ca="1">IFERROR(__xludf.DUMMYFUNCTION("GOOGLETRANSLATE(B9543,""en"",""ja"")"),"代名詞")</f>
        <v>代名詞</v>
      </c>
    </row>
    <row r="9395" spans="1:3" ht="18" customHeight="1" x14ac:dyDescent="0.3">
      <c r="A9395" s="1">
        <v>1</v>
      </c>
      <c r="B9395" s="1" t="s">
        <v>7444</v>
      </c>
      <c r="C9395" s="1" t="str">
        <f ca="1">IFERROR(__xludf.DUMMYFUNCTION("GOOGLETRANSLATE(B9544,""en"",""ja"")"),"同情")</f>
        <v>同情</v>
      </c>
    </row>
    <row r="9396" spans="1:3" ht="18" customHeight="1" x14ac:dyDescent="0.3">
      <c r="A9396" s="1">
        <v>1</v>
      </c>
      <c r="B9396" s="1" t="s">
        <v>7445</v>
      </c>
      <c r="C9396" s="1" t="str">
        <f ca="1">IFERROR(__xludf.DUMMYFUNCTION("GOOGLETRANSLATE(B9545,""en"",""ja"")"),"同情的な")</f>
        <v>同情的な</v>
      </c>
    </row>
    <row r="9397" spans="1:3" ht="18" customHeight="1" x14ac:dyDescent="0.3">
      <c r="A9397" s="1">
        <v>1</v>
      </c>
      <c r="B9397" s="1" t="s">
        <v>7446</v>
      </c>
      <c r="C9397" s="1" t="str">
        <f ca="1">IFERROR(__xludf.DUMMYFUNCTION("GOOGLETRANSLATE(B9546,""en"",""ja"")"),"スイング")</f>
        <v>スイング</v>
      </c>
    </row>
    <row r="9398" spans="1:3" ht="18" customHeight="1" x14ac:dyDescent="0.3">
      <c r="A9398" s="1">
        <v>1</v>
      </c>
      <c r="B9398" s="1" t="s">
        <v>4341</v>
      </c>
      <c r="C9398" s="1" t="str">
        <f ca="1">IFERROR(__xludf.DUMMYFUNCTION("GOOGLETRANSLATE(B9547,""en"",""ja"")"),"迅速")</f>
        <v>迅速</v>
      </c>
    </row>
    <row r="9399" spans="1:3" ht="18" customHeight="1" x14ac:dyDescent="0.3">
      <c r="A9399" s="1">
        <v>1</v>
      </c>
      <c r="B9399" s="1" t="s">
        <v>5360</v>
      </c>
      <c r="C9399" s="1" t="str">
        <f ca="1">IFERROR(__xludf.DUMMYFUNCTION("GOOGLETRANSLATE(B9548,""en"",""ja"")"),"甘い")</f>
        <v>甘い</v>
      </c>
    </row>
    <row r="9400" spans="1:3" ht="18" customHeight="1" x14ac:dyDescent="0.3">
      <c r="A9400" s="1">
        <v>1</v>
      </c>
      <c r="B9400" s="1" t="s">
        <v>4342</v>
      </c>
      <c r="C9400" s="1" t="str">
        <f ca="1">IFERROR(__xludf.DUMMYFUNCTION("GOOGLETRANSLATE(B9549,""en"",""ja"")"),"掃く")</f>
        <v>掃く</v>
      </c>
    </row>
    <row r="9401" spans="1:3" ht="18" customHeight="1" x14ac:dyDescent="0.3">
      <c r="A9401" s="1">
        <v>1</v>
      </c>
      <c r="B9401" s="1" t="s">
        <v>7447</v>
      </c>
      <c r="C9401" s="1" t="str">
        <f ca="1">IFERROR(__xludf.DUMMYFUNCTION("GOOGLETRANSLATE(B9550,""en"",""ja"")"),"SVC")</f>
        <v>SVC</v>
      </c>
    </row>
    <row r="9402" spans="1:3" ht="18" customHeight="1" x14ac:dyDescent="0.3">
      <c r="A9402" s="1">
        <v>1</v>
      </c>
      <c r="B9402" s="1" t="s">
        <v>2038</v>
      </c>
      <c r="C9402" s="1" t="str">
        <f ca="1">IFERROR(__xludf.DUMMYFUNCTION("GOOGLETRANSLATE(B9551,""en"",""ja"")"),"SV")</f>
        <v>SV</v>
      </c>
    </row>
    <row r="9403" spans="1:3" ht="18" customHeight="1" x14ac:dyDescent="0.3">
      <c r="A9403" s="1">
        <v>1</v>
      </c>
      <c r="B9403" s="1" t="s">
        <v>5362</v>
      </c>
      <c r="C9403" s="1" t="str">
        <f ca="1">IFERROR(__xludf.DUMMYFUNCTION("GOOGLETRANSLATE(B9552,""en"",""ja"")"),"疑い")</f>
        <v>疑い</v>
      </c>
    </row>
    <row r="9404" spans="1:3" ht="18" customHeight="1" x14ac:dyDescent="0.3">
      <c r="A9404" s="1">
        <v>1</v>
      </c>
      <c r="B9404" s="1" t="s">
        <v>1042</v>
      </c>
      <c r="C9404" s="1" t="str">
        <f ca="1">IFERROR(__xludf.DUMMYFUNCTION("GOOGLETRANSLATE(B9553,""en"",""ja"")"),"生存")</f>
        <v>生存</v>
      </c>
    </row>
    <row r="9405" spans="1:3" ht="18" customHeight="1" x14ac:dyDescent="0.3">
      <c r="A9405" s="1">
        <v>1</v>
      </c>
      <c r="B9405" s="1" t="s">
        <v>4351</v>
      </c>
      <c r="C9405" s="1" t="str">
        <f ca="1">IFERROR(__xludf.DUMMYFUNCTION("GOOGLETRANSLATE(B9554,""en"",""ja"")"),"確かに")</f>
        <v>確かに</v>
      </c>
    </row>
    <row r="9406" spans="1:3" ht="18" customHeight="1" x14ac:dyDescent="0.3">
      <c r="A9406" s="1">
        <v>1</v>
      </c>
      <c r="B9406" s="1" t="s">
        <v>7448</v>
      </c>
      <c r="C9406" s="1" t="str">
        <f ca="1">IFERROR(__xludf.DUMMYFUNCTION("GOOGLETRANSLATE(B9555,""en"",""ja"")"),"支援")</f>
        <v>支援</v>
      </c>
    </row>
    <row r="9407" spans="1:3" ht="18" customHeight="1" x14ac:dyDescent="0.3">
      <c r="A9407" s="1">
        <v>1</v>
      </c>
      <c r="B9407" s="1" t="s">
        <v>6696</v>
      </c>
      <c r="C9407" s="1" t="str">
        <f ca="1">IFERROR(__xludf.DUMMYFUNCTION("GOOGLETRANSLATE(B9556,""en"",""ja"")"),"支援者")</f>
        <v>支援者</v>
      </c>
    </row>
    <row r="9408" spans="1:3" ht="18" customHeight="1" x14ac:dyDescent="0.3">
      <c r="A9408" s="1">
        <v>1</v>
      </c>
      <c r="B9408" s="1" t="s">
        <v>7449</v>
      </c>
      <c r="C9408" s="1" t="str">
        <f ca="1">IFERROR(__xludf.DUMMYFUNCTION("GOOGLETRANSLATE(B9557,""en"",""ja"")"),"召喚")</f>
        <v>召喚</v>
      </c>
    </row>
    <row r="9409" spans="1:3" ht="18" customHeight="1" x14ac:dyDescent="0.3">
      <c r="A9409" s="1">
        <v>1</v>
      </c>
      <c r="B9409" s="1" t="s">
        <v>6699</v>
      </c>
      <c r="C9409" s="1" t="str">
        <f ca="1">IFERROR(__xludf.DUMMYFUNCTION("GOOGLETRANSLATE(B9558,""en"",""ja"")"),"仮庵の祭り")</f>
        <v>仮庵の祭り</v>
      </c>
    </row>
    <row r="9410" spans="1:3" ht="18" customHeight="1" x14ac:dyDescent="0.3">
      <c r="A9410" s="1">
        <v>1</v>
      </c>
      <c r="B9410" s="1" t="s">
        <v>7450</v>
      </c>
      <c r="C9410" s="1" t="str">
        <f ca="1">IFERROR(__xludf.DUMMYFUNCTION("GOOGLETRANSLATE(B9559,""en"",""ja"")"),"スーツ")</f>
        <v>スーツ</v>
      </c>
    </row>
    <row r="9411" spans="1:3" ht="18" customHeight="1" x14ac:dyDescent="0.3">
      <c r="A9411" s="1">
        <v>1</v>
      </c>
      <c r="B9411" s="1" t="s">
        <v>507</v>
      </c>
      <c r="C9411" s="1" t="str">
        <f ca="1">IFERROR(__xludf.DUMMYFUNCTION("GOOGLETRANSLATE(B9560,""en"",""ja"")"),"提案します")</f>
        <v>提案します</v>
      </c>
    </row>
    <row r="9412" spans="1:3" ht="18" customHeight="1" x14ac:dyDescent="0.3">
      <c r="A9412" s="1">
        <v>1</v>
      </c>
      <c r="B9412" s="1" t="s">
        <v>7451</v>
      </c>
      <c r="C9412" s="1" t="str">
        <f ca="1">IFERROR(__xludf.DUMMYFUNCTION("GOOGLETRANSLATE(B9561,""en"",""ja"")"),"十分に")</f>
        <v>十分に</v>
      </c>
    </row>
    <row r="9413" spans="1:3" ht="18" customHeight="1" x14ac:dyDescent="0.3">
      <c r="A9413" s="1">
        <v>1</v>
      </c>
      <c r="B9413" s="1" t="s">
        <v>7452</v>
      </c>
      <c r="C9413" s="1" t="str">
        <f ca="1">IFERROR(__xludf.DUMMYFUNCTION("GOOGLETRANSLATE(B9562,""en"",""ja"")"),"被ります")</f>
        <v>被ります</v>
      </c>
    </row>
    <row r="9414" spans="1:3" ht="18" customHeight="1" x14ac:dyDescent="0.3">
      <c r="A9414" s="1">
        <v>1</v>
      </c>
      <c r="B9414" s="1" t="s">
        <v>7453</v>
      </c>
      <c r="C9414" s="1" t="str">
        <f ca="1">IFERROR(__xludf.DUMMYFUNCTION("GOOGLETRANSLATE(B9563,""en"",""ja"")"),"SUF")</f>
        <v>SUF</v>
      </c>
    </row>
    <row r="9415" spans="1:3" ht="18" customHeight="1" x14ac:dyDescent="0.3">
      <c r="A9415" s="1">
        <v>1</v>
      </c>
      <c r="B9415" s="1" t="s">
        <v>2282</v>
      </c>
      <c r="C9415" s="1" t="str">
        <f ca="1">IFERROR(__xludf.DUMMYFUNCTION("GOOGLETRANSLATE(B9564,""en"",""ja"")"),"スーダン")</f>
        <v>スーダン</v>
      </c>
    </row>
    <row r="9416" spans="1:3" ht="18" customHeight="1" x14ac:dyDescent="0.3">
      <c r="A9416" s="1">
        <v>1</v>
      </c>
      <c r="B9416" s="1" t="s">
        <v>7454</v>
      </c>
      <c r="C9416" s="1" t="str">
        <f ca="1">IFERROR(__xludf.DUMMYFUNCTION("GOOGLETRANSLATE(B9565,""en"",""ja"")"),"死亡します")</f>
        <v>死亡します</v>
      </c>
    </row>
    <row r="9417" spans="1:3" ht="18" customHeight="1" x14ac:dyDescent="0.3">
      <c r="A9417" s="1">
        <v>1</v>
      </c>
      <c r="B9417" s="1" t="s">
        <v>1413</v>
      </c>
      <c r="C9417" s="1" t="str">
        <f ca="1">IFERROR(__xludf.DUMMYFUNCTION("GOOGLETRANSLATE(B9566,""en"",""ja"")"),"成功しました")</f>
        <v>成功しました</v>
      </c>
    </row>
    <row r="9418" spans="1:3" ht="18" customHeight="1" x14ac:dyDescent="0.3">
      <c r="A9418" s="1">
        <v>1</v>
      </c>
      <c r="B9418" s="1" t="s">
        <v>5378</v>
      </c>
      <c r="C9418" s="1" t="str">
        <f ca="1">IFERROR(__xludf.DUMMYFUNCTION("GOOGLETRANSLATE(B9567,""en"",""ja"")"),"地下")</f>
        <v>地下</v>
      </c>
    </row>
    <row r="9419" spans="1:3" ht="18" customHeight="1" x14ac:dyDescent="0.3">
      <c r="A9419" s="1">
        <v>1</v>
      </c>
      <c r="B9419" s="1" t="s">
        <v>6703</v>
      </c>
      <c r="C9419" s="1" t="str">
        <f ca="1">IFERROR(__xludf.DUMMYFUNCTION("GOOGLETRANSLATE(B9568,""en"",""ja"")"),"実質的に")</f>
        <v>実質的に</v>
      </c>
    </row>
    <row r="9420" spans="1:3" ht="18" customHeight="1" x14ac:dyDescent="0.3">
      <c r="A9420" s="1">
        <v>1</v>
      </c>
      <c r="B9420" s="1" t="s">
        <v>7455</v>
      </c>
      <c r="C9420" s="1" t="str">
        <f ca="1">IFERROR(__xludf.DUMMYFUNCTION("GOOGLETRANSLATE(B9569,""en"",""ja"")"),"物質")</f>
        <v>物質</v>
      </c>
    </row>
    <row r="9421" spans="1:3" ht="18" customHeight="1" x14ac:dyDescent="0.3">
      <c r="A9421" s="1">
        <v>1</v>
      </c>
      <c r="B9421" s="1" t="s">
        <v>7456</v>
      </c>
      <c r="C9421" s="1" t="str">
        <f ca="1">IFERROR(__xludf.DUMMYFUNCTION("GOOGLETRANSLATE(B9570,""en"",""ja"")"),"助成")</f>
        <v>助成</v>
      </c>
    </row>
    <row r="9422" spans="1:3" ht="18" customHeight="1" x14ac:dyDescent="0.3">
      <c r="A9422" s="1">
        <v>1</v>
      </c>
      <c r="B9422" s="1" t="s">
        <v>6704</v>
      </c>
      <c r="C9422" s="1" t="str">
        <f ca="1">IFERROR(__xludf.DUMMYFUNCTION("GOOGLETRANSLATE(B9571,""en"",""ja"")"),"後の")</f>
        <v>後の</v>
      </c>
    </row>
    <row r="9423" spans="1:3" ht="18" customHeight="1" x14ac:dyDescent="0.3">
      <c r="A9423" s="1">
        <v>1</v>
      </c>
      <c r="B9423" s="1" t="s">
        <v>7457</v>
      </c>
      <c r="C9423" s="1" t="str">
        <f ca="1">IFERROR(__xludf.DUMMYFUNCTION("GOOGLETRANSLATE(B9572,""en"",""ja"")"),"部下")</f>
        <v>部下</v>
      </c>
    </row>
    <row r="9424" spans="1:3" ht="18" customHeight="1" x14ac:dyDescent="0.3">
      <c r="A9424" s="1">
        <v>1</v>
      </c>
      <c r="B9424" s="1" t="s">
        <v>7458</v>
      </c>
      <c r="C9424" s="1" t="str">
        <f ca="1">IFERROR(__xludf.DUMMYFUNCTION("GOOGLETRANSLATE(B9573,""en"",""ja"")"),"提出")</f>
        <v>提出</v>
      </c>
    </row>
    <row r="9425" spans="1:3" ht="18" customHeight="1" x14ac:dyDescent="0.3">
      <c r="A9425" s="1">
        <v>1</v>
      </c>
      <c r="B9425" s="1" t="s">
        <v>4357</v>
      </c>
      <c r="C9425" s="1" t="str">
        <f ca="1">IFERROR(__xludf.DUMMYFUNCTION("GOOGLETRANSLATE(B9574,""en"",""ja"")"),"参加する")</f>
        <v>参加する</v>
      </c>
    </row>
    <row r="9426" spans="1:3" ht="18" customHeight="1" x14ac:dyDescent="0.3">
      <c r="A9426" s="1">
        <v>1</v>
      </c>
      <c r="B9426" s="1" t="s">
        <v>7459</v>
      </c>
      <c r="C9426" s="1" t="str">
        <f ca="1">IFERROR(__xludf.DUMMYFUNCTION("GOOGLETRANSLATE(B9575,""en"",""ja"")"),"無意識")</f>
        <v>無意識</v>
      </c>
    </row>
    <row r="9427" spans="1:3" ht="18" customHeight="1" x14ac:dyDescent="0.3">
      <c r="A9427" s="1">
        <v>1</v>
      </c>
      <c r="B9427" s="1" t="s">
        <v>6705</v>
      </c>
      <c r="C9427" s="1" t="str">
        <f ca="1">IFERROR(__xludf.DUMMYFUNCTION("GOOGLETRANSLATE(B9576,""en"",""ja"")"),"征服します")</f>
        <v>征服します</v>
      </c>
    </row>
    <row r="9428" spans="1:3" ht="18" customHeight="1" x14ac:dyDescent="0.3">
      <c r="A9428" s="1">
        <v>1</v>
      </c>
      <c r="B9428" s="1" t="s">
        <v>3224</v>
      </c>
      <c r="C9428" s="1" t="str">
        <f ca="1">IFERROR(__xludf.DUMMYFUNCTION("GOOGLETRANSLATE(B9577,""en"",""ja"")"),"潜在意識")</f>
        <v>潜在意識</v>
      </c>
    </row>
    <row r="9429" spans="1:3" ht="18" customHeight="1" x14ac:dyDescent="0.3">
      <c r="A9429" s="1">
        <v>1</v>
      </c>
      <c r="B9429" s="1" t="s">
        <v>4358</v>
      </c>
      <c r="C9429" s="1" t="str">
        <f ca="1">IFERROR(__xludf.DUMMYFUNCTION("GOOGLETRANSLATE(B9578,""en"",""ja"")"),"スタイル")</f>
        <v>スタイル</v>
      </c>
    </row>
    <row r="9430" spans="1:3" ht="18" customHeight="1" x14ac:dyDescent="0.3">
      <c r="A9430" s="1">
        <v>1</v>
      </c>
      <c r="B9430" s="1" t="s">
        <v>7460</v>
      </c>
      <c r="C9430" s="1" t="str">
        <f ca="1">IFERROR(__xludf.DUMMYFUNCTION("GOOGLETRANSLATE(B9579,""en"",""ja"")"),"気絶")</f>
        <v>気絶</v>
      </c>
    </row>
    <row r="9431" spans="1:3" ht="18" customHeight="1" x14ac:dyDescent="0.3">
      <c r="A9431" s="1">
        <v>1</v>
      </c>
      <c r="B9431" s="1" t="s">
        <v>7461</v>
      </c>
      <c r="C9431" s="1" t="str">
        <f ca="1">IFERROR(__xludf.DUMMYFUNCTION("GOOGLETRANSLATE(B9580,""en"",""ja"")"),"学生")</f>
        <v>学生</v>
      </c>
    </row>
    <row r="9432" spans="1:3" ht="18" customHeight="1" x14ac:dyDescent="0.3">
      <c r="A9432" s="1">
        <v>1</v>
      </c>
      <c r="B9432" s="1" t="s">
        <v>4359</v>
      </c>
      <c r="C9432" s="1" t="str">
        <f ca="1">IFERROR(__xludf.DUMMYFUNCTION("GOOGLETRANSLATE(B9581,""en"",""ja"")"),"努力")</f>
        <v>努力</v>
      </c>
    </row>
    <row r="9433" spans="1:3" ht="18" customHeight="1" x14ac:dyDescent="0.3">
      <c r="A9433" s="1">
        <v>1</v>
      </c>
      <c r="B9433" s="1" t="s">
        <v>5387</v>
      </c>
      <c r="C9433" s="1" t="str">
        <f ca="1">IFERROR(__xludf.DUMMYFUNCTION("GOOGLETRANSLATE(B9582,""en"",""ja"")"),"著しく")</f>
        <v>著しく</v>
      </c>
    </row>
    <row r="9434" spans="1:3" ht="18" customHeight="1" x14ac:dyDescent="0.3">
      <c r="A9434" s="1">
        <v>1</v>
      </c>
      <c r="B9434" s="1" t="s">
        <v>7462</v>
      </c>
      <c r="C9434" s="1" t="str">
        <f ca="1">IFERROR(__xludf.DUMMYFUNCTION("GOOGLETRANSLATE(B9583,""en"",""ja"")"),"ストレス")</f>
        <v>ストレス</v>
      </c>
    </row>
    <row r="9435" spans="1:3" ht="18" customHeight="1" x14ac:dyDescent="0.3">
      <c r="A9435" s="1">
        <v>1</v>
      </c>
      <c r="B9435" s="1" t="s">
        <v>7463</v>
      </c>
      <c r="C9435" s="1" t="str">
        <f ca="1">IFERROR(__xludf.DUMMYFUNCTION("GOOGLETRANSLATE(B9584,""en"",""ja"")"),"強み")</f>
        <v>強み</v>
      </c>
    </row>
    <row r="9436" spans="1:3" ht="18" customHeight="1" x14ac:dyDescent="0.3">
      <c r="A9436" s="1">
        <v>1</v>
      </c>
      <c r="B9436" s="1" t="s">
        <v>7464</v>
      </c>
      <c r="C9436" s="1" t="str">
        <f ca="1">IFERROR(__xludf.DUMMYFUNCTION("GOOGLETRANSLATE(B9585,""en"",""ja"")"),"ストリーム")</f>
        <v>ストリーム</v>
      </c>
    </row>
    <row r="9437" spans="1:3" ht="18" customHeight="1" x14ac:dyDescent="0.3">
      <c r="A9437" s="1">
        <v>1</v>
      </c>
      <c r="B9437" s="1" t="s">
        <v>6710</v>
      </c>
      <c r="C9437" s="1" t="str">
        <f ca="1">IFERROR(__xludf.DUMMYFUNCTION("GOOGLETRANSLATE(B9586,""en"",""ja"")"),"ストリーク")</f>
        <v>ストリーク</v>
      </c>
    </row>
    <row r="9438" spans="1:3" ht="18" customHeight="1" x14ac:dyDescent="0.3">
      <c r="A9438" s="1">
        <v>1</v>
      </c>
      <c r="B9438" s="1" t="s">
        <v>7465</v>
      </c>
      <c r="C9438" s="1" t="str">
        <f ca="1">IFERROR(__xludf.DUMMYFUNCTION("GOOGLETRANSLATE(B9587,""en"",""ja"")"),"嵐")</f>
        <v>嵐</v>
      </c>
    </row>
    <row r="9439" spans="1:3" ht="18" customHeight="1" x14ac:dyDescent="0.3">
      <c r="A9439" s="1">
        <v>1</v>
      </c>
      <c r="B9439" s="1" t="s">
        <v>7466</v>
      </c>
      <c r="C9439" s="1" t="str">
        <f ca="1">IFERROR(__xludf.DUMMYFUNCTION("GOOGLETRANSLATE(B9588,""en"",""ja"")"),"保存")</f>
        <v>保存</v>
      </c>
    </row>
    <row r="9440" spans="1:3" ht="18" customHeight="1" x14ac:dyDescent="0.3">
      <c r="A9440" s="1">
        <v>1</v>
      </c>
      <c r="B9440" s="1" t="s">
        <v>5393</v>
      </c>
      <c r="C9440" s="1" t="str">
        <f ca="1">IFERROR(__xludf.DUMMYFUNCTION("GOOGLETRANSLATE(B9589,""en"",""ja"")"),"約款")</f>
        <v>約款</v>
      </c>
    </row>
    <row r="9441" spans="1:3" ht="18" customHeight="1" x14ac:dyDescent="0.3">
      <c r="A9441" s="1">
        <v>1</v>
      </c>
      <c r="B9441" s="1" t="s">
        <v>4364</v>
      </c>
      <c r="C9441" s="1" t="str">
        <f ca="1">IFERROR(__xludf.DUMMYFUNCTION("GOOGLETRANSLATE(B9590,""en"",""ja"")"),"刺激")</f>
        <v>刺激</v>
      </c>
    </row>
    <row r="9442" spans="1:3" ht="18" customHeight="1" x14ac:dyDescent="0.3">
      <c r="A9442" s="1">
        <v>1</v>
      </c>
      <c r="B9442" s="1" t="s">
        <v>5395</v>
      </c>
      <c r="C9442" s="1" t="str">
        <f ca="1">IFERROR(__xludf.DUMMYFUNCTION("GOOGLETRANSLATE(B9591,""en"",""ja"")"),"スチュワードシップ")</f>
        <v>スチュワードシップ</v>
      </c>
    </row>
    <row r="9443" spans="1:3" ht="18" customHeight="1" x14ac:dyDescent="0.3">
      <c r="A9443" s="1">
        <v>1</v>
      </c>
      <c r="B9443" s="1" t="s">
        <v>7467</v>
      </c>
      <c r="C9443" s="1" t="str">
        <f ca="1">IFERROR(__xludf.DUMMYFUNCTION("GOOGLETRANSLATE(B9592,""en"",""ja"")"),"固定観念")</f>
        <v>固定観念</v>
      </c>
    </row>
    <row r="9444" spans="1:3" ht="18" customHeight="1" x14ac:dyDescent="0.3">
      <c r="A9444" s="1">
        <v>1</v>
      </c>
      <c r="B9444" s="1" t="s">
        <v>4365</v>
      </c>
      <c r="C9444" s="1" t="str">
        <f ca="1">IFERROR(__xludf.DUMMYFUNCTION("GOOGLETRANSLATE(B9593,""en"",""ja"")"),"どんどん")</f>
        <v>どんどん</v>
      </c>
    </row>
    <row r="9445" spans="1:3" ht="18" customHeight="1" x14ac:dyDescent="0.3">
      <c r="A9445" s="1">
        <v>1</v>
      </c>
      <c r="B9445" s="1" t="s">
        <v>7468</v>
      </c>
      <c r="C9445" s="1" t="str">
        <f ca="1">IFERROR(__xludf.DUMMYFUNCTION("GOOGLETRANSLATE(B9594,""en"",""ja"")"),"滞在")</f>
        <v>滞在</v>
      </c>
    </row>
    <row r="9446" spans="1:3" ht="18" customHeight="1" x14ac:dyDescent="0.3">
      <c r="A9446" s="1">
        <v>1</v>
      </c>
      <c r="B9446" s="1" t="s">
        <v>7469</v>
      </c>
      <c r="C9446" s="1" t="str">
        <f ca="1">IFERROR(__xludf.DUMMYFUNCTION("GOOGLETRANSLATE(B9595,""en"",""ja"")"),"統計的に")</f>
        <v>統計的に</v>
      </c>
    </row>
    <row r="9447" spans="1:3" ht="18" customHeight="1" x14ac:dyDescent="0.3">
      <c r="A9447" s="1">
        <v>1</v>
      </c>
      <c r="B9447" s="1" t="s">
        <v>7470</v>
      </c>
      <c r="C9447" s="1" t="str">
        <f ca="1">IFERROR(__xludf.DUMMYFUNCTION("GOOGLETRANSLATE(B9596,""en"",""ja"")"),"飢えます")</f>
        <v>飢えます</v>
      </c>
    </row>
    <row r="9448" spans="1:3" ht="18" customHeight="1" x14ac:dyDescent="0.3">
      <c r="A9448" s="1">
        <v>1</v>
      </c>
      <c r="B9448" s="1" t="s">
        <v>3234</v>
      </c>
      <c r="C9448" s="1" t="str">
        <f ca="1">IFERROR(__xludf.DUMMYFUNCTION("GOOGLETRANSLATE(B9597,""en"",""ja"")"),"飢え")</f>
        <v>飢え</v>
      </c>
    </row>
    <row r="9449" spans="1:3" ht="18" customHeight="1" x14ac:dyDescent="0.3">
      <c r="A9449" s="1">
        <v>1</v>
      </c>
      <c r="B9449" s="1" t="s">
        <v>7471</v>
      </c>
      <c r="C9449" s="1" t="str">
        <f ca="1">IFERROR(__xludf.DUMMYFUNCTION("GOOGLETRANSLATE(B9598,""en"",""ja"")"),"標準化")</f>
        <v>標準化</v>
      </c>
    </row>
    <row r="9450" spans="1:3" ht="18" customHeight="1" x14ac:dyDescent="0.3">
      <c r="A9450" s="1">
        <v>1</v>
      </c>
      <c r="B9450" s="1" t="s">
        <v>931</v>
      </c>
      <c r="C9450" s="1" t="str">
        <f ca="1">IFERROR(__xludf.DUMMYFUNCTION("GOOGLETRANSLATE(B9599,""en"",""ja"")"),"標準")</f>
        <v>標準</v>
      </c>
    </row>
    <row r="9451" spans="1:3" ht="18" customHeight="1" x14ac:dyDescent="0.3">
      <c r="A9451" s="1">
        <v>1</v>
      </c>
      <c r="B9451" s="1" t="s">
        <v>7472</v>
      </c>
      <c r="C9451" s="1" t="str">
        <f ca="1">IFERROR(__xludf.DUMMYFUNCTION("GOOGLETRANSLATE(B9600,""en"",""ja"")"),"停滞")</f>
        <v>停滞</v>
      </c>
    </row>
    <row r="9452" spans="1:3" ht="18" customHeight="1" x14ac:dyDescent="0.3">
      <c r="A9452" s="1">
        <v>1</v>
      </c>
      <c r="B9452" s="1" t="s">
        <v>4370</v>
      </c>
      <c r="C9452" s="1" t="str">
        <f ca="1">IFERROR(__xludf.DUMMYFUNCTION("GOOGLETRANSLATE(B9601,""en"",""ja"")"),"安定させます")</f>
        <v>安定させます</v>
      </c>
    </row>
    <row r="9453" spans="1:3" ht="18" customHeight="1" x14ac:dyDescent="0.3">
      <c r="A9453" s="1">
        <v>1</v>
      </c>
      <c r="B9453" s="1" t="s">
        <v>4371</v>
      </c>
      <c r="C9453" s="1" t="str">
        <f ca="1">IFERROR(__xludf.DUMMYFUNCTION("GOOGLETRANSLATE(B9602,""en"",""ja"")"),"つまらないけんか")</f>
        <v>つまらないけんか</v>
      </c>
    </row>
    <row r="9454" spans="1:3" ht="18" customHeight="1" x14ac:dyDescent="0.3">
      <c r="A9454" s="1">
        <v>1</v>
      </c>
      <c r="B9454" s="1" t="s">
        <v>4372</v>
      </c>
      <c r="C9454" s="1" t="str">
        <f ca="1">IFERROR(__xludf.DUMMYFUNCTION("GOOGLETRANSLATE(B9603,""en"",""ja"")"),"スパイ")</f>
        <v>スパイ</v>
      </c>
    </row>
    <row r="9455" spans="1:3" ht="18" customHeight="1" x14ac:dyDescent="0.3">
      <c r="A9455" s="1">
        <v>1</v>
      </c>
      <c r="B9455" s="1" t="s">
        <v>7473</v>
      </c>
      <c r="C9455" s="1" t="str">
        <f ca="1">IFERROR(__xludf.DUMMYFUNCTION("GOOGLETRANSLATE(B9604,""en"",""ja"")"),"拍車")</f>
        <v>拍車</v>
      </c>
    </row>
    <row r="9456" spans="1:3" ht="18" customHeight="1" x14ac:dyDescent="0.3">
      <c r="A9456" s="1">
        <v>1</v>
      </c>
      <c r="B9456" s="1" t="s">
        <v>7474</v>
      </c>
      <c r="C9456" s="1" t="str">
        <f ca="1">IFERROR(__xludf.DUMMYFUNCTION("GOOGLETRANSLATE(B9605,""en"",""ja"")"),"スポッティング")</f>
        <v>スポッティング</v>
      </c>
    </row>
    <row r="9457" spans="1:3" ht="18" customHeight="1" x14ac:dyDescent="0.3">
      <c r="A9457" s="1">
        <v>1</v>
      </c>
      <c r="B9457" s="1" t="s">
        <v>6725</v>
      </c>
      <c r="C9457" s="1" t="str">
        <f ca="1">IFERROR(__xludf.DUMMYFUNCTION("GOOGLETRANSLATE(B9606,""en"",""ja"")"),"スポット")</f>
        <v>スポット</v>
      </c>
    </row>
    <row r="9458" spans="1:3" ht="18" customHeight="1" x14ac:dyDescent="0.3">
      <c r="A9458" s="1">
        <v>1</v>
      </c>
      <c r="B9458" s="1" t="s">
        <v>6727</v>
      </c>
      <c r="C9458" s="1" t="str">
        <f ca="1">IFERROR(__xludf.DUMMYFUNCTION("GOOGLETRANSLATE(B9607,""en"",""ja"")"),"自発")</f>
        <v>自発</v>
      </c>
    </row>
    <row r="9459" spans="1:3" ht="18" customHeight="1" x14ac:dyDescent="0.3">
      <c r="A9459" s="1">
        <v>1</v>
      </c>
      <c r="B9459" s="1" t="s">
        <v>5404</v>
      </c>
      <c r="C9459" s="1" t="str">
        <f ca="1">IFERROR(__xludf.DUMMYFUNCTION("GOOGLETRANSLATE(B9608,""en"",""ja"")"),"スプリット")</f>
        <v>スプリット</v>
      </c>
    </row>
    <row r="9460" spans="1:3" ht="18" customHeight="1" x14ac:dyDescent="0.3">
      <c r="A9460" s="1">
        <v>1</v>
      </c>
      <c r="B9460" s="1" t="s">
        <v>2048</v>
      </c>
      <c r="C9460" s="1" t="str">
        <f ca="1">IFERROR(__xludf.DUMMYFUNCTION("GOOGLETRANSLATE(B9609,""en"",""ja"")"),"スピリチュアル")</f>
        <v>スピリチュアル</v>
      </c>
    </row>
    <row r="9461" spans="1:3" ht="18" customHeight="1" x14ac:dyDescent="0.3">
      <c r="A9461" s="1">
        <v>1</v>
      </c>
      <c r="B9461" s="1" t="s">
        <v>7475</v>
      </c>
      <c r="C9461" s="1" t="str">
        <f ca="1">IFERROR(__xludf.DUMMYFUNCTION("GOOGLETRANSLATE(B9610,""en"",""ja"")"),"精神")</f>
        <v>精神</v>
      </c>
    </row>
    <row r="9462" spans="1:3" ht="18" customHeight="1" x14ac:dyDescent="0.3">
      <c r="A9462" s="1">
        <v>1</v>
      </c>
      <c r="B9462" s="1" t="s">
        <v>2883</v>
      </c>
      <c r="C9462" s="1" t="str">
        <f ca="1">IFERROR(__xludf.DUMMYFUNCTION("GOOGLETRANSLATE(B9611,""en"",""ja"")"),"特に")</f>
        <v>特に</v>
      </c>
    </row>
    <row r="9463" spans="1:3" ht="18" customHeight="1" x14ac:dyDescent="0.3">
      <c r="A9463" s="1">
        <v>1</v>
      </c>
      <c r="B9463" s="1" t="s">
        <v>7476</v>
      </c>
      <c r="C9463" s="1" t="str">
        <f ca="1">IFERROR(__xludf.DUMMYFUNCTION("GOOGLETRANSLATE(B9612,""en"",""ja"")"),"スピーカー")</f>
        <v>スピーカー</v>
      </c>
    </row>
    <row r="9464" spans="1:3" ht="18" customHeight="1" x14ac:dyDescent="0.3">
      <c r="A9464" s="1">
        <v>1</v>
      </c>
      <c r="B9464" s="1" t="s">
        <v>5409</v>
      </c>
      <c r="C9464" s="1" t="str">
        <f ca="1">IFERROR(__xludf.DUMMYFUNCTION("GOOGLETRANSLATE(B9613,""en"",""ja"")"),"空間的な")</f>
        <v>空間的な</v>
      </c>
    </row>
    <row r="9465" spans="1:3" ht="18" customHeight="1" x14ac:dyDescent="0.3">
      <c r="A9465" s="1">
        <v>1</v>
      </c>
      <c r="B9465" s="1" t="s">
        <v>1628</v>
      </c>
      <c r="C9465" s="1" t="str">
        <f ca="1">IFERROR(__xludf.DUMMYFUNCTION("GOOGLETRANSLATE(B9614,""en"",""ja"")"),"スペイン語")</f>
        <v>スペイン語</v>
      </c>
    </row>
    <row r="9466" spans="1:3" ht="18" customHeight="1" x14ac:dyDescent="0.3">
      <c r="A9466" s="1">
        <v>1</v>
      </c>
      <c r="B9466" s="1" t="s">
        <v>7477</v>
      </c>
      <c r="C9466" s="1" t="str">
        <f ca="1">IFERROR(__xludf.DUMMYFUNCTION("GOOGLETRANSLATE(B9615,""en"",""ja"")"),"スパン")</f>
        <v>スパン</v>
      </c>
    </row>
    <row r="9467" spans="1:3" ht="18" customHeight="1" x14ac:dyDescent="0.3">
      <c r="A9467" s="1">
        <v>1</v>
      </c>
      <c r="B9467" s="1" t="s">
        <v>7478</v>
      </c>
      <c r="C9467" s="1" t="str">
        <f ca="1">IFERROR(__xludf.DUMMYFUNCTION("GOOGLETRANSLATE(B9616,""en"",""ja"")"),"広々とした")</f>
        <v>広々とした</v>
      </c>
    </row>
    <row r="9468" spans="1:3" ht="18" customHeight="1" x14ac:dyDescent="0.3">
      <c r="A9468" s="1">
        <v>1</v>
      </c>
      <c r="B9468" s="1" t="s">
        <v>7479</v>
      </c>
      <c r="C9468" s="1" t="str">
        <f ca="1">IFERROR(__xludf.DUMMYFUNCTION("GOOGLETRANSLATE(B9618,""en"",""ja"")"),"宇宙船")</f>
        <v>宇宙船</v>
      </c>
    </row>
    <row r="9469" spans="1:3" ht="18" customHeight="1" x14ac:dyDescent="0.3">
      <c r="A9469" s="1">
        <v>1</v>
      </c>
      <c r="B9469" s="1" t="s">
        <v>7480</v>
      </c>
      <c r="C9469" s="1" t="str">
        <f ca="1">IFERROR(__xludf.DUMMYFUNCTION("GOOGLETRANSLATE(B9619,""en"",""ja"")"),"雌豚")</f>
        <v>雌豚</v>
      </c>
    </row>
    <row r="9470" spans="1:3" ht="18" customHeight="1" x14ac:dyDescent="0.3">
      <c r="A9470" s="1">
        <v>1</v>
      </c>
      <c r="B9470" s="1" t="s">
        <v>3242</v>
      </c>
      <c r="C9470" s="1" t="str">
        <f ca="1">IFERROR(__xludf.DUMMYFUNCTION("GOOGLETRANSLATE(B9620,""en"",""ja"")"),"悲しみ")</f>
        <v>悲しみ</v>
      </c>
    </row>
    <row r="9471" spans="1:3" ht="18" customHeight="1" x14ac:dyDescent="0.3">
      <c r="A9471" s="1">
        <v>1</v>
      </c>
      <c r="B9471" s="1" t="s">
        <v>7481</v>
      </c>
      <c r="C9471" s="1" t="str">
        <f ca="1">IFERROR(__xludf.DUMMYFUNCTION("GOOGLETRANSLATE(B9621,""en"",""ja"")"),"高度化")</f>
        <v>高度化</v>
      </c>
    </row>
    <row r="9472" spans="1:3" ht="18" customHeight="1" x14ac:dyDescent="0.3">
      <c r="A9472" s="1">
        <v>1</v>
      </c>
      <c r="B9472" s="1" t="s">
        <v>7482</v>
      </c>
      <c r="C9472" s="1" t="str">
        <f ca="1">IFERROR(__xludf.DUMMYFUNCTION("GOOGLETRANSLATE(B9622,""en"",""ja"")"),"何時か")</f>
        <v>何時か</v>
      </c>
    </row>
    <row r="9473" spans="1:3" ht="18" customHeight="1" x14ac:dyDescent="0.3">
      <c r="A9473" s="1">
        <v>1</v>
      </c>
      <c r="B9473" s="1" t="s">
        <v>4382</v>
      </c>
      <c r="C9473" s="1" t="str">
        <f ca="1">IFERROR(__xludf.DUMMYFUNCTION("GOOGLETRANSLATE(B9623,""en"",""ja"")"),"孤独")</f>
        <v>孤独</v>
      </c>
    </row>
    <row r="9474" spans="1:3" ht="18" customHeight="1" x14ac:dyDescent="0.3">
      <c r="A9474" s="1">
        <v>1</v>
      </c>
      <c r="B9474" s="1" t="s">
        <v>3244</v>
      </c>
      <c r="C9474" s="1" t="str">
        <f ca="1">IFERROR(__xludf.DUMMYFUNCTION("GOOGLETRANSLATE(B9624,""en"",""ja"")"),"単に")</f>
        <v>単に</v>
      </c>
    </row>
    <row r="9475" spans="1:3" ht="18" customHeight="1" x14ac:dyDescent="0.3">
      <c r="A9475" s="1">
        <v>1</v>
      </c>
      <c r="B9475" s="1" t="s">
        <v>2887</v>
      </c>
      <c r="C9475" s="1" t="str">
        <f ca="1">IFERROR(__xludf.DUMMYFUNCTION("GOOGLETRANSLATE(B9625,""en"",""ja"")"),"社会")</f>
        <v>社会</v>
      </c>
    </row>
    <row r="9476" spans="1:3" ht="18" customHeight="1" x14ac:dyDescent="0.3">
      <c r="A9476" s="1">
        <v>1</v>
      </c>
      <c r="B9476" s="1" t="s">
        <v>7483</v>
      </c>
      <c r="C9476" s="1" t="str">
        <f ca="1">IFERROR(__xludf.DUMMYFUNCTION("GOOGLETRANSLATE(B9626,""en"",""ja"")"),"社交")</f>
        <v>社交</v>
      </c>
    </row>
    <row r="9477" spans="1:3" ht="18" customHeight="1" x14ac:dyDescent="0.3">
      <c r="A9477" s="1">
        <v>1</v>
      </c>
      <c r="B9477" s="1" t="s">
        <v>7484</v>
      </c>
      <c r="C9477" s="1" t="str">
        <f ca="1">IFERROR(__xludf.DUMMYFUNCTION("GOOGLETRANSLATE(B9627,""en"",""ja"")"),"なめらかに")</f>
        <v>なめらかに</v>
      </c>
    </row>
    <row r="9478" spans="1:3" ht="18" customHeight="1" x14ac:dyDescent="0.3">
      <c r="A9478" s="1">
        <v>1</v>
      </c>
      <c r="B9478" s="1" t="s">
        <v>4386</v>
      </c>
      <c r="C9478" s="1" t="str">
        <f ca="1">IFERROR(__xludf.DUMMYFUNCTION("GOOGLETRANSLATE(B9628,""en"",""ja"")"),"にこやか")</f>
        <v>にこやか</v>
      </c>
    </row>
    <row r="9479" spans="1:3" ht="18" customHeight="1" x14ac:dyDescent="0.3">
      <c r="A9479" s="1">
        <v>1</v>
      </c>
      <c r="B9479" s="1" t="s">
        <v>7485</v>
      </c>
      <c r="C9479" s="1" t="str">
        <f ca="1">IFERROR(__xludf.DUMMYFUNCTION("GOOGLETRANSLATE(B9629,""en"",""ja"")"),"スマートフォン")</f>
        <v>スマートフォン</v>
      </c>
    </row>
    <row r="9480" spans="1:3" ht="18" customHeight="1" x14ac:dyDescent="0.3">
      <c r="A9480" s="1">
        <v>1</v>
      </c>
      <c r="B9480" s="1" t="s">
        <v>7486</v>
      </c>
      <c r="C9480" s="1" t="str">
        <f ca="1">IFERROR(__xludf.DUMMYFUNCTION("GOOGLETRANSLATE(B9630,""en"",""ja"")"),"速度を落とす")</f>
        <v>速度を落とす</v>
      </c>
    </row>
    <row r="9481" spans="1:3" ht="18" customHeight="1" x14ac:dyDescent="0.3">
      <c r="A9481" s="1">
        <v>1</v>
      </c>
      <c r="B9481" s="1" t="s">
        <v>5424</v>
      </c>
      <c r="C9481" s="1" t="str">
        <f ca="1">IFERROR(__xludf.DUMMYFUNCTION("GOOGLETRANSLATE(B9631,""en"",""ja"")"),"だらし")</f>
        <v>だらし</v>
      </c>
    </row>
    <row r="9482" spans="1:3" ht="18" customHeight="1" x14ac:dyDescent="0.3">
      <c r="A9482" s="1">
        <v>1</v>
      </c>
      <c r="B9482" s="1" t="s">
        <v>5425</v>
      </c>
      <c r="C9482" s="1" t="str">
        <f ca="1">IFERROR(__xludf.DUMMYFUNCTION("GOOGLETRANSLATE(B9632,""en"",""ja"")"),"スリップ")</f>
        <v>スリップ</v>
      </c>
    </row>
    <row r="9483" spans="1:3" ht="18" customHeight="1" x14ac:dyDescent="0.3">
      <c r="A9483" s="1">
        <v>1</v>
      </c>
      <c r="B9483" s="1" t="s">
        <v>4391</v>
      </c>
      <c r="C9483" s="1" t="str">
        <f ca="1">IFERROR(__xludf.DUMMYFUNCTION("GOOGLETRANSLATE(B9633,""en"",""ja"")"),"滑り台")</f>
        <v>滑り台</v>
      </c>
    </row>
    <row r="9484" spans="1:3" ht="18" customHeight="1" x14ac:dyDescent="0.3">
      <c r="A9484" s="1">
        <v>1</v>
      </c>
      <c r="B9484" s="1" t="s">
        <v>7487</v>
      </c>
      <c r="C9484" s="1" t="str">
        <f ca="1">IFERROR(__xludf.DUMMYFUNCTION("GOOGLETRANSLATE(B9634,""en"",""ja"")"),"殺す")</f>
        <v>殺す</v>
      </c>
    </row>
    <row r="9485" spans="1:3" ht="18" customHeight="1" x14ac:dyDescent="0.3">
      <c r="A9485" s="1">
        <v>1</v>
      </c>
      <c r="B9485" s="1" t="s">
        <v>1894</v>
      </c>
      <c r="C9485" s="1" t="str">
        <f ca="1">IFERROR(__xludf.DUMMYFUNCTION("GOOGLETRANSLATE(B9635,""en"",""ja"")"),"空")</f>
        <v>空</v>
      </c>
    </row>
    <row r="9486" spans="1:3" ht="18" customHeight="1" x14ac:dyDescent="0.3">
      <c r="A9486" s="1">
        <v>1</v>
      </c>
      <c r="B9486" s="1" t="s">
        <v>7488</v>
      </c>
      <c r="C9486" s="1" t="str">
        <f ca="1">IFERROR(__xludf.DUMMYFUNCTION("GOOGLETRANSLATE(B9636,""en"",""ja"")"),"スカート")</f>
        <v>スカート</v>
      </c>
    </row>
    <row r="9487" spans="1:3" ht="18" customHeight="1" x14ac:dyDescent="0.3">
      <c r="A9487" s="1">
        <v>1</v>
      </c>
      <c r="B9487" s="1" t="s">
        <v>7489</v>
      </c>
      <c r="C9487" s="1" t="str">
        <f ca="1">IFERROR(__xludf.DUMMYFUNCTION("GOOGLETRANSLATE(B9637,""en"",""ja"")"),"シズル")</f>
        <v>シズル</v>
      </c>
    </row>
    <row r="9488" spans="1:3" ht="18" customHeight="1" x14ac:dyDescent="0.3">
      <c r="A9488" s="1">
        <v>1</v>
      </c>
      <c r="B9488" s="1" t="s">
        <v>3846</v>
      </c>
      <c r="C9488" s="1" t="str">
        <f ca="1">IFERROR(__xludf.DUMMYFUNCTION("GOOGLETRANSLATE(B9638,""en"",""ja"")"),"沈没")</f>
        <v>沈没</v>
      </c>
    </row>
    <row r="9489" spans="1:3" ht="18" customHeight="1" x14ac:dyDescent="0.3">
      <c r="A9489" s="1">
        <v>1</v>
      </c>
      <c r="B9489" s="1" t="s">
        <v>1748</v>
      </c>
      <c r="C9489" s="1" t="str">
        <f ca="1">IFERROR(__xludf.DUMMYFUNCTION("GOOGLETRANSLATE(B9639,""en"",""ja"")"),"サイレント")</f>
        <v>サイレント</v>
      </c>
    </row>
    <row r="9490" spans="1:3" ht="18" customHeight="1" x14ac:dyDescent="0.3">
      <c r="A9490" s="1">
        <v>1</v>
      </c>
      <c r="B9490" s="1" t="s">
        <v>7490</v>
      </c>
      <c r="C9490" s="1" t="str">
        <f ca="1">IFERROR(__xludf.DUMMYFUNCTION("GOOGLETRANSLATE(B9640,""en"",""ja"")"),"収縮")</f>
        <v>収縮</v>
      </c>
    </row>
    <row r="9491" spans="1:3" ht="18" customHeight="1" x14ac:dyDescent="0.3">
      <c r="A9491" s="1">
        <v>1</v>
      </c>
      <c r="B9491" s="1" t="s">
        <v>7491</v>
      </c>
      <c r="C9491" s="1" t="str">
        <f ca="1">IFERROR(__xludf.DUMMYFUNCTION("GOOGLETRANSLATE(B9641,""en"",""ja"")"),"シャベル")</f>
        <v>シャベル</v>
      </c>
    </row>
    <row r="9492" spans="1:3" ht="18" customHeight="1" x14ac:dyDescent="0.3">
      <c r="A9492" s="1">
        <v>1</v>
      </c>
      <c r="B9492" s="1" t="s">
        <v>7492</v>
      </c>
      <c r="C9492" s="1" t="str">
        <f ca="1">IFERROR(__xludf.DUMMYFUNCTION("GOOGLETRANSLATE(B9642,""en"",""ja"")"),"突き出します")</f>
        <v>突き出します</v>
      </c>
    </row>
    <row r="9493" spans="1:3" ht="18" customHeight="1" x14ac:dyDescent="0.3">
      <c r="A9493" s="1">
        <v>1</v>
      </c>
      <c r="B9493" s="1" t="s">
        <v>7493</v>
      </c>
      <c r="C9493" s="1" t="str">
        <f ca="1">IFERROR(__xludf.DUMMYFUNCTION("GOOGLETRANSLATE(B9643,""en"",""ja"")"),"shortchange")</f>
        <v>shortchange</v>
      </c>
    </row>
    <row r="9494" spans="1:3" ht="18" customHeight="1" x14ac:dyDescent="0.3">
      <c r="A9494" s="1">
        <v>1</v>
      </c>
      <c r="B9494" s="1" t="s">
        <v>7494</v>
      </c>
      <c r="C9494" s="1" t="str">
        <f ca="1">IFERROR(__xludf.DUMMYFUNCTION("GOOGLETRANSLATE(B9644,""en"",""ja"")"),"店頭")</f>
        <v>店頭</v>
      </c>
    </row>
    <row r="9495" spans="1:3" ht="18" customHeight="1" x14ac:dyDescent="0.3">
      <c r="A9495" s="1">
        <v>1</v>
      </c>
      <c r="B9495" s="1" t="s">
        <v>3252</v>
      </c>
      <c r="C9495" s="1" t="str">
        <f ca="1">IFERROR(__xludf.DUMMYFUNCTION("GOOGLETRANSLATE(B9645,""en"",""ja"")"),"靴")</f>
        <v>靴</v>
      </c>
    </row>
    <row r="9496" spans="1:3" ht="18" customHeight="1" x14ac:dyDescent="0.3">
      <c r="A9496" s="1">
        <v>1</v>
      </c>
      <c r="B9496" s="1" t="s">
        <v>7495</v>
      </c>
      <c r="C9496" s="1" t="str">
        <f ca="1">IFERROR(__xludf.DUMMYFUNCTION("GOOGLETRANSLATE(B9646,""en"",""ja"")"),"輸送する")</f>
        <v>輸送する</v>
      </c>
    </row>
    <row r="9497" spans="1:3" ht="18" customHeight="1" x14ac:dyDescent="0.3">
      <c r="A9497" s="1">
        <v>1</v>
      </c>
      <c r="B9497" s="1" t="s">
        <v>7496</v>
      </c>
      <c r="C9497" s="1" t="str">
        <f ca="1">IFERROR(__xludf.DUMMYFUNCTION("GOOGLETRANSLATE(B9647,""en"",""ja"")"),"シフト")</f>
        <v>シフト</v>
      </c>
    </row>
    <row r="9498" spans="1:3" ht="18" customHeight="1" x14ac:dyDescent="0.3">
      <c r="A9498" s="1">
        <v>1</v>
      </c>
      <c r="B9498" s="1" t="s">
        <v>176</v>
      </c>
      <c r="C9498" s="1" t="str">
        <f ca="1">IFERROR(__xludf.DUMMYFUNCTION("GOOGLETRANSLATE(B9648,""en"",""ja"")"),"彼女")</f>
        <v>彼女</v>
      </c>
    </row>
    <row r="9499" spans="1:3" ht="18" customHeight="1" x14ac:dyDescent="0.3">
      <c r="A9499" s="1">
        <v>1</v>
      </c>
      <c r="B9499" s="1" t="s">
        <v>7497</v>
      </c>
      <c r="C9499" s="1" t="str">
        <f ca="1">IFERROR(__xludf.DUMMYFUNCTION("GOOGLETRANSLATE(B9649,""en"",""ja"")"),"シェイプ")</f>
        <v>シェイプ</v>
      </c>
    </row>
    <row r="9500" spans="1:3" ht="18" customHeight="1" x14ac:dyDescent="0.3">
      <c r="A9500" s="1">
        <v>1</v>
      </c>
      <c r="B9500" s="1" t="s">
        <v>5450</v>
      </c>
      <c r="C9500" s="1" t="str">
        <f ca="1">IFERROR(__xludf.DUMMYFUNCTION("GOOGLETRANSLATE(B9650,""en"",""ja"")"),"ぼんやりしました")</f>
        <v>ぼんやりしました</v>
      </c>
    </row>
    <row r="9501" spans="1:3" ht="18" customHeight="1" x14ac:dyDescent="0.3">
      <c r="A9501" s="1">
        <v>1</v>
      </c>
      <c r="B9501" s="1" t="s">
        <v>7498</v>
      </c>
      <c r="C9501" s="1" t="str">
        <f ca="1">IFERROR(__xludf.DUMMYFUNCTION("GOOGLETRANSLATE(B9651,""en"",""ja"")"),"縛ら")</f>
        <v>縛ら</v>
      </c>
    </row>
    <row r="9502" spans="1:3" ht="18" customHeight="1" x14ac:dyDescent="0.3">
      <c r="A9502" s="1">
        <v>1</v>
      </c>
      <c r="B9502" s="1" t="s">
        <v>7499</v>
      </c>
      <c r="C9502" s="1" t="str">
        <f ca="1">IFERROR(__xludf.DUMMYFUNCTION("GOOGLETRANSLATE(B9655,""en"",""ja"")"),"年代")</f>
        <v>年代</v>
      </c>
    </row>
    <row r="9503" spans="1:3" ht="18" customHeight="1" x14ac:dyDescent="0.3">
      <c r="A9503" s="1">
        <v>1</v>
      </c>
      <c r="B9503" s="1" t="s">
        <v>7500</v>
      </c>
      <c r="C9503" s="1" t="str">
        <f ca="1">IFERROR(__xludf.DUMMYFUNCTION("GOOGLETRANSLATE(B9656,""en"",""ja"")"),"決済")</f>
        <v>決済</v>
      </c>
    </row>
    <row r="9504" spans="1:3" ht="18" customHeight="1" x14ac:dyDescent="0.3">
      <c r="A9504" s="1">
        <v>1</v>
      </c>
      <c r="B9504" s="1" t="s">
        <v>5454</v>
      </c>
      <c r="C9504" s="1" t="str">
        <f ca="1">IFERROR(__xludf.DUMMYFUNCTION("GOOGLETRANSLATE(B9657,""en"",""ja"")"),"偶然")</f>
        <v>偶然</v>
      </c>
    </row>
    <row r="9505" spans="1:3" ht="18" customHeight="1" x14ac:dyDescent="0.3">
      <c r="A9505" s="1">
        <v>1</v>
      </c>
      <c r="B9505" s="1" t="s">
        <v>2295</v>
      </c>
      <c r="C9505" s="1" t="str">
        <f ca="1">IFERROR(__xludf.DUMMYFUNCTION("GOOGLETRANSLATE(B9658,""en"",""ja"")"),"一連の")</f>
        <v>一連の</v>
      </c>
    </row>
    <row r="9506" spans="1:3" ht="18" customHeight="1" x14ac:dyDescent="0.3">
      <c r="A9506" s="1">
        <v>1</v>
      </c>
      <c r="B9506" s="1" t="s">
        <v>3262</v>
      </c>
      <c r="C9506" s="1" t="str">
        <f ca="1">IFERROR(__xludf.DUMMYFUNCTION("GOOGLETRANSLATE(B9659,""en"",""ja"")"),"文")</f>
        <v>文</v>
      </c>
    </row>
    <row r="9507" spans="1:3" ht="18" customHeight="1" x14ac:dyDescent="0.3">
      <c r="A9507" s="1">
        <v>1</v>
      </c>
      <c r="B9507" s="1" t="s">
        <v>7501</v>
      </c>
      <c r="C9507" s="1" t="str">
        <f ca="1">IFERROR(__xludf.DUMMYFUNCTION("GOOGLETRANSLATE(B9660,""en"",""ja"")"),"感覚")</f>
        <v>感覚</v>
      </c>
    </row>
    <row r="9508" spans="1:3" ht="18" customHeight="1" x14ac:dyDescent="0.3">
      <c r="A9508" s="1">
        <v>1</v>
      </c>
      <c r="B9508" s="1" t="s">
        <v>7502</v>
      </c>
      <c r="C9508" s="1" t="str">
        <f ca="1">IFERROR(__xludf.DUMMYFUNCTION("GOOGLETRANSLATE(B9662,""en"",""ja"")"),"selfsacrifice")</f>
        <v>selfsacrifice</v>
      </c>
    </row>
    <row r="9509" spans="1:3" ht="18" customHeight="1" x14ac:dyDescent="0.3">
      <c r="A9509" s="1">
        <v>1</v>
      </c>
      <c r="B9509" s="1" t="s">
        <v>7503</v>
      </c>
      <c r="C9509" s="1" t="str">
        <f ca="1">IFERROR(__xludf.DUMMYFUNCTION("GOOGLETRANSLATE(B9663,""en"",""ja"")"),"選択")</f>
        <v>選択</v>
      </c>
    </row>
    <row r="9510" spans="1:3" ht="18" customHeight="1" x14ac:dyDescent="0.3">
      <c r="A9510" s="1">
        <v>1</v>
      </c>
      <c r="B9510" s="1" t="s">
        <v>5458</v>
      </c>
      <c r="C9510" s="1" t="str">
        <f ca="1">IFERROR(__xludf.DUMMYFUNCTION("GOOGLETRANSLATE(B9664,""en"",""ja"")"),"隔離")</f>
        <v>隔離</v>
      </c>
    </row>
    <row r="9511" spans="1:3" ht="18" customHeight="1" x14ac:dyDescent="0.3">
      <c r="A9511" s="1">
        <v>1</v>
      </c>
      <c r="B9511" s="1" t="s">
        <v>7504</v>
      </c>
      <c r="C9511" s="1" t="str">
        <f ca="1">IFERROR(__xludf.DUMMYFUNCTION("GOOGLETRANSLATE(B9665,""en"",""ja"")"),"誘惑します")</f>
        <v>誘惑します</v>
      </c>
    </row>
    <row r="9512" spans="1:3" ht="18" customHeight="1" x14ac:dyDescent="0.3">
      <c r="A9512" s="1">
        <v>1</v>
      </c>
      <c r="B9512" s="1" t="s">
        <v>2899</v>
      </c>
      <c r="C9512" s="1" t="str">
        <f ca="1">IFERROR(__xludf.DUMMYFUNCTION("GOOGLETRANSLATE(B9666,""en"",""ja"")"),"セキュリティ")</f>
        <v>セキュリティ</v>
      </c>
    </row>
    <row r="9513" spans="1:3" ht="18" customHeight="1" x14ac:dyDescent="0.3">
      <c r="A9513" s="1">
        <v>1</v>
      </c>
      <c r="B9513" s="1" t="s">
        <v>6768</v>
      </c>
      <c r="C9513" s="1" t="str">
        <f ca="1">IFERROR(__xludf.DUMMYFUNCTION("GOOGLETRANSLATE(B9667,""en"",""ja"")"),"セクション")</f>
        <v>セクション</v>
      </c>
    </row>
    <row r="9514" spans="1:3" ht="18" customHeight="1" x14ac:dyDescent="0.3">
      <c r="A9514" s="1">
        <v>1</v>
      </c>
      <c r="B9514" s="1" t="s">
        <v>7505</v>
      </c>
      <c r="C9514" s="1" t="str">
        <f ca="1">IFERROR(__xludf.DUMMYFUNCTION("GOOGLETRANSLATE(B9668,""en"",""ja"")"),"秘密")</f>
        <v>秘密</v>
      </c>
    </row>
    <row r="9515" spans="1:3" ht="18" customHeight="1" x14ac:dyDescent="0.3">
      <c r="A9515" s="1">
        <v>1</v>
      </c>
      <c r="B9515" s="1" t="s">
        <v>7506</v>
      </c>
      <c r="C9515" s="1" t="str">
        <f ca="1">IFERROR(__xludf.DUMMYFUNCTION("GOOGLETRANSLATE(B9669,""en"",""ja"")"),"秘密の")</f>
        <v>秘密の</v>
      </c>
    </row>
    <row r="9516" spans="1:3" ht="18" customHeight="1" x14ac:dyDescent="0.3">
      <c r="A9516" s="1">
        <v>1</v>
      </c>
      <c r="B9516" s="1" t="s">
        <v>6774</v>
      </c>
      <c r="C9516" s="1" t="str">
        <f ca="1">IFERROR(__xludf.DUMMYFUNCTION("GOOGLETRANSLATE(B9670,""en"",""ja"")"),"軽蔑")</f>
        <v>軽蔑</v>
      </c>
    </row>
    <row r="9517" spans="1:3" ht="18" customHeight="1" x14ac:dyDescent="0.3">
      <c r="A9517" s="1">
        <v>1</v>
      </c>
      <c r="B9517" s="1" t="s">
        <v>364</v>
      </c>
      <c r="C9517" s="1" t="str">
        <f ca="1">IFERROR(__xludf.DUMMYFUNCTION("GOOGLETRANSLATE(B9671,""en"",""ja"")"),"科学的")</f>
        <v>科学的</v>
      </c>
    </row>
    <row r="9518" spans="1:3" ht="18" customHeight="1" x14ac:dyDescent="0.3">
      <c r="A9518" s="1">
        <v>1</v>
      </c>
      <c r="B9518" s="1" t="s">
        <v>3269</v>
      </c>
      <c r="C9518" s="1" t="str">
        <f ca="1">IFERROR(__xludf.DUMMYFUNCTION("GOOGLETRANSLATE(B9672,""en"",""ja"")"),"学問的")</f>
        <v>学問的</v>
      </c>
    </row>
    <row r="9519" spans="1:3" ht="18" customHeight="1" x14ac:dyDescent="0.3">
      <c r="A9519" s="1">
        <v>1</v>
      </c>
      <c r="B9519" s="1" t="s">
        <v>5468</v>
      </c>
      <c r="C9519" s="1" t="str">
        <f ca="1">IFERROR(__xludf.DUMMYFUNCTION("GOOGLETRANSLATE(B9673,""en"",""ja"")"),"シュレジンジャー")</f>
        <v>シュレジンジャー</v>
      </c>
    </row>
    <row r="9520" spans="1:3" ht="18" customHeight="1" x14ac:dyDescent="0.3">
      <c r="A9520" s="1">
        <v>1</v>
      </c>
      <c r="B9520" s="1" t="s">
        <v>1334</v>
      </c>
      <c r="C9520" s="1" t="str">
        <f ca="1">IFERROR(__xludf.DUMMYFUNCTION("GOOGLETRANSLATE(B9674,""en"",""ja"")"),"スキーム")</f>
        <v>スキーム</v>
      </c>
    </row>
    <row r="9521" spans="1:3" ht="18" customHeight="1" x14ac:dyDescent="0.3">
      <c r="A9521" s="1">
        <v>1</v>
      </c>
      <c r="B9521" s="1" t="s">
        <v>7507</v>
      </c>
      <c r="C9521" s="1" t="str">
        <f ca="1">IFERROR(__xludf.DUMMYFUNCTION("GOOGLETRANSLATE(B9675,""en"",""ja"")"),"スケジュール")</f>
        <v>スケジュール</v>
      </c>
    </row>
    <row r="9522" spans="1:3" ht="18" customHeight="1" x14ac:dyDescent="0.3">
      <c r="A9522" s="1">
        <v>1</v>
      </c>
      <c r="B9522" s="1" t="s">
        <v>7508</v>
      </c>
      <c r="C9522" s="1" t="str">
        <f ca="1">IFERROR(__xludf.DUMMYFUNCTION("GOOGLETRANSLATE(B9676,""en"",""ja"")"),"節約")</f>
        <v>節約</v>
      </c>
    </row>
    <row r="9523" spans="1:3" ht="18" customHeight="1" x14ac:dyDescent="0.3">
      <c r="A9523" s="1">
        <v>1</v>
      </c>
      <c r="B9523" s="1" t="s">
        <v>3860</v>
      </c>
      <c r="C9523" s="1" t="str">
        <f ca="1">IFERROR(__xludf.DUMMYFUNCTION("GOOGLETRANSLATE(B9677,""en"",""ja"")"),"満足のいきます")</f>
        <v>満足のいきます</v>
      </c>
    </row>
    <row r="9524" spans="1:3" ht="18" customHeight="1" x14ac:dyDescent="0.3">
      <c r="A9524" s="1">
        <v>1</v>
      </c>
      <c r="B9524" s="1" t="s">
        <v>7509</v>
      </c>
      <c r="C9524" s="1" t="str">
        <f ca="1">IFERROR(__xludf.DUMMYFUNCTION("GOOGLETRANSLATE(B9678,""en"",""ja"")"),"サニタリー")</f>
        <v>サニタリー</v>
      </c>
    </row>
    <row r="9525" spans="1:3" ht="18" customHeight="1" x14ac:dyDescent="0.3">
      <c r="A9525" s="1">
        <v>1</v>
      </c>
      <c r="B9525" s="1" t="s">
        <v>7510</v>
      </c>
      <c r="C9525" s="1" t="str">
        <f ca="1">IFERROR(__xludf.DUMMYFUNCTION("GOOGLETRANSLATE(B9679,""en"",""ja"")"),"塩")</f>
        <v>塩</v>
      </c>
    </row>
    <row r="9526" spans="1:3" ht="18" customHeight="1" x14ac:dyDescent="0.3">
      <c r="A9526" s="1">
        <v>1</v>
      </c>
      <c r="B9526" s="1" t="s">
        <v>5482</v>
      </c>
      <c r="C9526" s="1" t="str">
        <f ca="1">IFERROR(__xludf.DUMMYFUNCTION("GOOGLETRANSLATE(B9680,""en"",""ja"")"),"塩分")</f>
        <v>塩分</v>
      </c>
    </row>
    <row r="9527" spans="1:3" ht="18" customHeight="1" x14ac:dyDescent="0.3">
      <c r="A9527" s="1">
        <v>1</v>
      </c>
      <c r="B9527" s="1" t="s">
        <v>6778</v>
      </c>
      <c r="C9527" s="1" t="str">
        <f ca="1">IFERROR(__xludf.DUMMYFUNCTION("GOOGLETRANSLATE(B9681,""en"",""ja"")"),"セール")</f>
        <v>セール</v>
      </c>
    </row>
    <row r="9528" spans="1:3" ht="18" customHeight="1" x14ac:dyDescent="0.3">
      <c r="A9528" s="1">
        <v>1</v>
      </c>
      <c r="B9528" s="1" t="s">
        <v>7511</v>
      </c>
      <c r="C9528" s="1" t="str">
        <f ca="1">IFERROR(__xludf.DUMMYFUNCTION("GOOGLETRANSLATE(B9682,""en"",""ja"")"),"給与")</f>
        <v>給与</v>
      </c>
    </row>
    <row r="9529" spans="1:3" ht="18" customHeight="1" x14ac:dyDescent="0.3">
      <c r="A9529" s="1">
        <v>1</v>
      </c>
      <c r="B9529" s="1" t="s">
        <v>4425</v>
      </c>
      <c r="C9529" s="1" t="str">
        <f ca="1">IFERROR(__xludf.DUMMYFUNCTION("GOOGLETRANSLATE(B9683,""en"",""ja"")"),"わいせつな")</f>
        <v>わいせつな</v>
      </c>
    </row>
    <row r="9530" spans="1:3" ht="18" customHeight="1" x14ac:dyDescent="0.3">
      <c r="A9530" s="1">
        <v>1</v>
      </c>
      <c r="B9530" s="1" t="s">
        <v>5487</v>
      </c>
      <c r="C9530" s="1" t="str">
        <f ca="1">IFERROR(__xludf.DUMMYFUNCTION("GOOGLETRANSLATE(B9684,""en"",""ja"")"),"無慈悲")</f>
        <v>無慈悲</v>
      </c>
    </row>
    <row r="9531" spans="1:3" ht="18" customHeight="1" x14ac:dyDescent="0.3">
      <c r="A9531" s="1">
        <v>1</v>
      </c>
      <c r="B9531" s="1" t="s">
        <v>7512</v>
      </c>
      <c r="C9531" s="1" t="str">
        <f ca="1">IFERROR(__xludf.DUMMYFUNCTION("GOOGLETRANSLATE(B9685,""en"",""ja"")"),"ランナー")</f>
        <v>ランナー</v>
      </c>
    </row>
    <row r="9532" spans="1:3" ht="18" customHeight="1" x14ac:dyDescent="0.3">
      <c r="A9532" s="1">
        <v>1</v>
      </c>
      <c r="B9532" s="1" t="s">
        <v>7513</v>
      </c>
      <c r="C9532" s="1" t="str">
        <f ca="1">IFERROR(__xludf.DUMMYFUNCTION("GOOGLETRANSLATE(B9686,""en"",""ja"")"),"台無しに")</f>
        <v>台無しに</v>
      </c>
    </row>
    <row r="9533" spans="1:3" ht="18" customHeight="1" x14ac:dyDescent="0.3">
      <c r="A9533" s="1">
        <v>1</v>
      </c>
      <c r="B9533" s="1" t="s">
        <v>7514</v>
      </c>
      <c r="C9533" s="1" t="str">
        <f ca="1">IFERROR(__xludf.DUMMYFUNCTION("GOOGLETRANSLATE(B9687,""en"",""ja"")"),"破滅")</f>
        <v>破滅</v>
      </c>
    </row>
    <row r="9534" spans="1:3" ht="18" customHeight="1" x14ac:dyDescent="0.3">
      <c r="A9534" s="1">
        <v>1</v>
      </c>
      <c r="B9534" s="1" t="s">
        <v>5489</v>
      </c>
      <c r="C9534" s="1" t="str">
        <f ca="1">IFERROR(__xludf.DUMMYFUNCTION("GOOGLETRANSLATE(B9689,""en"",""ja"")"),"瓦礫")</f>
        <v>瓦礫</v>
      </c>
    </row>
    <row r="9535" spans="1:3" ht="18" customHeight="1" x14ac:dyDescent="0.3">
      <c r="A9535" s="1">
        <v>1</v>
      </c>
      <c r="B9535" s="1" t="s">
        <v>5490</v>
      </c>
      <c r="C9535" s="1" t="str">
        <f ca="1">IFERROR(__xludf.DUMMYFUNCTION("GOOGLETRANSLATE(B9690,""en"",""ja"")"),"皇族")</f>
        <v>皇族</v>
      </c>
    </row>
    <row r="9536" spans="1:3" ht="18" customHeight="1" x14ac:dyDescent="0.3">
      <c r="A9536" s="1">
        <v>1</v>
      </c>
      <c r="B9536" s="1" t="s">
        <v>5492</v>
      </c>
      <c r="C9536" s="1" t="str">
        <f ca="1">IFERROR(__xludf.DUMMYFUNCTION("GOOGLETRANSLATE(B9691,""en"",""ja"")"),"ロッテルダム")</f>
        <v>ロッテルダム</v>
      </c>
    </row>
    <row r="9537" spans="1:3" ht="18" customHeight="1" x14ac:dyDescent="0.3">
      <c r="A9537" s="1">
        <v>1</v>
      </c>
      <c r="B9537" s="1" t="s">
        <v>7515</v>
      </c>
      <c r="C9537" s="1" t="str">
        <f ca="1">IFERROR(__xludf.DUMMYFUNCTION("GOOGLETRANSLATE(B9692,""en"",""ja"")"),"ROTHER")</f>
        <v>ROTHER</v>
      </c>
    </row>
    <row r="9538" spans="1:3" ht="18" customHeight="1" x14ac:dyDescent="0.3">
      <c r="A9538" s="1">
        <v>1</v>
      </c>
      <c r="B9538" s="1" t="s">
        <v>7516</v>
      </c>
      <c r="C9538" s="1" t="str">
        <f ca="1">IFERROR(__xludf.DUMMYFUNCTION("GOOGLETRANSLATE(B9693,""en"",""ja"")"),"ばら色の")</f>
        <v>ばら色の</v>
      </c>
    </row>
    <row r="9539" spans="1:3" ht="18" customHeight="1" x14ac:dyDescent="0.3">
      <c r="A9539" s="1">
        <v>1</v>
      </c>
      <c r="B9539" s="1" t="s">
        <v>5495</v>
      </c>
      <c r="C9539" s="1" t="str">
        <f ca="1">IFERROR(__xludf.DUMMYFUNCTION("GOOGLETRANSLATE(B9694,""en"",""ja"")"),"ルート")</f>
        <v>ルート</v>
      </c>
    </row>
    <row r="9540" spans="1:3" ht="18" customHeight="1" x14ac:dyDescent="0.3">
      <c r="A9540" s="1">
        <v>1</v>
      </c>
      <c r="B9540" s="1" t="s">
        <v>7517</v>
      </c>
      <c r="C9540" s="1" t="str">
        <f ca="1">IFERROR(__xludf.DUMMYFUNCTION("GOOGLETRANSLATE(B9695,""en"",""ja"")"),"ローマ人への手紙")</f>
        <v>ローマ人への手紙</v>
      </c>
    </row>
    <row r="9541" spans="1:3" ht="18" customHeight="1" x14ac:dyDescent="0.3">
      <c r="A9541" s="1">
        <v>1</v>
      </c>
      <c r="B9541" s="1" t="s">
        <v>7518</v>
      </c>
      <c r="C9541" s="1" t="str">
        <f ca="1">IFERROR(__xludf.DUMMYFUNCTION("GOOGLETRANSLATE(B9696,""en"",""ja"")"),"レントゲン")</f>
        <v>レントゲン</v>
      </c>
    </row>
    <row r="9542" spans="1:3" ht="18" customHeight="1" x14ac:dyDescent="0.3">
      <c r="A9542" s="1">
        <v>1</v>
      </c>
      <c r="B9542" s="1" t="s">
        <v>2905</v>
      </c>
      <c r="C9542" s="1" t="str">
        <f ca="1">IFERROR(__xludf.DUMMYFUNCTION("GOOGLETRANSLATE(B9697,""en"",""ja"")"),"壮健")</f>
        <v>壮健</v>
      </c>
    </row>
    <row r="9543" spans="1:3" ht="18" customHeight="1" x14ac:dyDescent="0.3">
      <c r="A9543" s="1">
        <v>1</v>
      </c>
      <c r="B9543" s="1" t="s">
        <v>7519</v>
      </c>
      <c r="C9543" s="1" t="str">
        <f ca="1">IFERROR(__xludf.DUMMYFUNCTION("GOOGLETRANSLATE(B9698,""en"",""ja"")"),"roboticization")</f>
        <v>roboticization</v>
      </c>
    </row>
    <row r="9544" spans="1:3" ht="18" customHeight="1" x14ac:dyDescent="0.3">
      <c r="A9544" s="1">
        <v>1</v>
      </c>
      <c r="B9544" s="1" t="s">
        <v>7520</v>
      </c>
      <c r="C9544" s="1" t="str">
        <f ca="1">IFERROR(__xludf.DUMMYFUNCTION("GOOGLETRANSLATE(B9699,""en"",""ja"")"),"川")</f>
        <v>川</v>
      </c>
    </row>
    <row r="9545" spans="1:3" ht="18" customHeight="1" x14ac:dyDescent="0.3">
      <c r="A9545" s="1">
        <v>1</v>
      </c>
      <c r="B9545" s="1" t="s">
        <v>7521</v>
      </c>
      <c r="C9545" s="1" t="str">
        <f ca="1">IFERROR(__xludf.DUMMYFUNCTION("GOOGLETRANSLATE(B9700,""en"",""ja"")"),"儀式")</f>
        <v>儀式</v>
      </c>
    </row>
    <row r="9546" spans="1:3" ht="18" customHeight="1" x14ac:dyDescent="0.3">
      <c r="A9546" s="1">
        <v>1</v>
      </c>
      <c r="B9546" s="1" t="s">
        <v>7522</v>
      </c>
      <c r="C9546" s="1" t="str">
        <f ca="1">IFERROR(__xludf.DUMMYFUNCTION("GOOGLETRANSLATE(B9701,""en"",""ja"")"),"上昇")</f>
        <v>上昇</v>
      </c>
    </row>
    <row r="9547" spans="1:3" ht="18" customHeight="1" x14ac:dyDescent="0.3">
      <c r="A9547" s="1">
        <v>1</v>
      </c>
      <c r="B9547" s="1" t="s">
        <v>7523</v>
      </c>
      <c r="C9547" s="1" t="str">
        <f ca="1">IFERROR(__xludf.DUMMYFUNCTION("GOOGLETRANSLATE(B9702,""en"",""ja"")"),"リム")</f>
        <v>リム</v>
      </c>
    </row>
    <row r="9548" spans="1:3" ht="18" customHeight="1" x14ac:dyDescent="0.3">
      <c r="A9548" s="1">
        <v>1</v>
      </c>
      <c r="B9548" s="1" t="s">
        <v>7524</v>
      </c>
      <c r="C9548" s="1" t="str">
        <f ca="1">IFERROR(__xludf.DUMMYFUNCTION("GOOGLETRANSLATE(B9703,""en"",""ja"")"),"正しく")</f>
        <v>正しく</v>
      </c>
    </row>
    <row r="9549" spans="1:3" ht="18" customHeight="1" x14ac:dyDescent="0.3">
      <c r="A9549" s="1">
        <v>1</v>
      </c>
      <c r="B9549" s="1" t="s">
        <v>7525</v>
      </c>
      <c r="C9549" s="1" t="str">
        <f ca="1">IFERROR(__xludf.DUMMYFUNCTION("GOOGLETRANSLATE(B9704,""en"",""ja"")"),"操作")</f>
        <v>操作</v>
      </c>
    </row>
    <row r="9550" spans="1:3" ht="18" customHeight="1" x14ac:dyDescent="0.3">
      <c r="A9550" s="1">
        <v>1</v>
      </c>
      <c r="B9550" s="1" t="s">
        <v>7526</v>
      </c>
      <c r="C9550" s="1" t="str">
        <f ca="1">IFERROR(__xludf.DUMMYFUNCTION("GOOGLETRANSLATE(B9705,""en"",""ja"")"),"リズミカル")</f>
        <v>リズミカル</v>
      </c>
    </row>
    <row r="9551" spans="1:3" ht="18" customHeight="1" x14ac:dyDescent="0.3">
      <c r="A9551" s="1">
        <v>1</v>
      </c>
      <c r="B9551" s="1" t="s">
        <v>7527</v>
      </c>
      <c r="C9551" s="1" t="str">
        <f ca="1">IFERROR(__xludf.DUMMYFUNCTION("GOOGLETRANSLATE(B9706,""en"",""ja"")"),"生き返ります")</f>
        <v>生き返ります</v>
      </c>
    </row>
    <row r="9552" spans="1:3" ht="18" customHeight="1" x14ac:dyDescent="0.3">
      <c r="A9552" s="1">
        <v>1</v>
      </c>
      <c r="B9552" s="1" t="s">
        <v>2907</v>
      </c>
      <c r="C9552" s="1" t="str">
        <f ca="1">IFERROR(__xludf.DUMMYFUNCTION("GOOGLETRANSLATE(B9707,""en"",""ja"")"),"活性化")</f>
        <v>活性化</v>
      </c>
    </row>
    <row r="9553" spans="1:3" ht="18" customHeight="1" x14ac:dyDescent="0.3">
      <c r="A9553" s="1">
        <v>1</v>
      </c>
      <c r="B9553" s="1" t="s">
        <v>5511</v>
      </c>
      <c r="C9553" s="1" t="str">
        <f ca="1">IFERROR(__xludf.DUMMYFUNCTION("GOOGLETRANSLATE(B9708,""en"",""ja"")"),"啓示")</f>
        <v>啓示</v>
      </c>
    </row>
    <row r="9554" spans="1:3" ht="18" customHeight="1" x14ac:dyDescent="0.3">
      <c r="A9554" s="1">
        <v>1</v>
      </c>
      <c r="B9554" s="1" t="s">
        <v>5514</v>
      </c>
      <c r="C9554" s="1" t="str">
        <f ca="1">IFERROR(__xludf.DUMMYFUNCTION("GOOGLETRANSLATE(B9709,""en"",""ja"")"),"検索します")</f>
        <v>検索します</v>
      </c>
    </row>
    <row r="9555" spans="1:3" ht="18" customHeight="1" x14ac:dyDescent="0.3">
      <c r="A9555" s="1">
        <v>1</v>
      </c>
      <c r="B9555" s="1" t="s">
        <v>1249</v>
      </c>
      <c r="C9555" s="1" t="str">
        <f ca="1">IFERROR(__xludf.DUMMYFUNCTION("GOOGLETRANSLATE(B9710,""en"",""ja"")"),"退却")</f>
        <v>退却</v>
      </c>
    </row>
    <row r="9556" spans="1:3" ht="18" customHeight="1" x14ac:dyDescent="0.3">
      <c r="A9556" s="1">
        <v>1</v>
      </c>
      <c r="B9556" s="1" t="s">
        <v>7528</v>
      </c>
      <c r="C9556" s="1" t="str">
        <f ca="1">IFERROR(__xludf.DUMMYFUNCTION("GOOGLETRANSLATE(B9711,""en"",""ja"")"),"引退します")</f>
        <v>引退します</v>
      </c>
    </row>
    <row r="9557" spans="1:3" ht="18" customHeight="1" x14ac:dyDescent="0.3">
      <c r="A9557" s="1">
        <v>1</v>
      </c>
      <c r="B9557" s="1" t="s">
        <v>4441</v>
      </c>
      <c r="C9557" s="1" t="str">
        <f ca="1">IFERROR(__xludf.DUMMYFUNCTION("GOOGLETRANSLATE(B9713,""en"",""ja"")"),"復活")</f>
        <v>復活</v>
      </c>
    </row>
    <row r="9558" spans="1:3" ht="18" customHeight="1" x14ac:dyDescent="0.3">
      <c r="A9558" s="1">
        <v>1</v>
      </c>
      <c r="B9558" s="1" t="s">
        <v>5516</v>
      </c>
      <c r="C9558" s="1" t="str">
        <f ca="1">IFERROR(__xludf.DUMMYFUNCTION("GOOGLETRANSLATE(B9714,""en"",""ja"")"),"結果")</f>
        <v>結果</v>
      </c>
    </row>
    <row r="9559" spans="1:3" ht="18" customHeight="1" x14ac:dyDescent="0.3">
      <c r="A9559" s="1">
        <v>1</v>
      </c>
      <c r="B9559" s="1" t="s">
        <v>7529</v>
      </c>
      <c r="C9559" s="1" t="str">
        <f ca="1">IFERROR(__xludf.DUMMYFUNCTION("GOOGLETRANSLATE(B9715,""en"",""ja"")"),"制限")</f>
        <v>制限</v>
      </c>
    </row>
    <row r="9560" spans="1:3" ht="18" customHeight="1" x14ac:dyDescent="0.3">
      <c r="A9560" s="1">
        <v>1</v>
      </c>
      <c r="B9560" s="1" t="s">
        <v>5518</v>
      </c>
      <c r="C9560" s="1" t="str">
        <f ca="1">IFERROR(__xludf.DUMMYFUNCTION("GOOGLETRANSLATE(B9716,""en"",""ja"")"),"制限します")</f>
        <v>制限します</v>
      </c>
    </row>
    <row r="9561" spans="1:3" ht="18" customHeight="1" x14ac:dyDescent="0.3">
      <c r="A9561" s="1">
        <v>1</v>
      </c>
      <c r="B9561" s="1" t="s">
        <v>7530</v>
      </c>
      <c r="C9561" s="1" t="str">
        <f ca="1">IFERROR(__xludf.DUMMYFUNCTION("GOOGLETRANSLATE(B9717,""en"",""ja"")"),"再起動")</f>
        <v>再起動</v>
      </c>
    </row>
    <row r="9562" spans="1:3" ht="18" customHeight="1" x14ac:dyDescent="0.3">
      <c r="A9562" s="1">
        <v>1</v>
      </c>
      <c r="B9562" s="1" t="s">
        <v>5522</v>
      </c>
      <c r="C9562" s="1" t="str">
        <f ca="1">IFERROR(__xludf.DUMMYFUNCTION("GOOGLETRANSLATE(B9718,""en"",""ja"")"),"それぞれの")</f>
        <v>それぞれの</v>
      </c>
    </row>
    <row r="9563" spans="1:3" ht="18" customHeight="1" x14ac:dyDescent="0.3">
      <c r="A9563" s="1">
        <v>1</v>
      </c>
      <c r="B9563" s="1" t="s">
        <v>6794</v>
      </c>
      <c r="C9563" s="1" t="str">
        <f ca="1">IFERROR(__xludf.DUMMYFUNCTION("GOOGLETRANSLATE(B9719,""en"",""ja"")"),"共振")</f>
        <v>共振</v>
      </c>
    </row>
    <row r="9564" spans="1:3" ht="18" customHeight="1" x14ac:dyDescent="0.3">
      <c r="A9564" s="1">
        <v>1</v>
      </c>
      <c r="B9564" s="1" t="s">
        <v>7531</v>
      </c>
      <c r="C9564" s="1" t="str">
        <f ca="1">IFERROR(__xludf.DUMMYFUNCTION("GOOGLETRANSLATE(B9720,""en"",""ja"")"),"レジデンス")</f>
        <v>レジデンス</v>
      </c>
    </row>
    <row r="9565" spans="1:3" ht="18" customHeight="1" x14ac:dyDescent="0.3">
      <c r="A9565" s="1">
        <v>1</v>
      </c>
      <c r="B9565" s="1" t="s">
        <v>7532</v>
      </c>
      <c r="C9565" s="1" t="str">
        <f ca="1">IFERROR(__xludf.DUMMYFUNCTION("GOOGLETRANSLATE(B9721,""en"",""ja"")"),"貯水池")</f>
        <v>貯水池</v>
      </c>
    </row>
    <row r="9566" spans="1:3" ht="18" customHeight="1" x14ac:dyDescent="0.3">
      <c r="A9566" s="1">
        <v>1</v>
      </c>
      <c r="B9566" s="1" t="s">
        <v>7533</v>
      </c>
      <c r="C9566" s="1" t="str">
        <f ca="1">IFERROR(__xludf.DUMMYFUNCTION("GOOGLETRANSLATE(B9722,""en"",""ja"")"),"予備")</f>
        <v>予備</v>
      </c>
    </row>
    <row r="9567" spans="1:3" ht="18" customHeight="1" x14ac:dyDescent="0.3">
      <c r="A9567" s="1">
        <v>1</v>
      </c>
      <c r="B9567" s="1" t="s">
        <v>5529</v>
      </c>
      <c r="C9567" s="1" t="str">
        <f ca="1">IFERROR(__xludf.DUMMYFUNCTION("GOOGLETRANSLATE(B9723,""en"",""ja"")"),"研究者")</f>
        <v>研究者</v>
      </c>
    </row>
    <row r="9568" spans="1:3" ht="18" customHeight="1" x14ac:dyDescent="0.3">
      <c r="A9568" s="1">
        <v>1</v>
      </c>
      <c r="B9568" s="1" t="s">
        <v>7534</v>
      </c>
      <c r="C9568" s="1" t="str">
        <f ca="1">IFERROR(__xludf.DUMMYFUNCTION("GOOGLETRANSLATE(B9724,""en"",""ja"")"),"リクエスト")</f>
        <v>リクエスト</v>
      </c>
    </row>
    <row r="9569" spans="1:3" ht="18" customHeight="1" x14ac:dyDescent="0.3">
      <c r="A9569" s="1">
        <v>1</v>
      </c>
      <c r="B9569" s="1" t="s">
        <v>7535</v>
      </c>
      <c r="C9569" s="1" t="str">
        <f ca="1">IFERROR(__xludf.DUMMYFUNCTION("GOOGLETRANSLATE(B9725,""en"",""ja"")"),"評判")</f>
        <v>評判</v>
      </c>
    </row>
    <row r="9570" spans="1:3" ht="18" customHeight="1" x14ac:dyDescent="0.3">
      <c r="A9570" s="1">
        <v>1</v>
      </c>
      <c r="B9570" s="1" t="s">
        <v>7536</v>
      </c>
      <c r="C9570" s="1" t="str">
        <f ca="1">IFERROR(__xludf.DUMMYFUNCTION("GOOGLETRANSLATE(B9727,""en"",""ja"")"),"再生")</f>
        <v>再生</v>
      </c>
    </row>
    <row r="9571" spans="1:3" ht="18" customHeight="1" x14ac:dyDescent="0.3">
      <c r="A9571" s="1">
        <v>1</v>
      </c>
      <c r="B9571" s="1" t="s">
        <v>1640</v>
      </c>
      <c r="C9571" s="1" t="str">
        <f ca="1">IFERROR(__xludf.DUMMYFUNCTION("GOOGLETRANSLATE(B9728,""en"",""ja"")"),"代表")</f>
        <v>代表</v>
      </c>
    </row>
    <row r="9572" spans="1:3" ht="18" customHeight="1" x14ac:dyDescent="0.3">
      <c r="A9572" s="1">
        <v>1</v>
      </c>
      <c r="B9572" s="1" t="s">
        <v>1336</v>
      </c>
      <c r="C9572" s="1" t="str">
        <f ca="1">IFERROR(__xludf.DUMMYFUNCTION("GOOGLETRANSLATE(B9729,""en"",""ja"")"),"表現")</f>
        <v>表現</v>
      </c>
    </row>
    <row r="9573" spans="1:3" ht="18" customHeight="1" x14ac:dyDescent="0.3">
      <c r="A9573" s="1">
        <v>1</v>
      </c>
      <c r="B9573" s="1" t="s">
        <v>7537</v>
      </c>
      <c r="C9573" s="1" t="str">
        <f ca="1">IFERROR(__xludf.DUMMYFUNCTION("GOOGLETRANSLATE(B9730,""en"",""ja"")"),"補充")</f>
        <v>補充</v>
      </c>
    </row>
    <row r="9574" spans="1:3" ht="18" customHeight="1" x14ac:dyDescent="0.3">
      <c r="A9574" s="1">
        <v>1</v>
      </c>
      <c r="B9574" s="1" t="s">
        <v>5534</v>
      </c>
      <c r="C9574" s="1" t="str">
        <f ca="1">IFERROR(__xludf.DUMMYFUNCTION("GOOGLETRANSLATE(B9731,""en"",""ja"")"),"著名")</f>
        <v>著名</v>
      </c>
    </row>
    <row r="9575" spans="1:3" ht="18" customHeight="1" x14ac:dyDescent="0.3">
      <c r="A9575" s="1">
        <v>1</v>
      </c>
      <c r="B9575" s="1" t="s">
        <v>3873</v>
      </c>
      <c r="C9575" s="1" t="str">
        <f ca="1">IFERROR(__xludf.DUMMYFUNCTION("GOOGLETRANSLATE(B9732,""en"",""ja"")"),"ルネサンス")</f>
        <v>ルネサンス</v>
      </c>
    </row>
    <row r="9576" spans="1:3" ht="18" customHeight="1" x14ac:dyDescent="0.3">
      <c r="A9576" s="1">
        <v>1</v>
      </c>
      <c r="B9576" s="1" t="s">
        <v>4459</v>
      </c>
      <c r="C9576" s="1" t="str">
        <f ca="1">IFERROR(__xludf.DUMMYFUNCTION("GOOGLETRANSLATE(B9733,""en"",""ja"")"),"削除する")</f>
        <v>削除する</v>
      </c>
    </row>
    <row r="9577" spans="1:3" ht="18" customHeight="1" x14ac:dyDescent="0.3">
      <c r="A9577" s="1">
        <v>1</v>
      </c>
      <c r="B9577" s="1" t="s">
        <v>7538</v>
      </c>
      <c r="C9577" s="1" t="str">
        <f ca="1">IFERROR(__xludf.DUMMYFUNCTION("GOOGLETRANSLATE(B9734,""en"",""ja"")"),"思い出させます")</f>
        <v>思い出させます</v>
      </c>
    </row>
    <row r="9578" spans="1:3" ht="18" customHeight="1" x14ac:dyDescent="0.3">
      <c r="A9578" s="1">
        <v>1</v>
      </c>
      <c r="B9578" s="1" t="s">
        <v>7539</v>
      </c>
      <c r="C9578" s="1" t="str">
        <f ca="1">IFERROR(__xludf.DUMMYFUNCTION("GOOGLETRANSLATE(B9735,""en"",""ja"")"),"療法")</f>
        <v>療法</v>
      </c>
    </row>
    <row r="9579" spans="1:3" ht="18" customHeight="1" x14ac:dyDescent="0.3">
      <c r="A9579" s="1">
        <v>1</v>
      </c>
      <c r="B9579" s="1" t="s">
        <v>4461</v>
      </c>
      <c r="C9579" s="1" t="str">
        <f ca="1">IFERROR(__xludf.DUMMYFUNCTION("GOOGLETRANSLATE(B9736,""en"",""ja"")"),"レンブラント")</f>
        <v>レンブラント</v>
      </c>
    </row>
    <row r="9580" spans="1:3" ht="18" customHeight="1" x14ac:dyDescent="0.3">
      <c r="A9580" s="1">
        <v>1</v>
      </c>
      <c r="B9580" s="1" t="s">
        <v>7540</v>
      </c>
      <c r="C9580" s="1" t="str">
        <f ca="1">IFERROR(__xludf.DUMMYFUNCTION("GOOGLETRANSLATE(B9737,""en"",""ja"")"),"備考")</f>
        <v>備考</v>
      </c>
    </row>
    <row r="9581" spans="1:3" ht="18" customHeight="1" x14ac:dyDescent="0.3">
      <c r="A9581" s="1">
        <v>1</v>
      </c>
      <c r="B9581" s="1" t="s">
        <v>5539</v>
      </c>
      <c r="C9581" s="1" t="str">
        <f ca="1">IFERROR(__xludf.DUMMYFUNCTION("GOOGLETRANSLATE(B9738,""en"",""ja"")"),"リマーク")</f>
        <v>リマーク</v>
      </c>
    </row>
    <row r="9582" spans="1:3" ht="18" customHeight="1" x14ac:dyDescent="0.3">
      <c r="A9582" s="1">
        <v>1</v>
      </c>
      <c r="B9582" s="1" t="s">
        <v>4464</v>
      </c>
      <c r="C9582" s="1" t="str">
        <f ca="1">IFERROR(__xludf.DUMMYFUNCTION("GOOGLETRANSLATE(B9739,""en"",""ja"")"),"宗教的に")</f>
        <v>宗教的に</v>
      </c>
    </row>
    <row r="9583" spans="1:3" ht="18" customHeight="1" x14ac:dyDescent="0.3">
      <c r="A9583" s="1">
        <v>1</v>
      </c>
      <c r="B9583" s="1" t="s">
        <v>5544</v>
      </c>
      <c r="C9583" s="1" t="str">
        <f ca="1">IFERROR(__xludf.DUMMYFUNCTION("GOOGLETRANSLATE(B9740,""en"",""ja"")"),"遺物")</f>
        <v>遺物</v>
      </c>
    </row>
    <row r="9584" spans="1:3" ht="18" customHeight="1" x14ac:dyDescent="0.3">
      <c r="A9584" s="1">
        <v>1</v>
      </c>
      <c r="B9584" s="1" t="s">
        <v>7541</v>
      </c>
      <c r="C9584" s="1" t="str">
        <f ca="1">IFERROR(__xludf.DUMMYFUNCTION("GOOGLETRANSLATE(B9741,""en"",""ja"")"),"リラックス")</f>
        <v>リラックス</v>
      </c>
    </row>
    <row r="9585" spans="1:3" ht="18" customHeight="1" x14ac:dyDescent="0.3">
      <c r="A9585" s="1">
        <v>1</v>
      </c>
      <c r="B9585" s="1" t="s">
        <v>352</v>
      </c>
      <c r="C9585" s="1" t="str">
        <f ca="1">IFERROR(__xludf.DUMMYFUNCTION("GOOGLETRANSLATE(B9742,""en"",""ja"")"),"比較的に")</f>
        <v>比較的に</v>
      </c>
    </row>
    <row r="9586" spans="1:3" ht="18" customHeight="1" x14ac:dyDescent="0.3">
      <c r="A9586" s="1">
        <v>1</v>
      </c>
      <c r="B9586" s="1" t="s">
        <v>457</v>
      </c>
      <c r="C9586" s="1" t="str">
        <f ca="1">IFERROR(__xludf.DUMMYFUNCTION("GOOGLETRANSLATE(B9743,""en"",""ja"")"),"相対的")</f>
        <v>相対的</v>
      </c>
    </row>
    <row r="9587" spans="1:3" ht="18" customHeight="1" x14ac:dyDescent="0.3">
      <c r="A9587" s="1">
        <v>1</v>
      </c>
      <c r="B9587" s="1" t="s">
        <v>937</v>
      </c>
      <c r="C9587" s="1" t="str">
        <f ca="1">IFERROR(__xludf.DUMMYFUNCTION("GOOGLETRANSLATE(B9744,""en"",""ja"")"),"関係")</f>
        <v>関係</v>
      </c>
    </row>
    <row r="9588" spans="1:3" ht="18" customHeight="1" x14ac:dyDescent="0.3">
      <c r="A9588" s="1">
        <v>1</v>
      </c>
      <c r="B9588" s="1" t="s">
        <v>7542</v>
      </c>
      <c r="C9588" s="1" t="str">
        <f ca="1">IFERROR(__xludf.DUMMYFUNCTION("GOOGLETRANSLATE(B9745,""en"",""ja"")"),"拒否")</f>
        <v>拒否</v>
      </c>
    </row>
    <row r="9589" spans="1:3" ht="18" customHeight="1" x14ac:dyDescent="0.3">
      <c r="A9589" s="1">
        <v>1</v>
      </c>
      <c r="B9589" s="1" t="s">
        <v>2063</v>
      </c>
      <c r="C9589" s="1" t="str">
        <f ca="1">IFERROR(__xludf.DUMMYFUNCTION("GOOGLETRANSLATE(B9746,""en"",""ja"")"),"強化する")</f>
        <v>強化する</v>
      </c>
    </row>
    <row r="9590" spans="1:3" ht="18" customHeight="1" x14ac:dyDescent="0.3">
      <c r="A9590" s="1">
        <v>1</v>
      </c>
      <c r="B9590" s="1" t="s">
        <v>7543</v>
      </c>
      <c r="C9590" s="1" t="str">
        <f ca="1">IFERROR(__xludf.DUMMYFUNCTION("GOOGLETRANSLATE(B9747,""en"",""ja"")"),"治世")</f>
        <v>治世</v>
      </c>
    </row>
    <row r="9591" spans="1:3" ht="18" customHeight="1" x14ac:dyDescent="0.3">
      <c r="A9591" s="1">
        <v>1</v>
      </c>
      <c r="B9591" s="1" t="s">
        <v>2310</v>
      </c>
      <c r="C9591" s="1" t="str">
        <f ca="1">IFERROR(__xludf.DUMMYFUNCTION("GOOGLETRANSLATE(B9748,""en"",""ja"")"),"規制")</f>
        <v>規制</v>
      </c>
    </row>
    <row r="9592" spans="1:3" ht="18" customHeight="1" x14ac:dyDescent="0.3">
      <c r="A9592" s="1">
        <v>1</v>
      </c>
      <c r="B9592" s="1" t="s">
        <v>1642</v>
      </c>
      <c r="C9592" s="1" t="str">
        <f ca="1">IFERROR(__xludf.DUMMYFUNCTION("GOOGLETRANSLATE(B9749,""en"",""ja"")"),"規制")</f>
        <v>規制</v>
      </c>
    </row>
    <row r="9593" spans="1:3" ht="18" customHeight="1" x14ac:dyDescent="0.3">
      <c r="A9593" s="1">
        <v>1</v>
      </c>
      <c r="B9593" s="1" t="s">
        <v>2313</v>
      </c>
      <c r="C9593" s="1" t="str">
        <f ca="1">IFERROR(__xludf.DUMMYFUNCTION("GOOGLETRANSLATE(B9750,""en"",""ja"")"),"規制します")</f>
        <v>規制します</v>
      </c>
    </row>
    <row r="9594" spans="1:3" ht="18" customHeight="1" x14ac:dyDescent="0.3">
      <c r="A9594" s="1">
        <v>1</v>
      </c>
      <c r="B9594" s="1" t="s">
        <v>4471</v>
      </c>
      <c r="C9594" s="1" t="str">
        <f ca="1">IFERROR(__xludf.DUMMYFUNCTION("GOOGLETRANSLATE(B9751,""en"",""ja"")"),"よろしく")</f>
        <v>よろしく</v>
      </c>
    </row>
    <row r="9595" spans="1:3" ht="18" customHeight="1" x14ac:dyDescent="0.3">
      <c r="A9595" s="1">
        <v>1</v>
      </c>
      <c r="B9595" s="1" t="s">
        <v>1339</v>
      </c>
      <c r="C9595" s="1" t="str">
        <f ca="1">IFERROR(__xludf.DUMMYFUNCTION("GOOGLETRANSLATE(B9752,""en"",""ja"")"),"かかわらず、")</f>
        <v>かかわらず、</v>
      </c>
    </row>
    <row r="9596" spans="1:3" ht="18" customHeight="1" x14ac:dyDescent="0.3">
      <c r="A9596" s="1">
        <v>1</v>
      </c>
      <c r="B9596" s="1" t="s">
        <v>1250</v>
      </c>
      <c r="C9596" s="1" t="str">
        <f ca="1">IFERROR(__xludf.DUMMYFUNCTION("GOOGLETRANSLATE(B9753,""en"",""ja"")"),"について")</f>
        <v>について</v>
      </c>
    </row>
    <row r="9597" spans="1:3" ht="18" customHeight="1" x14ac:dyDescent="0.3">
      <c r="A9597" s="1">
        <v>1</v>
      </c>
      <c r="B9597" s="1" t="s">
        <v>7544</v>
      </c>
      <c r="C9597" s="1" t="str">
        <f ca="1">IFERROR(__xludf.DUMMYFUNCTION("GOOGLETRANSLATE(B9754,""en"",""ja"")"),"反駁します")</f>
        <v>反駁します</v>
      </c>
    </row>
    <row r="9598" spans="1:3" ht="18" customHeight="1" x14ac:dyDescent="0.3">
      <c r="A9598" s="1">
        <v>1</v>
      </c>
      <c r="B9598" s="1" t="s">
        <v>7545</v>
      </c>
      <c r="C9598" s="1" t="str">
        <f ca="1">IFERROR(__xludf.DUMMYFUNCTION("GOOGLETRANSLATE(B9755,""en"",""ja"")"),"返金")</f>
        <v>返金</v>
      </c>
    </row>
    <row r="9599" spans="1:3" ht="18" customHeight="1" x14ac:dyDescent="0.3">
      <c r="A9599" s="1">
        <v>1</v>
      </c>
      <c r="B9599" s="1" t="s">
        <v>7546</v>
      </c>
      <c r="C9599" s="1" t="str">
        <f ca="1">IFERROR(__xludf.DUMMYFUNCTION("GOOGLETRANSLATE(B9756,""en"",""ja"")"),"避難")</f>
        <v>避難</v>
      </c>
    </row>
    <row r="9600" spans="1:3" ht="18" customHeight="1" x14ac:dyDescent="0.3">
      <c r="A9600" s="1">
        <v>1</v>
      </c>
      <c r="B9600" s="1" t="s">
        <v>7547</v>
      </c>
      <c r="C9600" s="1" t="str">
        <f ca="1">IFERROR(__xludf.DUMMYFUNCTION("GOOGLETRANSLATE(B9757,""en"",""ja"")"),"リフレイン")</f>
        <v>リフレイン</v>
      </c>
    </row>
    <row r="9601" spans="1:3" ht="18" customHeight="1" x14ac:dyDescent="0.3">
      <c r="A9601" s="1">
        <v>1</v>
      </c>
      <c r="B9601" s="1" t="s">
        <v>7548</v>
      </c>
      <c r="C9601" s="1" t="str">
        <f ca="1">IFERROR(__xludf.DUMMYFUNCTION("GOOGLETRANSLATE(B9758,""en"",""ja"")"),"定式")</f>
        <v>定式</v>
      </c>
    </row>
    <row r="9602" spans="1:3" ht="18" customHeight="1" x14ac:dyDescent="0.3">
      <c r="A9602" s="1">
        <v>1</v>
      </c>
      <c r="B9602" s="1" t="s">
        <v>7549</v>
      </c>
      <c r="C9602" s="1" t="str">
        <f ca="1">IFERROR(__xludf.DUMMYFUNCTION("GOOGLETRANSLATE(B9759,""en"",""ja"")"),"改革")</f>
        <v>改革</v>
      </c>
    </row>
    <row r="9603" spans="1:3" ht="18" customHeight="1" x14ac:dyDescent="0.3">
      <c r="A9603" s="1">
        <v>1</v>
      </c>
      <c r="B9603" s="1" t="s">
        <v>7550</v>
      </c>
      <c r="C9603" s="1" t="str">
        <f ca="1">IFERROR(__xludf.DUMMYFUNCTION("GOOGLETRANSLATE(B9760,""en"",""ja"")"),"改善")</f>
        <v>改善</v>
      </c>
    </row>
    <row r="9604" spans="1:3" ht="18" customHeight="1" x14ac:dyDescent="0.3">
      <c r="A9604" s="1">
        <v>1</v>
      </c>
      <c r="B9604" s="1" t="s">
        <v>6811</v>
      </c>
      <c r="C9604" s="1" t="str">
        <f ca="1">IFERROR(__xludf.DUMMYFUNCTION("GOOGLETRANSLATE(B9761,""en"",""ja"")"),"見直し")</f>
        <v>見直し</v>
      </c>
    </row>
    <row r="9605" spans="1:3" ht="18" customHeight="1" x14ac:dyDescent="0.3">
      <c r="A9605" s="1">
        <v>1</v>
      </c>
      <c r="B9605" s="1" t="s">
        <v>7551</v>
      </c>
      <c r="C9605" s="1" t="str">
        <f ca="1">IFERROR(__xludf.DUMMYFUNCTION("GOOGLETRANSLATE(B9762,""en"",""ja"")"),"リダイレクション")</f>
        <v>リダイレクション</v>
      </c>
    </row>
    <row r="9606" spans="1:3" ht="18" customHeight="1" x14ac:dyDescent="0.3">
      <c r="A9606" s="1">
        <v>1</v>
      </c>
      <c r="B9606" s="1" t="s">
        <v>5563</v>
      </c>
      <c r="C9606" s="1" t="str">
        <f ca="1">IFERROR(__xludf.DUMMYFUNCTION("GOOGLETRANSLATE(B9763,""en"",""ja"")"),"回復します")</f>
        <v>回復します</v>
      </c>
    </row>
    <row r="9607" spans="1:3" ht="18" customHeight="1" x14ac:dyDescent="0.3">
      <c r="A9607" s="1">
        <v>1</v>
      </c>
      <c r="B9607" s="1" t="s">
        <v>7552</v>
      </c>
      <c r="C9607" s="1" t="str">
        <f ca="1">IFERROR(__xludf.DUMMYFUNCTION("GOOGLETRANSLATE(B9764,""en"",""ja"")"),"再構築")</f>
        <v>再構築</v>
      </c>
    </row>
    <row r="9608" spans="1:3" ht="18" customHeight="1" x14ac:dyDescent="0.3">
      <c r="A9608" s="1">
        <v>1</v>
      </c>
      <c r="B9608" s="1" t="s">
        <v>7553</v>
      </c>
      <c r="C9608" s="1" t="str">
        <f ca="1">IFERROR(__xludf.DUMMYFUNCTION("GOOGLETRANSLATE(B9765,""en"",""ja"")"),"和解")</f>
        <v>和解</v>
      </c>
    </row>
    <row r="9609" spans="1:3" ht="18" customHeight="1" x14ac:dyDescent="0.3">
      <c r="A9609" s="1">
        <v>1</v>
      </c>
      <c r="B9609" s="1" t="s">
        <v>7554</v>
      </c>
      <c r="C9609" s="1" t="str">
        <f ca="1">IFERROR(__xludf.DUMMYFUNCTION("GOOGLETRANSLATE(B9766,""en"",""ja"")"),"推薦します")</f>
        <v>推薦します</v>
      </c>
    </row>
    <row r="9610" spans="1:3" ht="18" customHeight="1" x14ac:dyDescent="0.3">
      <c r="A9610" s="1">
        <v>1</v>
      </c>
      <c r="B9610" s="1" t="s">
        <v>7555</v>
      </c>
      <c r="C9610" s="1" t="str">
        <f ca="1">IFERROR(__xludf.DUMMYFUNCTION("GOOGLETRANSLATE(B9767,""en"",""ja"")"),"追憶")</f>
        <v>追憶</v>
      </c>
    </row>
    <row r="9611" spans="1:3" ht="18" customHeight="1" x14ac:dyDescent="0.3">
      <c r="A9611" s="1">
        <v>1</v>
      </c>
      <c r="B9611" s="1" t="s">
        <v>6818</v>
      </c>
      <c r="C9611" s="1" t="str">
        <f ca="1">IFERROR(__xludf.DUMMYFUNCTION("GOOGLETRANSLATE(B9768,""en"",""ja"")"),"互恵")</f>
        <v>互恵</v>
      </c>
    </row>
    <row r="9612" spans="1:3" ht="18" customHeight="1" x14ac:dyDescent="0.3">
      <c r="A9612" s="1">
        <v>1</v>
      </c>
      <c r="B9612" s="1" t="s">
        <v>2070</v>
      </c>
      <c r="C9612" s="1" t="str">
        <f ca="1">IFERROR(__xludf.DUMMYFUNCTION("GOOGLETRANSLATE(B9769,""en"",""ja"")"),"受け取ります")</f>
        <v>受け取ります</v>
      </c>
    </row>
    <row r="9613" spans="1:3" ht="18" customHeight="1" x14ac:dyDescent="0.3">
      <c r="A9613" s="1">
        <v>1</v>
      </c>
      <c r="B9613" s="1" t="s">
        <v>5570</v>
      </c>
      <c r="C9613" s="1" t="str">
        <f ca="1">IFERROR(__xludf.DUMMYFUNCTION("GOOGLETRANSLATE(B9770,""en"",""ja"")"),"想起")</f>
        <v>想起</v>
      </c>
    </row>
    <row r="9614" spans="1:3" ht="18" customHeight="1" x14ac:dyDescent="0.3">
      <c r="A9614" s="1">
        <v>1</v>
      </c>
      <c r="B9614" s="1" t="s">
        <v>5571</v>
      </c>
      <c r="C9614" s="1" t="str">
        <f ca="1">IFERROR(__xludf.DUMMYFUNCTION("GOOGLETRANSLATE(B9771,""en"",""ja"")"),"リブート")</f>
        <v>リブート</v>
      </c>
    </row>
    <row r="9615" spans="1:3" ht="18" customHeight="1" x14ac:dyDescent="0.3">
      <c r="A9615" s="1">
        <v>1</v>
      </c>
      <c r="B9615" s="1" t="s">
        <v>7556</v>
      </c>
      <c r="C9615" s="1" t="str">
        <f ca="1">IFERROR(__xludf.DUMMYFUNCTION("GOOGLETRANSLATE(B9772,""en"",""ja"")"),"rearrang")</f>
        <v>rearrang</v>
      </c>
    </row>
    <row r="9616" spans="1:3" ht="18" customHeight="1" x14ac:dyDescent="0.3">
      <c r="A9616" s="1">
        <v>1</v>
      </c>
      <c r="B9616" s="1" t="s">
        <v>7557</v>
      </c>
      <c r="C9616" s="1" t="str">
        <f ca="1">IFERROR(__xludf.DUMMYFUNCTION("GOOGLETRANSLATE(B9773,""en"",""ja"")"),"現実的に")</f>
        <v>現実的に</v>
      </c>
    </row>
    <row r="9617" spans="1:3" ht="18" customHeight="1" x14ac:dyDescent="0.3">
      <c r="A9617" s="1">
        <v>1</v>
      </c>
      <c r="B9617" s="1" t="s">
        <v>2575</v>
      </c>
      <c r="C9617" s="1" t="str">
        <f ca="1">IFERROR(__xludf.DUMMYFUNCTION("GOOGLETRANSLATE(B9774,""en"",""ja"")"),"読者")</f>
        <v>読者</v>
      </c>
    </row>
    <row r="9618" spans="1:3" ht="18" customHeight="1" x14ac:dyDescent="0.3">
      <c r="A9618" s="1">
        <v>1</v>
      </c>
      <c r="B9618" s="1" t="s">
        <v>2918</v>
      </c>
      <c r="C9618" s="1" t="str">
        <f ca="1">IFERROR(__xludf.DUMMYFUNCTION("GOOGLETRANSLATE(B9775,""en"",""ja"")"),"生")</f>
        <v>生</v>
      </c>
    </row>
    <row r="9619" spans="1:3" ht="18" customHeight="1" x14ac:dyDescent="0.3">
      <c r="A9619" s="1">
        <v>1</v>
      </c>
      <c r="B9619" s="1" t="s">
        <v>7558</v>
      </c>
      <c r="C9619" s="1" t="str">
        <f ca="1">IFERROR(__xludf.DUMMYFUNCTION("GOOGLETRANSLATE(B9776,""en"",""ja"")"),"比")</f>
        <v>比</v>
      </c>
    </row>
    <row r="9620" spans="1:3" ht="18" customHeight="1" x14ac:dyDescent="0.3">
      <c r="A9620" s="1">
        <v>1</v>
      </c>
      <c r="B9620" s="1" t="s">
        <v>151</v>
      </c>
      <c r="C9620" s="1" t="str">
        <f ca="1">IFERROR(__xludf.DUMMYFUNCTION("GOOGLETRANSLATE(B9777,""en"",""ja"")"),"かなり")</f>
        <v>かなり</v>
      </c>
    </row>
    <row r="9621" spans="1:3" ht="18" customHeight="1" x14ac:dyDescent="0.3">
      <c r="A9621" s="1">
        <v>1</v>
      </c>
      <c r="B9621" s="1" t="s">
        <v>7559</v>
      </c>
      <c r="C9621" s="1" t="str">
        <f ca="1">IFERROR(__xludf.DUMMYFUNCTION("GOOGLETRANSLATE(B9778,""en"",""ja"")"),"横行")</f>
        <v>横行</v>
      </c>
    </row>
    <row r="9622" spans="1:3" ht="18" customHeight="1" x14ac:dyDescent="0.3">
      <c r="A9622" s="1">
        <v>1</v>
      </c>
      <c r="B9622" s="1" t="s">
        <v>7560</v>
      </c>
      <c r="C9622" s="1" t="str">
        <f ca="1">IFERROR(__xludf.DUMMYFUNCTION("GOOGLETRANSLATE(B9779,""en"",""ja"")"),"雨の")</f>
        <v>雨の</v>
      </c>
    </row>
    <row r="9623" spans="1:3" ht="18" customHeight="1" x14ac:dyDescent="0.3">
      <c r="A9623" s="1">
        <v>1</v>
      </c>
      <c r="B9623" s="1" t="s">
        <v>7561</v>
      </c>
      <c r="C9623" s="1" t="str">
        <f ca="1">IFERROR(__xludf.DUMMYFUNCTION("GOOGLETRANSLATE(B9780,""en"",""ja"")"),"鉄道")</f>
        <v>鉄道</v>
      </c>
    </row>
    <row r="9624" spans="1:3" ht="18" customHeight="1" x14ac:dyDescent="0.3">
      <c r="A9624" s="1">
        <v>1</v>
      </c>
      <c r="B9624" s="1" t="s">
        <v>7562</v>
      </c>
      <c r="C9624" s="1" t="str">
        <f ca="1">IFERROR(__xludf.DUMMYFUNCTION("GOOGLETRANSLATE(B9781,""en"",""ja"")"),"人種差別主義")</f>
        <v>人種差別主義</v>
      </c>
    </row>
    <row r="9625" spans="1:3" ht="18" customHeight="1" x14ac:dyDescent="0.3">
      <c r="A9625" s="1">
        <v>1</v>
      </c>
      <c r="B9625" s="1" t="s">
        <v>7563</v>
      </c>
      <c r="C9625" s="1" t="str">
        <f ca="1">IFERROR(__xludf.DUMMYFUNCTION("GOOGLETRANSLATE(B9782,""en"",""ja"")"),"引用符")</f>
        <v>引用符</v>
      </c>
    </row>
    <row r="9626" spans="1:3" ht="18" customHeight="1" x14ac:dyDescent="0.3">
      <c r="A9626" s="1">
        <v>1</v>
      </c>
      <c r="B9626" s="1" t="s">
        <v>7564</v>
      </c>
      <c r="C9626" s="1" t="str">
        <f ca="1">IFERROR(__xludf.DUMMYFUNCTION("GOOGLETRANSLATE(B9783,""en"",""ja"")"),"引用されました")</f>
        <v>引用されました</v>
      </c>
    </row>
    <row r="9627" spans="1:3" ht="18" customHeight="1" x14ac:dyDescent="0.3">
      <c r="A9627" s="1">
        <v>1</v>
      </c>
      <c r="B9627" s="1" t="s">
        <v>7565</v>
      </c>
      <c r="C9627" s="1" t="str">
        <f ca="1">IFERROR(__xludf.DUMMYFUNCTION("GOOGLETRANSLATE(B9784,""en"",""ja"")"),"引用")</f>
        <v>引用</v>
      </c>
    </row>
    <row r="9628" spans="1:3" ht="18" customHeight="1" x14ac:dyDescent="0.3">
      <c r="A9628" s="1">
        <v>1</v>
      </c>
      <c r="B9628" s="1" t="s">
        <v>2077</v>
      </c>
      <c r="C9628" s="1" t="str">
        <f ca="1">IFERROR(__xludf.DUMMYFUNCTION("GOOGLETRANSLATE(B9785,""en"",""ja"")"),"量")</f>
        <v>量</v>
      </c>
    </row>
    <row r="9629" spans="1:3" ht="18" customHeight="1" x14ac:dyDescent="0.3">
      <c r="A9629" s="1">
        <v>1</v>
      </c>
      <c r="B9629" s="1" t="s">
        <v>7566</v>
      </c>
      <c r="C9629" s="1" t="str">
        <f ca="1">IFERROR(__xludf.DUMMYFUNCTION("GOOGLETRANSLATE(B9786,""en"",""ja"")"),"定性的")</f>
        <v>定性的</v>
      </c>
    </row>
    <row r="9630" spans="1:3" ht="18" customHeight="1" x14ac:dyDescent="0.3">
      <c r="A9630" s="1">
        <v>1</v>
      </c>
      <c r="B9630" s="1" t="s">
        <v>5587</v>
      </c>
      <c r="C9630" s="1" t="str">
        <f ca="1">IFERROR(__xludf.DUMMYFUNCTION("GOOGLETRANSLATE(B9787,""en"",""ja"")"),"資格")</f>
        <v>資格</v>
      </c>
    </row>
    <row r="9631" spans="1:3" ht="18" customHeight="1" x14ac:dyDescent="0.3">
      <c r="A9631" s="1">
        <v>1</v>
      </c>
      <c r="B9631" s="1" t="s">
        <v>7567</v>
      </c>
      <c r="C9631" s="1" t="str">
        <f ca="1">IFERROR(__xludf.DUMMYFUNCTION("GOOGLETRANSLATE(B9788,""en"",""ja"")"),"四倍")</f>
        <v>四倍</v>
      </c>
    </row>
    <row r="9632" spans="1:3" ht="18" customHeight="1" x14ac:dyDescent="0.3">
      <c r="A9632" s="1">
        <v>1</v>
      </c>
      <c r="B9632" s="1" t="s">
        <v>7568</v>
      </c>
      <c r="C9632" s="1" t="str">
        <f ca="1">IFERROR(__xludf.DUMMYFUNCTION("GOOGLETRANSLATE(B9789,""en"",""ja"")"),"清める")</f>
        <v>清める</v>
      </c>
    </row>
    <row r="9633" spans="1:3" ht="18" customHeight="1" x14ac:dyDescent="0.3">
      <c r="A9633" s="1">
        <v>1</v>
      </c>
      <c r="B9633" s="1" t="s">
        <v>7569</v>
      </c>
      <c r="C9633" s="1" t="str">
        <f ca="1">IFERROR(__xludf.DUMMYFUNCTION("GOOGLETRANSLATE(B9790,""en"",""ja"")"),"純粋に")</f>
        <v>純粋に</v>
      </c>
    </row>
    <row r="9634" spans="1:3" ht="18" customHeight="1" x14ac:dyDescent="0.3">
      <c r="A9634" s="1">
        <v>1</v>
      </c>
      <c r="B9634" s="1" t="s">
        <v>7570</v>
      </c>
      <c r="C9634" s="1" t="str">
        <f ca="1">IFERROR(__xludf.DUMMYFUNCTION("GOOGLETRANSLATE(B9791,""en"",""ja"")"),"罰します")</f>
        <v>罰します</v>
      </c>
    </row>
    <row r="9635" spans="1:3" ht="18" customHeight="1" x14ac:dyDescent="0.3">
      <c r="A9635" s="1">
        <v>1</v>
      </c>
      <c r="B9635" s="1" t="s">
        <v>7571</v>
      </c>
      <c r="C9635" s="1" t="str">
        <f ca="1">IFERROR(__xludf.DUMMYFUNCTION("GOOGLETRANSLATE(B9792,""en"",""ja"")"),"励起")</f>
        <v>励起</v>
      </c>
    </row>
    <row r="9636" spans="1:3" ht="18" customHeight="1" x14ac:dyDescent="0.3">
      <c r="A9636" s="1">
        <v>1</v>
      </c>
      <c r="B9636" s="1" t="s">
        <v>5592</v>
      </c>
      <c r="C9636" s="1" t="str">
        <f ca="1">IFERROR(__xludf.DUMMYFUNCTION("GOOGLETRANSLATE(B9793,""en"",""ja"")"),"引く")</f>
        <v>引く</v>
      </c>
    </row>
    <row r="9637" spans="1:3" ht="18" customHeight="1" x14ac:dyDescent="0.3">
      <c r="A9637" s="1">
        <v>1</v>
      </c>
      <c r="B9637" s="1" t="s">
        <v>6832</v>
      </c>
      <c r="C9637" s="1" t="str">
        <f ca="1">IFERROR(__xludf.DUMMYFUNCTION("GOOGLETRANSLATE(B9794,""en"",""ja"")"),"サイコセラピー")</f>
        <v>サイコセラピー</v>
      </c>
    </row>
    <row r="9638" spans="1:3" ht="18" customHeight="1" x14ac:dyDescent="0.3">
      <c r="A9638" s="1">
        <v>1</v>
      </c>
      <c r="B9638" s="1" t="s">
        <v>7572</v>
      </c>
      <c r="C9638" s="1" t="str">
        <f ca="1">IFERROR(__xludf.DUMMYFUNCTION("GOOGLETRANSLATE(B9795,""en"",""ja"")"),"挑発")</f>
        <v>挑発</v>
      </c>
    </row>
    <row r="9639" spans="1:3" ht="18" customHeight="1" x14ac:dyDescent="0.3">
      <c r="A9639" s="1">
        <v>1</v>
      </c>
      <c r="B9639" s="1" t="s">
        <v>5597</v>
      </c>
      <c r="C9639" s="1" t="str">
        <f ca="1">IFERROR(__xludf.DUMMYFUNCTION("GOOGLETRANSLATE(B9796,""en"",""ja"")"),"原形質")</f>
        <v>原形質</v>
      </c>
    </row>
    <row r="9640" spans="1:3" ht="18" customHeight="1" x14ac:dyDescent="0.3">
      <c r="A9640" s="1">
        <v>1</v>
      </c>
      <c r="B9640" s="1" t="s">
        <v>5602</v>
      </c>
      <c r="C9640" s="1" t="str">
        <f ca="1">IFERROR(__xludf.DUMMYFUNCTION("GOOGLETRANSLATE(B9797,""en"",""ja"")"),"抗議")</f>
        <v>抗議</v>
      </c>
    </row>
    <row r="9641" spans="1:3" ht="18" customHeight="1" x14ac:dyDescent="0.3">
      <c r="A9641" s="1">
        <v>1</v>
      </c>
      <c r="B9641" s="1" t="s">
        <v>7573</v>
      </c>
      <c r="C9641" s="1" t="str">
        <f ca="1">IFERROR(__xludf.DUMMYFUNCTION("GOOGLETRANSLATE(B9798,""en"",""ja"")"),"保護されました")</f>
        <v>保護されました</v>
      </c>
    </row>
    <row r="9642" spans="1:3" ht="18" customHeight="1" x14ac:dyDescent="0.3">
      <c r="A9642" s="1">
        <v>1</v>
      </c>
      <c r="B9642" s="1" t="s">
        <v>7574</v>
      </c>
      <c r="C9642" s="1" t="str">
        <f ca="1">IFERROR(__xludf.DUMMYFUNCTION("GOOGLETRANSLATE(B9799,""en"",""ja"")"),"見込み")</f>
        <v>見込み</v>
      </c>
    </row>
    <row r="9643" spans="1:3" ht="18" customHeight="1" x14ac:dyDescent="0.3">
      <c r="A9643" s="1">
        <v>1</v>
      </c>
      <c r="B9643" s="1" t="s">
        <v>5604</v>
      </c>
      <c r="C9643" s="1" t="str">
        <f ca="1">IFERROR(__xludf.DUMMYFUNCTION("GOOGLETRANSLATE(B9800,""en"",""ja"")"),"向社会的")</f>
        <v>向社会的</v>
      </c>
    </row>
    <row r="9644" spans="1:3" ht="18" customHeight="1" x14ac:dyDescent="0.3">
      <c r="A9644" s="1">
        <v>1</v>
      </c>
      <c r="B9644" s="1" t="s">
        <v>2323</v>
      </c>
      <c r="C9644" s="1" t="str">
        <f ca="1">IFERROR(__xludf.DUMMYFUNCTION("GOOGLETRANSLATE(B9801,""en"",""ja"")"),"推進")</f>
        <v>推進</v>
      </c>
    </row>
    <row r="9645" spans="1:3" ht="18" customHeight="1" x14ac:dyDescent="0.3">
      <c r="A9645" s="1">
        <v>1</v>
      </c>
      <c r="B9645" s="1" t="s">
        <v>7575</v>
      </c>
      <c r="C9645" s="1" t="str">
        <f ca="1">IFERROR(__xludf.DUMMYFUNCTION("GOOGLETRANSLATE(B9802,""en"",""ja"")"),"提案しています")</f>
        <v>提案しています</v>
      </c>
    </row>
    <row r="9646" spans="1:3" ht="18" customHeight="1" x14ac:dyDescent="0.3">
      <c r="A9646" s="1">
        <v>1</v>
      </c>
      <c r="B9646" s="1" t="s">
        <v>993</v>
      </c>
      <c r="C9646" s="1" t="str">
        <f ca="1">IFERROR(__xludf.DUMMYFUNCTION("GOOGLETRANSLATE(B9803,""en"",""ja"")"),"割合")</f>
        <v>割合</v>
      </c>
    </row>
    <row r="9647" spans="1:3" ht="18" customHeight="1" x14ac:dyDescent="0.3">
      <c r="A9647" s="1">
        <v>1</v>
      </c>
      <c r="B9647" s="1" t="s">
        <v>7576</v>
      </c>
      <c r="C9647" s="1" t="str">
        <f ca="1">IFERROR(__xludf.DUMMYFUNCTION("GOOGLETRANSLATE(B9804,""en"",""ja"")"),"提案者")</f>
        <v>提案者</v>
      </c>
    </row>
    <row r="9648" spans="1:3" ht="18" customHeight="1" x14ac:dyDescent="0.3">
      <c r="A9648" s="1">
        <v>1</v>
      </c>
      <c r="B9648" s="1" t="s">
        <v>7577</v>
      </c>
      <c r="C9648" s="1" t="str">
        <f ca="1">IFERROR(__xludf.DUMMYFUNCTION("GOOGLETRANSLATE(B9805,""en"",""ja"")"),"正しく")</f>
        <v>正しく</v>
      </c>
    </row>
    <row r="9649" spans="1:3" ht="18" customHeight="1" x14ac:dyDescent="0.3">
      <c r="A9649" s="1">
        <v>1</v>
      </c>
      <c r="B9649" s="1" t="s">
        <v>1431</v>
      </c>
      <c r="C9649" s="1" t="str">
        <f ca="1">IFERROR(__xludf.DUMMYFUNCTION("GOOGLETRANSLATE(B9806,""en"",""ja"")"),"プロモート")</f>
        <v>プロモート</v>
      </c>
    </row>
    <row r="9650" spans="1:3" ht="18" customHeight="1" x14ac:dyDescent="0.3">
      <c r="A9650" s="1">
        <v>1</v>
      </c>
      <c r="B9650" s="1" t="s">
        <v>5607</v>
      </c>
      <c r="C9650" s="1" t="str">
        <f ca="1">IFERROR(__xludf.DUMMYFUNCTION("GOOGLETRANSLATE(B9807,""en"",""ja"")"),"目立ちます")</f>
        <v>目立ちます</v>
      </c>
    </row>
    <row r="9651" spans="1:3" ht="18" customHeight="1" x14ac:dyDescent="0.3">
      <c r="A9651" s="1">
        <v>1</v>
      </c>
      <c r="B9651" s="1" t="s">
        <v>7578</v>
      </c>
      <c r="C9651" s="1" t="str">
        <f ca="1">IFERROR(__xludf.DUMMYFUNCTION("GOOGLETRANSLATE(B9808,""en"",""ja"")"),"ねずみ算")</f>
        <v>ねずみ算</v>
      </c>
    </row>
    <row r="9652" spans="1:3" ht="18" customHeight="1" x14ac:dyDescent="0.3">
      <c r="A9652" s="1">
        <v>1</v>
      </c>
      <c r="B9652" s="1" t="s">
        <v>7579</v>
      </c>
      <c r="C9652" s="1" t="str">
        <f ca="1">IFERROR(__xludf.DUMMYFUNCTION("GOOGLETRANSLATE(B9809,""en"",""ja"")"),"投影")</f>
        <v>投影</v>
      </c>
    </row>
    <row r="9653" spans="1:3" ht="18" customHeight="1" x14ac:dyDescent="0.3">
      <c r="A9653" s="1">
        <v>1</v>
      </c>
      <c r="B9653" s="1" t="s">
        <v>4495</v>
      </c>
      <c r="C9653" s="1" t="str">
        <f ca="1">IFERROR(__xludf.DUMMYFUNCTION("GOOGLETRANSLATE(B9810,""en"",""ja"")"),"禁止します")</f>
        <v>禁止します</v>
      </c>
    </row>
    <row r="9654" spans="1:3" ht="18" customHeight="1" x14ac:dyDescent="0.3">
      <c r="A9654" s="1">
        <v>1</v>
      </c>
      <c r="B9654" s="1" t="s">
        <v>5612</v>
      </c>
      <c r="C9654" s="1" t="str">
        <f ca="1">IFERROR(__xludf.DUMMYFUNCTION("GOOGLETRANSLATE(B9811,""en"",""ja"")"),"プログレッシブ")</f>
        <v>プログレッシブ</v>
      </c>
    </row>
    <row r="9655" spans="1:3" ht="18" customHeight="1" x14ac:dyDescent="0.3">
      <c r="A9655" s="1">
        <v>1</v>
      </c>
      <c r="B9655" s="1" t="s">
        <v>5613</v>
      </c>
      <c r="C9655" s="1" t="str">
        <f ca="1">IFERROR(__xludf.DUMMYFUNCTION("GOOGLETRANSLATE(B9812,""en"",""ja"")"),"プログラマー")</f>
        <v>プログラマー</v>
      </c>
    </row>
    <row r="9656" spans="1:3" ht="18" customHeight="1" x14ac:dyDescent="0.3">
      <c r="A9656" s="1">
        <v>1</v>
      </c>
      <c r="B9656" s="1" t="s">
        <v>3895</v>
      </c>
      <c r="C9656" s="1" t="str">
        <f ca="1">IFERROR(__xludf.DUMMYFUNCTION("GOOGLETRANSLATE(B9813,""en"",""ja"")"),"深遠")</f>
        <v>深遠</v>
      </c>
    </row>
    <row r="9657" spans="1:3" ht="18" customHeight="1" x14ac:dyDescent="0.3">
      <c r="A9657" s="1">
        <v>1</v>
      </c>
      <c r="B9657" s="1" t="s">
        <v>7580</v>
      </c>
      <c r="C9657" s="1" t="str">
        <f ca="1">IFERROR(__xludf.DUMMYFUNCTION("GOOGLETRANSLATE(B9814,""en"",""ja"")"),"営利")</f>
        <v>営利</v>
      </c>
    </row>
    <row r="9658" spans="1:3" ht="18" customHeight="1" x14ac:dyDescent="0.3">
      <c r="A9658" s="1">
        <v>1</v>
      </c>
      <c r="B9658" s="1" t="s">
        <v>5615</v>
      </c>
      <c r="C9658" s="1" t="str">
        <f ca="1">IFERROR(__xludf.DUMMYFUNCTION("GOOGLETRANSLATE(B9815,""en"",""ja"")"),"有益")</f>
        <v>有益</v>
      </c>
    </row>
    <row r="9659" spans="1:3" ht="18" customHeight="1" x14ac:dyDescent="0.3">
      <c r="A9659" s="1">
        <v>1</v>
      </c>
      <c r="B9659" s="1" t="s">
        <v>7581</v>
      </c>
      <c r="C9659" s="1" t="str">
        <f ca="1">IFERROR(__xludf.DUMMYFUNCTION("GOOGLETRANSLATE(B9816,""en"",""ja"")"),"生産的に")</f>
        <v>生産的に</v>
      </c>
    </row>
    <row r="9660" spans="1:3" ht="18" customHeight="1" x14ac:dyDescent="0.3">
      <c r="A9660" s="1">
        <v>1</v>
      </c>
      <c r="B9660" s="1" t="s">
        <v>4498</v>
      </c>
      <c r="C9660" s="1" t="str">
        <f ca="1">IFERROR(__xludf.DUMMYFUNCTION("GOOGLETRANSLATE(B9817,""en"",""ja"")"),"天才")</f>
        <v>天才</v>
      </c>
    </row>
    <row r="9661" spans="1:3" ht="18" customHeight="1" x14ac:dyDescent="0.3">
      <c r="A9661" s="1">
        <v>1</v>
      </c>
      <c r="B9661" s="1" t="s">
        <v>7582</v>
      </c>
      <c r="C9661" s="1" t="str">
        <f ca="1">IFERROR(__xludf.DUMMYFUNCTION("GOOGLETRANSLATE(B9818,""en"",""ja"")"),"宣言")</f>
        <v>宣言</v>
      </c>
    </row>
    <row r="9662" spans="1:3" ht="18" customHeight="1" x14ac:dyDescent="0.3">
      <c r="A9662" s="1">
        <v>1</v>
      </c>
      <c r="B9662" s="1" t="s">
        <v>7583</v>
      </c>
      <c r="C9662" s="1" t="str">
        <f ca="1">IFERROR(__xludf.DUMMYFUNCTION("GOOGLETRANSLATE(B9819,""en"",""ja"")"),"進め")</f>
        <v>進め</v>
      </c>
    </row>
    <row r="9663" spans="1:3" ht="18" customHeight="1" x14ac:dyDescent="0.3">
      <c r="A9663" s="1">
        <v>1</v>
      </c>
      <c r="B9663" s="1" t="s">
        <v>5620</v>
      </c>
      <c r="C9663" s="1" t="str">
        <f ca="1">IFERROR(__xludf.DUMMYFUNCTION("GOOGLETRANSLATE(B9820,""en"",""ja"")"),"民営化")</f>
        <v>民営化</v>
      </c>
    </row>
    <row r="9664" spans="1:3" ht="18" customHeight="1" x14ac:dyDescent="0.3">
      <c r="A9664" s="1">
        <v>1</v>
      </c>
      <c r="B9664" s="1" t="s">
        <v>4506</v>
      </c>
      <c r="C9664" s="1" t="str">
        <f ca="1">IFERROR(__xludf.DUMMYFUNCTION("GOOGLETRANSLATE(B9821,""en"",""ja"")"),"プリミティブ")</f>
        <v>プリミティブ</v>
      </c>
    </row>
    <row r="9665" spans="1:3" ht="18" customHeight="1" x14ac:dyDescent="0.3">
      <c r="A9665" s="1">
        <v>1</v>
      </c>
      <c r="B9665" s="1" t="s">
        <v>6848</v>
      </c>
      <c r="C9665" s="1" t="str">
        <f ca="1">IFERROR(__xludf.DUMMYFUNCTION("GOOGLETRANSLATE(B9822,""en"",""ja"")"),"貴重")</f>
        <v>貴重</v>
      </c>
    </row>
    <row r="9666" spans="1:3" ht="18" customHeight="1" x14ac:dyDescent="0.3">
      <c r="A9666" s="1">
        <v>1</v>
      </c>
      <c r="B9666" s="1" t="s">
        <v>4508</v>
      </c>
      <c r="C9666" s="1" t="str">
        <f ca="1">IFERROR(__xludf.DUMMYFUNCTION("GOOGLETRANSLATE(B9823,""en"",""ja"")"),"餌食")</f>
        <v>餌食</v>
      </c>
    </row>
    <row r="9667" spans="1:3" ht="18" customHeight="1" x14ac:dyDescent="0.3">
      <c r="A9667" s="1">
        <v>1</v>
      </c>
      <c r="B9667" s="1" t="s">
        <v>5625</v>
      </c>
      <c r="C9667" s="1" t="str">
        <f ca="1">IFERROR(__xludf.DUMMYFUNCTION("GOOGLETRANSLATE(B9824,""en"",""ja"")"),"広く")</f>
        <v>広く</v>
      </c>
    </row>
    <row r="9668" spans="1:3" ht="18" customHeight="1" x14ac:dyDescent="0.3">
      <c r="A9668" s="1">
        <v>1</v>
      </c>
      <c r="B9668" s="1" t="s">
        <v>2327</v>
      </c>
      <c r="C9668" s="1" t="str">
        <f ca="1">IFERROR(__xludf.DUMMYFUNCTION("GOOGLETRANSLATE(B9825,""en"",""ja"")"),"可愛い")</f>
        <v>可愛い</v>
      </c>
    </row>
    <row r="9669" spans="1:3" ht="18" customHeight="1" x14ac:dyDescent="0.3">
      <c r="A9669" s="1">
        <v>1</v>
      </c>
      <c r="B9669" s="1" t="s">
        <v>7584</v>
      </c>
      <c r="C9669" s="1" t="str">
        <f ca="1">IFERROR(__xludf.DUMMYFUNCTION("GOOGLETRANSLATE(B9826,""en"",""ja"")"),"プレタポルテ")</f>
        <v>プレタポルテ</v>
      </c>
    </row>
    <row r="9670" spans="1:3" ht="18" customHeight="1" x14ac:dyDescent="0.3">
      <c r="A9670" s="1">
        <v>1</v>
      </c>
      <c r="B9670" s="1" t="s">
        <v>3897</v>
      </c>
      <c r="C9670" s="1" t="str">
        <f ca="1">IFERROR(__xludf.DUMMYFUNCTION("GOOGLETRANSLATE(B9827,""en"",""ja"")"),"おそらく")</f>
        <v>おそらく</v>
      </c>
    </row>
    <row r="9671" spans="1:3" ht="18" customHeight="1" x14ac:dyDescent="0.3">
      <c r="A9671" s="1">
        <v>1</v>
      </c>
      <c r="B9671" s="1" t="s">
        <v>3332</v>
      </c>
      <c r="C9671" s="1" t="str">
        <f ca="1">IFERROR(__xludf.DUMMYFUNCTION("GOOGLETRANSLATE(B9828,""en"",""ja"")"),"押す")</f>
        <v>押す</v>
      </c>
    </row>
    <row r="9672" spans="1:3" ht="18" customHeight="1" x14ac:dyDescent="0.3">
      <c r="A9672" s="1">
        <v>1</v>
      </c>
      <c r="B9672" s="1" t="s">
        <v>5632</v>
      </c>
      <c r="C9672" s="1" t="str">
        <f ca="1">IFERROR(__xludf.DUMMYFUNCTION("GOOGLETRANSLATE(B9829,""en"",""ja"")"),"プレゼンテーション")</f>
        <v>プレゼンテーション</v>
      </c>
    </row>
    <row r="9673" spans="1:3" ht="18" customHeight="1" x14ac:dyDescent="0.3">
      <c r="A9673" s="1">
        <v>1</v>
      </c>
      <c r="B9673" s="1" t="s">
        <v>7585</v>
      </c>
      <c r="C9673" s="1" t="str">
        <f ca="1">IFERROR(__xludf.DUMMYFUNCTION("GOOGLETRANSLATE(B9830,""en"",""ja"")"),"予め選択されました")</f>
        <v>予め選択されました</v>
      </c>
    </row>
    <row r="9674" spans="1:3" ht="18" customHeight="1" x14ac:dyDescent="0.3">
      <c r="A9674" s="1">
        <v>1</v>
      </c>
      <c r="B9674" s="1" t="s">
        <v>3333</v>
      </c>
      <c r="C9674" s="1" t="str">
        <f ca="1">IFERROR(__xludf.DUMMYFUNCTION("GOOGLETRANSLATE(B9831,""en"",""ja"")"),"処方")</f>
        <v>処方</v>
      </c>
    </row>
    <row r="9675" spans="1:3" ht="18" customHeight="1" x14ac:dyDescent="0.3">
      <c r="A9675" s="1">
        <v>1</v>
      </c>
      <c r="B9675" s="1" t="s">
        <v>5633</v>
      </c>
      <c r="C9675" s="1" t="str">
        <f ca="1">IFERROR(__xludf.DUMMYFUNCTION("GOOGLETRANSLATE(B9832,""en"",""ja"")"),"未就学")</f>
        <v>未就学</v>
      </c>
    </row>
    <row r="9676" spans="1:3" ht="18" customHeight="1" x14ac:dyDescent="0.3">
      <c r="A9676" s="1">
        <v>1</v>
      </c>
      <c r="B9676" s="1" t="s">
        <v>3334</v>
      </c>
      <c r="C9676" s="1" t="str">
        <f ca="1">IFERROR(__xludf.DUMMYFUNCTION("GOOGLETRANSLATE(B9833,""en"",""ja"")"),"作ります")</f>
        <v>作ります</v>
      </c>
    </row>
    <row r="9677" spans="1:3" ht="18" customHeight="1" x14ac:dyDescent="0.3">
      <c r="A9677" s="1">
        <v>1</v>
      </c>
      <c r="B9677" s="1" t="s">
        <v>7586</v>
      </c>
      <c r="C9677" s="1" t="str">
        <f ca="1">IFERROR(__xludf.DUMMYFUNCTION("GOOGLETRANSLATE(B9834,""en"",""ja"")"),"準備")</f>
        <v>準備</v>
      </c>
    </row>
    <row r="9678" spans="1:3" ht="18" customHeight="1" x14ac:dyDescent="0.3">
      <c r="A9678" s="1">
        <v>1</v>
      </c>
      <c r="B9678" s="1" t="s">
        <v>7587</v>
      </c>
      <c r="C9678" s="1" t="str">
        <f ca="1">IFERROR(__xludf.DUMMYFUNCTION("GOOGLETRANSLATE(B9835,""en"",""ja"")"),"偏見")</f>
        <v>偏見</v>
      </c>
    </row>
    <row r="9679" spans="1:3" ht="18" customHeight="1" x14ac:dyDescent="0.3">
      <c r="A9679" s="1">
        <v>1</v>
      </c>
      <c r="B9679" s="1" t="s">
        <v>7588</v>
      </c>
      <c r="C9679" s="1" t="str">
        <f ca="1">IFERROR(__xludf.DUMMYFUNCTION("GOOGLETRANSLATE(B9836,""en"",""ja"")"),"好ましい")</f>
        <v>好ましい</v>
      </c>
    </row>
    <row r="9680" spans="1:3" ht="18" customHeight="1" x14ac:dyDescent="0.3">
      <c r="A9680" s="1">
        <v>1</v>
      </c>
      <c r="B9680" s="1" t="s">
        <v>7589</v>
      </c>
      <c r="C9680" s="1" t="str">
        <f ca="1">IFERROR(__xludf.DUMMYFUNCTION("GOOGLETRANSLATE(B9837,""en"",""ja"")"),"プリエンプト")</f>
        <v>プリエンプト</v>
      </c>
    </row>
    <row r="9681" spans="1:3" ht="18" customHeight="1" x14ac:dyDescent="0.3">
      <c r="A9681" s="1">
        <v>1</v>
      </c>
      <c r="B9681" s="1" t="s">
        <v>6859</v>
      </c>
      <c r="C9681" s="1" t="str">
        <f ca="1">IFERROR(__xludf.DUMMYFUNCTION("GOOGLETRANSLATE(B9838,""en"",""ja"")"),"主に")</f>
        <v>主に</v>
      </c>
    </row>
    <row r="9682" spans="1:3" ht="18" customHeight="1" x14ac:dyDescent="0.3">
      <c r="A9682" s="1">
        <v>1</v>
      </c>
      <c r="B9682" s="1" t="s">
        <v>7590</v>
      </c>
      <c r="C9682" s="1" t="str">
        <f ca="1">IFERROR(__xludf.DUMMYFUNCTION("GOOGLETRANSLATE(B9839,""en"",""ja"")"),"優勢な")</f>
        <v>優勢な</v>
      </c>
    </row>
    <row r="9683" spans="1:3" ht="18" customHeight="1" x14ac:dyDescent="0.3">
      <c r="A9683" s="1">
        <v>1</v>
      </c>
      <c r="B9683" s="1" t="s">
        <v>7591</v>
      </c>
      <c r="C9683" s="1" t="str">
        <f ca="1">IFERROR(__xludf.DUMMYFUNCTION("GOOGLETRANSLATE(B9840,""en"",""ja"")"),"主に")</f>
        <v>主に</v>
      </c>
    </row>
    <row r="9684" spans="1:3" ht="18" customHeight="1" x14ac:dyDescent="0.3">
      <c r="A9684" s="1">
        <v>1</v>
      </c>
      <c r="B9684" s="1" t="s">
        <v>7592</v>
      </c>
      <c r="C9684" s="1" t="str">
        <f ca="1">IFERROR(__xludf.DUMMYFUNCTION("GOOGLETRANSLATE(B9842,""en"",""ja"")"),"予測")</f>
        <v>予測</v>
      </c>
    </row>
    <row r="9685" spans="1:3" ht="18" customHeight="1" x14ac:dyDescent="0.3">
      <c r="A9685" s="1">
        <v>1</v>
      </c>
      <c r="B9685" s="1" t="s">
        <v>7593</v>
      </c>
      <c r="C9685" s="1" t="str">
        <f ca="1">IFERROR(__xludf.DUMMYFUNCTION("GOOGLETRANSLATE(B9843,""en"",""ja"")"),"前提条件")</f>
        <v>前提条件</v>
      </c>
    </row>
    <row r="9686" spans="1:3" ht="18" customHeight="1" x14ac:dyDescent="0.3">
      <c r="A9686" s="1">
        <v>1</v>
      </c>
      <c r="B9686" s="1" t="s">
        <v>5642</v>
      </c>
      <c r="C9686" s="1" t="str">
        <f ca="1">IFERROR(__xludf.DUMMYFUNCTION("GOOGLETRANSLATE(B9844,""en"",""ja"")"),"ちょうど")</f>
        <v>ちょうど</v>
      </c>
    </row>
    <row r="9687" spans="1:3" ht="18" customHeight="1" x14ac:dyDescent="0.3">
      <c r="A9687" s="1">
        <v>1</v>
      </c>
      <c r="B9687" s="1" t="s">
        <v>7594</v>
      </c>
      <c r="C9687" s="1" t="str">
        <f ca="1">IFERROR(__xludf.DUMMYFUNCTION("GOOGLETRANSLATE(B9845,""en"",""ja"")"),"貴重")</f>
        <v>貴重</v>
      </c>
    </row>
    <row r="9688" spans="1:3" ht="18" customHeight="1" x14ac:dyDescent="0.3">
      <c r="A9688" s="1">
        <v>1</v>
      </c>
      <c r="B9688" s="1" t="s">
        <v>7595</v>
      </c>
      <c r="C9688" s="1" t="str">
        <f ca="1">IFERROR(__xludf.DUMMYFUNCTION("GOOGLETRANSLATE(B9846,""en"",""ja"")"),"先行")</f>
        <v>先行</v>
      </c>
    </row>
    <row r="9689" spans="1:3" ht="18" customHeight="1" x14ac:dyDescent="0.3">
      <c r="A9689" s="1">
        <v>1</v>
      </c>
      <c r="B9689" s="1" t="s">
        <v>1650</v>
      </c>
      <c r="C9689" s="1" t="str">
        <f ca="1">IFERROR(__xludf.DUMMYFUNCTION("GOOGLETRANSLATE(B9847,""en"",""ja"")"),"前")</f>
        <v>前</v>
      </c>
    </row>
    <row r="9690" spans="1:3" ht="18" customHeight="1" x14ac:dyDescent="0.3">
      <c r="A9690" s="1">
        <v>1</v>
      </c>
      <c r="B9690" s="1" t="s">
        <v>7596</v>
      </c>
      <c r="C9690" s="1" t="str">
        <f ca="1">IFERROR(__xludf.DUMMYFUNCTION("GOOGLETRANSLATE(B9848,""en"",""ja"")"),"祈る")</f>
        <v>祈る</v>
      </c>
    </row>
    <row r="9691" spans="1:3" ht="18" customHeight="1" x14ac:dyDescent="0.3">
      <c r="A9691" s="1">
        <v>1</v>
      </c>
      <c r="B9691" s="1" t="s">
        <v>7597</v>
      </c>
      <c r="C9691" s="1" t="str">
        <f ca="1">IFERROR(__xludf.DUMMYFUNCTION("GOOGLETRANSLATE(B9849,""en"",""ja"")"),"ポテンシャル")</f>
        <v>ポテンシャル</v>
      </c>
    </row>
    <row r="9692" spans="1:3" ht="18" customHeight="1" x14ac:dyDescent="0.3">
      <c r="A9692" s="1">
        <v>1</v>
      </c>
      <c r="B9692" s="1" t="s">
        <v>5645</v>
      </c>
      <c r="C9692" s="1" t="str">
        <f ca="1">IFERROR(__xludf.DUMMYFUNCTION("GOOGLETRANSLATE(B9850,""en"",""ja"")"),"効能ある")</f>
        <v>効能ある</v>
      </c>
    </row>
    <row r="9693" spans="1:3" ht="18" customHeight="1" x14ac:dyDescent="0.3">
      <c r="A9693" s="1">
        <v>1</v>
      </c>
      <c r="B9693" s="1" t="s">
        <v>1179</v>
      </c>
      <c r="C9693" s="1" t="str">
        <f ca="1">IFERROR(__xludf.DUMMYFUNCTION("GOOGLETRANSLATE(B9851,""en"",""ja"")"),"役職")</f>
        <v>役職</v>
      </c>
    </row>
    <row r="9694" spans="1:3" ht="18" customHeight="1" x14ac:dyDescent="0.3">
      <c r="A9694" s="1">
        <v>1</v>
      </c>
      <c r="B9694" s="1" t="s">
        <v>1180</v>
      </c>
      <c r="C9694" s="1" t="str">
        <f ca="1">IFERROR(__xludf.DUMMYFUNCTION("GOOGLETRANSLATE(B9852,""en"",""ja"")"),"ポジティブ")</f>
        <v>ポジティブ</v>
      </c>
    </row>
    <row r="9695" spans="1:3" ht="18" customHeight="1" x14ac:dyDescent="0.3">
      <c r="A9695" s="1">
        <v>1</v>
      </c>
      <c r="B9695" s="1" t="s">
        <v>7598</v>
      </c>
      <c r="C9695" s="1" t="str">
        <f ca="1">IFERROR(__xludf.DUMMYFUNCTION("GOOGLETRANSLATE(B9853,""en"",""ja"")"),"描写")</f>
        <v>描写</v>
      </c>
    </row>
    <row r="9696" spans="1:3" ht="18" customHeight="1" x14ac:dyDescent="0.3">
      <c r="A9696" s="1">
        <v>1</v>
      </c>
      <c r="B9696" s="1" t="s">
        <v>2931</v>
      </c>
      <c r="C9696" s="1" t="str">
        <f ca="1">IFERROR(__xludf.DUMMYFUNCTION("GOOGLETRANSLATE(B9854,""en"",""ja"")"),"人気")</f>
        <v>人気</v>
      </c>
    </row>
    <row r="9697" spans="1:3" ht="18" customHeight="1" x14ac:dyDescent="0.3">
      <c r="A9697" s="1">
        <v>1</v>
      </c>
      <c r="B9697" s="1" t="s">
        <v>5652</v>
      </c>
      <c r="C9697" s="1" t="str">
        <f ca="1">IFERROR(__xludf.DUMMYFUNCTION("GOOGLETRANSLATE(B9855,""en"",""ja"")"),"ポリネシア")</f>
        <v>ポリネシア</v>
      </c>
    </row>
    <row r="9698" spans="1:3" ht="18" customHeight="1" x14ac:dyDescent="0.3">
      <c r="A9698" s="1">
        <v>1</v>
      </c>
      <c r="B9698" s="1" t="s">
        <v>7599</v>
      </c>
      <c r="C9698" s="1" t="str">
        <f ca="1">IFERROR(__xludf.DUMMYFUNCTION("GOOGLETRANSLATE(B9856,""en"",""ja"")"),"ポリティ")</f>
        <v>ポリティ</v>
      </c>
    </row>
    <row r="9699" spans="1:3" ht="18" customHeight="1" x14ac:dyDescent="0.3">
      <c r="A9699" s="1">
        <v>1</v>
      </c>
      <c r="B9699" s="1" t="s">
        <v>7600</v>
      </c>
      <c r="C9699" s="1" t="str">
        <f ca="1">IFERROR(__xludf.DUMMYFUNCTION("GOOGLETRANSLATE(B9858,""en"",""ja"")"),"研磨")</f>
        <v>研磨</v>
      </c>
    </row>
    <row r="9700" spans="1:3" ht="18" customHeight="1" x14ac:dyDescent="0.3">
      <c r="A9700" s="1">
        <v>1</v>
      </c>
      <c r="B9700" s="1" t="s">
        <v>7601</v>
      </c>
      <c r="C9700" s="1" t="str">
        <f ca="1">IFERROR(__xludf.DUMMYFUNCTION("GOOGLETRANSLATE(B9859,""en"",""ja"")"),"分極")</f>
        <v>分極</v>
      </c>
    </row>
    <row r="9701" spans="1:3" ht="18" customHeight="1" x14ac:dyDescent="0.3">
      <c r="A9701" s="1">
        <v>1</v>
      </c>
      <c r="B9701" s="1" t="s">
        <v>2933</v>
      </c>
      <c r="C9701" s="1" t="str">
        <f ca="1">IFERROR(__xludf.DUMMYFUNCTION("GOOGLETRANSLATE(B9860,""en"",""ja"")"),"詩")</f>
        <v>詩</v>
      </c>
    </row>
    <row r="9702" spans="1:3" ht="18" customHeight="1" x14ac:dyDescent="0.3">
      <c r="A9702" s="1">
        <v>1</v>
      </c>
      <c r="B9702" s="1" t="s">
        <v>7602</v>
      </c>
      <c r="C9702" s="1" t="str">
        <f ca="1">IFERROR(__xludf.DUMMYFUNCTION("GOOGLETRANSLATE(B9861,""en"",""ja"")"),"プロット")</f>
        <v>プロット</v>
      </c>
    </row>
    <row r="9703" spans="1:3" ht="18" customHeight="1" x14ac:dyDescent="0.3">
      <c r="A9703" s="1">
        <v>1</v>
      </c>
      <c r="B9703" s="1" t="s">
        <v>7603</v>
      </c>
      <c r="C9703" s="1" t="str">
        <f ca="1">IFERROR(__xludf.DUMMYFUNCTION("GOOGLETRANSLATE(B9862,""en"",""ja"")"),"襞")</f>
        <v>襞</v>
      </c>
    </row>
    <row r="9704" spans="1:3" ht="18" customHeight="1" x14ac:dyDescent="0.3">
      <c r="A9704" s="1">
        <v>1</v>
      </c>
      <c r="B9704" s="1" t="s">
        <v>7604</v>
      </c>
      <c r="C9704" s="1" t="str">
        <f ca="1">IFERROR(__xludf.DUMMYFUNCTION("GOOGLETRANSLATE(B9863,""en"",""ja"")"),"高原")</f>
        <v>高原</v>
      </c>
    </row>
    <row r="9705" spans="1:3" ht="18" customHeight="1" x14ac:dyDescent="0.3">
      <c r="A9705" s="1">
        <v>1</v>
      </c>
      <c r="B9705" s="1" t="s">
        <v>6874</v>
      </c>
      <c r="C9705" s="1" t="str">
        <f ca="1">IFERROR(__xludf.DUMMYFUNCTION("GOOGLETRANSLATE(B9864,""en"",""ja"")"),"可塑性")</f>
        <v>可塑性</v>
      </c>
    </row>
    <row r="9706" spans="1:3" ht="18" customHeight="1" x14ac:dyDescent="0.3">
      <c r="A9706" s="1">
        <v>1</v>
      </c>
      <c r="B9706" s="1" t="s">
        <v>7605</v>
      </c>
      <c r="C9706" s="1" t="str">
        <f ca="1">IFERROR(__xludf.DUMMYFUNCTION("GOOGLETRANSLATE(B9865,""en"",""ja"")"),"植付")</f>
        <v>植付</v>
      </c>
    </row>
    <row r="9707" spans="1:3" ht="18" customHeight="1" x14ac:dyDescent="0.3">
      <c r="A9707" s="1">
        <v>1</v>
      </c>
      <c r="B9707" s="1" t="s">
        <v>7606</v>
      </c>
      <c r="C9707" s="1" t="str">
        <f ca="1">IFERROR(__xludf.DUMMYFUNCTION("GOOGLETRANSLATE(B9866,""en"",""ja"")"),"計画")</f>
        <v>計画</v>
      </c>
    </row>
    <row r="9708" spans="1:3" ht="18" customHeight="1" x14ac:dyDescent="0.3">
      <c r="A9708" s="1">
        <v>1</v>
      </c>
      <c r="B9708" s="1" t="s">
        <v>7607</v>
      </c>
      <c r="C9708" s="1" t="str">
        <f ca="1">IFERROR(__xludf.DUMMYFUNCTION("GOOGLETRANSLATE(B9867,""en"",""ja"")"),"地球")</f>
        <v>地球</v>
      </c>
    </row>
    <row r="9709" spans="1:3" ht="18" customHeight="1" x14ac:dyDescent="0.3">
      <c r="A9709" s="1">
        <v>1</v>
      </c>
      <c r="B9709" s="1" t="s">
        <v>7608</v>
      </c>
      <c r="C9709" s="1" t="str">
        <f ca="1">IFERROR(__xludf.DUMMYFUNCTION("GOOGLETRANSLATE(B9868,""en"",""ja"")"),"落とし穴")</f>
        <v>落とし穴</v>
      </c>
    </row>
    <row r="9710" spans="1:3" ht="18" customHeight="1" x14ac:dyDescent="0.3">
      <c r="A9710" s="1">
        <v>1</v>
      </c>
      <c r="B9710" s="1" t="s">
        <v>7609</v>
      </c>
      <c r="C9710" s="1" t="str">
        <f ca="1">IFERROR(__xludf.DUMMYFUNCTION("GOOGLETRANSLATE(B9869,""en"",""ja"")"),"先駆者")</f>
        <v>先駆者</v>
      </c>
    </row>
    <row r="9711" spans="1:3" ht="18" customHeight="1" x14ac:dyDescent="0.3">
      <c r="A9711" s="1">
        <v>1</v>
      </c>
      <c r="B9711" s="1" t="s">
        <v>7610</v>
      </c>
      <c r="C9711" s="1" t="str">
        <f ca="1">IFERROR(__xludf.DUMMYFUNCTION("GOOGLETRANSLATE(B9870,""en"",""ja"")"),"ピンポイント")</f>
        <v>ピンポイント</v>
      </c>
    </row>
    <row r="9712" spans="1:3" ht="18" customHeight="1" x14ac:dyDescent="0.3">
      <c r="A9712" s="1">
        <v>1</v>
      </c>
      <c r="B9712" s="1" t="s">
        <v>7611</v>
      </c>
      <c r="C9712" s="1" t="str">
        <f ca="1">IFERROR(__xludf.DUMMYFUNCTION("GOOGLETRANSLATE(B9872,""en"",""ja"")"),"ピクニック")</f>
        <v>ピクニック</v>
      </c>
    </row>
    <row r="9713" spans="1:3" ht="18" customHeight="1" x14ac:dyDescent="0.3">
      <c r="A9713" s="1">
        <v>1</v>
      </c>
      <c r="B9713" s="1" t="s">
        <v>5670</v>
      </c>
      <c r="C9713" s="1" t="str">
        <f ca="1">IFERROR(__xludf.DUMMYFUNCTION("GOOGLETRANSLATE(B9873,""en"",""ja"")"),"物理的に")</f>
        <v>物理的に</v>
      </c>
    </row>
    <row r="9714" spans="1:3" ht="18" customHeight="1" x14ac:dyDescent="0.3">
      <c r="A9714" s="1">
        <v>1</v>
      </c>
      <c r="B9714" s="1" t="s">
        <v>7612</v>
      </c>
      <c r="C9714" s="1" t="str">
        <f ca="1">IFERROR(__xludf.DUMMYFUNCTION("GOOGLETRANSLATE(B9874,""en"",""ja"")"),"フォトジャーナリズム")</f>
        <v>フォトジャーナリズム</v>
      </c>
    </row>
    <row r="9715" spans="1:3" ht="18" customHeight="1" x14ac:dyDescent="0.3">
      <c r="A9715" s="1">
        <v>1</v>
      </c>
      <c r="B9715" s="1" t="s">
        <v>7613</v>
      </c>
      <c r="C9715" s="1" t="str">
        <f ca="1">IFERROR(__xludf.DUMMYFUNCTION("GOOGLETRANSLATE(B9875,""en"",""ja"")"),"写真家")</f>
        <v>写真家</v>
      </c>
    </row>
    <row r="9716" spans="1:3" ht="18" customHeight="1" x14ac:dyDescent="0.3">
      <c r="A9716" s="1">
        <v>1</v>
      </c>
      <c r="B9716" s="1" t="s">
        <v>6879</v>
      </c>
      <c r="C9716" s="1" t="str">
        <f ca="1">IFERROR(__xludf.DUMMYFUNCTION("GOOGLETRANSLATE(B9876,""en"",""ja"")"),"不誠実")</f>
        <v>不誠実</v>
      </c>
    </row>
    <row r="9717" spans="1:3" ht="18" customHeight="1" x14ac:dyDescent="0.3">
      <c r="A9717" s="1">
        <v>1</v>
      </c>
      <c r="B9717" s="1" t="s">
        <v>3910</v>
      </c>
      <c r="C9717" s="1" t="str">
        <f ca="1">IFERROR(__xludf.DUMMYFUNCTION("GOOGLETRANSLATE(B9877,""en"",""ja"")"),"哲学者")</f>
        <v>哲学者</v>
      </c>
    </row>
    <row r="9718" spans="1:3" ht="18" customHeight="1" x14ac:dyDescent="0.3">
      <c r="A9718" s="1">
        <v>1</v>
      </c>
      <c r="B9718" s="1" t="s">
        <v>7614</v>
      </c>
      <c r="C9718" s="1" t="str">
        <f ca="1">IFERROR(__xludf.DUMMYFUNCTION("GOOGLETRANSLATE(B9878,""en"",""ja"")"),"段階")</f>
        <v>段階</v>
      </c>
    </row>
    <row r="9719" spans="1:3" ht="18" customHeight="1" x14ac:dyDescent="0.3">
      <c r="A9719" s="1">
        <v>1</v>
      </c>
      <c r="B9719" s="1" t="s">
        <v>7615</v>
      </c>
      <c r="C9719" s="1" t="str">
        <f ca="1">IFERROR(__xludf.DUMMYFUNCTION("GOOGLETRANSLATE(B9879,""en"",""ja"")"),"ペット")</f>
        <v>ペット</v>
      </c>
    </row>
    <row r="9720" spans="1:3" ht="18" customHeight="1" x14ac:dyDescent="0.3">
      <c r="A9720" s="1">
        <v>1</v>
      </c>
      <c r="B9720" s="1" t="s">
        <v>3911</v>
      </c>
      <c r="C9720" s="1" t="str">
        <f ca="1">IFERROR(__xludf.DUMMYFUNCTION("GOOGLETRANSLATE(B9880,""en"",""ja"")"),"ペルー")</f>
        <v>ペルー</v>
      </c>
    </row>
    <row r="9721" spans="1:3" ht="18" customHeight="1" x14ac:dyDescent="0.3">
      <c r="A9721" s="1">
        <v>1</v>
      </c>
      <c r="B9721" s="1" t="s">
        <v>7616</v>
      </c>
      <c r="C9721" s="1" t="str">
        <f ca="1">IFERROR(__xludf.DUMMYFUNCTION("GOOGLETRANSLATE(B9881,""en"",""ja"")"),"PERUSE")</f>
        <v>PERUSE</v>
      </c>
    </row>
    <row r="9722" spans="1:3" ht="18" customHeight="1" x14ac:dyDescent="0.3">
      <c r="A9722" s="1">
        <v>1</v>
      </c>
      <c r="B9722" s="1" t="s">
        <v>7617</v>
      </c>
      <c r="C9722" s="1" t="str">
        <f ca="1">IFERROR(__xludf.DUMMYFUNCTION("GOOGLETRANSLATE(B9882,""en"",""ja"")"),"関連")</f>
        <v>関連</v>
      </c>
    </row>
    <row r="9723" spans="1:3" ht="18" customHeight="1" x14ac:dyDescent="0.3">
      <c r="A9723" s="1">
        <v>1</v>
      </c>
      <c r="B9723" s="1" t="s">
        <v>4556</v>
      </c>
      <c r="C9723" s="1" t="str">
        <f ca="1">IFERROR(__xludf.DUMMYFUNCTION("GOOGLETRANSLATE(B9883,""en"",""ja"")"),"言い聞かせる")</f>
        <v>言い聞かせる</v>
      </c>
    </row>
    <row r="9724" spans="1:3" ht="18" customHeight="1" x14ac:dyDescent="0.3">
      <c r="A9724" s="1">
        <v>1</v>
      </c>
      <c r="B9724" s="1" t="s">
        <v>2937</v>
      </c>
      <c r="C9724" s="1" t="str">
        <f ca="1">IFERROR(__xludf.DUMMYFUNCTION("GOOGLETRANSLATE(B9884,""en"",""ja"")"),"擬人化します")</f>
        <v>擬人化します</v>
      </c>
    </row>
    <row r="9725" spans="1:3" ht="18" customHeight="1" x14ac:dyDescent="0.3">
      <c r="A9725" s="1">
        <v>1</v>
      </c>
      <c r="B9725" s="1" t="s">
        <v>1181</v>
      </c>
      <c r="C9725" s="1" t="str">
        <f ca="1">IFERROR(__xludf.DUMMYFUNCTION("GOOGLETRANSLATE(B9885,""en"",""ja"")"),"パーソナライゼーション")</f>
        <v>パーソナライゼーション</v>
      </c>
    </row>
    <row r="9726" spans="1:3" ht="18" customHeight="1" x14ac:dyDescent="0.3">
      <c r="A9726" s="1">
        <v>1</v>
      </c>
      <c r="B9726" s="1" t="s">
        <v>5680</v>
      </c>
      <c r="C9726" s="1" t="str">
        <f ca="1">IFERROR(__xludf.DUMMYFUNCTION("GOOGLETRANSLATE(B9886,""en"",""ja"")"),"持続")</f>
        <v>持続</v>
      </c>
    </row>
    <row r="9727" spans="1:3" ht="18" customHeight="1" x14ac:dyDescent="0.3">
      <c r="A9727" s="1">
        <v>1</v>
      </c>
      <c r="B9727" s="1" t="s">
        <v>3914</v>
      </c>
      <c r="C9727" s="1" t="str">
        <f ca="1">IFERROR(__xludf.DUMMYFUNCTION("GOOGLETRANSLATE(B9887,""en"",""ja"")"),"永久的な")</f>
        <v>永久的な</v>
      </c>
    </row>
    <row r="9728" spans="1:3" ht="18" customHeight="1" x14ac:dyDescent="0.3">
      <c r="A9728" s="1">
        <v>1</v>
      </c>
      <c r="B9728" s="1" t="s">
        <v>2336</v>
      </c>
      <c r="C9728" s="1" t="str">
        <f ca="1">IFERROR(__xludf.DUMMYFUNCTION("GOOGLETRANSLATE(B9888,""en"",""ja"")"),"許可")</f>
        <v>許可</v>
      </c>
    </row>
    <row r="9729" spans="1:3" ht="18" customHeight="1" x14ac:dyDescent="0.3">
      <c r="A9729" s="1">
        <v>1</v>
      </c>
      <c r="B9729" s="1" t="s">
        <v>5682</v>
      </c>
      <c r="C9729" s="1" t="str">
        <f ca="1">IFERROR(__xludf.DUMMYFUNCTION("GOOGLETRANSLATE(B9889,""en"",""ja"")"),"末梢")</f>
        <v>末梢</v>
      </c>
    </row>
    <row r="9730" spans="1:3" ht="18" customHeight="1" x14ac:dyDescent="0.3">
      <c r="A9730" s="1">
        <v>1</v>
      </c>
      <c r="B9730" s="1" t="s">
        <v>4559</v>
      </c>
      <c r="C9730" s="1" t="str">
        <f ca="1">IFERROR(__xludf.DUMMYFUNCTION("GOOGLETRANSLATE(B9890,""en"",""ja"")"),"周辺")</f>
        <v>周辺</v>
      </c>
    </row>
    <row r="9731" spans="1:3" ht="18" customHeight="1" x14ac:dyDescent="0.3">
      <c r="A9731" s="1">
        <v>1</v>
      </c>
      <c r="B9731" s="1" t="s">
        <v>5683</v>
      </c>
      <c r="C9731" s="1" t="str">
        <f ca="1">IFERROR(__xludf.DUMMYFUNCTION("GOOGLETRANSLATE(B9891,""en"",""ja"")"),"周期")</f>
        <v>周期</v>
      </c>
    </row>
    <row r="9732" spans="1:3" ht="18" customHeight="1" x14ac:dyDescent="0.3">
      <c r="A9732" s="1">
        <v>1</v>
      </c>
      <c r="B9732" s="1" t="s">
        <v>7618</v>
      </c>
      <c r="C9732" s="1" t="str">
        <f ca="1">IFERROR(__xludf.DUMMYFUNCTION("GOOGLETRANSLATE(B9892,""en"",""ja"")"),"ペリ")</f>
        <v>ペリ</v>
      </c>
    </row>
    <row r="9733" spans="1:3" ht="18" customHeight="1" x14ac:dyDescent="0.3">
      <c r="A9733" s="1">
        <v>1</v>
      </c>
      <c r="B9733" s="1" t="s">
        <v>7619</v>
      </c>
      <c r="C9733" s="1" t="str">
        <f ca="1">IFERROR(__xludf.DUMMYFUNCTION("GOOGLETRANSLATE(B9893,""en"",""ja"")"),"止まりました")</f>
        <v>止まりました</v>
      </c>
    </row>
    <row r="9734" spans="1:3" ht="18" customHeight="1" x14ac:dyDescent="0.3">
      <c r="A9734" s="1">
        <v>1</v>
      </c>
      <c r="B9734" s="1" t="s">
        <v>7620</v>
      </c>
      <c r="C9734" s="1" t="str">
        <f ca="1">IFERROR(__xludf.DUMMYFUNCTION("GOOGLETRANSLATE(B9894,""en"",""ja"")"),"止まり木")</f>
        <v>止まり木</v>
      </c>
    </row>
    <row r="9735" spans="1:3" ht="18" customHeight="1" x14ac:dyDescent="0.3">
      <c r="A9735" s="1">
        <v>1</v>
      </c>
      <c r="B9735" s="1" t="s">
        <v>5692</v>
      </c>
      <c r="C9735" s="1" t="str">
        <f ca="1">IFERROR(__xludf.DUMMYFUNCTION("GOOGLETRANSLATE(B9895,""en"",""ja"")"),"感知できるほどに")</f>
        <v>感知できるほどに</v>
      </c>
    </row>
    <row r="9736" spans="1:3" ht="18" customHeight="1" x14ac:dyDescent="0.3">
      <c r="A9736" s="1">
        <v>1</v>
      </c>
      <c r="B9736" s="1" t="s">
        <v>7621</v>
      </c>
      <c r="C9736" s="1" t="str">
        <f ca="1">IFERROR(__xludf.DUMMYFUNCTION("GOOGLETRANSLATE(B9896,""en"",""ja"")"),"コショウ")</f>
        <v>コショウ</v>
      </c>
    </row>
    <row r="9737" spans="1:3" ht="18" customHeight="1" x14ac:dyDescent="0.3">
      <c r="A9737" s="1">
        <v>1</v>
      </c>
      <c r="B9737" s="1" t="s">
        <v>889</v>
      </c>
      <c r="C9737" s="1" t="str">
        <f ca="1">IFERROR(__xludf.DUMMYFUNCTION("GOOGLETRANSLATE(B9897,""en"",""ja"")"),"人々の")</f>
        <v>人々の</v>
      </c>
    </row>
    <row r="9738" spans="1:3" ht="18" customHeight="1" x14ac:dyDescent="0.3">
      <c r="A9738" s="1">
        <v>1</v>
      </c>
      <c r="B9738" s="1" t="s">
        <v>7622</v>
      </c>
      <c r="C9738" s="1" t="str">
        <f ca="1">IFERROR(__xludf.DUMMYFUNCTION("GOOGLETRANSLATE(B9898,""en"",""ja"")"),"年金")</f>
        <v>年金</v>
      </c>
    </row>
    <row r="9739" spans="1:3" ht="18" customHeight="1" x14ac:dyDescent="0.3">
      <c r="A9739" s="1">
        <v>1</v>
      </c>
      <c r="B9739" s="1" t="s">
        <v>7623</v>
      </c>
      <c r="C9739" s="1" t="str">
        <f ca="1">IFERROR(__xludf.DUMMYFUNCTION("GOOGLETRANSLATE(B9899,""en"",""ja"")"),"貫通")</f>
        <v>貫通</v>
      </c>
    </row>
    <row r="9740" spans="1:3" ht="18" customHeight="1" x14ac:dyDescent="0.3">
      <c r="A9740" s="1">
        <v>1</v>
      </c>
      <c r="B9740" s="1" t="s">
        <v>6886</v>
      </c>
      <c r="C9740" s="1" t="str">
        <f ca="1">IFERROR(__xludf.DUMMYFUNCTION("GOOGLETRANSLATE(B9900,""en"",""ja"")"),"教育学")</f>
        <v>教育学</v>
      </c>
    </row>
    <row r="9741" spans="1:3" ht="18" customHeight="1" x14ac:dyDescent="0.3">
      <c r="A9741" s="1">
        <v>1</v>
      </c>
      <c r="B9741" s="1" t="s">
        <v>7624</v>
      </c>
      <c r="C9741" s="1" t="str">
        <f ca="1">IFERROR(__xludf.DUMMYFUNCTION("GOOGLETRANSLATE(B9901,""en"",""ja"")"),"ピーク")</f>
        <v>ピーク</v>
      </c>
    </row>
    <row r="9742" spans="1:3" ht="18" customHeight="1" x14ac:dyDescent="0.3">
      <c r="A9742" s="1">
        <v>1</v>
      </c>
      <c r="B9742" s="1" t="s">
        <v>7625</v>
      </c>
      <c r="C9742" s="1" t="str">
        <f ca="1">IFERROR(__xludf.DUMMYFUNCTION("GOOGLETRANSLATE(B9902,""en"",""ja"")"),"平穏")</f>
        <v>平穏</v>
      </c>
    </row>
    <row r="9743" spans="1:3" ht="18" customHeight="1" x14ac:dyDescent="0.3">
      <c r="A9743" s="1">
        <v>1</v>
      </c>
      <c r="B9743" s="1" t="s">
        <v>7626</v>
      </c>
      <c r="C9743" s="1" t="str">
        <f ca="1">IFERROR(__xludf.DUMMYFUNCTION("GOOGLETRANSLATE(B9903,""en"",""ja"")"),"パートナー")</f>
        <v>パートナー</v>
      </c>
    </row>
    <row r="9744" spans="1:3" ht="18" customHeight="1" x14ac:dyDescent="0.3">
      <c r="A9744" s="1">
        <v>1</v>
      </c>
      <c r="B9744" s="1" t="s">
        <v>7627</v>
      </c>
      <c r="C9744" s="1" t="str">
        <f ca="1">IFERROR(__xludf.DUMMYFUNCTION("GOOGLETRANSLATE(B9904,""en"",""ja"")"),"参加者")</f>
        <v>参加者</v>
      </c>
    </row>
    <row r="9745" spans="1:3" ht="18" customHeight="1" x14ac:dyDescent="0.3">
      <c r="A9745" s="1">
        <v>1</v>
      </c>
      <c r="B9745" s="1" t="s">
        <v>800</v>
      </c>
      <c r="C9745" s="1" t="str">
        <f ca="1">IFERROR(__xludf.DUMMYFUNCTION("GOOGLETRANSLATE(B9905,""en"",""ja"")"),"参加者")</f>
        <v>参加者</v>
      </c>
    </row>
    <row r="9746" spans="1:3" ht="18" customHeight="1" x14ac:dyDescent="0.3">
      <c r="A9746" s="1">
        <v>1</v>
      </c>
      <c r="B9746" s="1" t="s">
        <v>7628</v>
      </c>
      <c r="C9746" s="1" t="str">
        <f ca="1">IFERROR(__xludf.DUMMYFUNCTION("GOOGLETRANSLATE(B9906,""en"",""ja"")"),"参加者")</f>
        <v>参加者</v>
      </c>
    </row>
    <row r="9747" spans="1:3" ht="18" customHeight="1" x14ac:dyDescent="0.3">
      <c r="A9747" s="1">
        <v>1</v>
      </c>
      <c r="B9747" s="1" t="s">
        <v>2605</v>
      </c>
      <c r="C9747" s="1" t="str">
        <f ca="1">IFERROR(__xludf.DUMMYFUNCTION("GOOGLETRANSLATE(B9907,""en"",""ja"")"),"部分的に")</f>
        <v>部分的に</v>
      </c>
    </row>
    <row r="9748" spans="1:3" ht="18" customHeight="1" x14ac:dyDescent="0.3">
      <c r="A9748" s="1">
        <v>1</v>
      </c>
      <c r="B9748" s="1" t="s">
        <v>7629</v>
      </c>
      <c r="C9748" s="1" t="str">
        <f ca="1">IFERROR(__xludf.DUMMYFUNCTION("GOOGLETRANSLATE(B9908,""en"",""ja"")"),"部分的")</f>
        <v>部分的</v>
      </c>
    </row>
    <row r="9749" spans="1:3" ht="18" customHeight="1" x14ac:dyDescent="0.3">
      <c r="A9749" s="1">
        <v>1</v>
      </c>
      <c r="B9749" s="1" t="s">
        <v>7630</v>
      </c>
      <c r="C9749" s="1" t="str">
        <f ca="1">IFERROR(__xludf.DUMMYFUNCTION("GOOGLETRANSLATE(B9909,""en"",""ja"")"),"親'")</f>
        <v>親'</v>
      </c>
    </row>
    <row r="9750" spans="1:3" ht="18" customHeight="1" x14ac:dyDescent="0.3">
      <c r="A9750" s="1">
        <v>1</v>
      </c>
      <c r="B9750" s="1" t="s">
        <v>4567</v>
      </c>
      <c r="C9750" s="1" t="str">
        <f ca="1">IFERROR(__xludf.DUMMYFUNCTION("GOOGLETRANSLATE(B9910,""en"",""ja"")"),"家柄")</f>
        <v>家柄</v>
      </c>
    </row>
    <row r="9751" spans="1:3" ht="18" customHeight="1" x14ac:dyDescent="0.3">
      <c r="A9751" s="1">
        <v>1</v>
      </c>
      <c r="B9751" s="1" t="s">
        <v>7631</v>
      </c>
      <c r="C9751" s="1" t="str">
        <f ca="1">IFERROR(__xludf.DUMMYFUNCTION("GOOGLETRANSLATE(B9911,""en"",""ja"")"),"言い換え")</f>
        <v>言い換え</v>
      </c>
    </row>
    <row r="9752" spans="1:3" ht="18" customHeight="1" x14ac:dyDescent="0.3">
      <c r="A9752" s="1">
        <v>1</v>
      </c>
      <c r="B9752" s="1" t="s">
        <v>5700</v>
      </c>
      <c r="C9752" s="1" t="str">
        <f ca="1">IFERROR(__xludf.DUMMYFUNCTION("GOOGLETRANSLATE(B9912,""en"",""ja"")"),"偏執")</f>
        <v>偏執</v>
      </c>
    </row>
    <row r="9753" spans="1:3" ht="18" customHeight="1" x14ac:dyDescent="0.3">
      <c r="A9753" s="1">
        <v>1</v>
      </c>
      <c r="B9753" s="1" t="s">
        <v>7632</v>
      </c>
      <c r="C9753" s="1" t="str">
        <f ca="1">IFERROR(__xludf.DUMMYFUNCTION("GOOGLETRANSLATE(B9913,""en"",""ja"")"),"並列")</f>
        <v>並列</v>
      </c>
    </row>
    <row r="9754" spans="1:3" ht="18" customHeight="1" x14ac:dyDescent="0.3">
      <c r="A9754" s="1">
        <v>1</v>
      </c>
      <c r="B9754" s="1" t="s">
        <v>7633</v>
      </c>
      <c r="C9754" s="1" t="str">
        <f ca="1">IFERROR(__xludf.DUMMYFUNCTION("GOOGLETRANSLATE(B9914,""en"",""ja"")"),"パン")</f>
        <v>パン</v>
      </c>
    </row>
    <row r="9755" spans="1:3" ht="18" customHeight="1" x14ac:dyDescent="0.3">
      <c r="A9755" s="1">
        <v>1</v>
      </c>
      <c r="B9755" s="1" t="s">
        <v>5701</v>
      </c>
      <c r="C9755" s="1" t="str">
        <f ca="1">IFERROR(__xludf.DUMMYFUNCTION("GOOGLETRANSLATE(B9915,""en"",""ja"")"),"痛いです")</f>
        <v>痛いです</v>
      </c>
    </row>
    <row r="9756" spans="1:3" ht="18" customHeight="1" x14ac:dyDescent="0.3">
      <c r="A9756" s="1">
        <v>1</v>
      </c>
      <c r="B9756" s="1" t="s">
        <v>4573</v>
      </c>
      <c r="C9756" s="1" t="str">
        <f ca="1">IFERROR(__xludf.DUMMYFUNCTION("GOOGLETRANSLATE(B9916,""en"",""ja"")"),"痛み")</f>
        <v>痛み</v>
      </c>
    </row>
    <row r="9757" spans="1:3" ht="18" customHeight="1" x14ac:dyDescent="0.3">
      <c r="A9757" s="1">
        <v>1</v>
      </c>
      <c r="B9757" s="1" t="s">
        <v>4574</v>
      </c>
      <c r="C9757" s="1" t="str">
        <f ca="1">IFERROR(__xludf.DUMMYFUNCTION("GOOGLETRANSLATE(B9917,""en"",""ja"")"),"異教の")</f>
        <v>異教の</v>
      </c>
    </row>
    <row r="9758" spans="1:3" ht="18" customHeight="1" x14ac:dyDescent="0.3">
      <c r="A9758" s="1">
        <v>1</v>
      </c>
      <c r="B9758" s="1" t="s">
        <v>7634</v>
      </c>
      <c r="C9758" s="1" t="str">
        <f ca="1">IFERROR(__xludf.DUMMYFUNCTION("GOOGLETRANSLATE(B9918,""en"",""ja"")"),"ペースメーカー")</f>
        <v>ペースメーカー</v>
      </c>
    </row>
    <row r="9759" spans="1:3" ht="18" customHeight="1" x14ac:dyDescent="0.3">
      <c r="A9759" s="1">
        <v>1</v>
      </c>
      <c r="B9759" s="1" t="s">
        <v>7635</v>
      </c>
      <c r="C9759" s="1" t="str">
        <f ca="1">IFERROR(__xludf.DUMMYFUNCTION("GOOGLETRANSLATE(B9919,""en"",""ja"")"),"ペースメーカー")</f>
        <v>ペースメーカー</v>
      </c>
    </row>
    <row r="9760" spans="1:3" ht="18" customHeight="1" x14ac:dyDescent="0.3">
      <c r="A9760" s="1">
        <v>1</v>
      </c>
      <c r="B9760" s="1" t="s">
        <v>7636</v>
      </c>
      <c r="C9760" s="1" t="str">
        <f ca="1">IFERROR(__xludf.DUMMYFUNCTION("GOOGLETRANSLATE(B9920,""en"",""ja"")"),"所有者")</f>
        <v>所有者</v>
      </c>
    </row>
    <row r="9761" spans="1:3" ht="18" customHeight="1" x14ac:dyDescent="0.3">
      <c r="A9761" s="1">
        <v>1</v>
      </c>
      <c r="B9761" s="1" t="s">
        <v>3920</v>
      </c>
      <c r="C9761" s="1" t="str">
        <f ca="1">IFERROR(__xludf.DUMMYFUNCTION("GOOGLETRANSLATE(B9921,""en"",""ja"")"),"時間とともに")</f>
        <v>時間とともに</v>
      </c>
    </row>
    <row r="9762" spans="1:3" ht="18" customHeight="1" x14ac:dyDescent="0.3">
      <c r="A9762" s="1">
        <v>1</v>
      </c>
      <c r="B9762" s="1" t="s">
        <v>7637</v>
      </c>
      <c r="C9762" s="1" t="str">
        <f ca="1">IFERROR(__xludf.DUMMYFUNCTION("GOOGLETRANSLATE(B9922,""en"",""ja"")"),"オーバーレイ")</f>
        <v>オーバーレイ</v>
      </c>
    </row>
    <row r="9763" spans="1:3" ht="18" customHeight="1" x14ac:dyDescent="0.3">
      <c r="A9763" s="1">
        <v>1</v>
      </c>
      <c r="B9763" s="1" t="s">
        <v>7638</v>
      </c>
      <c r="C9763" s="1" t="str">
        <f ca="1">IFERROR(__xludf.DUMMYFUNCTION("GOOGLETRANSLATE(B9924,""en"",""ja"")"),"overexpectancy")</f>
        <v>overexpectancy</v>
      </c>
    </row>
    <row r="9764" spans="1:3" ht="18" customHeight="1" x14ac:dyDescent="0.3">
      <c r="A9764" s="1">
        <v>1</v>
      </c>
      <c r="B9764" s="1" t="s">
        <v>3375</v>
      </c>
      <c r="C9764" s="1" t="str">
        <f ca="1">IFERROR(__xludf.DUMMYFUNCTION("GOOGLETRANSLATE(B9925,""en"",""ja"")"),"過大評価")</f>
        <v>過大評価</v>
      </c>
    </row>
    <row r="9765" spans="1:3" ht="18" customHeight="1" x14ac:dyDescent="0.3">
      <c r="A9765" s="1">
        <v>1</v>
      </c>
      <c r="B9765" s="1" t="s">
        <v>7639</v>
      </c>
      <c r="C9765" s="1" t="str">
        <f ca="1">IFERROR(__xludf.DUMMYFUNCTION("GOOGLETRANSLATE(B9926,""en"",""ja"")"),"過剰摂取")</f>
        <v>過剰摂取</v>
      </c>
    </row>
    <row r="9766" spans="1:3" ht="18" customHeight="1" x14ac:dyDescent="0.3">
      <c r="A9766" s="1">
        <v>1</v>
      </c>
      <c r="B9766" s="1" t="s">
        <v>7640</v>
      </c>
      <c r="C9766" s="1" t="str">
        <f ca="1">IFERROR(__xludf.DUMMYFUNCTION("GOOGLETRANSLATE(B9927,""en"",""ja"")"),"過密")</f>
        <v>過密</v>
      </c>
    </row>
    <row r="9767" spans="1:3" ht="18" customHeight="1" x14ac:dyDescent="0.3">
      <c r="A9767" s="1">
        <v>1</v>
      </c>
      <c r="B9767" s="1" t="s">
        <v>7641</v>
      </c>
      <c r="C9767" s="1" t="str">
        <f ca="1">IFERROR(__xludf.DUMMYFUNCTION("GOOGLETRANSLATE(B9928,""en"",""ja"")"),"混雑さ")</f>
        <v>混雑さ</v>
      </c>
    </row>
    <row r="9768" spans="1:3" ht="18" customHeight="1" x14ac:dyDescent="0.3">
      <c r="A9768" s="1">
        <v>1</v>
      </c>
      <c r="B9768" s="1" t="s">
        <v>7642</v>
      </c>
      <c r="C9768" s="1" t="str">
        <f ca="1">IFERROR(__xludf.DUMMYFUNCTION("GOOGLETRANSLATE(B9929,""en"",""ja"")"),"強引な")</f>
        <v>強引な</v>
      </c>
    </row>
    <row r="9769" spans="1:3" ht="18" customHeight="1" x14ac:dyDescent="0.3">
      <c r="A9769" s="1">
        <v>1</v>
      </c>
      <c r="B9769" s="1" t="s">
        <v>5713</v>
      </c>
      <c r="C9769" s="1" t="str">
        <f ca="1">IFERROR(__xludf.DUMMYFUNCTION("GOOGLETRANSLATE(B9930,""en"",""ja"")"),"身の程知らず")</f>
        <v>身の程知らず</v>
      </c>
    </row>
    <row r="9770" spans="1:3" ht="18" customHeight="1" x14ac:dyDescent="0.3">
      <c r="A9770" s="1">
        <v>1</v>
      </c>
      <c r="B9770" s="1" t="s">
        <v>39</v>
      </c>
      <c r="C9770" s="1" t="str">
        <f ca="1">IFERROR(__xludf.DUMMYFUNCTION("GOOGLETRANSLATE(B9931,""en"",""ja"")"),"私達の")</f>
        <v>私達の</v>
      </c>
    </row>
    <row r="9771" spans="1:3" ht="18" customHeight="1" x14ac:dyDescent="0.3">
      <c r="A9771" s="1">
        <v>1</v>
      </c>
      <c r="B9771" s="1" t="s">
        <v>7643</v>
      </c>
      <c r="C9771" s="1" t="str">
        <f ca="1">IFERROR(__xludf.DUMMYFUNCTION("GOOGLETRANSLATE(B9932,""en"",""ja"")"),"他人")</f>
        <v>他人</v>
      </c>
    </row>
    <row r="9772" spans="1:3" ht="18" customHeight="1" x14ac:dyDescent="0.3">
      <c r="A9772" s="1">
        <v>1</v>
      </c>
      <c r="B9772" s="1" t="s">
        <v>5717</v>
      </c>
      <c r="C9772" s="1" t="str">
        <f ca="1">IFERROR(__xludf.DUMMYFUNCTION("GOOGLETRANSLATE(B9933,""en"",""ja"")"),"他者性")</f>
        <v>他者性</v>
      </c>
    </row>
    <row r="9773" spans="1:3" ht="18" customHeight="1" x14ac:dyDescent="0.3">
      <c r="A9773" s="1">
        <v>1</v>
      </c>
      <c r="B9773" s="1" t="s">
        <v>7644</v>
      </c>
      <c r="C9773" s="1" t="str">
        <f ca="1">IFERROR(__xludf.DUMMYFUNCTION("GOOGLETRANSLATE(B9934,""en"",""ja"")"),"オーウェルさん")</f>
        <v>オーウェルさん</v>
      </c>
    </row>
    <row r="9774" spans="1:3" ht="18" customHeight="1" x14ac:dyDescent="0.3">
      <c r="A9774" s="1">
        <v>1</v>
      </c>
      <c r="B9774" s="1" t="s">
        <v>5720</v>
      </c>
      <c r="C9774" s="1" t="str">
        <f ca="1">IFERROR(__xludf.DUMMYFUNCTION("GOOGLETRANSLATE(B9935,""en"",""ja"")"),"鳥類学")</f>
        <v>鳥類学</v>
      </c>
    </row>
    <row r="9775" spans="1:3" ht="18" customHeight="1" x14ac:dyDescent="0.3">
      <c r="A9775" s="1">
        <v>1</v>
      </c>
      <c r="B9775" s="1" t="s">
        <v>7645</v>
      </c>
      <c r="C9775" s="1" t="str">
        <f ca="1">IFERROR(__xludf.DUMMYFUNCTION("GOOGLETRANSLATE(B9936,""en"",""ja"")"),"発信元")</f>
        <v>発信元</v>
      </c>
    </row>
    <row r="9776" spans="1:3" ht="18" customHeight="1" x14ac:dyDescent="0.3">
      <c r="A9776" s="1">
        <v>1</v>
      </c>
      <c r="B9776" s="1" t="s">
        <v>1351</v>
      </c>
      <c r="C9776" s="1" t="str">
        <f ca="1">IFERROR(__xludf.DUMMYFUNCTION("GOOGLETRANSLATE(B9937,""en"",""ja"")"),"元の")</f>
        <v>元の</v>
      </c>
    </row>
    <row r="9777" spans="1:3" ht="18" customHeight="1" x14ac:dyDescent="0.3">
      <c r="A9777" s="1">
        <v>1</v>
      </c>
      <c r="B9777" s="1" t="s">
        <v>5722</v>
      </c>
      <c r="C9777" s="1" t="str">
        <f ca="1">IFERROR(__xludf.DUMMYFUNCTION("GOOGLETRANSLATE(B9938,""en"",""ja"")"),"オリエンテーション")</f>
        <v>オリエンテーション</v>
      </c>
    </row>
    <row r="9778" spans="1:3" ht="18" customHeight="1" x14ac:dyDescent="0.3">
      <c r="A9778" s="1">
        <v>1</v>
      </c>
      <c r="B9778" s="1" t="s">
        <v>1436</v>
      </c>
      <c r="C9778" s="1" t="str">
        <f ca="1">IFERROR(__xludf.DUMMYFUNCTION("GOOGLETRANSLATE(B9939,""en"",""ja"")"),"組織")</f>
        <v>組織</v>
      </c>
    </row>
    <row r="9779" spans="1:3" ht="18" customHeight="1" x14ac:dyDescent="0.3">
      <c r="A9779" s="1">
        <v>1</v>
      </c>
      <c r="B9779" s="1" t="s">
        <v>844</v>
      </c>
      <c r="C9779" s="1" t="str">
        <f ca="1">IFERROR(__xludf.DUMMYFUNCTION("GOOGLETRANSLATE(B9940,""en"",""ja"")"),"オーガニック")</f>
        <v>オーガニック</v>
      </c>
    </row>
    <row r="9780" spans="1:3" ht="18" customHeight="1" x14ac:dyDescent="0.3">
      <c r="A9780" s="1">
        <v>1</v>
      </c>
      <c r="B9780" s="1" t="s">
        <v>7646</v>
      </c>
      <c r="C9780" s="1" t="str">
        <f ca="1">IFERROR(__xludf.DUMMYFUNCTION("GOOGLETRANSLATE(B9941,""en"",""ja"")"),"オプト")</f>
        <v>オプト</v>
      </c>
    </row>
    <row r="9781" spans="1:3" ht="18" customHeight="1" x14ac:dyDescent="0.3">
      <c r="A9781" s="1">
        <v>1</v>
      </c>
      <c r="B9781" s="1" t="s">
        <v>3925</v>
      </c>
      <c r="C9781" s="1" t="str">
        <f ca="1">IFERROR(__xludf.DUMMYFUNCTION("GOOGLETRANSLATE(B9942,""en"",""ja"")"),"抑圧")</f>
        <v>抑圧</v>
      </c>
    </row>
    <row r="9782" spans="1:3" ht="18" customHeight="1" x14ac:dyDescent="0.3">
      <c r="A9782" s="1">
        <v>1</v>
      </c>
      <c r="B9782" s="1" t="s">
        <v>7647</v>
      </c>
      <c r="C9782" s="1" t="str">
        <f ca="1">IFERROR(__xludf.DUMMYFUNCTION("GOOGLETRANSLATE(B9943,""en"",""ja"")"),"相手")</f>
        <v>相手</v>
      </c>
    </row>
    <row r="9783" spans="1:3" ht="18" customHeight="1" x14ac:dyDescent="0.3">
      <c r="A9783" s="1">
        <v>1</v>
      </c>
      <c r="B9783" s="1" t="s">
        <v>7648</v>
      </c>
      <c r="C9783" s="1" t="str">
        <f ca="1">IFERROR(__xludf.DUMMYFUNCTION("GOOGLETRANSLATE(B9944,""en"",""ja"")"),"意見")</f>
        <v>意見</v>
      </c>
    </row>
    <row r="9784" spans="1:3" ht="18" customHeight="1" x14ac:dyDescent="0.3">
      <c r="A9784" s="1">
        <v>1</v>
      </c>
      <c r="B9784" s="1" t="s">
        <v>5731</v>
      </c>
      <c r="C9784" s="1" t="str">
        <f ca="1">IFERROR(__xludf.DUMMYFUNCTION("GOOGLETRANSLATE(B9945,""en"",""ja"")"),"手術")</f>
        <v>手術</v>
      </c>
    </row>
    <row r="9785" spans="1:3" ht="18" customHeight="1" x14ac:dyDescent="0.3">
      <c r="A9785" s="1">
        <v>1</v>
      </c>
      <c r="B9785" s="1" t="s">
        <v>7649</v>
      </c>
      <c r="C9785" s="1" t="str">
        <f ca="1">IFERROR(__xludf.DUMMYFUNCTION("GOOGLETRANSLATE(B9946,""en"",""ja"")"),"操作します")</f>
        <v>操作します</v>
      </c>
    </row>
    <row r="9786" spans="1:3" ht="18" customHeight="1" x14ac:dyDescent="0.3">
      <c r="A9786" s="1">
        <v>1</v>
      </c>
      <c r="B9786" s="1" t="s">
        <v>7650</v>
      </c>
      <c r="C9786" s="1" t="str">
        <f ca="1">IFERROR(__xludf.DUMMYFUNCTION("GOOGLETRANSLATE(B9947,""en"",""ja"")"),"オペラ")</f>
        <v>オペラ</v>
      </c>
    </row>
    <row r="9787" spans="1:3" ht="18" customHeight="1" x14ac:dyDescent="0.3">
      <c r="A9787" s="1">
        <v>1</v>
      </c>
      <c r="B9787" s="1" t="s">
        <v>2945</v>
      </c>
      <c r="C9787" s="1" t="str">
        <f ca="1">IFERROR(__xludf.DUMMYFUNCTION("GOOGLETRANSLATE(B9948,""en"",""ja"")"),"へ")</f>
        <v>へ</v>
      </c>
    </row>
    <row r="9788" spans="1:3" ht="18" customHeight="1" x14ac:dyDescent="0.3">
      <c r="A9788" s="1">
        <v>1</v>
      </c>
      <c r="B9788" s="1" t="s">
        <v>71</v>
      </c>
      <c r="C9788" s="1" t="str">
        <f ca="1">IFERROR(__xludf.DUMMYFUNCTION("GOOGLETRANSLATE(B9949,""en"",""ja"")"),"のみ")</f>
        <v>のみ</v>
      </c>
    </row>
    <row r="9789" spans="1:3" ht="18" customHeight="1" x14ac:dyDescent="0.3">
      <c r="A9789" s="1">
        <v>1</v>
      </c>
      <c r="B9789" s="1" t="s">
        <v>7651</v>
      </c>
      <c r="C9789" s="1" t="str">
        <f ca="1">IFERROR(__xludf.DUMMYFUNCTION("GOOGLETRANSLATE(B9950,""en"",""ja"")"),"オリンピック")</f>
        <v>オリンピック</v>
      </c>
    </row>
    <row r="9790" spans="1:3" ht="18" customHeight="1" x14ac:dyDescent="0.3">
      <c r="A9790" s="1">
        <v>1</v>
      </c>
      <c r="B9790" s="1" t="s">
        <v>7652</v>
      </c>
      <c r="C9790" s="1" t="str">
        <f ca="1">IFERROR(__xludf.DUMMYFUNCTION("GOOGLETRANSLATE(B9951,""en"",""ja"")"),"歳")</f>
        <v>歳</v>
      </c>
    </row>
    <row r="9791" spans="1:3" ht="18" customHeight="1" x14ac:dyDescent="0.3">
      <c r="A9791" s="1">
        <v>1</v>
      </c>
      <c r="B9791" s="1" t="s">
        <v>105</v>
      </c>
      <c r="C9791" s="1" t="str">
        <f ca="1">IFERROR(__xludf.DUMMYFUNCTION("GOOGLETRANSLATE(B9954,""en"",""ja"")"),"しばしば")</f>
        <v>しばしば</v>
      </c>
    </row>
    <row r="9792" spans="1:3" ht="18" customHeight="1" x14ac:dyDescent="0.3">
      <c r="A9792" s="1">
        <v>1</v>
      </c>
      <c r="B9792" s="1" t="s">
        <v>7653</v>
      </c>
      <c r="C9792" s="1" t="str">
        <f ca="1">IFERROR(__xludf.DUMMYFUNCTION("GOOGLETRANSLATE(B9955,""en"",""ja"")"),"怒らせます")</f>
        <v>怒らせます</v>
      </c>
    </row>
    <row r="9793" spans="1:3" ht="18" customHeight="1" x14ac:dyDescent="0.3">
      <c r="A9793" s="1">
        <v>1</v>
      </c>
      <c r="B9793" s="1" t="s">
        <v>1261</v>
      </c>
      <c r="C9793" s="1" t="str">
        <f ca="1">IFERROR(__xludf.DUMMYFUNCTION("GOOGLETRANSLATE(B9956,""en"",""ja"")"),"オッズ")</f>
        <v>オッズ</v>
      </c>
    </row>
    <row r="9794" spans="1:3" ht="18" customHeight="1" x14ac:dyDescent="0.3">
      <c r="A9794" s="1">
        <v>1</v>
      </c>
      <c r="B9794" s="1" t="s">
        <v>7654</v>
      </c>
      <c r="C9794" s="1" t="str">
        <f ca="1">IFERROR(__xludf.DUMMYFUNCTION("GOOGLETRANSLATE(B9957,""en"",""ja"")"),"出現")</f>
        <v>出現</v>
      </c>
    </row>
    <row r="9795" spans="1:3" ht="18" customHeight="1" x14ac:dyDescent="0.3">
      <c r="A9795" s="1">
        <v>1</v>
      </c>
      <c r="B9795" s="1" t="s">
        <v>7655</v>
      </c>
      <c r="C9795" s="1" t="str">
        <f ca="1">IFERROR(__xludf.DUMMYFUNCTION("GOOGLETRANSLATE(B9958,""en"",""ja"")"),"OC")</f>
        <v>OC</v>
      </c>
    </row>
    <row r="9796" spans="1:3" ht="18" customHeight="1" x14ac:dyDescent="0.3">
      <c r="A9796" s="1">
        <v>1</v>
      </c>
      <c r="B9796" s="1" t="s">
        <v>7656</v>
      </c>
      <c r="C9796" s="1" t="str">
        <f ca="1">IFERROR(__xludf.DUMMYFUNCTION("GOOGLETRANSLATE(B9960,""en"",""ja"")"),"観測可能")</f>
        <v>観測可能</v>
      </c>
    </row>
    <row r="9797" spans="1:3" ht="18" customHeight="1" x14ac:dyDescent="0.3">
      <c r="A9797" s="1">
        <v>1</v>
      </c>
      <c r="B9797" s="1" t="s">
        <v>5741</v>
      </c>
      <c r="C9797" s="1" t="str">
        <f ca="1">IFERROR(__xludf.DUMMYFUNCTION("GOOGLETRANSLATE(B9961,""en"",""ja"")"),"不明")</f>
        <v>不明</v>
      </c>
    </row>
    <row r="9798" spans="1:3" ht="18" customHeight="1" x14ac:dyDescent="0.3">
      <c r="A9798" s="1">
        <v>1</v>
      </c>
      <c r="B9798" s="1" t="s">
        <v>5742</v>
      </c>
      <c r="C9798" s="1" t="str">
        <f ca="1">IFERROR(__xludf.DUMMYFUNCTION("GOOGLETRANSLATE(B9962,""en"",""ja"")"),"抹消")</f>
        <v>抹消</v>
      </c>
    </row>
    <row r="9799" spans="1:3" ht="18" customHeight="1" x14ac:dyDescent="0.3">
      <c r="A9799" s="1">
        <v>1</v>
      </c>
      <c r="B9799" s="1" t="s">
        <v>7657</v>
      </c>
      <c r="C9799" s="1" t="str">
        <f ca="1">IFERROR(__xludf.DUMMYFUNCTION("GOOGLETRANSLATE(B9964,""en"",""ja"")"),"O1")</f>
        <v>O1</v>
      </c>
    </row>
    <row r="9800" spans="1:3" ht="18" customHeight="1" x14ac:dyDescent="0.3">
      <c r="A9800" s="1">
        <v>1</v>
      </c>
      <c r="B9800" s="1" t="s">
        <v>7658</v>
      </c>
      <c r="C9800" s="1" t="str">
        <f ca="1">IFERROR(__xludf.DUMMYFUNCTION("GOOGLETRANSLATE(B9965,""en"",""ja"")"),"NY")</f>
        <v>NY</v>
      </c>
    </row>
    <row r="9801" spans="1:3" ht="18" customHeight="1" x14ac:dyDescent="0.3">
      <c r="A9801" s="1">
        <v>1</v>
      </c>
      <c r="B9801" s="1" t="s">
        <v>4595</v>
      </c>
      <c r="C9801" s="1" t="str">
        <f ca="1">IFERROR(__xludf.DUMMYFUNCTION("GOOGLETRANSLATE(B9966,""en"",""ja"")"),"育成")</f>
        <v>育成</v>
      </c>
    </row>
    <row r="9802" spans="1:3" ht="18" customHeight="1" x14ac:dyDescent="0.3">
      <c r="A9802" s="1">
        <v>1</v>
      </c>
      <c r="B9802" s="1" t="s">
        <v>7659</v>
      </c>
      <c r="C9802" s="1" t="str">
        <f ca="1">IFERROR(__xludf.DUMMYFUNCTION("GOOGLETRANSLATE(B9967,""en"",""ja"")"),"数の")</f>
        <v>数の</v>
      </c>
    </row>
    <row r="9803" spans="1:3" ht="18" customHeight="1" x14ac:dyDescent="0.3">
      <c r="A9803" s="1">
        <v>1</v>
      </c>
      <c r="B9803" s="1" t="s">
        <v>118</v>
      </c>
      <c r="C9803" s="1" t="str">
        <f ca="1">IFERROR(__xludf.DUMMYFUNCTION("GOOGLETRANSLATE(B9968,""en"",""ja"")"),"今")</f>
        <v>今</v>
      </c>
    </row>
    <row r="9804" spans="1:3" ht="18" customHeight="1" x14ac:dyDescent="0.3">
      <c r="A9804" s="1">
        <v>1</v>
      </c>
      <c r="B9804" s="1" t="s">
        <v>1929</v>
      </c>
      <c r="C9804" s="1" t="str">
        <f ca="1">IFERROR(__xludf.DUMMYFUNCTION("GOOGLETRANSLATE(B9969,""en"",""ja"")"),"どこにも")</f>
        <v>どこにも</v>
      </c>
    </row>
    <row r="9805" spans="1:3" ht="18" customHeight="1" x14ac:dyDescent="0.3">
      <c r="A9805" s="1">
        <v>1</v>
      </c>
      <c r="B9805" s="1" t="s">
        <v>7660</v>
      </c>
      <c r="C9805" s="1" t="str">
        <f ca="1">IFERROR(__xludf.DUMMYFUNCTION("GOOGLETRANSLATE(B9970,""en"",""ja"")"),"お取置き")</f>
        <v>お取置き</v>
      </c>
    </row>
    <row r="9806" spans="1:3" ht="18" customHeight="1" x14ac:dyDescent="0.3">
      <c r="A9806" s="1">
        <v>1</v>
      </c>
      <c r="B9806" s="1" t="s">
        <v>7661</v>
      </c>
      <c r="C9806" s="1" t="str">
        <f ca="1">IFERROR(__xludf.DUMMYFUNCTION("GOOGLETRANSLATE(B9971,""en"",""ja"")"),"nonscientist")</f>
        <v>nonscientist</v>
      </c>
    </row>
    <row r="9807" spans="1:3" ht="18" customHeight="1" x14ac:dyDescent="0.3">
      <c r="A9807" s="1">
        <v>1</v>
      </c>
      <c r="B9807" s="1" t="s">
        <v>2955</v>
      </c>
      <c r="C9807" s="1" t="str">
        <f ca="1">IFERROR(__xludf.DUMMYFUNCTION("GOOGLETRANSLATE(B9972,""en"",""ja"")"),"非線形")</f>
        <v>非線形</v>
      </c>
    </row>
    <row r="9808" spans="1:3" ht="18" customHeight="1" x14ac:dyDescent="0.3">
      <c r="A9808" s="1">
        <v>1</v>
      </c>
      <c r="B9808" s="1" t="s">
        <v>1779</v>
      </c>
      <c r="C9808" s="1" t="str">
        <f ca="1">IFERROR(__xludf.DUMMYFUNCTION("GOOGLETRANSLATE(B9973,""en"",""ja"")"),"ヒト以外の")</f>
        <v>ヒト以外の</v>
      </c>
    </row>
    <row r="9809" spans="1:3" ht="18" customHeight="1" x14ac:dyDescent="0.3">
      <c r="A9809" s="1">
        <v>1</v>
      </c>
      <c r="B9809" s="1" t="s">
        <v>7662</v>
      </c>
      <c r="C9809" s="1" t="str">
        <f ca="1">IFERROR(__xludf.DUMMYFUNCTION("GOOGLETRANSLATE(B9975,""en"",""ja"")"),"第九の")</f>
        <v>第九の</v>
      </c>
    </row>
    <row r="9810" spans="1:3" ht="18" customHeight="1" x14ac:dyDescent="0.3">
      <c r="A9810" s="1">
        <v>1</v>
      </c>
      <c r="B9810" s="1" t="s">
        <v>3932</v>
      </c>
      <c r="C9810" s="1" t="str">
        <f ca="1">IFERROR(__xludf.DUMMYFUNCTION("GOOGLETRANSLATE(B9976,""en"",""ja"")"),"ニノ")</f>
        <v>ニノ</v>
      </c>
    </row>
    <row r="9811" spans="1:3" ht="18" customHeight="1" x14ac:dyDescent="0.3">
      <c r="A9811" s="1">
        <v>1</v>
      </c>
      <c r="B9811" s="1" t="s">
        <v>7663</v>
      </c>
      <c r="C9811" s="1" t="str">
        <f ca="1">IFERROR(__xludf.DUMMYFUNCTION("GOOGLETRANSLATE(B9977,""en"",""ja"")"),"ナイキ")</f>
        <v>ナイキ</v>
      </c>
    </row>
    <row r="9812" spans="1:3" ht="18" customHeight="1" x14ac:dyDescent="0.3">
      <c r="A9812" s="1">
        <v>1</v>
      </c>
      <c r="B9812" s="1" t="s">
        <v>7664</v>
      </c>
      <c r="C9812" s="1" t="str">
        <f ca="1">IFERROR(__xludf.DUMMYFUNCTION("GOOGLETRANSLATE(B9978,""en"",""ja"")"),"すてきな")</f>
        <v>すてきな</v>
      </c>
    </row>
    <row r="9813" spans="1:3" ht="18" customHeight="1" x14ac:dyDescent="0.3">
      <c r="A9813" s="1">
        <v>1</v>
      </c>
      <c r="B9813" s="1" t="s">
        <v>512</v>
      </c>
      <c r="C9813" s="1" t="str">
        <f ca="1">IFERROR(__xludf.DUMMYFUNCTION("GOOGLETRANSLATE(B9980,""en"",""ja"")"),"決して")</f>
        <v>決して</v>
      </c>
    </row>
    <row r="9814" spans="1:3" ht="18" customHeight="1" x14ac:dyDescent="0.3">
      <c r="A9814" s="1">
        <v>1</v>
      </c>
      <c r="B9814" s="1" t="s">
        <v>3395</v>
      </c>
      <c r="C9814" s="1" t="str">
        <f ca="1">IFERROR(__xludf.DUMMYFUNCTION("GOOGLETRANSLATE(B9981,""en"",""ja"")"),"神経")</f>
        <v>神経</v>
      </c>
    </row>
    <row r="9815" spans="1:3" ht="18" customHeight="1" x14ac:dyDescent="0.3">
      <c r="A9815" s="1">
        <v>1</v>
      </c>
      <c r="B9815" s="1" t="s">
        <v>7665</v>
      </c>
      <c r="C9815" s="1" t="str">
        <f ca="1">IFERROR(__xludf.DUMMYFUNCTION("GOOGLETRANSLATE(B9982,""en"",""ja"")"),"近接")</f>
        <v>近接</v>
      </c>
    </row>
    <row r="9816" spans="1:3" ht="18" customHeight="1" x14ac:dyDescent="0.3">
      <c r="A9816" s="1">
        <v>1</v>
      </c>
      <c r="B9816" s="1" t="s">
        <v>7666</v>
      </c>
      <c r="C9816" s="1" t="str">
        <f ca="1">IFERROR(__xludf.DUMMYFUNCTION("GOOGLETRANSLATE(B9983,""en"",""ja"")"),"隣人")</f>
        <v>隣人</v>
      </c>
    </row>
    <row r="9817" spans="1:3" ht="18" customHeight="1" x14ac:dyDescent="0.3">
      <c r="A9817" s="1">
        <v>1</v>
      </c>
      <c r="B9817" s="1" t="s">
        <v>1058</v>
      </c>
      <c r="C9817" s="1" t="str">
        <f ca="1">IFERROR(__xludf.DUMMYFUNCTION("GOOGLETRANSLATE(B9984,""en"",""ja"")"),"負")</f>
        <v>負</v>
      </c>
    </row>
    <row r="9818" spans="1:3" ht="18" customHeight="1" x14ac:dyDescent="0.3">
      <c r="A9818" s="1">
        <v>1</v>
      </c>
      <c r="B9818" s="1" t="s">
        <v>5759</v>
      </c>
      <c r="C9818" s="1" t="str">
        <f ca="1">IFERROR(__xludf.DUMMYFUNCTION("GOOGLETRANSLATE(B9985,""en"",""ja"")"),"貧しいです")</f>
        <v>貧しいです</v>
      </c>
    </row>
    <row r="9819" spans="1:3" ht="18" customHeight="1" x14ac:dyDescent="0.3">
      <c r="A9819" s="1">
        <v>1</v>
      </c>
      <c r="B9819" s="1" t="s">
        <v>197</v>
      </c>
      <c r="C9819" s="1" t="str">
        <f ca="1">IFERROR(__xludf.DUMMYFUNCTION("GOOGLETRANSLATE(B9986,""en"",""ja"")"),"必要")</f>
        <v>必要</v>
      </c>
    </row>
    <row r="9820" spans="1:3" ht="18" customHeight="1" x14ac:dyDescent="0.3">
      <c r="A9820" s="1">
        <v>1</v>
      </c>
      <c r="B9820" s="1" t="s">
        <v>7667</v>
      </c>
      <c r="C9820" s="1" t="str">
        <f ca="1">IFERROR(__xludf.DUMMYFUNCTION("GOOGLETRANSLATE(B9987,""en"",""ja"")"),"必要性")</f>
        <v>必要性</v>
      </c>
    </row>
    <row r="9821" spans="1:3" ht="18" customHeight="1" x14ac:dyDescent="0.3">
      <c r="A9821" s="1">
        <v>1</v>
      </c>
      <c r="B9821" s="1" t="s">
        <v>7668</v>
      </c>
      <c r="C9821" s="1" t="str">
        <f ca="1">IFERROR(__xludf.DUMMYFUNCTION("GOOGLETRANSLATE(B9988,""en"",""ja"")"),"必需品")</f>
        <v>必需品</v>
      </c>
    </row>
    <row r="9822" spans="1:3" ht="18" customHeight="1" x14ac:dyDescent="0.3">
      <c r="A9822" s="1">
        <v>1</v>
      </c>
      <c r="B9822" s="1" t="s">
        <v>610</v>
      </c>
      <c r="C9822" s="1" t="str">
        <f ca="1">IFERROR(__xludf.DUMMYFUNCTION("GOOGLETRANSLATE(B9989,""en"",""ja"")"),"必ずしも")</f>
        <v>必ずしも</v>
      </c>
    </row>
    <row r="9823" spans="1:3" ht="18" customHeight="1" x14ac:dyDescent="0.3">
      <c r="A9823" s="1">
        <v>1</v>
      </c>
      <c r="B9823" s="1" t="s">
        <v>7669</v>
      </c>
      <c r="C9823" s="1" t="str">
        <f ca="1">IFERROR(__xludf.DUMMYFUNCTION("GOOGLETRANSLATE(B9990,""en"",""ja"")"),"近づきます")</f>
        <v>近づきます</v>
      </c>
    </row>
    <row r="9824" spans="1:3" ht="18" customHeight="1" x14ac:dyDescent="0.3">
      <c r="A9824" s="1">
        <v>1</v>
      </c>
      <c r="B9824" s="1" t="s">
        <v>7670</v>
      </c>
      <c r="C9824" s="1" t="str">
        <f ca="1">IFERROR(__xludf.DUMMYFUNCTION("GOOGLETRANSLATE(B9991,""en"",""ja"")"),"ネアンデルタール")</f>
        <v>ネアンデルタール</v>
      </c>
    </row>
    <row r="9825" spans="1:3" ht="18" customHeight="1" x14ac:dyDescent="0.3">
      <c r="A9825" s="1">
        <v>1</v>
      </c>
      <c r="B9825" s="1" t="s">
        <v>4610</v>
      </c>
      <c r="C9825" s="1" t="str">
        <f ca="1">IFERROR(__xludf.DUMMYFUNCTION("GOOGLETRANSLATE(B9992,""en"",""ja"")"),"ナビゲート")</f>
        <v>ナビゲート</v>
      </c>
    </row>
    <row r="9826" spans="1:3" ht="18" customHeight="1" x14ac:dyDescent="0.3">
      <c r="A9826" s="1">
        <v>1</v>
      </c>
      <c r="B9826" s="1" t="s">
        <v>5762</v>
      </c>
      <c r="C9826" s="1" t="str">
        <f ca="1">IFERROR(__xludf.DUMMYFUNCTION("GOOGLETRANSLATE(B9993,""en"",""ja"")"),"ナショナリズム")</f>
        <v>ナショナリズム</v>
      </c>
    </row>
    <row r="9827" spans="1:3" ht="18" customHeight="1" x14ac:dyDescent="0.3">
      <c r="A9827" s="1">
        <v>1</v>
      </c>
      <c r="B9827" s="1" t="s">
        <v>1440</v>
      </c>
      <c r="C9827" s="1" t="str">
        <f ca="1">IFERROR(__xludf.DUMMYFUNCTION("GOOGLETRANSLATE(B9994,""en"",""ja"")"),"狭い")</f>
        <v>狭い</v>
      </c>
    </row>
    <row r="9828" spans="1:3" ht="18" customHeight="1" x14ac:dyDescent="0.3">
      <c r="A9828" s="1">
        <v>1</v>
      </c>
      <c r="B9828" s="1" t="s">
        <v>7671</v>
      </c>
      <c r="C9828" s="1" t="str">
        <f ca="1">IFERROR(__xludf.DUMMYFUNCTION("GOOGLETRANSLATE(B9995,""en"",""ja"")"),"n1entioned")</f>
        <v>n1entioned</v>
      </c>
    </row>
    <row r="9829" spans="1:3" ht="18" customHeight="1" x14ac:dyDescent="0.3">
      <c r="A9829" s="1">
        <v>1</v>
      </c>
      <c r="B9829" s="1" t="s">
        <v>7672</v>
      </c>
      <c r="C9829" s="1" t="str">
        <f ca="1">IFERROR(__xludf.DUMMYFUNCTION("GOOGLETRANSLATE(B9996,""en"",""ja"")"),"神話")</f>
        <v>神話</v>
      </c>
    </row>
    <row r="9830" spans="1:3" ht="18" customHeight="1" x14ac:dyDescent="0.3">
      <c r="A9830" s="1">
        <v>1</v>
      </c>
      <c r="B9830" s="1" t="s">
        <v>7673</v>
      </c>
      <c r="C9830" s="1" t="str">
        <f ca="1">IFERROR(__xludf.DUMMYFUNCTION("GOOGLETRANSLATE(B9997,""en"",""ja"")"),"神秘的な")</f>
        <v>神秘的な</v>
      </c>
    </row>
    <row r="9831" spans="1:3" ht="18" customHeight="1" x14ac:dyDescent="0.3">
      <c r="A9831" s="1">
        <v>1</v>
      </c>
      <c r="B9831" s="1" t="s">
        <v>5767</v>
      </c>
      <c r="C9831" s="1" t="str">
        <f ca="1">IFERROR(__xludf.DUMMYFUNCTION("GOOGLETRANSLATE(B9998,""en"",""ja"")"),"数々")</f>
        <v>数々</v>
      </c>
    </row>
    <row r="9832" spans="1:3" ht="18" customHeight="1" x14ac:dyDescent="0.3">
      <c r="A9832" s="1">
        <v>1</v>
      </c>
      <c r="B9832" s="1" t="s">
        <v>430</v>
      </c>
      <c r="C9832" s="1" t="str">
        <f ca="1">IFERROR(__xludf.DUMMYFUNCTION("GOOGLETRANSLATE(B9999,""en"",""ja"")"),"じぶんの")</f>
        <v>じぶんの</v>
      </c>
    </row>
    <row r="9833" spans="1:3" ht="18" customHeight="1" x14ac:dyDescent="0.3">
      <c r="A9833" s="1">
        <v>1</v>
      </c>
      <c r="B9833" s="1" t="s">
        <v>5768</v>
      </c>
      <c r="C9833" s="1" t="str">
        <f ca="1">IFERROR(__xludf.DUMMYFUNCTION("GOOGLETRANSLATE(B10000,""en"",""ja"")"),"つぶやき")</f>
        <v>つぶやき</v>
      </c>
    </row>
    <row r="9834" spans="1:3" ht="18" customHeight="1" x14ac:dyDescent="0.3">
      <c r="A9834" s="1">
        <v>1</v>
      </c>
      <c r="B9834" s="1" t="s">
        <v>3399</v>
      </c>
      <c r="C9834" s="1" t="str">
        <f ca="1">IFERROR(__xludf.DUMMYFUNCTION("GOOGLETRANSLATE(B10001,""en"",""ja"")"),"ムスリム")</f>
        <v>ムスリム</v>
      </c>
    </row>
    <row r="9835" spans="1:3" ht="18" customHeight="1" x14ac:dyDescent="0.3">
      <c r="A9835" s="1">
        <v>1</v>
      </c>
      <c r="B9835" s="1" t="s">
        <v>1441</v>
      </c>
      <c r="C9835" s="1" t="str">
        <f ca="1">IFERROR(__xludf.DUMMYFUNCTION("GOOGLETRANSLATE(B10002,""en"",""ja"")"),"多地域")</f>
        <v>多地域</v>
      </c>
    </row>
    <row r="9836" spans="1:3" ht="18" customHeight="1" x14ac:dyDescent="0.3">
      <c r="A9836" s="1">
        <v>1</v>
      </c>
      <c r="B9836" s="1" t="s">
        <v>7674</v>
      </c>
      <c r="C9836" s="1" t="str">
        <f ca="1">IFERROR(__xludf.DUMMYFUNCTION("GOOGLETRANSLATE(B10003,""en"",""ja"")"),"乗算")</f>
        <v>乗算</v>
      </c>
    </row>
    <row r="9837" spans="1:3" ht="18" customHeight="1" x14ac:dyDescent="0.3">
      <c r="A9837" s="1">
        <v>1</v>
      </c>
      <c r="B9837" s="1" t="s">
        <v>5774</v>
      </c>
      <c r="C9837" s="1" t="str">
        <f ca="1">IFERROR(__xludf.DUMMYFUNCTION("GOOGLETRANSLATE(B10004,""en"",""ja"")"),"粘液の")</f>
        <v>粘液の</v>
      </c>
    </row>
    <row r="9838" spans="1:3" ht="18" customHeight="1" x14ac:dyDescent="0.3">
      <c r="A9838" s="1">
        <v>1</v>
      </c>
      <c r="B9838" s="1" t="s">
        <v>1656</v>
      </c>
      <c r="C9838" s="1" t="str">
        <f ca="1">IFERROR(__xludf.DUMMYFUNCTION("GOOGLETRANSLATE(B10005,""en"",""ja"")"),"モーション")</f>
        <v>モーション</v>
      </c>
    </row>
    <row r="9839" spans="1:3" ht="18" customHeight="1" x14ac:dyDescent="0.3">
      <c r="A9839" s="1">
        <v>1</v>
      </c>
      <c r="B9839" s="1" t="s">
        <v>26</v>
      </c>
      <c r="C9839" s="1" t="str">
        <f ca="1">IFERROR(__xludf.DUMMYFUNCTION("GOOGLETRANSLATE(B10006,""en"",""ja"")"),"もっと")</f>
        <v>もっと</v>
      </c>
    </row>
    <row r="9840" spans="1:3" ht="18" customHeight="1" x14ac:dyDescent="0.3">
      <c r="A9840" s="1">
        <v>1</v>
      </c>
      <c r="B9840" s="1" t="s">
        <v>4620</v>
      </c>
      <c r="C9840" s="1" t="str">
        <f ca="1">IFERROR(__xludf.DUMMYFUNCTION("GOOGLETRANSLATE(B10007,""en"",""ja"")"),"士気")</f>
        <v>士気</v>
      </c>
    </row>
    <row r="9841" spans="1:3" ht="18" customHeight="1" x14ac:dyDescent="0.3">
      <c r="A9841" s="1">
        <v>1</v>
      </c>
      <c r="B9841" s="1" t="s">
        <v>2632</v>
      </c>
      <c r="C9841" s="1" t="str">
        <f ca="1">IFERROR(__xludf.DUMMYFUNCTION("GOOGLETRANSLATE(B10008,""en"",""ja"")"),"毎月")</f>
        <v>毎月</v>
      </c>
    </row>
    <row r="9842" spans="1:3" ht="18" customHeight="1" x14ac:dyDescent="0.3">
      <c r="A9842" s="1">
        <v>1</v>
      </c>
      <c r="B9842" s="1" t="s">
        <v>2966</v>
      </c>
      <c r="C9842" s="1" t="str">
        <f ca="1">IFERROR(__xludf.DUMMYFUNCTION("GOOGLETRANSLATE(B10009,""en"",""ja"")"),"モンスーン")</f>
        <v>モンスーン</v>
      </c>
    </row>
    <row r="9843" spans="1:3" ht="18" customHeight="1" x14ac:dyDescent="0.3">
      <c r="A9843" s="1">
        <v>1</v>
      </c>
      <c r="B9843" s="1" t="s">
        <v>7675</v>
      </c>
      <c r="C9843" s="1" t="str">
        <f ca="1">IFERROR(__xludf.DUMMYFUNCTION("GOOGLETRANSLATE(B10010,""en"",""ja"")"),"モンキー")</f>
        <v>モンキー</v>
      </c>
    </row>
    <row r="9844" spans="1:3" ht="18" customHeight="1" x14ac:dyDescent="0.3">
      <c r="A9844" s="1">
        <v>1</v>
      </c>
      <c r="B9844" s="1" t="s">
        <v>4625</v>
      </c>
      <c r="C9844" s="1" t="str">
        <f ca="1">IFERROR(__xludf.DUMMYFUNCTION("GOOGLETRANSLATE(B10011,""en"",""ja"")"),"分子")</f>
        <v>分子</v>
      </c>
    </row>
    <row r="9845" spans="1:3" ht="18" customHeight="1" x14ac:dyDescent="0.3">
      <c r="A9845" s="1">
        <v>1</v>
      </c>
      <c r="B9845" s="1" t="s">
        <v>1059</v>
      </c>
      <c r="C9845" s="1" t="str">
        <f ca="1">IFERROR(__xludf.DUMMYFUNCTION("GOOGLETRANSLATE(B10012,""en"",""ja"")"),"分子の")</f>
        <v>分子の</v>
      </c>
    </row>
    <row r="9846" spans="1:3" ht="18" customHeight="1" x14ac:dyDescent="0.3">
      <c r="A9846" s="1">
        <v>1</v>
      </c>
      <c r="B9846" s="1" t="s">
        <v>5781</v>
      </c>
      <c r="C9846" s="1" t="str">
        <f ca="1">IFERROR(__xludf.DUMMYFUNCTION("GOOGLETRANSLATE(B10013,""en"",""ja"")"),"型")</f>
        <v>型</v>
      </c>
    </row>
    <row r="9847" spans="1:3" ht="18" customHeight="1" x14ac:dyDescent="0.3">
      <c r="A9847" s="1">
        <v>1</v>
      </c>
      <c r="B9847" s="1" t="s">
        <v>7676</v>
      </c>
      <c r="C9847" s="1" t="str">
        <f ca="1">IFERROR(__xludf.DUMMYFUNCTION("GOOGLETRANSLATE(B10014,""en"",""ja"")"),"変調")</f>
        <v>変調</v>
      </c>
    </row>
    <row r="9848" spans="1:3" ht="18" customHeight="1" x14ac:dyDescent="0.3">
      <c r="A9848" s="1">
        <v>1</v>
      </c>
      <c r="B9848" s="1" t="s">
        <v>4628</v>
      </c>
      <c r="C9848" s="1" t="str">
        <f ca="1">IFERROR(__xludf.DUMMYFUNCTION("GOOGLETRANSLATE(B10015,""en"",""ja"")"),"変形")</f>
        <v>変形</v>
      </c>
    </row>
    <row r="9849" spans="1:3" ht="18" customHeight="1" x14ac:dyDescent="0.3">
      <c r="A9849" s="1">
        <v>1</v>
      </c>
      <c r="B9849" s="1" t="s">
        <v>5783</v>
      </c>
      <c r="C9849" s="1" t="str">
        <f ca="1">IFERROR(__xludf.DUMMYFUNCTION("GOOGLETRANSLATE(B10016,""en"",""ja"")"),"謙虚")</f>
        <v>謙虚</v>
      </c>
    </row>
    <row r="9850" spans="1:3" ht="18" customHeight="1" x14ac:dyDescent="0.3">
      <c r="A9850" s="1">
        <v>1</v>
      </c>
      <c r="B9850" s="1" t="s">
        <v>1658</v>
      </c>
      <c r="C9850" s="1" t="str">
        <f ca="1">IFERROR(__xludf.DUMMYFUNCTION("GOOGLETRANSLATE(B10017,""en"",""ja"")"),"近代化")</f>
        <v>近代化</v>
      </c>
    </row>
    <row r="9851" spans="1:3" ht="18" customHeight="1" x14ac:dyDescent="0.3">
      <c r="A9851" s="1">
        <v>1</v>
      </c>
      <c r="B9851" s="1" t="s">
        <v>110</v>
      </c>
      <c r="C9851" s="1" t="str">
        <f ca="1">IFERROR(__xludf.DUMMYFUNCTION("GOOGLETRANSLATE(B10018,""en"",""ja"")"),"近代的")</f>
        <v>近代的</v>
      </c>
    </row>
    <row r="9852" spans="1:3" ht="18" customHeight="1" x14ac:dyDescent="0.3">
      <c r="A9852" s="1">
        <v>1</v>
      </c>
      <c r="B9852" s="1" t="s">
        <v>7677</v>
      </c>
      <c r="C9852" s="1" t="str">
        <f ca="1">IFERROR(__xludf.DUMMYFUNCTION("GOOGLETRANSLATE(B10019,""en"",""ja"")"),"群衆")</f>
        <v>群衆</v>
      </c>
    </row>
    <row r="9853" spans="1:3" ht="18" customHeight="1" x14ac:dyDescent="0.3">
      <c r="A9853" s="1">
        <v>1</v>
      </c>
      <c r="B9853" s="1" t="s">
        <v>460</v>
      </c>
      <c r="C9853" s="1" t="str">
        <f ca="1">IFERROR(__xludf.DUMMYFUNCTION("GOOGLETRANSLATE(B10020,""en"",""ja"")"),"ミトコンドリア")</f>
        <v>ミトコンドリア</v>
      </c>
    </row>
    <row r="9854" spans="1:3" ht="18" customHeight="1" x14ac:dyDescent="0.3">
      <c r="A9854" s="1">
        <v>1</v>
      </c>
      <c r="B9854" s="1" t="s">
        <v>5787</v>
      </c>
      <c r="C9854" s="1" t="str">
        <f ca="1">IFERROR(__xludf.DUMMYFUNCTION("GOOGLETRANSLATE(B10021,""en"",""ja"")"),"誤配線")</f>
        <v>誤配線</v>
      </c>
    </row>
    <row r="9855" spans="1:3" ht="18" customHeight="1" x14ac:dyDescent="0.3">
      <c r="A9855" s="1">
        <v>1</v>
      </c>
      <c r="B9855" s="1" t="s">
        <v>7678</v>
      </c>
      <c r="C9855" s="1" t="str">
        <f ca="1">IFERROR(__xludf.DUMMYFUNCTION("GOOGLETRANSLATE(B10022,""en"",""ja"")"),"悪用")</f>
        <v>悪用</v>
      </c>
    </row>
    <row r="9856" spans="1:3" ht="18" customHeight="1" x14ac:dyDescent="0.3">
      <c r="A9856" s="1">
        <v>1</v>
      </c>
      <c r="B9856" s="1" t="s">
        <v>7679</v>
      </c>
      <c r="C9856" s="1" t="str">
        <f ca="1">IFERROR(__xludf.DUMMYFUNCTION("GOOGLETRANSLATE(B10023,""en"",""ja"")"),"悪用")</f>
        <v>悪用</v>
      </c>
    </row>
    <row r="9857" spans="1:3" ht="18" customHeight="1" x14ac:dyDescent="0.3">
      <c r="A9857" s="1">
        <v>1</v>
      </c>
      <c r="B9857" s="1" t="s">
        <v>7680</v>
      </c>
      <c r="C9857" s="1" t="str">
        <f ca="1">IFERROR(__xludf.DUMMYFUNCTION("GOOGLETRANSLATE(B10024,""en"",""ja"")"),"誤解")</f>
        <v>誤解</v>
      </c>
    </row>
    <row r="9858" spans="1:3" ht="18" customHeight="1" x14ac:dyDescent="0.3">
      <c r="A9858" s="1">
        <v>1</v>
      </c>
      <c r="B9858" s="1" t="s">
        <v>6938</v>
      </c>
      <c r="C9858" s="1" t="str">
        <f ca="1">IFERROR(__xludf.DUMMYFUNCTION("GOOGLETRANSLATE(B10025,""en"",""ja"")"),"もやもや")</f>
        <v>もやもや</v>
      </c>
    </row>
    <row r="9859" spans="1:3" ht="18" customHeight="1" x14ac:dyDescent="0.3">
      <c r="A9859" s="1">
        <v>1</v>
      </c>
      <c r="B9859" s="1" t="s">
        <v>4632</v>
      </c>
      <c r="C9859" s="1" t="str">
        <f ca="1">IFERROR(__xludf.DUMMYFUNCTION("GOOGLETRANSLATE(B10026,""en"",""ja"")"),"ミサイル")</f>
        <v>ミサイル</v>
      </c>
    </row>
    <row r="9860" spans="1:3" ht="18" customHeight="1" x14ac:dyDescent="0.3">
      <c r="A9860" s="1">
        <v>1</v>
      </c>
      <c r="B9860" s="1" t="s">
        <v>7681</v>
      </c>
      <c r="C9860" s="1" t="str">
        <f ca="1">IFERROR(__xludf.DUMMYFUNCTION("GOOGLETRANSLATE(B10027,""en"",""ja"")"),"誤解を招きます")</f>
        <v>誤解を招きます</v>
      </c>
    </row>
    <row r="9861" spans="1:3" ht="18" customHeight="1" x14ac:dyDescent="0.3">
      <c r="A9861" s="1">
        <v>1</v>
      </c>
      <c r="B9861" s="1" t="s">
        <v>5790</v>
      </c>
      <c r="C9861" s="1" t="str">
        <f ca="1">IFERROR(__xludf.DUMMYFUNCTION("GOOGLETRANSLATE(B10028,""en"",""ja"")"),"災難")</f>
        <v>災難</v>
      </c>
    </row>
    <row r="9862" spans="1:3" ht="18" customHeight="1" x14ac:dyDescent="0.3">
      <c r="A9862" s="1">
        <v>1</v>
      </c>
      <c r="B9862" s="1" t="s">
        <v>4635</v>
      </c>
      <c r="C9862" s="1" t="str">
        <f ca="1">IFERROR(__xludf.DUMMYFUNCTION("GOOGLETRANSLATE(B10029,""en"",""ja"")"),"誤解")</f>
        <v>誤解</v>
      </c>
    </row>
    <row r="9863" spans="1:3" ht="18" customHeight="1" x14ac:dyDescent="0.3">
      <c r="A9863" s="1">
        <v>1</v>
      </c>
      <c r="B9863" s="1" t="s">
        <v>6944</v>
      </c>
      <c r="C9863" s="1" t="str">
        <f ca="1">IFERROR(__xludf.DUMMYFUNCTION("GOOGLETRANSLATE(B10030,""en"",""ja"")"),"いたずらに")</f>
        <v>いたずらに</v>
      </c>
    </row>
    <row r="9864" spans="1:3" ht="18" customHeight="1" x14ac:dyDescent="0.3">
      <c r="A9864" s="1">
        <v>1</v>
      </c>
      <c r="B9864" s="1" t="s">
        <v>7682</v>
      </c>
      <c r="C9864" s="1" t="str">
        <f ca="1">IFERROR(__xludf.DUMMYFUNCTION("GOOGLETRANSLATE(B10031,""en"",""ja"")"),"miscalculating")</f>
        <v>miscalculating</v>
      </c>
    </row>
    <row r="9865" spans="1:3" ht="18" customHeight="1" x14ac:dyDescent="0.3">
      <c r="A9865" s="1">
        <v>1</v>
      </c>
      <c r="B9865" s="1" t="s">
        <v>7683</v>
      </c>
      <c r="C9865" s="1" t="str">
        <f ca="1">IFERROR(__xludf.DUMMYFUNCTION("GOOGLETRANSLATE(B10032,""en"",""ja"")"),"ミラーレス")</f>
        <v>ミラーレス</v>
      </c>
    </row>
    <row r="9866" spans="1:3" ht="18" customHeight="1" x14ac:dyDescent="0.3">
      <c r="A9866" s="1">
        <v>1</v>
      </c>
      <c r="B9866" s="1" t="s">
        <v>7684</v>
      </c>
      <c r="C9866" s="1" t="str">
        <f ca="1">IFERROR(__xludf.DUMMYFUNCTION("GOOGLETRANSLATE(B10033,""en"",""ja"")"),"最小化")</f>
        <v>最小化</v>
      </c>
    </row>
    <row r="9867" spans="1:3" ht="18" customHeight="1" x14ac:dyDescent="0.3">
      <c r="A9867" s="1">
        <v>1</v>
      </c>
      <c r="B9867" s="1" t="s">
        <v>5794</v>
      </c>
      <c r="C9867" s="1" t="str">
        <f ca="1">IFERROR(__xludf.DUMMYFUNCTION("GOOGLETRANSLATE(B10034,""en"",""ja"")"),"最小の")</f>
        <v>最小の</v>
      </c>
    </row>
    <row r="9868" spans="1:3" ht="18" customHeight="1" x14ac:dyDescent="0.3">
      <c r="A9868" s="1">
        <v>1</v>
      </c>
      <c r="B9868" s="1" t="s">
        <v>5796</v>
      </c>
      <c r="C9868" s="1" t="str">
        <f ca="1">IFERROR(__xludf.DUMMYFUNCTION("GOOGLETRANSLATE(B10035,""en"",""ja"")"),"機雷原")</f>
        <v>機雷原</v>
      </c>
    </row>
    <row r="9869" spans="1:3" ht="18" customHeight="1" x14ac:dyDescent="0.3">
      <c r="A9869" s="1">
        <v>1</v>
      </c>
      <c r="B9869" s="1" t="s">
        <v>4636</v>
      </c>
      <c r="C9869" s="1" t="str">
        <f ca="1">IFERROR(__xludf.DUMMYFUNCTION("GOOGLETRANSLATE(B10036,""en"",""ja"")"),"模倣")</f>
        <v>模倣</v>
      </c>
    </row>
    <row r="9870" spans="1:3" ht="18" customHeight="1" x14ac:dyDescent="0.3">
      <c r="A9870" s="1">
        <v>1</v>
      </c>
      <c r="B9870" s="1" t="s">
        <v>461</v>
      </c>
      <c r="C9870" s="1" t="str">
        <f ca="1">IFERROR(__xludf.DUMMYFUNCTION("GOOGLETRANSLATE(B10037,""en"",""ja"")"),"何百万人")</f>
        <v>何百万人</v>
      </c>
    </row>
    <row r="9871" spans="1:3" ht="18" customHeight="1" x14ac:dyDescent="0.3">
      <c r="A9871" s="1">
        <v>1</v>
      </c>
      <c r="B9871" s="1" t="s">
        <v>4637</v>
      </c>
      <c r="C9871" s="1" t="str">
        <f ca="1">IFERROR(__xludf.DUMMYFUNCTION("GOOGLETRANSLATE(B10038,""en"",""ja"")"),"工場")</f>
        <v>工場</v>
      </c>
    </row>
    <row r="9872" spans="1:3" ht="18" customHeight="1" x14ac:dyDescent="0.3">
      <c r="A9872" s="1">
        <v>1</v>
      </c>
      <c r="B9872" s="1" t="s">
        <v>1444</v>
      </c>
      <c r="C9872" s="1" t="str">
        <f ca="1">IFERROR(__xludf.DUMMYFUNCTION("GOOGLETRANSLATE(B10039,""en"",""ja"")"),"軍事的")</f>
        <v>軍事的</v>
      </c>
    </row>
    <row r="9873" spans="1:3" ht="18" customHeight="1" x14ac:dyDescent="0.3">
      <c r="A9873" s="1">
        <v>1</v>
      </c>
      <c r="B9873" s="1" t="s">
        <v>4640</v>
      </c>
      <c r="C9873" s="1" t="str">
        <f ca="1">IFERROR(__xludf.DUMMYFUNCTION("GOOGLETRANSLATE(B10040,""en"",""ja"")"),"微視的")</f>
        <v>微視的</v>
      </c>
    </row>
    <row r="9874" spans="1:3" ht="18" customHeight="1" x14ac:dyDescent="0.3">
      <c r="A9874" s="1">
        <v>1</v>
      </c>
      <c r="B9874" s="1" t="s">
        <v>7685</v>
      </c>
      <c r="C9874" s="1" t="str">
        <f ca="1">IFERROR(__xludf.DUMMYFUNCTION("GOOGLETRANSLATE(B10041,""en"",""ja"")"),"マイクロ")</f>
        <v>マイクロ</v>
      </c>
    </row>
    <row r="9875" spans="1:3" ht="18" customHeight="1" x14ac:dyDescent="0.3">
      <c r="A9875" s="1">
        <v>1</v>
      </c>
      <c r="B9875" s="1" t="s">
        <v>7686</v>
      </c>
      <c r="C9875" s="1" t="str">
        <f ca="1">IFERROR(__xludf.DUMMYFUNCTION("GOOGLETRANSLATE(B10042,""en"",""ja"")"),"方法")</f>
        <v>方法</v>
      </c>
    </row>
    <row r="9876" spans="1:3" ht="18" customHeight="1" x14ac:dyDescent="0.3">
      <c r="A9876" s="1">
        <v>1</v>
      </c>
      <c r="B9876" s="1" t="s">
        <v>7687</v>
      </c>
      <c r="C9876" s="1" t="str">
        <f ca="1">IFERROR(__xludf.DUMMYFUNCTION("GOOGLETRANSLATE(B10043,""en"",""ja"")"),"メートル")</f>
        <v>メートル</v>
      </c>
    </row>
    <row r="9877" spans="1:3" ht="18" customHeight="1" x14ac:dyDescent="0.3">
      <c r="A9877" s="1">
        <v>1</v>
      </c>
      <c r="B9877" s="1" t="s">
        <v>5808</v>
      </c>
      <c r="C9877" s="1" t="str">
        <f ca="1">IFERROR(__xludf.DUMMYFUNCTION("GOOGLETRANSLATE(B10044,""en"",""ja"")"),"比喩的に")</f>
        <v>比喩的に</v>
      </c>
    </row>
    <row r="9878" spans="1:3" ht="18" customHeight="1" x14ac:dyDescent="0.3">
      <c r="A9878" s="1">
        <v>1</v>
      </c>
      <c r="B9878" s="1" t="s">
        <v>848</v>
      </c>
      <c r="C9878" s="1" t="str">
        <f ca="1">IFERROR(__xludf.DUMMYFUNCTION("GOOGLETRANSLATE(B10045,""en"",""ja"")"),"単に")</f>
        <v>単に</v>
      </c>
    </row>
    <row r="9879" spans="1:3" ht="18" customHeight="1" x14ac:dyDescent="0.3">
      <c r="A9879" s="1">
        <v>1</v>
      </c>
      <c r="B9879" s="1" t="s">
        <v>1120</v>
      </c>
      <c r="C9879" s="1" t="str">
        <f ca="1">IFERROR(__xludf.DUMMYFUNCTION("GOOGLETRANSLATE(B10046,""en"",""ja"")"),"ほんの")</f>
        <v>ほんの</v>
      </c>
    </row>
    <row r="9880" spans="1:3" ht="18" customHeight="1" x14ac:dyDescent="0.3">
      <c r="A9880" s="1">
        <v>1</v>
      </c>
      <c r="B9880" s="1" t="s">
        <v>3950</v>
      </c>
      <c r="C9880" s="1" t="str">
        <f ca="1">IFERROR(__xludf.DUMMYFUNCTION("GOOGLETRANSLATE(B10047,""en"",""ja"")"),"言及")</f>
        <v>言及</v>
      </c>
    </row>
    <row r="9881" spans="1:3" ht="18" customHeight="1" x14ac:dyDescent="0.3">
      <c r="A9881" s="1">
        <v>1</v>
      </c>
      <c r="B9881" s="1" t="s">
        <v>550</v>
      </c>
      <c r="C9881" s="1" t="str">
        <f ca="1">IFERROR(__xludf.DUMMYFUNCTION("GOOGLETRANSLATE(B10048,""en"",""ja"")"),"メンタル")</f>
        <v>メンタル</v>
      </c>
    </row>
    <row r="9882" spans="1:3" ht="18" customHeight="1" x14ac:dyDescent="0.3">
      <c r="A9882" s="1">
        <v>1</v>
      </c>
      <c r="B9882" s="1" t="s">
        <v>7688</v>
      </c>
      <c r="C9882" s="1" t="str">
        <f ca="1">IFERROR(__xludf.DUMMYFUNCTION("GOOGLETRANSLATE(B10049,""en"",""ja"")"),"MENT")</f>
        <v>MENT</v>
      </c>
    </row>
    <row r="9883" spans="1:3" ht="18" customHeight="1" x14ac:dyDescent="0.3">
      <c r="A9883" s="1">
        <v>1</v>
      </c>
      <c r="B9883" s="1" t="s">
        <v>2639</v>
      </c>
      <c r="C9883" s="1" t="str">
        <f ca="1">IFERROR(__xludf.DUMMYFUNCTION("GOOGLETRANSLATE(B10050,""en"",""ja"")"),"瞑想")</f>
        <v>瞑想</v>
      </c>
    </row>
    <row r="9884" spans="1:3" ht="18" customHeight="1" x14ac:dyDescent="0.3">
      <c r="A9884" s="1">
        <v>1</v>
      </c>
      <c r="B9884" s="1" t="s">
        <v>7689</v>
      </c>
      <c r="C9884" s="1" t="str">
        <f ca="1">IFERROR(__xludf.DUMMYFUNCTION("GOOGLETRANSLATE(B10051,""en"",""ja"")"),"機械化")</f>
        <v>機械化</v>
      </c>
    </row>
    <row r="9885" spans="1:3" ht="18" customHeight="1" x14ac:dyDescent="0.3">
      <c r="A9885" s="1">
        <v>1</v>
      </c>
      <c r="B9885" s="1" t="s">
        <v>7690</v>
      </c>
      <c r="C9885" s="1" t="str">
        <f ca="1">IFERROR(__xludf.DUMMYFUNCTION("GOOGLETRANSLATE(B10052,""en"",""ja"")"),"肉")</f>
        <v>肉</v>
      </c>
    </row>
    <row r="9886" spans="1:3" ht="18" customHeight="1" x14ac:dyDescent="0.3">
      <c r="A9886" s="1">
        <v>1</v>
      </c>
      <c r="B9886" s="1" t="s">
        <v>6953</v>
      </c>
      <c r="C9886" s="1" t="str">
        <f ca="1">IFERROR(__xludf.DUMMYFUNCTION("GOOGLETRANSLATE(B10053,""en"",""ja"")"),"測定可能")</f>
        <v>測定可能</v>
      </c>
    </row>
    <row r="9887" spans="1:3" ht="18" customHeight="1" x14ac:dyDescent="0.3">
      <c r="A9887" s="1">
        <v>1</v>
      </c>
      <c r="B9887" s="1" t="s">
        <v>7691</v>
      </c>
      <c r="C9887" s="1" t="str">
        <f ca="1">IFERROR(__xludf.DUMMYFUNCTION("GOOGLETRANSLATE(B10054,""en"",""ja"")"),"大事")</f>
        <v>大事</v>
      </c>
    </row>
    <row r="9888" spans="1:3" ht="18" customHeight="1" x14ac:dyDescent="0.3">
      <c r="A9888" s="1">
        <v>1</v>
      </c>
      <c r="B9888" s="1" t="s">
        <v>7692</v>
      </c>
      <c r="C9888" s="1" t="str">
        <f ca="1">IFERROR(__xludf.DUMMYFUNCTION("GOOGLETRANSLATE(B10055,""en"",""ja"")"),"数学")</f>
        <v>数学</v>
      </c>
    </row>
    <row r="9889" spans="1:3" ht="18" customHeight="1" x14ac:dyDescent="0.3">
      <c r="A9889" s="1">
        <v>1</v>
      </c>
      <c r="B9889" s="1" t="s">
        <v>7693</v>
      </c>
      <c r="C9889" s="1" t="str">
        <f ca="1">IFERROR(__xludf.DUMMYFUNCTION("GOOGLETRANSLATE(B10056,""en"",""ja"")"),"マット")</f>
        <v>マット</v>
      </c>
    </row>
    <row r="9890" spans="1:3" ht="18" customHeight="1" x14ac:dyDescent="0.3">
      <c r="A9890" s="1">
        <v>1</v>
      </c>
      <c r="B9890" s="1" t="s">
        <v>5820</v>
      </c>
      <c r="C9890" s="1" t="str">
        <f ca="1">IFERROR(__xludf.DUMMYFUNCTION("GOOGLETRANSLATE(B10057,""en"",""ja"")"),"熟達")</f>
        <v>熟達</v>
      </c>
    </row>
    <row r="9891" spans="1:3" ht="18" customHeight="1" x14ac:dyDescent="0.3">
      <c r="A9891" s="1">
        <v>1</v>
      </c>
      <c r="B9891" s="1" t="s">
        <v>3957</v>
      </c>
      <c r="C9891" s="1" t="str">
        <f ca="1">IFERROR(__xludf.DUMMYFUNCTION("GOOGLETRANSLATE(B10058,""en"",""ja"")"),"傑作")</f>
        <v>傑作</v>
      </c>
    </row>
    <row r="9892" spans="1:3" ht="18" customHeight="1" x14ac:dyDescent="0.3">
      <c r="A9892" s="1">
        <v>1</v>
      </c>
      <c r="B9892" s="1" t="s">
        <v>1189</v>
      </c>
      <c r="C9892" s="1" t="str">
        <f ca="1">IFERROR(__xludf.DUMMYFUNCTION("GOOGLETRANSLATE(B10059,""en"",""ja"")"),"大規模な")</f>
        <v>大規模な</v>
      </c>
    </row>
    <row r="9893" spans="1:3" ht="18" customHeight="1" x14ac:dyDescent="0.3">
      <c r="A9893" s="1">
        <v>1</v>
      </c>
      <c r="B9893" s="1" t="s">
        <v>7694</v>
      </c>
      <c r="C9893" s="1" t="str">
        <f ca="1">IFERROR(__xludf.DUMMYFUNCTION("GOOGLETRANSLATE(B10060,""en"",""ja"")"),"マズロー")</f>
        <v>マズロー</v>
      </c>
    </row>
    <row r="9894" spans="1:3" ht="18" customHeight="1" x14ac:dyDescent="0.3">
      <c r="A9894" s="1">
        <v>1</v>
      </c>
      <c r="B9894" s="1" t="s">
        <v>5825</v>
      </c>
      <c r="C9894" s="1" t="str">
        <f ca="1">IFERROR(__xludf.DUMMYFUNCTION("GOOGLETRANSLATE(B10061,""en"",""ja"")"),"素晴らしい")</f>
        <v>素晴らしい</v>
      </c>
    </row>
    <row r="9895" spans="1:3" ht="18" customHeight="1" x14ac:dyDescent="0.3">
      <c r="A9895" s="1">
        <v>1</v>
      </c>
      <c r="B9895" s="1" t="s">
        <v>7695</v>
      </c>
      <c r="C9895" s="1" t="str">
        <f ca="1">IFERROR(__xludf.DUMMYFUNCTION("GOOGLETRANSLATE(B10062,""en"",""ja"")"),"市場")</f>
        <v>市場</v>
      </c>
    </row>
    <row r="9896" spans="1:3" ht="18" customHeight="1" x14ac:dyDescent="0.3">
      <c r="A9896" s="1">
        <v>1</v>
      </c>
      <c r="B9896" s="1" t="s">
        <v>5831</v>
      </c>
      <c r="C9896" s="1" t="str">
        <f ca="1">IFERROR(__xludf.DUMMYFUNCTION("GOOGLETRANSLATE(B10063,""en"",""ja"")"),"マージン")</f>
        <v>マージン</v>
      </c>
    </row>
    <row r="9897" spans="1:3" ht="18" customHeight="1" x14ac:dyDescent="0.3">
      <c r="A9897" s="1">
        <v>1</v>
      </c>
      <c r="B9897" s="1" t="s">
        <v>52</v>
      </c>
      <c r="C9897" s="1" t="str">
        <f ca="1">IFERROR(__xludf.DUMMYFUNCTION("GOOGLETRANSLATE(B10064,""en"",""ja"")"),"たくさんの")</f>
        <v>たくさんの</v>
      </c>
    </row>
    <row r="9898" spans="1:3" ht="18" customHeight="1" x14ac:dyDescent="0.3">
      <c r="A9898" s="1">
        <v>1</v>
      </c>
      <c r="B9898" s="1" t="s">
        <v>4651</v>
      </c>
      <c r="C9898" s="1" t="str">
        <f ca="1">IFERROR(__xludf.DUMMYFUNCTION("GOOGLETRANSLATE(B10065,""en"",""ja"")"),"製造")</f>
        <v>製造</v>
      </c>
    </row>
    <row r="9899" spans="1:3" ht="18" customHeight="1" x14ac:dyDescent="0.3">
      <c r="A9899" s="1">
        <v>1</v>
      </c>
      <c r="B9899" s="1" t="s">
        <v>7696</v>
      </c>
      <c r="C9899" s="1" t="str">
        <f ca="1">IFERROR(__xludf.DUMMYFUNCTION("GOOGLETRANSLATE(B10066,""en"",""ja"")"),"人類")</f>
        <v>人類</v>
      </c>
    </row>
    <row r="9900" spans="1:3" ht="18" customHeight="1" x14ac:dyDescent="0.3">
      <c r="A9900" s="1">
        <v>1</v>
      </c>
      <c r="B9900" s="1" t="s">
        <v>7697</v>
      </c>
      <c r="C9900" s="1" t="str">
        <f ca="1">IFERROR(__xludf.DUMMYFUNCTION("GOOGLETRANSLATE(B10067,""en"",""ja"")"),"操作")</f>
        <v>操作</v>
      </c>
    </row>
    <row r="9901" spans="1:3" ht="18" customHeight="1" x14ac:dyDescent="0.3">
      <c r="A9901" s="1">
        <v>1</v>
      </c>
      <c r="B9901" s="1" t="s">
        <v>7698</v>
      </c>
      <c r="C9901" s="1" t="str">
        <f ca="1">IFERROR(__xludf.DUMMYFUNCTION("GOOGLETRANSLATE(B10068,""en"",""ja"")"),"操ります")</f>
        <v>操ります</v>
      </c>
    </row>
    <row r="9902" spans="1:3" ht="18" customHeight="1" x14ac:dyDescent="0.3">
      <c r="A9902" s="1">
        <v>1</v>
      </c>
      <c r="B9902" s="1" t="s">
        <v>7699</v>
      </c>
      <c r="C9902" s="1" t="str">
        <f ca="1">IFERROR(__xludf.DUMMYFUNCTION("GOOGLETRANSLATE(B10070,""en"",""ja"")"),"マニフェスト")</f>
        <v>マニフェスト</v>
      </c>
    </row>
    <row r="9903" spans="1:3" ht="18" customHeight="1" x14ac:dyDescent="0.3">
      <c r="A9903" s="1">
        <v>1</v>
      </c>
      <c r="B9903" s="1" t="s">
        <v>6957</v>
      </c>
      <c r="C9903" s="1" t="str">
        <f ca="1">IFERROR(__xludf.DUMMYFUNCTION("GOOGLETRANSLATE(B10071,""en"",""ja"")"),"顕現")</f>
        <v>顕現</v>
      </c>
    </row>
    <row r="9904" spans="1:3" ht="18" customHeight="1" x14ac:dyDescent="0.3">
      <c r="A9904" s="1">
        <v>1</v>
      </c>
      <c r="B9904" s="1" t="s">
        <v>5837</v>
      </c>
      <c r="C9904" s="1" t="str">
        <f ca="1">IFERROR(__xludf.DUMMYFUNCTION("GOOGLETRANSLATE(B10072,""en"",""ja"")"),"機動")</f>
        <v>機動</v>
      </c>
    </row>
    <row r="9905" spans="1:3" ht="18" customHeight="1" x14ac:dyDescent="0.3">
      <c r="A9905" s="1">
        <v>1</v>
      </c>
      <c r="B9905" s="1" t="s">
        <v>5838</v>
      </c>
      <c r="C9905" s="1" t="str">
        <f ca="1">IFERROR(__xludf.DUMMYFUNCTION("GOOGLETRANSLATE(B10073,""en"",""ja"")"),"モール")</f>
        <v>モール</v>
      </c>
    </row>
    <row r="9906" spans="1:3" ht="18" customHeight="1" x14ac:dyDescent="0.3">
      <c r="A9906" s="1">
        <v>1</v>
      </c>
      <c r="B9906" s="1" t="s">
        <v>5839</v>
      </c>
      <c r="C9906" s="1" t="str">
        <f ca="1">IFERROR(__xludf.DUMMYFUNCTION("GOOGLETRANSLATE(B10074,""en"",""ja"")"),"悪意のある")</f>
        <v>悪意のある</v>
      </c>
    </row>
    <row r="9907" spans="1:3" ht="18" customHeight="1" x14ac:dyDescent="0.3">
      <c r="A9907" s="1">
        <v>1</v>
      </c>
      <c r="B9907" s="1" t="s">
        <v>2109</v>
      </c>
      <c r="C9907" s="1" t="str">
        <f ca="1">IFERROR(__xludf.DUMMYFUNCTION("GOOGLETRANSLATE(B10075,""en"",""ja"")"),"化粧")</f>
        <v>化粧</v>
      </c>
    </row>
    <row r="9908" spans="1:3" ht="18" customHeight="1" x14ac:dyDescent="0.3">
      <c r="A9908" s="1">
        <v>1</v>
      </c>
      <c r="B9908" s="1" t="s">
        <v>894</v>
      </c>
      <c r="C9908" s="1" t="str">
        <f ca="1">IFERROR(__xludf.DUMMYFUNCTION("GOOGLETRANSLATE(B10076,""en"",""ja"")"),"メンテナンス")</f>
        <v>メンテナンス</v>
      </c>
    </row>
    <row r="9909" spans="1:3" ht="18" customHeight="1" x14ac:dyDescent="0.3">
      <c r="A9909" s="1">
        <v>1</v>
      </c>
      <c r="B9909" s="1" t="s">
        <v>7700</v>
      </c>
      <c r="C9909" s="1" t="str">
        <f ca="1">IFERROR(__xludf.DUMMYFUNCTION("GOOGLETRANSLATE(B10077,""en"",""ja"")"),"主流")</f>
        <v>主流</v>
      </c>
    </row>
    <row r="9910" spans="1:3" ht="18" customHeight="1" x14ac:dyDescent="0.3">
      <c r="A9910" s="1">
        <v>1</v>
      </c>
      <c r="B9910" s="1" t="s">
        <v>6960</v>
      </c>
      <c r="C9910" s="1" t="str">
        <f ca="1">IFERROR(__xludf.DUMMYFUNCTION("GOOGLETRANSLATE(B10078,""en"",""ja"")"),"大黒柱")</f>
        <v>大黒柱</v>
      </c>
    </row>
    <row r="9911" spans="1:3" ht="18" customHeight="1" x14ac:dyDescent="0.3">
      <c r="A9911" s="1">
        <v>1</v>
      </c>
      <c r="B9911" s="1" t="s">
        <v>7701</v>
      </c>
      <c r="C9911" s="1" t="str">
        <f ca="1">IFERROR(__xludf.DUMMYFUNCTION("GOOGLETRANSLATE(B10079,""en"",""ja"")"),"主に")</f>
        <v>主に</v>
      </c>
    </row>
    <row r="9912" spans="1:3" ht="18" customHeight="1" x14ac:dyDescent="0.3">
      <c r="A9912" s="1">
        <v>1</v>
      </c>
      <c r="B9912" s="1" t="s">
        <v>7702</v>
      </c>
      <c r="C9912" s="1" t="str">
        <f ca="1">IFERROR(__xludf.DUMMYFUNCTION("GOOGLETRANSLATE(B10080,""en"",""ja"")"),"Mackieの")</f>
        <v>Mackieの</v>
      </c>
    </row>
    <row r="9913" spans="1:3" ht="18" customHeight="1" x14ac:dyDescent="0.3">
      <c r="A9913" s="1">
        <v>1</v>
      </c>
      <c r="B9913" s="1" t="s">
        <v>6964</v>
      </c>
      <c r="C9913" s="1" t="str">
        <f ca="1">IFERROR(__xludf.DUMMYFUNCTION("GOOGLETRANSLATE(B10081,""en"",""ja"")"),"機械")</f>
        <v>機械</v>
      </c>
    </row>
    <row r="9914" spans="1:3" ht="18" customHeight="1" x14ac:dyDescent="0.3">
      <c r="A9914" s="1">
        <v>1</v>
      </c>
      <c r="B9914" s="1" t="s">
        <v>7703</v>
      </c>
      <c r="C9914" s="1" t="str">
        <f ca="1">IFERROR(__xludf.DUMMYFUNCTION("GOOGLETRANSLATE(B10082,""en"",""ja"")"),"豪華な")</f>
        <v>豪華な</v>
      </c>
    </row>
    <row r="9915" spans="1:3" ht="18" customHeight="1" x14ac:dyDescent="0.3">
      <c r="A9915" s="1">
        <v>1</v>
      </c>
      <c r="B9915" s="1" t="s">
        <v>7704</v>
      </c>
      <c r="C9915" s="1" t="str">
        <f ca="1">IFERROR(__xludf.DUMMYFUNCTION("GOOGLETRANSLATE(B10083,""en"",""ja"")"),"ルミエール")</f>
        <v>ルミエール</v>
      </c>
    </row>
    <row r="9916" spans="1:3" ht="18" customHeight="1" x14ac:dyDescent="0.3">
      <c r="A9916" s="1">
        <v>1</v>
      </c>
      <c r="B9916" s="1" t="s">
        <v>7705</v>
      </c>
      <c r="C9916" s="1" t="str">
        <f ca="1">IFERROR(__xludf.DUMMYFUNCTION("GOOGLETRANSLATE(B10084,""en"",""ja"")"),"低下")</f>
        <v>低下</v>
      </c>
    </row>
    <row r="9917" spans="1:3" ht="18" customHeight="1" x14ac:dyDescent="0.3">
      <c r="A9917" s="1">
        <v>1</v>
      </c>
      <c r="B9917" s="1" t="s">
        <v>7706</v>
      </c>
      <c r="C9917" s="1" t="str">
        <f ca="1">IFERROR(__xludf.DUMMYFUNCTION("GOOGLETRANSLATE(B10085,""en"",""ja"")"),"低密度")</f>
        <v>低密度</v>
      </c>
    </row>
    <row r="9918" spans="1:3" ht="18" customHeight="1" x14ac:dyDescent="0.3">
      <c r="A9918" s="1">
        <v>1</v>
      </c>
      <c r="B9918" s="1" t="s">
        <v>7707</v>
      </c>
      <c r="C9918" s="1" t="str">
        <f ca="1">IFERROR(__xludf.DUMMYFUNCTION("GOOGLETRANSLATE(B10086,""en"",""ja"")"),"愛")</f>
        <v>愛</v>
      </c>
    </row>
    <row r="9919" spans="1:3" ht="18" customHeight="1" x14ac:dyDescent="0.3">
      <c r="A9919" s="1">
        <v>1</v>
      </c>
      <c r="B9919" s="1" t="s">
        <v>5850</v>
      </c>
      <c r="C9919" s="1" t="str">
        <f ca="1">IFERROR(__xludf.DUMMYFUNCTION("GOOGLETRANSLATE(B10087,""en"",""ja"")"),"緩く")</f>
        <v>緩く</v>
      </c>
    </row>
    <row r="9920" spans="1:3" ht="18" customHeight="1" x14ac:dyDescent="0.3">
      <c r="A9920" s="1">
        <v>1</v>
      </c>
      <c r="B9920" s="1" t="s">
        <v>7708</v>
      </c>
      <c r="C9920" s="1" t="str">
        <f ca="1">IFERROR(__xludf.DUMMYFUNCTION("GOOGLETRANSLATE(B10088,""en"",""ja"")"),"lockman")</f>
        <v>lockman</v>
      </c>
    </row>
    <row r="9921" spans="1:3" ht="18" customHeight="1" x14ac:dyDescent="0.3">
      <c r="A9921" s="1">
        <v>1</v>
      </c>
      <c r="B9921" s="1" t="s">
        <v>6968</v>
      </c>
      <c r="C9921" s="1" t="str">
        <f ca="1">IFERROR(__xludf.DUMMYFUNCTION("GOOGLETRANSLATE(B10089,""en"",""ja"")"),"見つけます")</f>
        <v>見つけます</v>
      </c>
    </row>
    <row r="9922" spans="1:3" ht="18" customHeight="1" x14ac:dyDescent="0.3">
      <c r="A9922" s="1">
        <v>1</v>
      </c>
      <c r="B9922" s="1" t="s">
        <v>7709</v>
      </c>
      <c r="C9922" s="1" t="str">
        <f ca="1">IFERROR(__xludf.DUMMYFUNCTION("GOOGLETRANSLATE(B10090,""en"",""ja"")"),"literaly")</f>
        <v>literaly</v>
      </c>
    </row>
    <row r="9923" spans="1:3" ht="18" customHeight="1" x14ac:dyDescent="0.3">
      <c r="A9923" s="1">
        <v>1</v>
      </c>
      <c r="B9923" s="1" t="s">
        <v>1448</v>
      </c>
      <c r="C9923" s="1" t="str">
        <f ca="1">IFERROR(__xludf.DUMMYFUNCTION("GOOGLETRANSLATE(B10091,""en"",""ja"")"),"文字通り")</f>
        <v>文字通り</v>
      </c>
    </row>
    <row r="9924" spans="1:3" ht="18" customHeight="1" x14ac:dyDescent="0.3">
      <c r="A9924" s="1">
        <v>1</v>
      </c>
      <c r="B9924" s="1" t="s">
        <v>7710</v>
      </c>
      <c r="C9924" s="1" t="str">
        <f ca="1">IFERROR(__xludf.DUMMYFUNCTION("GOOGLETRANSLATE(B10092,""en"",""ja"")"),"リスト")</f>
        <v>リスト</v>
      </c>
    </row>
    <row r="9925" spans="1:3" ht="18" customHeight="1" x14ac:dyDescent="0.3">
      <c r="A9925" s="1">
        <v>1</v>
      </c>
      <c r="B9925" s="1" t="s">
        <v>3442</v>
      </c>
      <c r="C9925" s="1" t="str">
        <f ca="1">IFERROR(__xludf.DUMMYFUNCTION("GOOGLETRANSLATE(B10093,""en"",""ja"")"),"聴く")</f>
        <v>聴く</v>
      </c>
    </row>
    <row r="9926" spans="1:3" ht="18" customHeight="1" x14ac:dyDescent="0.3">
      <c r="A9926" s="1">
        <v>1</v>
      </c>
      <c r="B9926" s="1" t="s">
        <v>6970</v>
      </c>
      <c r="C9926" s="1" t="str">
        <f ca="1">IFERROR(__xludf.DUMMYFUNCTION("GOOGLETRANSLATE(B10094,""en"",""ja"")"),"リンケージ")</f>
        <v>リンケージ</v>
      </c>
    </row>
    <row r="9927" spans="1:3" ht="18" customHeight="1" x14ac:dyDescent="0.3">
      <c r="A9927" s="1">
        <v>1</v>
      </c>
      <c r="B9927" s="1" t="s">
        <v>3445</v>
      </c>
      <c r="C9927" s="1" t="str">
        <f ca="1">IFERROR(__xludf.DUMMYFUNCTION("GOOGLETRANSLATE(B10095,""en"",""ja"")"),"リミット")</f>
        <v>リミット</v>
      </c>
    </row>
    <row r="9928" spans="1:3" ht="18" customHeight="1" x14ac:dyDescent="0.3">
      <c r="A9928" s="1">
        <v>1</v>
      </c>
      <c r="B9928" s="1" t="s">
        <v>7711</v>
      </c>
      <c r="C9928" s="1" t="str">
        <f ca="1">IFERROR(__xludf.DUMMYFUNCTION("GOOGLETRANSLATE(B10096,""en"",""ja"")"),"なぞらえます")</f>
        <v>なぞらえます</v>
      </c>
    </row>
    <row r="9929" spans="1:3" ht="18" customHeight="1" x14ac:dyDescent="0.3">
      <c r="A9929" s="1">
        <v>1</v>
      </c>
      <c r="B9929" s="1" t="s">
        <v>2986</v>
      </c>
      <c r="C9929" s="1" t="str">
        <f ca="1">IFERROR(__xludf.DUMMYFUNCTION("GOOGLETRANSLATE(B10098,""en"",""ja"")"),"ライフスタイル")</f>
        <v>ライフスタイル</v>
      </c>
    </row>
    <row r="9930" spans="1:3" ht="18" customHeight="1" x14ac:dyDescent="0.3">
      <c r="A9930" s="1">
        <v>1</v>
      </c>
      <c r="B9930" s="1" t="s">
        <v>6974</v>
      </c>
      <c r="C9930" s="1" t="str">
        <f ca="1">IFERROR(__xludf.DUMMYFUNCTION("GOOGLETRANSLATE(B10099,""en"",""ja"")"),"図書館")</f>
        <v>図書館</v>
      </c>
    </row>
    <row r="9931" spans="1:3" ht="18" customHeight="1" x14ac:dyDescent="0.3">
      <c r="A9931" s="1">
        <v>1</v>
      </c>
      <c r="B9931" s="1" t="s">
        <v>2656</v>
      </c>
      <c r="C9931" s="1" t="str">
        <f ca="1">IFERROR(__xludf.DUMMYFUNCTION("GOOGLETRANSLATE(B10100,""en"",""ja"")"),"自由")</f>
        <v>自由</v>
      </c>
    </row>
    <row r="9932" spans="1:3" ht="18" customHeight="1" x14ac:dyDescent="0.3">
      <c r="A9932" s="1">
        <v>1</v>
      </c>
      <c r="B9932" s="1" t="s">
        <v>273</v>
      </c>
      <c r="C9932" s="1" t="str">
        <f ca="1">IFERROR(__xludf.DUMMYFUNCTION("GOOGLETRANSLATE(B10101,""en"",""ja"")"),"リベラル")</f>
        <v>リベラル</v>
      </c>
    </row>
    <row r="9933" spans="1:3" ht="18" customHeight="1" x14ac:dyDescent="0.3">
      <c r="A9933" s="1">
        <v>1</v>
      </c>
      <c r="B9933" s="1" t="s">
        <v>7712</v>
      </c>
      <c r="C9933" s="1" t="str">
        <f ca="1">IFERROR(__xludf.DUMMYFUNCTION("GOOGLETRANSLATE(B10102,""en"",""ja"")"),"責任")</f>
        <v>責任</v>
      </c>
    </row>
    <row r="9934" spans="1:3" ht="18" customHeight="1" x14ac:dyDescent="0.3">
      <c r="A9934" s="1">
        <v>1</v>
      </c>
      <c r="B9934" s="1" t="s">
        <v>134</v>
      </c>
      <c r="C9934" s="1" t="str">
        <f ca="1">IFERROR(__xludf.DUMMYFUNCTION("GOOGLETRANSLATE(B10103,""en"",""ja"")"),"もっと少なく")</f>
        <v>もっと少なく</v>
      </c>
    </row>
    <row r="9935" spans="1:3" ht="18" customHeight="1" x14ac:dyDescent="0.3">
      <c r="A9935" s="1">
        <v>1</v>
      </c>
      <c r="B9935" s="1" t="s">
        <v>7713</v>
      </c>
      <c r="C9935" s="1" t="str">
        <f ca="1">IFERROR(__xludf.DUMMYFUNCTION("GOOGLETRANSLATE(B10104,""en"",""ja"")"),"軽減")</f>
        <v>軽減</v>
      </c>
    </row>
    <row r="9936" spans="1:3" ht="18" customHeight="1" x14ac:dyDescent="0.3">
      <c r="A9936" s="1">
        <v>1</v>
      </c>
      <c r="B9936" s="1" t="s">
        <v>3448</v>
      </c>
      <c r="C9936" s="1" t="str">
        <f ca="1">IFERROR(__xludf.DUMMYFUNCTION("GOOGLETRANSLATE(B10105,""en"",""ja"")"),"少なくなります")</f>
        <v>少なくなります</v>
      </c>
    </row>
    <row r="9937" spans="1:3" ht="18" customHeight="1" x14ac:dyDescent="0.3">
      <c r="A9937" s="1">
        <v>1</v>
      </c>
      <c r="B9937" s="1" t="s">
        <v>7714</v>
      </c>
      <c r="C9937" s="1" t="str">
        <f ca="1">IFERROR(__xludf.DUMMYFUNCTION("GOOGLETRANSLATE(B10106,""en"",""ja"")"),"傷害")</f>
        <v>傷害</v>
      </c>
    </row>
    <row r="9938" spans="1:3" ht="18" customHeight="1" x14ac:dyDescent="0.3">
      <c r="A9938" s="1">
        <v>1</v>
      </c>
      <c r="B9938" s="1" t="s">
        <v>7715</v>
      </c>
      <c r="C9938" s="1" t="str">
        <f ca="1">IFERROR(__xludf.DUMMYFUNCTION("GOOGLETRANSLATE(B10107,""en"",""ja"")"),"LENGTHEN")</f>
        <v>LENGTHEN</v>
      </c>
    </row>
    <row r="9939" spans="1:3" ht="18" customHeight="1" x14ac:dyDescent="0.3">
      <c r="A9939" s="1">
        <v>1</v>
      </c>
      <c r="B9939" s="1" t="s">
        <v>7716</v>
      </c>
      <c r="C9939" s="1" t="str">
        <f ca="1">IFERROR(__xludf.DUMMYFUNCTION("GOOGLETRANSLATE(B10108,""en"",""ja"")"),"貸し手")</f>
        <v>貸し手</v>
      </c>
    </row>
    <row r="9940" spans="1:3" ht="18" customHeight="1" x14ac:dyDescent="0.3">
      <c r="A9940" s="1">
        <v>1</v>
      </c>
      <c r="B9940" s="1" t="s">
        <v>7717</v>
      </c>
      <c r="C9940" s="1" t="str">
        <f ca="1">IFERROR(__xludf.DUMMYFUNCTION("GOOGLETRANSLATE(B10109,""en"",""ja"")"),"貸します")</f>
        <v>貸します</v>
      </c>
    </row>
    <row r="9941" spans="1:3" ht="18" customHeight="1" x14ac:dyDescent="0.3">
      <c r="A9941" s="1">
        <v>1</v>
      </c>
      <c r="B9941" s="1" t="s">
        <v>7718</v>
      </c>
      <c r="C9941" s="1" t="str">
        <f ca="1">IFERROR(__xludf.DUMMYFUNCTION("GOOGLETRANSLATE(B10110,""en"",""ja"")"),"合法的に")</f>
        <v>合法的に</v>
      </c>
    </row>
    <row r="9942" spans="1:3" ht="18" customHeight="1" x14ac:dyDescent="0.3">
      <c r="A9942" s="1">
        <v>1</v>
      </c>
      <c r="B9942" s="1" t="s">
        <v>7719</v>
      </c>
      <c r="C9942" s="1" t="str">
        <f ca="1">IFERROR(__xludf.DUMMYFUNCTION("GOOGLETRANSLATE(B10111,""en"",""ja"")"),"legant")</f>
        <v>legant</v>
      </c>
    </row>
    <row r="9943" spans="1:3" ht="18" customHeight="1" x14ac:dyDescent="0.3">
      <c r="A9943" s="1">
        <v>1</v>
      </c>
      <c r="B9943" s="1" t="s">
        <v>6976</v>
      </c>
      <c r="C9943" s="1" t="str">
        <f ca="1">IFERROR(__xludf.DUMMYFUNCTION("GOOGLETRANSLATE(B10112,""en"",""ja"")"),"残り")</f>
        <v>残り</v>
      </c>
    </row>
    <row r="9944" spans="1:3" ht="18" customHeight="1" x14ac:dyDescent="0.3">
      <c r="A9944" s="1">
        <v>1</v>
      </c>
      <c r="B9944" s="1" t="s">
        <v>7720</v>
      </c>
      <c r="C9944" s="1" t="str">
        <f ca="1">IFERROR(__xludf.DUMMYFUNCTION("GOOGLETRANSLATE(B10113,""en"",""ja"")"),"リーク")</f>
        <v>リーク</v>
      </c>
    </row>
    <row r="9945" spans="1:3" ht="18" customHeight="1" x14ac:dyDescent="0.3">
      <c r="A9945" s="1">
        <v>1</v>
      </c>
      <c r="B9945" s="1" t="s">
        <v>2119</v>
      </c>
      <c r="C9945" s="1" t="str">
        <f ca="1">IFERROR(__xludf.DUMMYFUNCTION("GOOGLETRANSLATE(B10115,""en"",""ja"")"),"層")</f>
        <v>層</v>
      </c>
    </row>
    <row r="9946" spans="1:3" ht="18" customHeight="1" x14ac:dyDescent="0.3">
      <c r="A9946" s="1">
        <v>1</v>
      </c>
      <c r="B9946" s="1" t="s">
        <v>3977</v>
      </c>
      <c r="C9946" s="1" t="str">
        <f ca="1">IFERROR(__xludf.DUMMYFUNCTION("GOOGLETRANSLATE(B10116,""en"",""ja"")"),"素人")</f>
        <v>素人</v>
      </c>
    </row>
    <row r="9947" spans="1:3" ht="18" customHeight="1" x14ac:dyDescent="0.3">
      <c r="A9947" s="1">
        <v>1</v>
      </c>
      <c r="B9947" s="1" t="s">
        <v>7721</v>
      </c>
      <c r="C9947" s="1" t="str">
        <f ca="1">IFERROR(__xludf.DUMMYFUNCTION("GOOGLETRANSLATE(B10117,""en"",""ja"")"),"打ち上げ")</f>
        <v>打ち上げ</v>
      </c>
    </row>
    <row r="9948" spans="1:3" ht="18" customHeight="1" x14ac:dyDescent="0.3">
      <c r="A9948" s="1">
        <v>1</v>
      </c>
      <c r="B9948" s="1" t="s">
        <v>7722</v>
      </c>
      <c r="C9948" s="1" t="str">
        <f ca="1">IFERROR(__xludf.DUMMYFUNCTION("GOOGLETRANSLATE(B10118,""en"",""ja"")"),"続きました")</f>
        <v>続きました</v>
      </c>
    </row>
    <row r="9949" spans="1:3" ht="18" customHeight="1" x14ac:dyDescent="0.3">
      <c r="A9949" s="1">
        <v>1</v>
      </c>
      <c r="B9949" s="1" t="s">
        <v>1064</v>
      </c>
      <c r="C9949" s="1" t="str">
        <f ca="1">IFERROR(__xludf.DUMMYFUNCTION("GOOGLETRANSLATE(B10119,""en"",""ja"")"),"大部分")</f>
        <v>大部分</v>
      </c>
    </row>
    <row r="9950" spans="1:3" ht="18" customHeight="1" x14ac:dyDescent="0.3">
      <c r="A9950" s="1">
        <v>1</v>
      </c>
      <c r="B9950" s="1" t="s">
        <v>7723</v>
      </c>
      <c r="C9950" s="1" t="str">
        <f ca="1">IFERROR(__xludf.DUMMYFUNCTION("GOOGLETRANSLATE(B10120,""en"",""ja"")"),"哀歌")</f>
        <v>哀歌</v>
      </c>
    </row>
    <row r="9951" spans="1:3" ht="18" customHeight="1" x14ac:dyDescent="0.3">
      <c r="A9951" s="1">
        <v>1</v>
      </c>
      <c r="B9951" s="1" t="s">
        <v>3981</v>
      </c>
      <c r="C9951" s="1" t="str">
        <f ca="1">IFERROR(__xludf.DUMMYFUNCTION("GOOGLETRANSLATE(B10121,""en"",""ja"")"),"ラボ")</f>
        <v>ラボ</v>
      </c>
    </row>
    <row r="9952" spans="1:3" ht="18" customHeight="1" x14ac:dyDescent="0.3">
      <c r="A9952" s="1">
        <v>1</v>
      </c>
      <c r="B9952" s="1" t="s">
        <v>7724</v>
      </c>
      <c r="C9952" s="1" t="str">
        <f ca="1">IFERROR(__xludf.DUMMYFUNCTION("GOOGLETRANSLATE(B10122,""en"",""ja"")"),"京都")</f>
        <v>京都</v>
      </c>
    </row>
    <row r="9953" spans="1:3" ht="18" customHeight="1" x14ac:dyDescent="0.3">
      <c r="A9953" s="1">
        <v>1</v>
      </c>
      <c r="B9953" s="1" t="s">
        <v>7725</v>
      </c>
      <c r="C9953" s="1" t="str">
        <f ca="1">IFERROR(__xludf.DUMMYFUNCTION("GOOGLETRANSLATE(B10123,""en"",""ja"")"),"クリシュナ")</f>
        <v>クリシュナ</v>
      </c>
    </row>
    <row r="9954" spans="1:3" ht="18" customHeight="1" x14ac:dyDescent="0.3">
      <c r="A9954" s="1">
        <v>1</v>
      </c>
      <c r="B9954" s="1" t="s">
        <v>7726</v>
      </c>
      <c r="C9954" s="1" t="str">
        <f ca="1">IFERROR(__xludf.DUMMYFUNCTION("GOOGLETRANSLATE(B10124,""en"",""ja"")"),"知識のあります")</f>
        <v>知識のあります</v>
      </c>
    </row>
    <row r="9955" spans="1:3" ht="18" customHeight="1" x14ac:dyDescent="0.3">
      <c r="A9955" s="1">
        <v>1</v>
      </c>
      <c r="B9955" s="1" t="s">
        <v>7727</v>
      </c>
      <c r="C9955" s="1" t="str">
        <f ca="1">IFERROR(__xludf.DUMMYFUNCTION("GOOGLETRANSLATE(B10125,""en"",""ja"")"),"殺します")</f>
        <v>殺します</v>
      </c>
    </row>
    <row r="9956" spans="1:3" ht="18" customHeight="1" x14ac:dyDescent="0.3">
      <c r="A9956" s="1">
        <v>1</v>
      </c>
      <c r="B9956" s="1" t="s">
        <v>4684</v>
      </c>
      <c r="C9956" s="1" t="str">
        <f ca="1">IFERROR(__xludf.DUMMYFUNCTION("GOOGLETRANSLATE(B10126,""en"",""ja"")"),"キック")</f>
        <v>キック</v>
      </c>
    </row>
    <row r="9957" spans="1:3" ht="18" customHeight="1" x14ac:dyDescent="0.3">
      <c r="A9957" s="1">
        <v>1</v>
      </c>
      <c r="B9957" s="1" t="s">
        <v>530</v>
      </c>
      <c r="C9957" s="1" t="str">
        <f ca="1">IFERROR(__xludf.DUMMYFUNCTION("GOOGLETRANSLATE(B10127,""en"",""ja"")"),"保つ")</f>
        <v>保つ</v>
      </c>
    </row>
    <row r="9958" spans="1:3" ht="18" customHeight="1" x14ac:dyDescent="0.3">
      <c r="A9958" s="1">
        <v>1</v>
      </c>
      <c r="B9958" s="1" t="s">
        <v>132</v>
      </c>
      <c r="C9958" s="1" t="str">
        <f ca="1">IFERROR(__xludf.DUMMYFUNCTION("GOOGLETRANSLATE(B10128,""en"",""ja"")"),"ただ")</f>
        <v>ただ</v>
      </c>
    </row>
    <row r="9959" spans="1:3" ht="18" customHeight="1" x14ac:dyDescent="0.3">
      <c r="A9959" s="1">
        <v>1</v>
      </c>
      <c r="B9959" s="1" t="s">
        <v>7728</v>
      </c>
      <c r="C9959" s="1" t="str">
        <f ca="1">IFERROR(__xludf.DUMMYFUNCTION("GOOGLETRANSLATE(B10129,""en"",""ja"")"),"正当化")</f>
        <v>正当化</v>
      </c>
    </row>
    <row r="9960" spans="1:3" ht="18" customHeight="1" x14ac:dyDescent="0.3">
      <c r="A9960" s="1">
        <v>1</v>
      </c>
      <c r="B9960" s="1" t="s">
        <v>3452</v>
      </c>
      <c r="C9960" s="1" t="str">
        <f ca="1">IFERROR(__xludf.DUMMYFUNCTION("GOOGLETRANSLATE(B10130,""en"",""ja"")"),"正当化")</f>
        <v>正当化</v>
      </c>
    </row>
    <row r="9961" spans="1:3" ht="18" customHeight="1" x14ac:dyDescent="0.3">
      <c r="A9961" s="1">
        <v>1</v>
      </c>
      <c r="B9961" s="1" t="s">
        <v>1123</v>
      </c>
      <c r="C9961" s="1" t="str">
        <f ca="1">IFERROR(__xludf.DUMMYFUNCTION("GOOGLETRANSLATE(B10131,""en"",""ja"")"),"正義")</f>
        <v>正義</v>
      </c>
    </row>
    <row r="9962" spans="1:3" ht="18" customHeight="1" x14ac:dyDescent="0.3">
      <c r="A9962" s="1">
        <v>1</v>
      </c>
      <c r="B9962" s="1" t="s">
        <v>132</v>
      </c>
      <c r="C9962" s="1" t="str">
        <f ca="1">IFERROR(__xludf.DUMMYFUNCTION("GOOGLETRANSLATE(B10132,""en"",""ja"")"),"ただ")</f>
        <v>ただ</v>
      </c>
    </row>
    <row r="9963" spans="1:3" ht="18" customHeight="1" x14ac:dyDescent="0.3">
      <c r="A9963" s="1">
        <v>1</v>
      </c>
      <c r="B9963" s="1" t="s">
        <v>1942</v>
      </c>
      <c r="C9963" s="1" t="str">
        <f ca="1">IFERROR(__xludf.DUMMYFUNCTION("GOOGLETRANSLATE(B10133,""en"",""ja"")"),"喜び")</f>
        <v>喜び</v>
      </c>
    </row>
    <row r="9964" spans="1:3" ht="18" customHeight="1" x14ac:dyDescent="0.3">
      <c r="A9964" s="1">
        <v>1</v>
      </c>
      <c r="B9964" s="1" t="s">
        <v>7729</v>
      </c>
      <c r="C9964" s="1" t="str">
        <f ca="1">IFERROR(__xludf.DUMMYFUNCTION("GOOGLETRANSLATE(B10134,""en"",""ja"")"),"ジャーナリズム")</f>
        <v>ジャーナリズム</v>
      </c>
    </row>
    <row r="9965" spans="1:3" ht="18" customHeight="1" x14ac:dyDescent="0.3">
      <c r="A9965" s="1">
        <v>1</v>
      </c>
      <c r="B9965" s="1" t="s">
        <v>7730</v>
      </c>
      <c r="C9965" s="1" t="str">
        <f ca="1">IFERROR(__xludf.DUMMYFUNCTION("GOOGLETRANSLATE(B10135,""en"",""ja"")"),"ジャーナル")</f>
        <v>ジャーナル</v>
      </c>
    </row>
    <row r="9966" spans="1:3" ht="18" customHeight="1" x14ac:dyDescent="0.3">
      <c r="A9966" s="1">
        <v>1</v>
      </c>
      <c r="B9966" s="1" t="s">
        <v>7731</v>
      </c>
      <c r="C9966" s="1" t="str">
        <f ca="1">IFERROR(__xludf.DUMMYFUNCTION("GOOGLETRANSLATE(B10136,""en"",""ja"")"),"冗談")</f>
        <v>冗談</v>
      </c>
    </row>
    <row r="9967" spans="1:3" ht="18" customHeight="1" x14ac:dyDescent="0.3">
      <c r="A9967" s="1">
        <v>1</v>
      </c>
      <c r="B9967" s="1" t="s">
        <v>7732</v>
      </c>
      <c r="C9967" s="1" t="str">
        <f ca="1">IFERROR(__xludf.DUMMYFUNCTION("GOOGLETRANSLATE(B10137,""en"",""ja"")"),"接合")</f>
        <v>接合</v>
      </c>
    </row>
    <row r="9968" spans="1:3" ht="18" customHeight="1" x14ac:dyDescent="0.3">
      <c r="A9968" s="1">
        <v>1</v>
      </c>
      <c r="B9968" s="1" t="s">
        <v>7733</v>
      </c>
      <c r="C9968" s="1" t="str">
        <f ca="1">IFERROR(__xludf.DUMMYFUNCTION("GOOGLETRANSLATE(B10138,""en"",""ja"")"),"求職者")</f>
        <v>求職者</v>
      </c>
    </row>
    <row r="9969" spans="1:3" ht="18" customHeight="1" x14ac:dyDescent="0.3">
      <c r="A9969" s="1">
        <v>1</v>
      </c>
      <c r="B9969" s="1" t="s">
        <v>7734</v>
      </c>
      <c r="C9969" s="1" t="str">
        <f ca="1">IFERROR(__xludf.DUMMYFUNCTION("GOOGLETRANSLATE(B10139,""en"",""ja"")"),"宝石")</f>
        <v>宝石</v>
      </c>
    </row>
    <row r="9970" spans="1:3" ht="18" customHeight="1" x14ac:dyDescent="0.3">
      <c r="A9970" s="1">
        <v>1</v>
      </c>
      <c r="B9970" s="1" t="s">
        <v>3989</v>
      </c>
      <c r="C9970" s="1" t="str">
        <f ca="1">IFERROR(__xludf.DUMMYFUNCTION("GOOGLETRANSLATE(B10140,""en"",""ja"")"),"ジェヴォンズ")</f>
        <v>ジェヴォンズ</v>
      </c>
    </row>
    <row r="9971" spans="1:3" ht="18" customHeight="1" x14ac:dyDescent="0.3">
      <c r="A9971" s="1">
        <v>1</v>
      </c>
      <c r="B9971" s="1" t="s">
        <v>7735</v>
      </c>
      <c r="C9971" s="1" t="str">
        <f ca="1">IFERROR(__xludf.DUMMYFUNCTION("GOOGLETRANSLATE(B10141,""en"",""ja"")"),"危険にさらさ")</f>
        <v>危険にさらさ</v>
      </c>
    </row>
    <row r="9972" spans="1:3" ht="18" customHeight="1" x14ac:dyDescent="0.3">
      <c r="A9972" s="1">
        <v>1</v>
      </c>
      <c r="B9972" s="1" t="s">
        <v>7736</v>
      </c>
      <c r="C9972" s="1" t="str">
        <f ca="1">IFERROR(__xludf.DUMMYFUNCTION("GOOGLETRANSLATE(B10142,""en"",""ja"")"),"ゼリー")</f>
        <v>ゼリー</v>
      </c>
    </row>
    <row r="9973" spans="1:3" ht="18" customHeight="1" x14ac:dyDescent="0.3">
      <c r="A9973" s="1">
        <v>1</v>
      </c>
      <c r="B9973" s="1" t="s">
        <v>7737</v>
      </c>
      <c r="C9973" s="1" t="str">
        <f ca="1">IFERROR(__xludf.DUMMYFUNCTION("GOOGLETRANSLATE(B10143,""en"",""ja"")"),"ジャック")</f>
        <v>ジャック</v>
      </c>
    </row>
    <row r="9974" spans="1:3" ht="18" customHeight="1" x14ac:dyDescent="0.3">
      <c r="A9974" s="1">
        <v>1</v>
      </c>
      <c r="B9974" s="1" t="s">
        <v>7738</v>
      </c>
      <c r="C9974" s="1" t="str">
        <f ca="1">IFERROR(__xludf.DUMMYFUNCTION("GOOGLETRANSLATE(B10144,""en"",""ja"")"),"アイブ")</f>
        <v>アイブ</v>
      </c>
    </row>
    <row r="9975" spans="1:3" ht="18" customHeight="1" x14ac:dyDescent="0.3">
      <c r="A9975" s="1">
        <v>1</v>
      </c>
      <c r="B9975" s="1" t="s">
        <v>6999</v>
      </c>
      <c r="C9975" s="1" t="str">
        <f ca="1">IFERROR(__xludf.DUMMYFUNCTION("GOOGLETRANSLATE(B10145,""en"",""ja"")"),"分離株")</f>
        <v>分離株</v>
      </c>
    </row>
    <row r="9976" spans="1:3" ht="18" customHeight="1" x14ac:dyDescent="0.3">
      <c r="A9976" s="1">
        <v>1</v>
      </c>
      <c r="B9976" s="1" t="s">
        <v>7739</v>
      </c>
      <c r="C9976" s="1" t="str">
        <f ca="1">IFERROR(__xludf.DUMMYFUNCTION("GOOGLETRANSLATE(B10146,""en"",""ja"")"),"刺激")</f>
        <v>刺激</v>
      </c>
    </row>
    <row r="9977" spans="1:3" ht="18" customHeight="1" x14ac:dyDescent="0.3">
      <c r="A9977" s="1">
        <v>1</v>
      </c>
      <c r="B9977" s="1" t="s">
        <v>7740</v>
      </c>
      <c r="C9977" s="1" t="str">
        <f ca="1">IFERROR(__xludf.DUMMYFUNCTION("GOOGLETRANSLATE(B10147,""en"",""ja"")"),"過敏な")</f>
        <v>過敏な</v>
      </c>
    </row>
    <row r="9978" spans="1:3" ht="18" customHeight="1" x14ac:dyDescent="0.3">
      <c r="A9978" s="1">
        <v>1</v>
      </c>
      <c r="B9978" s="1" t="s">
        <v>1452</v>
      </c>
      <c r="C9978" s="1" t="str">
        <f ca="1">IFERROR(__xludf.DUMMYFUNCTION("GOOGLETRANSLATE(B10148,""en"",""ja"")"),"不規則")</f>
        <v>不規則</v>
      </c>
    </row>
    <row r="9979" spans="1:3" ht="18" customHeight="1" x14ac:dyDescent="0.3">
      <c r="A9979" s="1">
        <v>1</v>
      </c>
      <c r="B9979" s="1" t="s">
        <v>7741</v>
      </c>
      <c r="C9979" s="1" t="str">
        <f ca="1">IFERROR(__xludf.DUMMYFUNCTION("GOOGLETRANSLATE(B10149,""en"",""ja"")"),"イオン")</f>
        <v>イオン</v>
      </c>
    </row>
    <row r="9980" spans="1:3" ht="18" customHeight="1" x14ac:dyDescent="0.3">
      <c r="A9980" s="1">
        <v>1</v>
      </c>
      <c r="B9980" s="1" t="s">
        <v>4696</v>
      </c>
      <c r="C9980" s="1" t="str">
        <f ca="1">IFERROR(__xludf.DUMMYFUNCTION("GOOGLETRANSLATE(B10150,""en"",""ja"")"),"呼び出し")</f>
        <v>呼び出し</v>
      </c>
    </row>
    <row r="9981" spans="1:3" ht="18" customHeight="1" x14ac:dyDescent="0.3">
      <c r="A9981" s="1">
        <v>1</v>
      </c>
      <c r="B9981" s="1" t="s">
        <v>7004</v>
      </c>
      <c r="C9981" s="1" t="str">
        <f ca="1">IFERROR(__xludf.DUMMYFUNCTION("GOOGLETRANSLATE(B10151,""en"",""ja"")"),"目に見えません")</f>
        <v>目に見えません</v>
      </c>
    </row>
    <row r="9982" spans="1:3" ht="18" customHeight="1" x14ac:dyDescent="0.3">
      <c r="A9982" s="1">
        <v>1</v>
      </c>
      <c r="B9982" s="1" t="s">
        <v>7005</v>
      </c>
      <c r="C9982" s="1" t="str">
        <f ca="1">IFERROR(__xludf.DUMMYFUNCTION("GOOGLETRANSLATE(B10152,""en"",""ja"")"),"インビジブル")</f>
        <v>インビジブル</v>
      </c>
    </row>
    <row r="9983" spans="1:3" ht="18" customHeight="1" x14ac:dyDescent="0.3">
      <c r="A9983" s="1">
        <v>1</v>
      </c>
      <c r="B9983" s="1" t="s">
        <v>7742</v>
      </c>
      <c r="C9983" s="1" t="str">
        <f ca="1">IFERROR(__xludf.DUMMYFUNCTION("GOOGLETRANSLATE(B10153,""en"",""ja"")"),"投資家")</f>
        <v>投資家</v>
      </c>
    </row>
    <row r="9984" spans="1:3" ht="18" customHeight="1" x14ac:dyDescent="0.3">
      <c r="A9984" s="1">
        <v>1</v>
      </c>
      <c r="B9984" s="1" t="s">
        <v>7743</v>
      </c>
      <c r="C9984" s="1" t="str">
        <f ca="1">IFERROR(__xludf.DUMMYFUNCTION("GOOGLETRANSLATE(B10154,""en"",""ja"")"),"投資")</f>
        <v>投資</v>
      </c>
    </row>
    <row r="9985" spans="1:3" ht="18" customHeight="1" x14ac:dyDescent="0.3">
      <c r="A9985" s="1">
        <v>1</v>
      </c>
      <c r="B9985" s="1" t="s">
        <v>7744</v>
      </c>
      <c r="C9985" s="1" t="str">
        <f ca="1">IFERROR(__xludf.DUMMYFUNCTION("GOOGLETRANSLATE(B10155,""en"",""ja"")"),"調査")</f>
        <v>調査</v>
      </c>
    </row>
    <row r="9986" spans="1:3" ht="18" customHeight="1" x14ac:dyDescent="0.3">
      <c r="A9986" s="1">
        <v>1</v>
      </c>
      <c r="B9986" s="1" t="s">
        <v>1669</v>
      </c>
      <c r="C9986" s="1" t="str">
        <f ca="1">IFERROR(__xludf.DUMMYFUNCTION("GOOGLETRANSLATE(B10156,""en"",""ja"")"),"発明者")</f>
        <v>発明者</v>
      </c>
    </row>
    <row r="9987" spans="1:3" ht="18" customHeight="1" x14ac:dyDescent="0.3">
      <c r="A9987" s="1">
        <v>1</v>
      </c>
      <c r="B9987" s="1" t="s">
        <v>4701</v>
      </c>
      <c r="C9987" s="1" t="str">
        <f ca="1">IFERROR(__xludf.DUMMYFUNCTION("GOOGLETRANSLATE(B10157,""en"",""ja"")"),"貴重な")</f>
        <v>貴重な</v>
      </c>
    </row>
    <row r="9988" spans="1:3" ht="18" customHeight="1" x14ac:dyDescent="0.3">
      <c r="A9988" s="1">
        <v>1</v>
      </c>
      <c r="B9988" s="1" t="s">
        <v>2994</v>
      </c>
      <c r="C9988" s="1" t="str">
        <f ca="1">IFERROR(__xludf.DUMMYFUNCTION("GOOGLETRANSLATE(B10158,""en"",""ja"")"),"直感的")</f>
        <v>直感的</v>
      </c>
    </row>
    <row r="9989" spans="1:3" ht="18" customHeight="1" x14ac:dyDescent="0.3">
      <c r="A9989" s="1">
        <v>1</v>
      </c>
      <c r="B9989" s="1" t="s">
        <v>7745</v>
      </c>
      <c r="C9989" s="1" t="str">
        <f ca="1">IFERROR(__xludf.DUMMYFUNCTION("GOOGLETRANSLATE(B10159,""en"",""ja"")"),"直感")</f>
        <v>直感</v>
      </c>
    </row>
    <row r="9990" spans="1:3" ht="18" customHeight="1" x14ac:dyDescent="0.3">
      <c r="A9990" s="1">
        <v>1</v>
      </c>
      <c r="B9990" s="1" t="s">
        <v>7746</v>
      </c>
      <c r="C9990" s="1" t="str">
        <f ca="1">IFERROR(__xludf.DUMMYFUNCTION("GOOGLETRANSLATE(B10161,""en"",""ja"")"),"押し付けがましいです")</f>
        <v>押し付けがましいです</v>
      </c>
    </row>
    <row r="9991" spans="1:3" ht="18" customHeight="1" x14ac:dyDescent="0.3">
      <c r="A9991" s="1">
        <v>1</v>
      </c>
      <c r="B9991" s="1" t="s">
        <v>7747</v>
      </c>
      <c r="C9991" s="1" t="str">
        <f ca="1">IFERROR(__xludf.DUMMYFUNCTION("GOOGLETRANSLATE(B10162,""en"",""ja"")"),"内向")</f>
        <v>内向</v>
      </c>
    </row>
    <row r="9992" spans="1:3" ht="18" customHeight="1" x14ac:dyDescent="0.3">
      <c r="A9992" s="1">
        <v>1</v>
      </c>
      <c r="B9992" s="1" t="s">
        <v>7748</v>
      </c>
      <c r="C9992" s="1" t="str">
        <f ca="1">IFERROR(__xludf.DUMMYFUNCTION("GOOGLETRANSLATE(B10163,""en"",""ja"")"),"導入する")</f>
        <v>導入する</v>
      </c>
    </row>
    <row r="9993" spans="1:3" ht="18" customHeight="1" x14ac:dyDescent="0.3">
      <c r="A9993" s="1">
        <v>1</v>
      </c>
      <c r="B9993" s="1" t="s">
        <v>7749</v>
      </c>
      <c r="C9993" s="1" t="str">
        <f ca="1">IFERROR(__xludf.DUMMYFUNCTION("GOOGLETRANSLATE(B10165,""en"",""ja"")"),"本質")</f>
        <v>本質</v>
      </c>
    </row>
    <row r="9994" spans="1:3" ht="18" customHeight="1" x14ac:dyDescent="0.3">
      <c r="A9994" s="1">
        <v>1</v>
      </c>
      <c r="B9994" s="1" t="s">
        <v>7750</v>
      </c>
      <c r="C9994" s="1" t="str">
        <f ca="1">IFERROR(__xludf.DUMMYFUNCTION("GOOGLETRANSLATE(B10166,""en"",""ja"")"),"威圧")</f>
        <v>威圧</v>
      </c>
    </row>
    <row r="9995" spans="1:3" ht="18" customHeight="1" x14ac:dyDescent="0.3">
      <c r="A9995" s="1">
        <v>1</v>
      </c>
      <c r="B9995" s="1" t="s">
        <v>3998</v>
      </c>
      <c r="C9995" s="1" t="str">
        <f ca="1">IFERROR(__xludf.DUMMYFUNCTION("GOOGLETRANSLATE(B10167,""en"",""ja"")"),"親密")</f>
        <v>親密</v>
      </c>
    </row>
    <row r="9996" spans="1:3" ht="18" customHeight="1" x14ac:dyDescent="0.3">
      <c r="A9996" s="1">
        <v>1</v>
      </c>
      <c r="B9996" s="1" t="s">
        <v>5903</v>
      </c>
      <c r="C9996" s="1" t="str">
        <f ca="1">IFERROR(__xludf.DUMMYFUNCTION("GOOGLETRANSLATE(B10168,""en"",""ja"")"),"親しいです")</f>
        <v>親しいです</v>
      </c>
    </row>
    <row r="9997" spans="1:3" ht="18" customHeight="1" x14ac:dyDescent="0.3">
      <c r="A9997" s="1">
        <v>1</v>
      </c>
      <c r="B9997" s="1" t="s">
        <v>7751</v>
      </c>
      <c r="C9997" s="1" t="str">
        <f ca="1">IFERROR(__xludf.DUMMYFUNCTION("GOOGLETRANSLATE(B10169,""en"",""ja"")"),"介入")</f>
        <v>介入</v>
      </c>
    </row>
    <row r="9998" spans="1:3" ht="18" customHeight="1" x14ac:dyDescent="0.3">
      <c r="A9998" s="1">
        <v>1</v>
      </c>
      <c r="B9998" s="1" t="s">
        <v>5906</v>
      </c>
      <c r="C9998" s="1" t="str">
        <f ca="1">IFERROR(__xludf.DUMMYFUNCTION("GOOGLETRANSLATE(B10170,""en"",""ja"")"),"間隔")</f>
        <v>間隔</v>
      </c>
    </row>
    <row r="9999" spans="1:3" ht="18" customHeight="1" x14ac:dyDescent="0.3">
      <c r="A9999" s="1">
        <v>1</v>
      </c>
      <c r="B9999" s="1" t="s">
        <v>7752</v>
      </c>
      <c r="C9999" s="1" t="str">
        <f ca="1">IFERROR(__xludf.DUMMYFUNCTION("GOOGLETRANSLATE(B10171,""en"",""ja"")"),"交差")</f>
        <v>交差</v>
      </c>
    </row>
    <row r="10000" spans="1:3" ht="18" customHeight="1" x14ac:dyDescent="0.3">
      <c r="A10000" s="1">
        <v>1</v>
      </c>
      <c r="B10000" s="1" t="s">
        <v>5909</v>
      </c>
      <c r="C10000" s="1" t="str">
        <f ca="1">IFERROR(__xludf.DUMMYFUNCTION("GOOGLETRANSLATE(B10172,""en"",""ja"")"),"中断")</f>
        <v>中断</v>
      </c>
    </row>
    <row r="10001" spans="1:3" ht="18" customHeight="1" x14ac:dyDescent="0.3">
      <c r="A10001" s="1">
        <v>1</v>
      </c>
      <c r="B10001" s="1" t="s">
        <v>7753</v>
      </c>
      <c r="C10001" s="1" t="str">
        <f ca="1">IFERROR(__xludf.DUMMYFUNCTION("GOOGLETRANSLATE(B10173,""en"",""ja"")"),"国際化")</f>
        <v>国際化</v>
      </c>
    </row>
    <row r="10002" spans="1:3" ht="18" customHeight="1" x14ac:dyDescent="0.3">
      <c r="A10002" s="1">
        <v>1</v>
      </c>
      <c r="B10002" s="1" t="s">
        <v>5914</v>
      </c>
      <c r="C10002" s="1" t="str">
        <f ca="1">IFERROR(__xludf.DUMMYFUNCTION("GOOGLETRANSLATE(B10174,""en"",""ja"")"),"干渉する")</f>
        <v>干渉する</v>
      </c>
    </row>
    <row r="10003" spans="1:3" ht="18" customHeight="1" x14ac:dyDescent="0.3">
      <c r="A10003" s="1">
        <v>1</v>
      </c>
      <c r="B10003" s="1" t="s">
        <v>2381</v>
      </c>
      <c r="C10003" s="1" t="str">
        <f ca="1">IFERROR(__xludf.DUMMYFUNCTION("GOOGLETRANSLATE(B10175,""en"",""ja"")"),"異種交配")</f>
        <v>異種交配</v>
      </c>
    </row>
    <row r="10004" spans="1:3" ht="18" customHeight="1" x14ac:dyDescent="0.3">
      <c r="A10004" s="1">
        <v>1</v>
      </c>
      <c r="B10004" s="1" t="s">
        <v>7754</v>
      </c>
      <c r="C10004" s="1" t="str">
        <f ca="1">IFERROR(__xludf.DUMMYFUNCTION("GOOGLETRANSLATE(B10176,""en"",""ja"")"),"経年")</f>
        <v>経年</v>
      </c>
    </row>
    <row r="10005" spans="1:3" ht="18" customHeight="1" x14ac:dyDescent="0.3">
      <c r="A10005" s="1">
        <v>1</v>
      </c>
      <c r="B10005" s="1" t="s">
        <v>7755</v>
      </c>
      <c r="C10005" s="1" t="str">
        <f ca="1">IFERROR(__xludf.DUMMYFUNCTION("GOOGLETRANSLATE(B10177,""en"",""ja"")"),"対話的に")</f>
        <v>対話的に</v>
      </c>
    </row>
    <row r="10006" spans="1:3" ht="18" customHeight="1" x14ac:dyDescent="0.3">
      <c r="A10006" s="1">
        <v>1</v>
      </c>
      <c r="B10006" s="1" t="s">
        <v>2665</v>
      </c>
      <c r="C10006" s="1" t="str">
        <f ca="1">IFERROR(__xludf.DUMMYFUNCTION("GOOGLETRANSLATE(B10178,""en"",""ja"")"),"対話")</f>
        <v>対話</v>
      </c>
    </row>
    <row r="10007" spans="1:3" ht="18" customHeight="1" x14ac:dyDescent="0.3">
      <c r="A10007" s="1">
        <v>1</v>
      </c>
      <c r="B10007" s="1" t="s">
        <v>7756</v>
      </c>
      <c r="C10007" s="1" t="str">
        <f ca="1">IFERROR(__xludf.DUMMYFUNCTION("GOOGLETRANSLATE(B10179,""en"",""ja"")"),"間")</f>
        <v>間</v>
      </c>
    </row>
    <row r="10008" spans="1:3" ht="18" customHeight="1" x14ac:dyDescent="0.3">
      <c r="A10008" s="1">
        <v>1</v>
      </c>
      <c r="B10008" s="1" t="s">
        <v>7757</v>
      </c>
      <c r="C10008" s="1" t="str">
        <f ca="1">IFERROR(__xludf.DUMMYFUNCTION("GOOGLETRANSLATE(B10180,""en"",""ja"")"),"分かりやすいです")</f>
        <v>分かりやすいです</v>
      </c>
    </row>
    <row r="10009" spans="1:3" ht="18" customHeight="1" x14ac:dyDescent="0.3">
      <c r="A10009" s="1">
        <v>1</v>
      </c>
      <c r="B10009" s="1" t="s">
        <v>1278</v>
      </c>
      <c r="C10009" s="1" t="str">
        <f ca="1">IFERROR(__xludf.DUMMYFUNCTION("GOOGLETRANSLATE(B10181,""en"",""ja"")"),"知的")</f>
        <v>知的</v>
      </c>
    </row>
    <row r="10010" spans="1:3" ht="18" customHeight="1" x14ac:dyDescent="0.3">
      <c r="A10010" s="1">
        <v>1</v>
      </c>
      <c r="B10010" s="1" t="s">
        <v>7758</v>
      </c>
      <c r="C10010" s="1" t="str">
        <f ca="1">IFERROR(__xludf.DUMMYFUNCTION("GOOGLETRANSLATE(B10182,""en"",""ja"")"),"知力")</f>
        <v>知力</v>
      </c>
    </row>
    <row r="10011" spans="1:3" ht="18" customHeight="1" x14ac:dyDescent="0.3">
      <c r="A10011" s="1">
        <v>1</v>
      </c>
      <c r="B10011" s="1" t="s">
        <v>7759</v>
      </c>
      <c r="C10011" s="1" t="str">
        <f ca="1">IFERROR(__xludf.DUMMYFUNCTION("GOOGLETRANSLATE(B10183,""en"",""ja"")"),"統合")</f>
        <v>統合</v>
      </c>
    </row>
    <row r="10012" spans="1:3" ht="18" customHeight="1" x14ac:dyDescent="0.3">
      <c r="A10012" s="1">
        <v>1</v>
      </c>
      <c r="B10012" s="1" t="s">
        <v>948</v>
      </c>
      <c r="C10012" s="1" t="str">
        <f ca="1">IFERROR(__xludf.DUMMYFUNCTION("GOOGLETRANSLATE(B10184,""en"",""ja"")"),"学院")</f>
        <v>学院</v>
      </c>
    </row>
    <row r="10013" spans="1:3" ht="18" customHeight="1" x14ac:dyDescent="0.3">
      <c r="A10013" s="1">
        <v>1</v>
      </c>
      <c r="B10013" s="1" t="s">
        <v>2668</v>
      </c>
      <c r="C10013" s="1" t="str">
        <f ca="1">IFERROR(__xludf.DUMMYFUNCTION("GOOGLETRANSLATE(B10185,""en"",""ja"")"),"本能的に")</f>
        <v>本能的に</v>
      </c>
    </row>
    <row r="10014" spans="1:3" ht="18" customHeight="1" x14ac:dyDescent="0.3">
      <c r="A10014" s="1">
        <v>1</v>
      </c>
      <c r="B10014" s="1" t="s">
        <v>2996</v>
      </c>
      <c r="C10014" s="1" t="str">
        <f ca="1">IFERROR(__xludf.DUMMYFUNCTION("GOOGLETRANSLATE(B10186,""en"",""ja"")"),"インスタント")</f>
        <v>インスタント</v>
      </c>
    </row>
    <row r="10015" spans="1:3" ht="18" customHeight="1" x14ac:dyDescent="0.3">
      <c r="A10015" s="1">
        <v>1</v>
      </c>
      <c r="B10015" s="1" t="s">
        <v>5929</v>
      </c>
      <c r="C10015" s="1" t="str">
        <f ca="1">IFERROR(__xludf.DUMMYFUNCTION("GOOGLETRANSLATE(B10187,""en"",""ja"")"),"不溶性")</f>
        <v>不溶性</v>
      </c>
    </row>
    <row r="10016" spans="1:3" ht="18" customHeight="1" x14ac:dyDescent="0.3">
      <c r="A10016" s="1">
        <v>1</v>
      </c>
      <c r="B10016" s="1" t="s">
        <v>7760</v>
      </c>
      <c r="C10016" s="1" t="str">
        <f ca="1">IFERROR(__xludf.DUMMYFUNCTION("GOOGLETRANSLATE(B10188,""en"",""ja"")"),"安全でありません")</f>
        <v>安全でありません</v>
      </c>
    </row>
    <row r="10017" spans="1:3" ht="18" customHeight="1" x14ac:dyDescent="0.3">
      <c r="A10017" s="1">
        <v>1</v>
      </c>
      <c r="B10017" s="1" t="s">
        <v>2670</v>
      </c>
      <c r="C10017" s="1" t="str">
        <f ca="1">IFERROR(__xludf.DUMMYFUNCTION("GOOGLETRANSLATE(B10189,""en"",""ja"")"),"殺虫剤")</f>
        <v>殺虫剤</v>
      </c>
    </row>
    <row r="10018" spans="1:3" ht="18" customHeight="1" x14ac:dyDescent="0.3">
      <c r="A10018" s="1">
        <v>1</v>
      </c>
      <c r="B10018" s="1" t="s">
        <v>7022</v>
      </c>
      <c r="C10018" s="1" t="str">
        <f ca="1">IFERROR(__xludf.DUMMYFUNCTION("GOOGLETRANSLATE(B10190,""en"",""ja"")"),"昆虫")</f>
        <v>昆虫</v>
      </c>
    </row>
    <row r="10019" spans="1:3" ht="18" customHeight="1" x14ac:dyDescent="0.3">
      <c r="A10019" s="1">
        <v>1</v>
      </c>
      <c r="B10019" s="1" t="s">
        <v>7024</v>
      </c>
      <c r="C10019" s="1" t="str">
        <f ca="1">IFERROR(__xludf.DUMMYFUNCTION("GOOGLETRANSLATE(B10191,""en"",""ja"")"),"数々")</f>
        <v>数々</v>
      </c>
    </row>
    <row r="10020" spans="1:3" ht="18" customHeight="1" x14ac:dyDescent="0.3">
      <c r="A10020" s="1">
        <v>1</v>
      </c>
      <c r="B10020" s="1" t="s">
        <v>7761</v>
      </c>
      <c r="C10020" s="1" t="str">
        <f ca="1">IFERROR(__xludf.DUMMYFUNCTION("GOOGLETRANSLATE(B10192,""en"",""ja"")"),"無害")</f>
        <v>無害</v>
      </c>
    </row>
    <row r="10021" spans="1:3" ht="18" customHeight="1" x14ac:dyDescent="0.3">
      <c r="A10021" s="1">
        <v>1</v>
      </c>
      <c r="B10021" s="1" t="s">
        <v>4722</v>
      </c>
      <c r="C10021" s="1" t="str">
        <f ca="1">IFERROR(__xludf.DUMMYFUNCTION("GOOGLETRANSLATE(B10193,""en"",""ja"")"),"不正")</f>
        <v>不正</v>
      </c>
    </row>
    <row r="10022" spans="1:3" ht="18" customHeight="1" x14ac:dyDescent="0.3">
      <c r="A10022" s="1">
        <v>1</v>
      </c>
      <c r="B10022" s="1" t="s">
        <v>4723</v>
      </c>
      <c r="C10022" s="1" t="str">
        <f ca="1">IFERROR(__xludf.DUMMYFUNCTION("GOOGLETRANSLATE(B10194,""en"",""ja"")"),"注入")</f>
        <v>注入</v>
      </c>
    </row>
    <row r="10023" spans="1:3" ht="18" customHeight="1" x14ac:dyDescent="0.3">
      <c r="A10023" s="1">
        <v>1</v>
      </c>
      <c r="B10023" s="1" t="s">
        <v>7762</v>
      </c>
      <c r="C10023" s="1" t="str">
        <f ca="1">IFERROR(__xludf.DUMMYFUNCTION("GOOGLETRANSLATE(B10195,""en"",""ja"")"),"取り組み")</f>
        <v>取り組み</v>
      </c>
    </row>
    <row r="10024" spans="1:3" ht="18" customHeight="1" x14ac:dyDescent="0.3">
      <c r="A10024" s="1">
        <v>1</v>
      </c>
      <c r="B10024" s="1" t="s">
        <v>7026</v>
      </c>
      <c r="C10024" s="1" t="str">
        <f ca="1">IFERROR(__xludf.DUMMYFUNCTION("GOOGLETRANSLATE(B10196,""en"",""ja"")"),"不利")</f>
        <v>不利</v>
      </c>
    </row>
    <row r="10025" spans="1:3" ht="18" customHeight="1" x14ac:dyDescent="0.3">
      <c r="A10025" s="1">
        <v>1</v>
      </c>
      <c r="B10025" s="1" t="s">
        <v>2672</v>
      </c>
      <c r="C10025" s="1" t="str">
        <f ca="1">IFERROR(__xludf.DUMMYFUNCTION("GOOGLETRANSLATE(B10197,""en"",""ja"")"),"独創性")</f>
        <v>独創性</v>
      </c>
    </row>
    <row r="10026" spans="1:3" ht="18" customHeight="1" x14ac:dyDescent="0.3">
      <c r="A10026" s="1">
        <v>1</v>
      </c>
      <c r="B10026" s="1" t="s">
        <v>7763</v>
      </c>
      <c r="C10026" s="1" t="str">
        <f ca="1">IFERROR(__xludf.DUMMYFUNCTION("GOOGLETRANSLATE(B10198,""en"",""ja"")"),"違式")</f>
        <v>違式</v>
      </c>
    </row>
    <row r="10027" spans="1:3" ht="18" customHeight="1" x14ac:dyDescent="0.3">
      <c r="A10027" s="1">
        <v>1</v>
      </c>
      <c r="B10027" s="1" t="s">
        <v>3000</v>
      </c>
      <c r="C10027" s="1" t="str">
        <f ca="1">IFERROR(__xludf.DUMMYFUNCTION("GOOGLETRANSLATE(B10199,""en"",""ja"")"),"推します")</f>
        <v>推します</v>
      </c>
    </row>
    <row r="10028" spans="1:3" ht="18" customHeight="1" x14ac:dyDescent="0.3">
      <c r="A10028" s="1">
        <v>1</v>
      </c>
      <c r="B10028" s="1" t="s">
        <v>7028</v>
      </c>
      <c r="C10028" s="1" t="str">
        <f ca="1">IFERROR(__xludf.DUMMYFUNCTION("GOOGLETRANSLATE(B10200,""en"",""ja"")"),"実行不可能")</f>
        <v>実行不可能</v>
      </c>
    </row>
    <row r="10029" spans="1:3" ht="18" customHeight="1" x14ac:dyDescent="0.3">
      <c r="A10029" s="1">
        <v>1</v>
      </c>
      <c r="B10029" s="1" t="s">
        <v>1552</v>
      </c>
      <c r="C10029" s="1" t="str">
        <f ca="1">IFERROR(__xludf.DUMMYFUNCTION("GOOGLETRANSLATE(B10201,""en"",""ja"")"),"必然的に")</f>
        <v>必然的に</v>
      </c>
    </row>
    <row r="10030" spans="1:3" ht="18" customHeight="1" x14ac:dyDescent="0.3">
      <c r="A10030" s="1">
        <v>1</v>
      </c>
      <c r="B10030" s="1" t="s">
        <v>4733</v>
      </c>
      <c r="C10030" s="1" t="str">
        <f ca="1">IFERROR(__xludf.DUMMYFUNCTION("GOOGLETRANSLATE(B10202,""en"",""ja"")"),"不適格")</f>
        <v>不適格</v>
      </c>
    </row>
    <row r="10031" spans="1:3" ht="18" customHeight="1" x14ac:dyDescent="0.3">
      <c r="A10031" s="1">
        <v>1</v>
      </c>
      <c r="B10031" s="1" t="s">
        <v>2132</v>
      </c>
      <c r="C10031" s="1" t="str">
        <f ca="1">IFERROR(__xludf.DUMMYFUNCTION("GOOGLETRANSLATE(B10203,""en"",""ja"")"),"無効")</f>
        <v>無効</v>
      </c>
    </row>
    <row r="10032" spans="1:3" ht="18" customHeight="1" x14ac:dyDescent="0.3">
      <c r="A10032" s="1">
        <v>1</v>
      </c>
      <c r="B10032" s="1" t="s">
        <v>7764</v>
      </c>
      <c r="C10032" s="1" t="str">
        <f ca="1">IFERROR(__xludf.DUMMYFUNCTION("GOOGLETRANSLATE(B10204,""en"",""ja"")"),"工業化")</f>
        <v>工業化</v>
      </c>
    </row>
    <row r="10033" spans="1:3" ht="18" customHeight="1" x14ac:dyDescent="0.3">
      <c r="A10033" s="1">
        <v>1</v>
      </c>
      <c r="B10033" s="1" t="s">
        <v>7029</v>
      </c>
      <c r="C10033" s="1" t="str">
        <f ca="1">IFERROR(__xludf.DUMMYFUNCTION("GOOGLETRANSLATE(B10205,""en"",""ja"")"),"誘導")</f>
        <v>誘導</v>
      </c>
    </row>
    <row r="10034" spans="1:3" ht="18" customHeight="1" x14ac:dyDescent="0.3">
      <c r="A10034" s="1">
        <v>1</v>
      </c>
      <c r="B10034" s="1" t="s">
        <v>7765</v>
      </c>
      <c r="C10034" s="1" t="str">
        <f ca="1">IFERROR(__xludf.DUMMYFUNCTION("GOOGLETRANSLATE(B10206,""en"",""ja"")"),"屋内")</f>
        <v>屋内</v>
      </c>
    </row>
    <row r="10035" spans="1:3" ht="18" customHeight="1" x14ac:dyDescent="0.3">
      <c r="A10035" s="1">
        <v>1</v>
      </c>
      <c r="B10035" s="1" t="s">
        <v>3479</v>
      </c>
      <c r="C10035" s="1" t="str">
        <f ca="1">IFERROR(__xludf.DUMMYFUNCTION("GOOGLETRANSLATE(B10207,""en"",""ja"")"),"教化")</f>
        <v>教化</v>
      </c>
    </row>
    <row r="10036" spans="1:3" ht="18" customHeight="1" x14ac:dyDescent="0.3">
      <c r="A10036" s="1">
        <v>1</v>
      </c>
      <c r="B10036" s="1" t="s">
        <v>7030</v>
      </c>
      <c r="C10036" s="1" t="str">
        <f ca="1">IFERROR(__xludf.DUMMYFUNCTION("GOOGLETRANSLATE(B10208,""en"",""ja"")"),"不可分")</f>
        <v>不可分</v>
      </c>
    </row>
    <row r="10037" spans="1:3" ht="18" customHeight="1" x14ac:dyDescent="0.3">
      <c r="A10037" s="1">
        <v>1</v>
      </c>
      <c r="B10037" s="1" t="s">
        <v>7766</v>
      </c>
      <c r="C10037" s="1" t="str">
        <f ca="1">IFERROR(__xludf.DUMMYFUNCTION("GOOGLETRANSLATE(B10209,""en"",""ja"")"),"個々に")</f>
        <v>個々に</v>
      </c>
    </row>
    <row r="10038" spans="1:3" ht="18" customHeight="1" x14ac:dyDescent="0.3">
      <c r="A10038" s="1">
        <v>1</v>
      </c>
      <c r="B10038" s="1" t="s">
        <v>5950</v>
      </c>
      <c r="C10038" s="1" t="str">
        <f ca="1">IFERROR(__xludf.DUMMYFUNCTION("GOOGLETRANSLATE(B10210,""en"",""ja"")"),"無闇に")</f>
        <v>無闇に</v>
      </c>
    </row>
    <row r="10039" spans="1:3" ht="18" customHeight="1" x14ac:dyDescent="0.3">
      <c r="A10039" s="1">
        <v>1</v>
      </c>
      <c r="B10039" s="1" t="s">
        <v>2133</v>
      </c>
      <c r="C10039" s="1" t="str">
        <f ca="1">IFERROR(__xludf.DUMMYFUNCTION("GOOGLETRANSLATE(B10211,""en"",""ja"")"),"土着")</f>
        <v>土着</v>
      </c>
    </row>
    <row r="10040" spans="1:3" ht="18" customHeight="1" x14ac:dyDescent="0.3">
      <c r="A10040" s="1">
        <v>1</v>
      </c>
      <c r="B10040" s="1" t="s">
        <v>7767</v>
      </c>
      <c r="C10040" s="1" t="str">
        <f ca="1">IFERROR(__xludf.DUMMYFUNCTION("GOOGLETRANSLATE(B10212,""en"",""ja"")"),"インジケータ")</f>
        <v>インジケータ</v>
      </c>
    </row>
    <row r="10041" spans="1:3" ht="18" customHeight="1" x14ac:dyDescent="0.3">
      <c r="A10041" s="1">
        <v>1</v>
      </c>
      <c r="B10041" s="1" t="s">
        <v>7768</v>
      </c>
      <c r="C10041" s="1" t="str">
        <f ca="1">IFERROR(__xludf.DUMMYFUNCTION("GOOGLETRANSLATE(B10213,""en"",""ja"")"),"不定期")</f>
        <v>不定期</v>
      </c>
    </row>
    <row r="10042" spans="1:3" ht="18" customHeight="1" x14ac:dyDescent="0.3">
      <c r="A10042" s="1">
        <v>1</v>
      </c>
      <c r="B10042" s="1" t="s">
        <v>2134</v>
      </c>
      <c r="C10042" s="1" t="str">
        <f ca="1">IFERROR(__xludf.DUMMYFUNCTION("GOOGLETRANSLATE(B10214,""en"",""ja"")"),"単独で")</f>
        <v>単独で</v>
      </c>
    </row>
    <row r="10043" spans="1:3" ht="18" customHeight="1" x14ac:dyDescent="0.3">
      <c r="A10043" s="1">
        <v>1</v>
      </c>
      <c r="B10043" s="1" t="s">
        <v>7769</v>
      </c>
      <c r="C10043" s="1" t="str">
        <f ca="1">IFERROR(__xludf.DUMMYFUNCTION("GOOGLETRANSLATE(B10215,""en"",""ja"")"),"教え込みます")</f>
        <v>教え込みます</v>
      </c>
    </row>
    <row r="10044" spans="1:3" ht="18" customHeight="1" x14ac:dyDescent="0.3">
      <c r="A10044" s="1">
        <v>1</v>
      </c>
      <c r="B10044" s="1" t="s">
        <v>5953</v>
      </c>
      <c r="C10044" s="1" t="str">
        <f ca="1">IFERROR(__xludf.DUMMYFUNCTION("GOOGLETRANSLATE(B10216,""en"",""ja"")"),"信じられないほど")</f>
        <v>信じられないほど</v>
      </c>
    </row>
    <row r="10045" spans="1:3" ht="18" customHeight="1" x14ac:dyDescent="0.3">
      <c r="A10045" s="1">
        <v>1</v>
      </c>
      <c r="B10045" s="1" t="s">
        <v>7770</v>
      </c>
      <c r="C10045" s="1" t="str">
        <f ca="1">IFERROR(__xludf.DUMMYFUNCTION("GOOGLETRANSLATE(B10217,""en"",""ja"")"),"間違いました")</f>
        <v>間違いました</v>
      </c>
    </row>
    <row r="10046" spans="1:3" ht="18" customHeight="1" x14ac:dyDescent="0.3">
      <c r="A10046" s="1">
        <v>1</v>
      </c>
      <c r="B10046" s="1" t="s">
        <v>7771</v>
      </c>
      <c r="C10046" s="1" t="str">
        <f ca="1">IFERROR(__xludf.DUMMYFUNCTION("GOOGLETRANSLATE(B10218,""en"",""ja"")"),"株式会社")</f>
        <v>株式会社</v>
      </c>
    </row>
    <row r="10047" spans="1:3" ht="18" customHeight="1" x14ac:dyDescent="0.3">
      <c r="A10047" s="1">
        <v>1</v>
      </c>
      <c r="B10047" s="1" t="s">
        <v>7772</v>
      </c>
      <c r="C10047" s="1" t="str">
        <f ca="1">IFERROR(__xludf.DUMMYFUNCTION("GOOGLETRANSLATE(B10219,""en"",""ja"")"),"矛盾")</f>
        <v>矛盾</v>
      </c>
    </row>
    <row r="10048" spans="1:3" ht="18" customHeight="1" x14ac:dyDescent="0.3">
      <c r="A10048" s="1">
        <v>1</v>
      </c>
      <c r="B10048" s="1" t="s">
        <v>7773</v>
      </c>
      <c r="C10048" s="1" t="str">
        <f ca="1">IFERROR(__xludf.DUMMYFUNCTION("GOOGLETRANSLATE(B10220,""en"",""ja"")"),"無能な")</f>
        <v>無能な</v>
      </c>
    </row>
    <row r="10049" spans="1:3" ht="18" customHeight="1" x14ac:dyDescent="0.3">
      <c r="A10049" s="1">
        <v>1</v>
      </c>
      <c r="B10049" s="1" t="s">
        <v>5955</v>
      </c>
      <c r="C10049" s="1" t="str">
        <f ca="1">IFERROR(__xludf.DUMMYFUNCTION("GOOGLETRANSLATE(B10221,""en"",""ja"")"),"不全")</f>
        <v>不全</v>
      </c>
    </row>
    <row r="10050" spans="1:3" ht="18" customHeight="1" x14ac:dyDescent="0.3">
      <c r="A10050" s="1">
        <v>1</v>
      </c>
      <c r="B10050" s="1" t="s">
        <v>7774</v>
      </c>
      <c r="C10050" s="1" t="str">
        <f ca="1">IFERROR(__xludf.DUMMYFUNCTION("GOOGLETRANSLATE(B10222,""en"",""ja"")"),"INCITE")</f>
        <v>INCITE</v>
      </c>
    </row>
    <row r="10051" spans="1:3" ht="18" customHeight="1" x14ac:dyDescent="0.3">
      <c r="A10051" s="1">
        <v>1</v>
      </c>
      <c r="B10051" s="1" t="s">
        <v>5959</v>
      </c>
      <c r="C10051" s="1" t="str">
        <f ca="1">IFERROR(__xludf.DUMMYFUNCTION("GOOGLETRANSLATE(B10223,""en"",""ja"")"),"絶え間ありません")</f>
        <v>絶え間ありません</v>
      </c>
    </row>
    <row r="10052" spans="1:3" ht="18" customHeight="1" x14ac:dyDescent="0.3">
      <c r="A10052" s="1">
        <v>1</v>
      </c>
      <c r="B10052" s="1" t="s">
        <v>7037</v>
      </c>
      <c r="C10052" s="1" t="str">
        <f ca="1">IFERROR(__xludf.DUMMYFUNCTION("GOOGLETRANSLATE(B10224,""en"",""ja"")"),"数え切れません")</f>
        <v>数え切れません</v>
      </c>
    </row>
    <row r="10053" spans="1:3" ht="18" customHeight="1" x14ac:dyDescent="0.3">
      <c r="A10053" s="1">
        <v>1</v>
      </c>
      <c r="B10053" s="1" t="s">
        <v>7775</v>
      </c>
      <c r="C10053" s="1" t="str">
        <f ca="1">IFERROR(__xludf.DUMMYFUNCTION("GOOGLETRANSLATE(B10225,""en"",""ja"")"),"先天的")</f>
        <v>先天的</v>
      </c>
    </row>
    <row r="10054" spans="1:3" ht="18" customHeight="1" x14ac:dyDescent="0.3">
      <c r="A10054" s="1">
        <v>1</v>
      </c>
      <c r="B10054" s="1" t="s">
        <v>5965</v>
      </c>
      <c r="C10054" s="1" t="str">
        <f ca="1">IFERROR(__xludf.DUMMYFUNCTION("GOOGLETRANSLATE(B10226,""en"",""ja"")"),"無生物")</f>
        <v>無生物</v>
      </c>
    </row>
    <row r="10055" spans="1:3" ht="18" customHeight="1" x14ac:dyDescent="0.3">
      <c r="A10055" s="1">
        <v>1</v>
      </c>
      <c r="B10055" s="1" t="s">
        <v>7776</v>
      </c>
      <c r="C10055" s="1" t="str">
        <f ca="1">IFERROR(__xludf.DUMMYFUNCTION("GOOGLETRANSLATE(B10227,""en"",""ja"")"),"不活動")</f>
        <v>不活動</v>
      </c>
    </row>
    <row r="10056" spans="1:3" ht="18" customHeight="1" x14ac:dyDescent="0.3">
      <c r="A10056" s="1">
        <v>1</v>
      </c>
      <c r="B10056" s="1" t="s">
        <v>7777</v>
      </c>
      <c r="C10056" s="1" t="str">
        <f ca="1">IFERROR(__xludf.DUMMYFUNCTION("GOOGLETRANSLATE(B10230,""en"",""ja"")"),"インパルス")</f>
        <v>インパルス</v>
      </c>
    </row>
    <row r="10057" spans="1:3" ht="18" customHeight="1" x14ac:dyDescent="0.3">
      <c r="A10057" s="1">
        <v>1</v>
      </c>
      <c r="B10057" s="1" t="s">
        <v>4014</v>
      </c>
      <c r="C10057" s="1" t="str">
        <f ca="1">IFERROR(__xludf.DUMMYFUNCTION("GOOGLETRANSLATE(B10231,""en"",""ja"")"),"衝動")</f>
        <v>衝動</v>
      </c>
    </row>
    <row r="10058" spans="1:3" ht="18" customHeight="1" x14ac:dyDescent="0.3">
      <c r="A10058" s="1">
        <v>1</v>
      </c>
      <c r="B10058" s="1" t="s">
        <v>7778</v>
      </c>
      <c r="C10058" s="1" t="str">
        <f ca="1">IFERROR(__xludf.DUMMYFUNCTION("GOOGLETRANSLATE(B10232,""en"",""ja"")"),"印象的に")</f>
        <v>印象的に</v>
      </c>
    </row>
    <row r="10059" spans="1:3" ht="18" customHeight="1" x14ac:dyDescent="0.3">
      <c r="A10059" s="1">
        <v>1</v>
      </c>
      <c r="B10059" s="1" t="s">
        <v>7779</v>
      </c>
      <c r="C10059" s="1" t="str">
        <f ca="1">IFERROR(__xludf.DUMMYFUNCTION("GOOGLETRANSLATE(B10233,""en"",""ja"")"),"非実際的")</f>
        <v>非実際的</v>
      </c>
    </row>
    <row r="10060" spans="1:3" ht="18" customHeight="1" x14ac:dyDescent="0.3">
      <c r="A10060" s="1">
        <v>1</v>
      </c>
      <c r="B10060" s="1" t="s">
        <v>7041</v>
      </c>
      <c r="C10060" s="1" t="str">
        <f ca="1">IFERROR(__xludf.DUMMYFUNCTION("GOOGLETRANSLATE(B10234,""en"",""ja"")"),"信じられません")</f>
        <v>信じられません</v>
      </c>
    </row>
    <row r="10061" spans="1:3" ht="18" customHeight="1" x14ac:dyDescent="0.3">
      <c r="A10061" s="1">
        <v>1</v>
      </c>
      <c r="B10061" s="1" t="s">
        <v>7780</v>
      </c>
      <c r="C10061" s="1" t="str">
        <f ca="1">IFERROR(__xludf.DUMMYFUNCTION("GOOGLETRANSLATE(B10235,""en"",""ja"")"),"インポート")</f>
        <v>インポート</v>
      </c>
    </row>
    <row r="10062" spans="1:3" ht="18" customHeight="1" x14ac:dyDescent="0.3">
      <c r="A10062" s="1">
        <v>1</v>
      </c>
      <c r="B10062" s="1" t="s">
        <v>7781</v>
      </c>
      <c r="C10062" s="1" t="str">
        <f ca="1">IFERROR(__xludf.DUMMYFUNCTION("GOOGLETRANSLATE(B10236,""en"",""ja"")"),"含意")</f>
        <v>含意</v>
      </c>
    </row>
    <row r="10063" spans="1:3" ht="18" customHeight="1" x14ac:dyDescent="0.3">
      <c r="A10063" s="1">
        <v>1</v>
      </c>
      <c r="B10063" s="1" t="s">
        <v>2682</v>
      </c>
      <c r="C10063" s="1" t="str">
        <f ca="1">IFERROR(__xludf.DUMMYFUNCTION("GOOGLETRANSLATE(B10237,""en"",""ja"")"),"命令")</f>
        <v>命令</v>
      </c>
    </row>
    <row r="10064" spans="1:3" ht="18" customHeight="1" x14ac:dyDescent="0.3">
      <c r="A10064" s="1">
        <v>1</v>
      </c>
      <c r="B10064" s="1" t="s">
        <v>5973</v>
      </c>
      <c r="C10064" s="1" t="str">
        <f ca="1">IFERROR(__xludf.DUMMYFUNCTION("GOOGLETRANSLATE(B10238,""en"",""ja"")"),"非常に")</f>
        <v>非常に</v>
      </c>
    </row>
    <row r="10065" spans="1:3" ht="18" customHeight="1" x14ac:dyDescent="0.3">
      <c r="A10065" s="1">
        <v>1</v>
      </c>
      <c r="B10065" s="1" t="s">
        <v>3012</v>
      </c>
      <c r="C10065" s="1" t="str">
        <f ca="1">IFERROR(__xludf.DUMMYFUNCTION("GOOGLETRANSLATE(B10239,""en"",""ja"")"),"直ちに")</f>
        <v>直ちに</v>
      </c>
    </row>
    <row r="10066" spans="1:3" ht="18" customHeight="1" x14ac:dyDescent="0.3">
      <c r="A10066" s="1">
        <v>1</v>
      </c>
      <c r="B10066" s="1" t="s">
        <v>7782</v>
      </c>
      <c r="C10066" s="1" t="str">
        <f ca="1">IFERROR(__xludf.DUMMYFUNCTION("GOOGLETRANSLATE(B10240,""en"",""ja"")"),"画像の")</f>
        <v>画像の</v>
      </c>
    </row>
    <row r="10067" spans="1:3" ht="18" customHeight="1" x14ac:dyDescent="0.3">
      <c r="A10067" s="1">
        <v>1</v>
      </c>
      <c r="B10067" s="1" t="s">
        <v>7783</v>
      </c>
      <c r="C10067" s="1" t="str">
        <f ca="1">IFERROR(__xludf.DUMMYFUNCTION("GOOGLETRANSLATE(B10241,""en"",""ja"")"),"iluminating")</f>
        <v>iluminating</v>
      </c>
    </row>
    <row r="10068" spans="1:3" ht="18" customHeight="1" x14ac:dyDescent="0.3">
      <c r="A10068" s="1">
        <v>1</v>
      </c>
      <c r="B10068" s="1" t="s">
        <v>7784</v>
      </c>
      <c r="C10068" s="1" t="str">
        <f ca="1">IFERROR(__xludf.DUMMYFUNCTION("GOOGLETRANSLATE(B10242,""en"",""ja"")"),"を明らかにする")</f>
        <v>を明らかにする</v>
      </c>
    </row>
    <row r="10069" spans="1:3" ht="18" customHeight="1" x14ac:dyDescent="0.3">
      <c r="A10069" s="1">
        <v>1</v>
      </c>
      <c r="B10069" s="1" t="s">
        <v>5979</v>
      </c>
      <c r="C10069" s="1" t="str">
        <f ca="1">IFERROR(__xludf.DUMMYFUNCTION("GOOGLETRANSLATE(B10243,""en"",""ja"")"),"病気")</f>
        <v>病気</v>
      </c>
    </row>
    <row r="10070" spans="1:3" ht="18" customHeight="1" x14ac:dyDescent="0.3">
      <c r="A10070" s="1">
        <v>1</v>
      </c>
      <c r="B10070" s="1" t="s">
        <v>7785</v>
      </c>
      <c r="C10070" s="1" t="str">
        <f ca="1">IFERROR(__xludf.DUMMYFUNCTION("GOOGLETRANSLATE(B10244,""en"",""ja"")"),"病気で")</f>
        <v>病気で</v>
      </c>
    </row>
    <row r="10071" spans="1:3" ht="18" customHeight="1" x14ac:dyDescent="0.3">
      <c r="A10071" s="1">
        <v>1</v>
      </c>
      <c r="B10071" s="1" t="s">
        <v>7786</v>
      </c>
      <c r="C10071" s="1" t="str">
        <f ca="1">IFERROR(__xludf.DUMMYFUNCTION("GOOGLETRANSLATE(B10245,""en"",""ja"")"),"ILE")</f>
        <v>ILE</v>
      </c>
    </row>
    <row r="10072" spans="1:3" ht="18" customHeight="1" x14ac:dyDescent="0.3">
      <c r="A10072" s="1">
        <v>1</v>
      </c>
      <c r="B10072" s="1" t="s">
        <v>7787</v>
      </c>
      <c r="C10072" s="1" t="str">
        <f ca="1">IFERROR(__xludf.DUMMYFUNCTION("GOOGLETRANSLATE(B10246,""en"",""ja"")"),"無視")</f>
        <v>無視</v>
      </c>
    </row>
    <row r="10073" spans="1:3" ht="18" customHeight="1" x14ac:dyDescent="0.3">
      <c r="A10073" s="1">
        <v>1</v>
      </c>
      <c r="B10073" s="1" t="s">
        <v>5981</v>
      </c>
      <c r="C10073" s="1" t="str">
        <f ca="1">IFERROR(__xludf.DUMMYFUNCTION("GOOGLETRANSLATE(B10247,""en"",""ja"")"),"特定可能")</f>
        <v>特定可能</v>
      </c>
    </row>
    <row r="10074" spans="1:3" ht="18" customHeight="1" x14ac:dyDescent="0.3">
      <c r="A10074" s="1">
        <v>1</v>
      </c>
      <c r="B10074" s="1" t="s">
        <v>900</v>
      </c>
      <c r="C10074" s="1" t="str">
        <f ca="1">IFERROR(__xludf.DUMMYFUNCTION("GOOGLETRANSLATE(B10248,""en"",""ja"")"),"理想的")</f>
        <v>理想的</v>
      </c>
    </row>
    <row r="10075" spans="1:3" ht="18" customHeight="1" x14ac:dyDescent="0.3">
      <c r="A10075" s="1">
        <v>1</v>
      </c>
      <c r="B10075" s="1" t="s">
        <v>7788</v>
      </c>
      <c r="C10075" s="1" t="str">
        <f ca="1">IFERROR(__xludf.DUMMYFUNCTION("GOOGLETRANSLATE(B10249,""en"",""ja"")"),"アイコン")</f>
        <v>アイコン</v>
      </c>
    </row>
    <row r="10076" spans="1:3" ht="18" customHeight="1" x14ac:dyDescent="0.3">
      <c r="A10076" s="1">
        <v>1</v>
      </c>
      <c r="B10076" s="1" t="s">
        <v>7789</v>
      </c>
      <c r="C10076" s="1" t="str">
        <f ca="1">IFERROR(__xludf.DUMMYFUNCTION("GOOGLETRANSLATE(B10251,""en"",""ja"")"),"ible")</f>
        <v>ible</v>
      </c>
    </row>
    <row r="10077" spans="1:3" ht="18" customHeight="1" x14ac:dyDescent="0.3">
      <c r="A10077" s="1">
        <v>1</v>
      </c>
      <c r="B10077" s="1" t="s">
        <v>7790</v>
      </c>
      <c r="C10077" s="1" t="str">
        <f ca="1">IFERROR(__xludf.DUMMYFUNCTION("GOOGLETRANSLATE(B10252,""en"",""ja"")"),"IA")</f>
        <v>IA</v>
      </c>
    </row>
    <row r="10078" spans="1:3" ht="18" customHeight="1" x14ac:dyDescent="0.3">
      <c r="A10078" s="1">
        <v>1</v>
      </c>
      <c r="B10078" s="1" t="s">
        <v>5983</v>
      </c>
      <c r="C10078" s="1" t="str">
        <f ca="1">IFERROR(__xludf.DUMMYFUNCTION("GOOGLETRANSLATE(B10253,""en"",""ja"")"),"仮説を立てます")</f>
        <v>仮説を立てます</v>
      </c>
    </row>
    <row r="10079" spans="1:3" ht="18" customHeight="1" x14ac:dyDescent="0.3">
      <c r="A10079" s="1">
        <v>1</v>
      </c>
      <c r="B10079" s="1" t="s">
        <v>7791</v>
      </c>
      <c r="C10079" s="1" t="str">
        <f ca="1">IFERROR(__xludf.DUMMYFUNCTION("GOOGLETRANSLATE(B10254,""en"",""ja"")"),"偽善的な")</f>
        <v>偽善的な</v>
      </c>
    </row>
    <row r="10080" spans="1:3" ht="18" customHeight="1" x14ac:dyDescent="0.3">
      <c r="A10080" s="1">
        <v>1</v>
      </c>
      <c r="B10080" s="1" t="s">
        <v>7792</v>
      </c>
      <c r="C10080" s="1" t="str">
        <f ca="1">IFERROR(__xludf.DUMMYFUNCTION("GOOGLETRANSLATE(B10255,""en"",""ja"")"),"ハイパーインフレーション")</f>
        <v>ハイパーインフレーション</v>
      </c>
    </row>
    <row r="10081" spans="1:3" ht="18" customHeight="1" x14ac:dyDescent="0.3">
      <c r="A10081" s="1">
        <v>1</v>
      </c>
      <c r="B10081" s="1" t="s">
        <v>7793</v>
      </c>
      <c r="C10081" s="1" t="str">
        <f ca="1">IFERROR(__xludf.DUMMYFUNCTION("GOOGLETRANSLATE(B10256,""en"",""ja"")"),"ハイパー")</f>
        <v>ハイパー</v>
      </c>
    </row>
    <row r="10082" spans="1:3" ht="18" customHeight="1" x14ac:dyDescent="0.3">
      <c r="A10082" s="1">
        <v>1</v>
      </c>
      <c r="B10082" s="1" t="s">
        <v>3488</v>
      </c>
      <c r="C10082" s="1" t="str">
        <f ca="1">IFERROR(__xludf.DUMMYFUNCTION("GOOGLETRANSLATE(B10257,""en"",""ja"")"),"空腹の")</f>
        <v>空腹の</v>
      </c>
    </row>
    <row r="10083" spans="1:3" ht="18" customHeight="1" x14ac:dyDescent="0.3">
      <c r="A10083" s="1">
        <v>1</v>
      </c>
      <c r="B10083" s="1" t="s">
        <v>7794</v>
      </c>
      <c r="C10083" s="1" t="str">
        <f ca="1">IFERROR(__xludf.DUMMYFUNCTION("GOOGLETRANSLATE(B10258,""en"",""ja"")"),"勘")</f>
        <v>勘</v>
      </c>
    </row>
    <row r="10084" spans="1:3" ht="18" customHeight="1" x14ac:dyDescent="0.3">
      <c r="A10084" s="1">
        <v>1</v>
      </c>
      <c r="B10084" s="1" t="s">
        <v>7795</v>
      </c>
      <c r="C10084" s="1" t="str">
        <f ca="1">IFERROR(__xludf.DUMMYFUNCTION("GOOGLETRANSLATE(B10260,""en"",""ja"")"),"人道主義")</f>
        <v>人道主義</v>
      </c>
    </row>
    <row r="10085" spans="1:3" ht="18" customHeight="1" x14ac:dyDescent="0.3">
      <c r="A10085" s="1">
        <v>1</v>
      </c>
      <c r="B10085" s="1" t="s">
        <v>4761</v>
      </c>
      <c r="C10085" s="1" t="str">
        <f ca="1">IFERROR(__xludf.DUMMYFUNCTION("GOOGLETRANSLATE(B10261,""en"",""ja"")"),"人道")</f>
        <v>人道</v>
      </c>
    </row>
    <row r="10086" spans="1:3" ht="18" customHeight="1" x14ac:dyDescent="0.3">
      <c r="A10086" s="1">
        <v>1</v>
      </c>
      <c r="B10086" s="1" t="s">
        <v>7796</v>
      </c>
      <c r="C10086" s="1" t="str">
        <f ca="1">IFERROR(__xludf.DUMMYFUNCTION("GOOGLETRANSLATE(B10262,""en"",""ja"")"),"humanistically")</f>
        <v>humanistically</v>
      </c>
    </row>
    <row r="10087" spans="1:3" ht="18" customHeight="1" x14ac:dyDescent="0.3">
      <c r="A10087" s="1">
        <v>1</v>
      </c>
      <c r="B10087" s="1" t="s">
        <v>7797</v>
      </c>
      <c r="C10087" s="1" t="str">
        <f ca="1">IFERROR(__xludf.DUMMYFUNCTION("GOOGLETRANSLATE(B10263,""en"",""ja"")"),"人道的")</f>
        <v>人道的</v>
      </c>
    </row>
    <row r="10088" spans="1:3" ht="18" customHeight="1" x14ac:dyDescent="0.3">
      <c r="A10088" s="1">
        <v>1</v>
      </c>
      <c r="B10088" s="1" t="s">
        <v>7798</v>
      </c>
      <c r="C10088" s="1" t="str">
        <f ca="1">IFERROR(__xludf.DUMMYFUNCTION("GOOGLETRANSLATE(B10264,""en"",""ja"")"),"ht1ma11")</f>
        <v>ht1ma11</v>
      </c>
    </row>
    <row r="10089" spans="1:3" ht="18" customHeight="1" x14ac:dyDescent="0.3">
      <c r="A10089" s="1">
        <v>1</v>
      </c>
      <c r="B10089" s="1" t="s">
        <v>7799</v>
      </c>
      <c r="C10089" s="1" t="str">
        <f ca="1">IFERROR(__xludf.DUMMYFUNCTION("GOOGLETRANSLATE(B10265,""en"",""ja"")"),"入院")</f>
        <v>入院</v>
      </c>
    </row>
    <row r="10090" spans="1:3" ht="18" customHeight="1" x14ac:dyDescent="0.3">
      <c r="A10090" s="1">
        <v>1</v>
      </c>
      <c r="B10090" s="1" t="s">
        <v>7800</v>
      </c>
      <c r="C10090" s="1" t="str">
        <f ca="1">IFERROR(__xludf.DUMMYFUNCTION("GOOGLETRANSLATE(B10266,""en"",""ja"")"),"ホラー")</f>
        <v>ホラー</v>
      </c>
    </row>
    <row r="10091" spans="1:3" ht="18" customHeight="1" x14ac:dyDescent="0.3">
      <c r="A10091" s="1">
        <v>1</v>
      </c>
      <c r="B10091" s="1" t="s">
        <v>7801</v>
      </c>
      <c r="C10091" s="1" t="str">
        <f ca="1">IFERROR(__xludf.DUMMYFUNCTION("GOOGLETRANSLATE(B10267,""en"",""ja"")"),"恐ろしい")</f>
        <v>恐ろしい</v>
      </c>
    </row>
    <row r="10092" spans="1:3" ht="18" customHeight="1" x14ac:dyDescent="0.3">
      <c r="A10092" s="1">
        <v>1</v>
      </c>
      <c r="B10092" s="1" t="s">
        <v>3019</v>
      </c>
      <c r="C10092" s="1" t="str">
        <f ca="1">IFERROR(__xludf.DUMMYFUNCTION("GOOGLETRANSLATE(B10268,""en"",""ja"")"),"ホルモン")</f>
        <v>ホルモン</v>
      </c>
    </row>
    <row r="10093" spans="1:3" ht="18" customHeight="1" x14ac:dyDescent="0.3">
      <c r="A10093" s="1">
        <v>1</v>
      </c>
      <c r="B10093" s="1" t="s">
        <v>5993</v>
      </c>
      <c r="C10093" s="1" t="str">
        <f ca="1">IFERROR(__xludf.DUMMYFUNCTION("GOOGLETRANSLATE(B10269,""en"",""ja"")"),"水平な")</f>
        <v>水平な</v>
      </c>
    </row>
    <row r="10094" spans="1:3" ht="18" customHeight="1" x14ac:dyDescent="0.3">
      <c r="A10094" s="1">
        <v>1</v>
      </c>
      <c r="B10094" s="1" t="s">
        <v>4766</v>
      </c>
      <c r="C10094" s="1" t="str">
        <f ca="1">IFERROR(__xludf.DUMMYFUNCTION("GOOGLETRANSLATE(B10270,""en"",""ja"")"),"地平線")</f>
        <v>地平線</v>
      </c>
    </row>
    <row r="10095" spans="1:3" ht="18" customHeight="1" x14ac:dyDescent="0.3">
      <c r="A10095" s="1">
        <v>1</v>
      </c>
      <c r="B10095" s="1" t="s">
        <v>1951</v>
      </c>
      <c r="C10095" s="1" t="str">
        <f ca="1">IFERROR(__xludf.DUMMYFUNCTION("GOOGLETRANSLATE(B10271,""en"",""ja"")"),"望む")</f>
        <v>望む</v>
      </c>
    </row>
    <row r="10096" spans="1:3" ht="18" customHeight="1" x14ac:dyDescent="0.3">
      <c r="A10096" s="1">
        <v>1</v>
      </c>
      <c r="B10096" s="1" t="s">
        <v>4025</v>
      </c>
      <c r="C10096" s="1" t="str">
        <f ca="1">IFERROR(__xludf.DUMMYFUNCTION("GOOGLETRANSLATE(B10272,""en"",""ja"")"),"正直")</f>
        <v>正直</v>
      </c>
    </row>
    <row r="10097" spans="1:3" ht="18" customHeight="1" x14ac:dyDescent="0.3">
      <c r="A10097" s="1">
        <v>1</v>
      </c>
      <c r="B10097" s="1" t="s">
        <v>5997</v>
      </c>
      <c r="C10097" s="1" t="str">
        <f ca="1">IFERROR(__xludf.DUMMYFUNCTION("GOOGLETRANSLATE(B10273,""en"",""ja"")"),"同種の")</f>
        <v>同種の</v>
      </c>
    </row>
    <row r="10098" spans="1:3" ht="18" customHeight="1" x14ac:dyDescent="0.3">
      <c r="A10098" s="1">
        <v>1</v>
      </c>
      <c r="B10098" s="1" t="s">
        <v>7059</v>
      </c>
      <c r="C10098" s="1" t="str">
        <f ca="1">IFERROR(__xludf.DUMMYFUNCTION("GOOGLETRANSLATE(B10274,""en"",""ja"")"),"ホーリー")</f>
        <v>ホーリー</v>
      </c>
    </row>
    <row r="10099" spans="1:3" ht="18" customHeight="1" x14ac:dyDescent="0.3">
      <c r="A10099" s="1">
        <v>1</v>
      </c>
      <c r="B10099" s="1" t="s">
        <v>577</v>
      </c>
      <c r="C10099" s="1" t="str">
        <f ca="1">IFERROR(__xludf.DUMMYFUNCTION("GOOGLETRANSLATE(B10275,""en"",""ja"")"),"ホールド")</f>
        <v>ホールド</v>
      </c>
    </row>
    <row r="10100" spans="1:3" ht="18" customHeight="1" x14ac:dyDescent="0.3">
      <c r="A10100" s="1">
        <v>1</v>
      </c>
      <c r="B10100" s="1" t="s">
        <v>7802</v>
      </c>
      <c r="C10100" s="1" t="str">
        <f ca="1">IFERROR(__xludf.DUMMYFUNCTION("GOOGLETRANSLATE(B10276,""en"",""ja"")"),"保有者")</f>
        <v>保有者</v>
      </c>
    </row>
    <row r="10101" spans="1:3" ht="18" customHeight="1" x14ac:dyDescent="0.3">
      <c r="A10101" s="1">
        <v>1</v>
      </c>
      <c r="B10101" s="1" t="s">
        <v>1807</v>
      </c>
      <c r="C10101" s="1" t="str">
        <f ca="1">IFERROR(__xludf.DUMMYFUNCTION("GOOGLETRANSLATE(B10277,""en"",""ja"")"),"雇う")</f>
        <v>雇う</v>
      </c>
    </row>
    <row r="10102" spans="1:3" ht="18" customHeight="1" x14ac:dyDescent="0.3">
      <c r="A10102" s="1">
        <v>1</v>
      </c>
      <c r="B10102" s="1" t="s">
        <v>7803</v>
      </c>
      <c r="C10102" s="1" t="str">
        <f ca="1">IFERROR(__xludf.DUMMYFUNCTION("GOOGLETRANSLATE(B10278,""en"",""ja"")"),"妨げ")</f>
        <v>妨げ</v>
      </c>
    </row>
    <row r="10103" spans="1:3" ht="18" customHeight="1" x14ac:dyDescent="0.3">
      <c r="A10103" s="1">
        <v>1</v>
      </c>
      <c r="B10103" s="1" t="s">
        <v>7804</v>
      </c>
      <c r="C10103" s="1" t="str">
        <f ca="1">IFERROR(__xludf.DUMMYFUNCTION("GOOGLETRANSLATE(B10279,""en"",""ja"")"),"ヒンダード")</f>
        <v>ヒンダード</v>
      </c>
    </row>
    <row r="10104" spans="1:3" ht="18" customHeight="1" x14ac:dyDescent="0.3">
      <c r="A10104" s="1">
        <v>1</v>
      </c>
      <c r="B10104" s="1" t="s">
        <v>632</v>
      </c>
      <c r="C10104" s="1" t="str">
        <f ca="1">IFERROR(__xludf.DUMMYFUNCTION("GOOGLETRANSLATE(B10280,""en"",""ja"")"),"高度に")</f>
        <v>高度に</v>
      </c>
    </row>
    <row r="10105" spans="1:3" ht="18" customHeight="1" x14ac:dyDescent="0.3">
      <c r="A10105" s="1">
        <v>1</v>
      </c>
      <c r="B10105" s="1" t="s">
        <v>7805</v>
      </c>
      <c r="C10105" s="1" t="str">
        <f ca="1">IFERROR(__xludf.DUMMYFUNCTION("GOOGLETRANSLATE(B10281,""en"",""ja"")"),"隠蔽")</f>
        <v>隠蔽</v>
      </c>
    </row>
    <row r="10106" spans="1:3" ht="18" customHeight="1" x14ac:dyDescent="0.3">
      <c r="A10106" s="1">
        <v>1</v>
      </c>
      <c r="B10106" s="1" t="s">
        <v>7806</v>
      </c>
      <c r="C10106" s="1" t="str">
        <f ca="1">IFERROR(__xludf.DUMMYFUNCTION("GOOGLETRANSLATE(B10282,""en"",""ja"")"),"皮革")</f>
        <v>皮革</v>
      </c>
    </row>
    <row r="10107" spans="1:3" ht="18" customHeight="1" x14ac:dyDescent="0.3">
      <c r="A10107" s="1">
        <v>1</v>
      </c>
      <c r="B10107" s="1" t="s">
        <v>2142</v>
      </c>
      <c r="C10107" s="1" t="str">
        <f ca="1">IFERROR(__xludf.DUMMYFUNCTION("GOOGLETRANSLATE(B10283,""en"",""ja"")"),"異質")</f>
        <v>異質</v>
      </c>
    </row>
    <row r="10108" spans="1:3" ht="18" customHeight="1" x14ac:dyDescent="0.3">
      <c r="A10108" s="1">
        <v>1</v>
      </c>
      <c r="B10108" s="1" t="s">
        <v>7807</v>
      </c>
      <c r="C10108" s="1" t="str">
        <f ca="1">IFERROR(__xludf.DUMMYFUNCTION("GOOGLETRANSLATE(B10284,""en"",""ja"")"),"ヘルメット")</f>
        <v>ヘルメット</v>
      </c>
    </row>
    <row r="10109" spans="1:3" ht="18" customHeight="1" x14ac:dyDescent="0.3">
      <c r="A10109" s="1">
        <v>1</v>
      </c>
      <c r="B10109" s="1" t="s">
        <v>7808</v>
      </c>
      <c r="C10109" s="1" t="str">
        <f ca="1">IFERROR(__xludf.DUMMYFUNCTION("GOOGLETRANSLATE(B10285,""en"",""ja"")"),"高め")</f>
        <v>高め</v>
      </c>
    </row>
    <row r="10110" spans="1:3" ht="18" customHeight="1" x14ac:dyDescent="0.3">
      <c r="A10110" s="1">
        <v>1</v>
      </c>
      <c r="B10110" s="1" t="s">
        <v>7809</v>
      </c>
      <c r="C10110" s="1" t="str">
        <f ca="1">IFERROR(__xludf.DUMMYFUNCTION("GOOGLETRANSLATE(B10287,""en"",""ja"")"),"ハーツ")</f>
        <v>ハーツ</v>
      </c>
    </row>
    <row r="10111" spans="1:3" ht="18" customHeight="1" x14ac:dyDescent="0.3">
      <c r="A10111" s="1">
        <v>1</v>
      </c>
      <c r="B10111" s="1" t="s">
        <v>769</v>
      </c>
      <c r="C10111" s="1" t="str">
        <f ca="1">IFERROR(__xludf.DUMMYFUNCTION("GOOGLETRANSLATE(B10288,""en"",""ja"")"),"健康")</f>
        <v>健康</v>
      </c>
    </row>
    <row r="10112" spans="1:3" ht="18" customHeight="1" x14ac:dyDescent="0.3">
      <c r="A10112" s="1">
        <v>1</v>
      </c>
      <c r="B10112" s="1" t="s">
        <v>7810</v>
      </c>
      <c r="C10112" s="1" t="str">
        <f ca="1">IFERROR(__xludf.DUMMYFUNCTION("GOOGLETRANSLATE(B10289,""en"",""ja"")"),"持っていません")</f>
        <v>持っていません</v>
      </c>
    </row>
    <row r="10113" spans="1:3" ht="18" customHeight="1" x14ac:dyDescent="0.3">
      <c r="A10113" s="1">
        <v>1</v>
      </c>
      <c r="B10113" s="1" t="s">
        <v>7811</v>
      </c>
      <c r="C10113" s="1" t="str">
        <f ca="1">IFERROR(__xludf.DUMMYFUNCTION("GOOGLETRANSLATE(B10290,""en"",""ja"")"),"憎しみ")</f>
        <v>憎しみ</v>
      </c>
    </row>
    <row r="10114" spans="1:3" ht="18" customHeight="1" x14ac:dyDescent="0.3">
      <c r="A10114" s="1">
        <v>1</v>
      </c>
      <c r="B10114" s="1" t="s">
        <v>4778</v>
      </c>
      <c r="C10114" s="1" t="str">
        <f ca="1">IFERROR(__xludf.DUMMYFUNCTION("GOOGLETRANSLATE(B10291,""en"",""ja"")"),"収穫")</f>
        <v>収穫</v>
      </c>
    </row>
    <row r="10115" spans="1:3" ht="18" customHeight="1" x14ac:dyDescent="0.3">
      <c r="A10115" s="1">
        <v>1</v>
      </c>
      <c r="B10115" s="1" t="s">
        <v>4780</v>
      </c>
      <c r="C10115" s="1" t="str">
        <f ca="1">IFERROR(__xludf.DUMMYFUNCTION("GOOGLETRANSLATE(B10292,""en"",""ja"")"),"馬具")</f>
        <v>馬具</v>
      </c>
    </row>
    <row r="10116" spans="1:3" ht="18" customHeight="1" x14ac:dyDescent="0.3">
      <c r="A10116" s="1">
        <v>1</v>
      </c>
      <c r="B10116" s="1" t="s">
        <v>7812</v>
      </c>
      <c r="C10116" s="1" t="str">
        <f ca="1">IFERROR(__xludf.DUMMYFUNCTION("GOOGLETRANSLATE(B10293,""en"",""ja"")"),"調和のとれました")</f>
        <v>調和のとれました</v>
      </c>
    </row>
    <row r="10117" spans="1:3" ht="18" customHeight="1" x14ac:dyDescent="0.3">
      <c r="A10117" s="1">
        <v>1</v>
      </c>
      <c r="B10117" s="1" t="s">
        <v>7813</v>
      </c>
      <c r="C10117" s="1" t="str">
        <f ca="1">IFERROR(__xludf.DUMMYFUNCTION("GOOGLETRANSLATE(B10294,""en"",""ja"")"),"被害を受け")</f>
        <v>被害を受け</v>
      </c>
    </row>
    <row r="10118" spans="1:3" ht="18" customHeight="1" x14ac:dyDescent="0.3">
      <c r="A10118" s="1">
        <v>1</v>
      </c>
      <c r="B10118" s="1" t="s">
        <v>6024</v>
      </c>
      <c r="C10118" s="1" t="str">
        <f ca="1">IFERROR(__xludf.DUMMYFUNCTION("GOOGLETRANSLATE(B10295,""en"",""ja"")"),"ハーディ")</f>
        <v>ハーディ</v>
      </c>
    </row>
    <row r="10119" spans="1:3" ht="18" customHeight="1" x14ac:dyDescent="0.3">
      <c r="A10119" s="1">
        <v>1</v>
      </c>
      <c r="B10119" s="1" t="s">
        <v>2692</v>
      </c>
      <c r="C10119" s="1" t="str">
        <f ca="1">IFERROR(__xludf.DUMMYFUNCTION("GOOGLETRANSLATE(B10296,""en"",""ja"")"),"ハードウェア")</f>
        <v>ハードウェア</v>
      </c>
    </row>
    <row r="10120" spans="1:3" ht="18" customHeight="1" x14ac:dyDescent="0.3">
      <c r="A10120" s="1">
        <v>1</v>
      </c>
      <c r="B10120" s="1" t="s">
        <v>261</v>
      </c>
      <c r="C10120" s="1" t="str">
        <f ca="1">IFERROR(__xludf.DUMMYFUNCTION("GOOGLETRANSLATE(B10297,""en"",""ja"")"),"幸福")</f>
        <v>幸福</v>
      </c>
    </row>
    <row r="10121" spans="1:3" ht="18" customHeight="1" x14ac:dyDescent="0.3">
      <c r="A10121" s="1">
        <v>1</v>
      </c>
      <c r="B10121" s="1" t="s">
        <v>7814</v>
      </c>
      <c r="C10121" s="1" t="str">
        <f ca="1">IFERROR(__xludf.DUMMYFUNCTION("GOOGLETRANSLATE(B10298,""en"",""ja"")"),"最も幸せな")</f>
        <v>最も幸せな</v>
      </c>
    </row>
    <row r="10122" spans="1:3" ht="18" customHeight="1" x14ac:dyDescent="0.3">
      <c r="A10122" s="1">
        <v>1</v>
      </c>
      <c r="B10122" s="1" t="s">
        <v>7815</v>
      </c>
      <c r="C10122" s="1" t="str">
        <f ca="1">IFERROR(__xludf.DUMMYFUNCTION("GOOGLETRANSLATE(B10299,""en"",""ja"")"),"ハンサム")</f>
        <v>ハンサム</v>
      </c>
    </row>
    <row r="10123" spans="1:3" ht="18" customHeight="1" x14ac:dyDescent="0.3">
      <c r="A10123" s="1">
        <v>1</v>
      </c>
      <c r="B10123" s="1" t="s">
        <v>7816</v>
      </c>
      <c r="C10123" s="1" t="str">
        <f ca="1">IFERROR(__xludf.DUMMYFUNCTION("GOOGLETRANSLATE(B10300,""en"",""ja"")"),"ハンパー")</f>
        <v>ハンパー</v>
      </c>
    </row>
    <row r="10124" spans="1:3" ht="18" customHeight="1" x14ac:dyDescent="0.3">
      <c r="A10124" s="1">
        <v>1</v>
      </c>
      <c r="B10124" s="1" t="s">
        <v>7078</v>
      </c>
      <c r="C10124" s="1" t="str">
        <f ca="1">IFERROR(__xludf.DUMMYFUNCTION("GOOGLETRANSLATE(B10301,""en"",""ja"")"),"ホールマーク")</f>
        <v>ホールマーク</v>
      </c>
    </row>
    <row r="10125" spans="1:3" ht="18" customHeight="1" x14ac:dyDescent="0.3">
      <c r="A10125" s="1">
        <v>1</v>
      </c>
      <c r="B10125" s="1" t="s">
        <v>7817</v>
      </c>
      <c r="C10125" s="1" t="str">
        <f ca="1">IFERROR(__xludf.DUMMYFUNCTION("GOOGLETRANSLATE(B10302,""en"",""ja"")"),"hakraborti")</f>
        <v>hakraborti</v>
      </c>
    </row>
    <row r="10126" spans="1:3" ht="18" customHeight="1" x14ac:dyDescent="0.3">
      <c r="A10126" s="1">
        <v>1</v>
      </c>
      <c r="B10126" s="1" t="s">
        <v>7818</v>
      </c>
      <c r="C10126" s="1" t="str">
        <f ca="1">IFERROR(__xludf.DUMMYFUNCTION("GOOGLETRANSLATE(B10303,""en"",""ja"")"),"gyllenstens'")</f>
        <v>gyllenstens'</v>
      </c>
    </row>
    <row r="10127" spans="1:3" ht="18" customHeight="1" x14ac:dyDescent="0.3">
      <c r="A10127" s="1">
        <v>1</v>
      </c>
      <c r="B10127" s="1" t="s">
        <v>7819</v>
      </c>
      <c r="C10127" s="1" t="str">
        <f ca="1">IFERROR(__xludf.DUMMYFUNCTION("GOOGLETRANSLATE(B10304,""en"",""ja"")"),"gylesten")</f>
        <v>gylesten</v>
      </c>
    </row>
    <row r="10128" spans="1:3" ht="18" customHeight="1" x14ac:dyDescent="0.3">
      <c r="A10128" s="1">
        <v>1</v>
      </c>
      <c r="B10128" s="1" t="s">
        <v>6031</v>
      </c>
      <c r="C10128" s="1" t="str">
        <f ca="1">IFERROR(__xludf.DUMMYFUNCTION("GOOGLETRANSLATE(B10305,""en"",""ja"")"),"しわがれ")</f>
        <v>しわがれ</v>
      </c>
    </row>
    <row r="10129" spans="1:3" ht="18" customHeight="1" x14ac:dyDescent="0.3">
      <c r="A10129" s="1">
        <v>1</v>
      </c>
      <c r="B10129" s="1" t="s">
        <v>7820</v>
      </c>
      <c r="C10129" s="1" t="str">
        <f ca="1">IFERROR(__xludf.DUMMYFUNCTION("GOOGLETRANSLATE(B10306,""en"",""ja"")"),"腸")</f>
        <v>腸</v>
      </c>
    </row>
    <row r="10130" spans="1:3" ht="18" customHeight="1" x14ac:dyDescent="0.3">
      <c r="A10130" s="1">
        <v>1</v>
      </c>
      <c r="B10130" s="1" t="s">
        <v>4030</v>
      </c>
      <c r="C10130" s="1" t="str">
        <f ca="1">IFERROR(__xludf.DUMMYFUNCTION("GOOGLETRANSLATE(B10307,""en"",""ja"")"),"保証")</f>
        <v>保証</v>
      </c>
    </row>
    <row r="10131" spans="1:3" ht="18" customHeight="1" x14ac:dyDescent="0.3">
      <c r="A10131" s="1">
        <v>1</v>
      </c>
      <c r="B10131" s="1" t="s">
        <v>7821</v>
      </c>
      <c r="C10131" s="1" t="str">
        <f ca="1">IFERROR(__xludf.DUMMYFUNCTION("GOOGLETRANSLATE(B10308,""en"",""ja"")"),"成長します")</f>
        <v>成長します</v>
      </c>
    </row>
    <row r="10132" spans="1:3" ht="18" customHeight="1" x14ac:dyDescent="0.3">
      <c r="A10132" s="1">
        <v>1</v>
      </c>
      <c r="B10132" s="1" t="s">
        <v>4791</v>
      </c>
      <c r="C10132" s="1" t="str">
        <f ca="1">IFERROR(__xludf.DUMMYFUNCTION("GOOGLETRANSLATE(B10309,""en"",""ja"")"),"キモい")</f>
        <v>キモい</v>
      </c>
    </row>
    <row r="10133" spans="1:3" ht="18" customHeight="1" x14ac:dyDescent="0.3">
      <c r="A10133" s="1">
        <v>1</v>
      </c>
      <c r="B10133" s="1" t="s">
        <v>4031</v>
      </c>
      <c r="C10133" s="1" t="str">
        <f ca="1">IFERROR(__xludf.DUMMYFUNCTION("GOOGLETRANSLATE(B10310,""en"",""ja"")"),"模索")</f>
        <v>模索</v>
      </c>
    </row>
    <row r="10134" spans="1:3" ht="18" customHeight="1" x14ac:dyDescent="0.3">
      <c r="A10134" s="1">
        <v>1</v>
      </c>
      <c r="B10134" s="1" t="s">
        <v>7822</v>
      </c>
      <c r="C10134" s="1" t="str">
        <f ca="1">IFERROR(__xludf.DUMMYFUNCTION("GOOGLETRANSLATE(B10311,""en"",""ja"")"),"食料品")</f>
        <v>食料品</v>
      </c>
    </row>
    <row r="10135" spans="1:3" ht="18" customHeight="1" x14ac:dyDescent="0.3">
      <c r="A10135" s="1">
        <v>1</v>
      </c>
      <c r="B10135" s="1" t="s">
        <v>4032</v>
      </c>
      <c r="C10135" s="1" t="str">
        <f ca="1">IFERROR(__xludf.DUMMYFUNCTION("GOOGLETRANSLATE(B10312,""en"",""ja"")"),"度胸")</f>
        <v>度胸</v>
      </c>
    </row>
    <row r="10136" spans="1:3" ht="18" customHeight="1" x14ac:dyDescent="0.3">
      <c r="A10136" s="1">
        <v>1</v>
      </c>
      <c r="B10136" s="1" t="s">
        <v>4794</v>
      </c>
      <c r="C10136" s="1" t="str">
        <f ca="1">IFERROR(__xludf.DUMMYFUNCTION("GOOGLETRANSLATE(B10313,""en"",""ja"")"),"草の根")</f>
        <v>草の根</v>
      </c>
    </row>
    <row r="10137" spans="1:3" ht="18" customHeight="1" x14ac:dyDescent="0.3">
      <c r="A10137" s="1">
        <v>1</v>
      </c>
      <c r="B10137" s="1" t="s">
        <v>7087</v>
      </c>
      <c r="C10137" s="1" t="str">
        <f ca="1">IFERROR(__xludf.DUMMYFUNCTION("GOOGLETRANSLATE(B10314,""en"",""ja"")"),"フォアグラ")</f>
        <v>フォアグラ</v>
      </c>
    </row>
    <row r="10138" spans="1:3" ht="18" customHeight="1" x14ac:dyDescent="0.3">
      <c r="A10138" s="1">
        <v>1</v>
      </c>
      <c r="B10138" s="1" t="s">
        <v>7823</v>
      </c>
      <c r="C10138" s="1" t="str">
        <f ca="1">IFERROR(__xludf.DUMMYFUNCTION("GOOGLETRANSLATE(B10315,""en"",""ja"")"),"グラップル")</f>
        <v>グラップル</v>
      </c>
    </row>
    <row r="10139" spans="1:3" ht="18" customHeight="1" x14ac:dyDescent="0.3">
      <c r="A10139" s="1">
        <v>1</v>
      </c>
      <c r="B10139" s="1" t="s">
        <v>7824</v>
      </c>
      <c r="C10139" s="1" t="str">
        <f ca="1">IFERROR(__xludf.DUMMYFUNCTION("GOOGLETRANSLATE(B10316,""en"",""ja"")"),"グラフィカル")</f>
        <v>グラフィカル</v>
      </c>
    </row>
    <row r="10140" spans="1:3" ht="18" customHeight="1" x14ac:dyDescent="0.3">
      <c r="A10140" s="1">
        <v>1</v>
      </c>
      <c r="B10140" s="1" t="s">
        <v>6041</v>
      </c>
      <c r="C10140" s="1" t="str">
        <f ca="1">IFERROR(__xludf.DUMMYFUNCTION("GOOGLETRANSLATE(B10317,""en"",""ja"")"),"粒")</f>
        <v>粒</v>
      </c>
    </row>
    <row r="10141" spans="1:3" ht="18" customHeight="1" x14ac:dyDescent="0.3">
      <c r="A10141" s="1">
        <v>1</v>
      </c>
      <c r="B10141" s="1" t="s">
        <v>7825</v>
      </c>
      <c r="C10141" s="1" t="str">
        <f ca="1">IFERROR(__xludf.DUMMYFUNCTION("GOOGLETRANSLATE(B10318,""en"",""ja"")"),"卒業")</f>
        <v>卒業</v>
      </c>
    </row>
    <row r="10142" spans="1:3" ht="18" customHeight="1" x14ac:dyDescent="0.3">
      <c r="A10142" s="1">
        <v>1</v>
      </c>
      <c r="B10142" s="1" t="s">
        <v>7826</v>
      </c>
      <c r="C10142" s="1" t="str">
        <f ca="1">IFERROR(__xludf.DUMMYFUNCTION("GOOGLETRANSLATE(B10319,""en"",""ja"")"),"採点")</f>
        <v>採点</v>
      </c>
    </row>
    <row r="10143" spans="1:3" ht="18" customHeight="1" x14ac:dyDescent="0.3">
      <c r="A10143" s="1">
        <v>1</v>
      </c>
      <c r="B10143" s="1" t="s">
        <v>7827</v>
      </c>
      <c r="C10143" s="1" t="str">
        <f ca="1">IFERROR(__xludf.DUMMYFUNCTION("GOOGLETRANSLATE(B10320,""en"",""ja"")"),"グラブ")</f>
        <v>グラブ</v>
      </c>
    </row>
    <row r="10144" spans="1:3" ht="18" customHeight="1" x14ac:dyDescent="0.3">
      <c r="A10144" s="1">
        <v>1</v>
      </c>
      <c r="B10144" s="1" t="s">
        <v>1561</v>
      </c>
      <c r="C10144" s="1" t="str">
        <f ca="1">IFERROR(__xludf.DUMMYFUNCTION("GOOGLETRANSLATE(B10321,""en"",""ja"")"),"ゴール")</f>
        <v>ゴール</v>
      </c>
    </row>
    <row r="10145" spans="1:3" ht="18" customHeight="1" x14ac:dyDescent="0.3">
      <c r="A10145" s="1">
        <v>1</v>
      </c>
      <c r="B10145" s="1" t="s">
        <v>6047</v>
      </c>
      <c r="C10145" s="1" t="str">
        <f ca="1">IFERROR(__xludf.DUMMYFUNCTION("GOOGLETRANSLATE(B10322,""en"",""ja"")"),"挑発")</f>
        <v>挑発</v>
      </c>
    </row>
    <row r="10146" spans="1:3" ht="18" customHeight="1" x14ac:dyDescent="0.3">
      <c r="A10146" s="1">
        <v>1</v>
      </c>
      <c r="B10146" s="1" t="s">
        <v>7828</v>
      </c>
      <c r="C10146" s="1" t="str">
        <f ca="1">IFERROR(__xludf.DUMMYFUNCTION("GOOGLETRANSLATE(B10323,""en"",""ja"")"),"一見")</f>
        <v>一見</v>
      </c>
    </row>
    <row r="10147" spans="1:3" ht="18" customHeight="1" x14ac:dyDescent="0.3">
      <c r="A10147" s="1">
        <v>1</v>
      </c>
      <c r="B10147" s="1" t="s">
        <v>7829</v>
      </c>
      <c r="C10147" s="1" t="str">
        <f ca="1">IFERROR(__xludf.DUMMYFUNCTION("GOOGLETRANSLATE(B10324,""en"",""ja"")"),"氷河")</f>
        <v>氷河</v>
      </c>
    </row>
    <row r="10148" spans="1:3" ht="18" customHeight="1" x14ac:dyDescent="0.3">
      <c r="A10148" s="1">
        <v>1</v>
      </c>
      <c r="B10148" s="1" t="s">
        <v>294</v>
      </c>
      <c r="C10148" s="1" t="str">
        <f ca="1">IFERROR(__xludf.DUMMYFUNCTION("GOOGLETRANSLATE(B10325,""en"",""ja"")"),"与える")</f>
        <v>与える</v>
      </c>
    </row>
    <row r="10149" spans="1:3" ht="18" customHeight="1" x14ac:dyDescent="0.3">
      <c r="A10149" s="1">
        <v>1</v>
      </c>
      <c r="B10149" s="1" t="s">
        <v>6052</v>
      </c>
      <c r="C10149" s="1" t="str">
        <f ca="1">IFERROR(__xludf.DUMMYFUNCTION("GOOGLETRANSLATE(B10326,""en"",""ja"")"),"女の子")</f>
        <v>女の子</v>
      </c>
    </row>
    <row r="10150" spans="1:3" ht="18" customHeight="1" x14ac:dyDescent="0.3">
      <c r="A10150" s="1">
        <v>1</v>
      </c>
      <c r="B10150" s="1" t="s">
        <v>3515</v>
      </c>
      <c r="C10150" s="1" t="str">
        <f ca="1">IFERROR(__xludf.DUMMYFUNCTION("GOOGLETRANSLATE(B10327,""en"",""ja"")"),"贈り物")</f>
        <v>贈り物</v>
      </c>
    </row>
    <row r="10151" spans="1:3" ht="18" customHeight="1" x14ac:dyDescent="0.3">
      <c r="A10151" s="1">
        <v>1</v>
      </c>
      <c r="B10151" s="1" t="s">
        <v>7830</v>
      </c>
      <c r="C10151" s="1" t="str">
        <f ca="1">IFERROR(__xludf.DUMMYFUNCTION("GOOGLETRANSLATE(B10328,""en"",""ja"")"),"巨人")</f>
        <v>巨人</v>
      </c>
    </row>
    <row r="10152" spans="1:3" ht="18" customHeight="1" x14ac:dyDescent="0.3">
      <c r="A10152" s="1">
        <v>1</v>
      </c>
      <c r="B10152" s="1" t="s">
        <v>7097</v>
      </c>
      <c r="C10152" s="1" t="str">
        <f ca="1">IFERROR(__xludf.DUMMYFUNCTION("GOOGLETRANSLATE(B10329,""en"",""ja"")"),"ゲシュタルト")</f>
        <v>ゲシュタルト</v>
      </c>
    </row>
    <row r="10153" spans="1:3" ht="18" customHeight="1" x14ac:dyDescent="0.3">
      <c r="A10153" s="1">
        <v>1</v>
      </c>
      <c r="B10153" s="1" t="s">
        <v>7831</v>
      </c>
      <c r="C10153" s="1" t="str">
        <f ca="1">IFERROR(__xludf.DUMMYFUNCTION("GOOGLETRANSLATE(B10330,""en"",""ja"")"),"geographicaly")</f>
        <v>geographicaly</v>
      </c>
    </row>
    <row r="10154" spans="1:3" ht="18" customHeight="1" x14ac:dyDescent="0.3">
      <c r="A10154" s="1">
        <v>1</v>
      </c>
      <c r="B10154" s="1" t="s">
        <v>7832</v>
      </c>
      <c r="C10154" s="1" t="str">
        <f ca="1">IFERROR(__xludf.DUMMYFUNCTION("GOOGLETRANSLATE(B10331,""en"",""ja"")"),"純粋に")</f>
        <v>純粋に</v>
      </c>
    </row>
    <row r="10155" spans="1:3" ht="18" customHeight="1" x14ac:dyDescent="0.3">
      <c r="A10155" s="1">
        <v>1</v>
      </c>
      <c r="B10155" s="1" t="s">
        <v>6059</v>
      </c>
      <c r="C10155" s="1" t="str">
        <f ca="1">IFERROR(__xludf.DUMMYFUNCTION("GOOGLETRANSLATE(B10332,""en"",""ja"")"),"純正")</f>
        <v>純正</v>
      </c>
    </row>
    <row r="10156" spans="1:3" ht="18" customHeight="1" x14ac:dyDescent="0.3">
      <c r="A10156" s="1">
        <v>1</v>
      </c>
      <c r="B10156" s="1" t="s">
        <v>3517</v>
      </c>
      <c r="C10156" s="1" t="str">
        <f ca="1">IFERROR(__xludf.DUMMYFUNCTION("GOOGLETRANSLATE(B10333,""en"",""ja"")"),"ゲノム")</f>
        <v>ゲノム</v>
      </c>
    </row>
    <row r="10157" spans="1:3" ht="18" customHeight="1" x14ac:dyDescent="0.3">
      <c r="A10157" s="1">
        <v>1</v>
      </c>
      <c r="B10157" s="1" t="s">
        <v>4810</v>
      </c>
      <c r="C10157" s="1" t="str">
        <f ca="1">IFERROR(__xludf.DUMMYFUNCTION("GOOGLETRANSLATE(B10334,""en"",""ja"")"),"ジェネリック")</f>
        <v>ジェネリック</v>
      </c>
    </row>
    <row r="10158" spans="1:3" ht="18" customHeight="1" x14ac:dyDescent="0.3">
      <c r="A10158" s="1">
        <v>1</v>
      </c>
      <c r="B10158" s="1" t="s">
        <v>1281</v>
      </c>
      <c r="C10158" s="1" t="str">
        <f ca="1">IFERROR(__xludf.DUMMYFUNCTION("GOOGLETRANSLATE(B10335,""en"",""ja"")"),"遺伝子")</f>
        <v>遺伝子</v>
      </c>
    </row>
    <row r="10159" spans="1:3" ht="18" customHeight="1" x14ac:dyDescent="0.3">
      <c r="A10159" s="1">
        <v>1</v>
      </c>
      <c r="B10159" s="1" t="s">
        <v>6063</v>
      </c>
      <c r="C10159" s="1" t="str">
        <f ca="1">IFERROR(__xludf.DUMMYFUNCTION("GOOGLETRANSLATE(B10336,""en"",""ja"")"),"ゲージ")</f>
        <v>ゲージ</v>
      </c>
    </row>
    <row r="10160" spans="1:3" ht="18" customHeight="1" x14ac:dyDescent="0.3">
      <c r="A10160" s="1">
        <v>1</v>
      </c>
      <c r="B10160" s="1" t="s">
        <v>7101</v>
      </c>
      <c r="C10160" s="1" t="str">
        <f ca="1">IFERROR(__xludf.DUMMYFUNCTION("GOOGLETRANSLATE(B10337,""en"",""ja"")"),"ガウチョ")</f>
        <v>ガウチョ</v>
      </c>
    </row>
    <row r="10161" spans="1:3" ht="18" customHeight="1" x14ac:dyDescent="0.3">
      <c r="A10161" s="1">
        <v>1</v>
      </c>
      <c r="B10161" s="1" t="s">
        <v>7833</v>
      </c>
      <c r="C10161" s="1" t="str">
        <f ca="1">IFERROR(__xludf.DUMMYFUNCTION("GOOGLETRANSLATE(B10338,""en"",""ja"")"),"採集")</f>
        <v>採集</v>
      </c>
    </row>
    <row r="10162" spans="1:3" ht="18" customHeight="1" x14ac:dyDescent="0.3">
      <c r="A10162" s="1">
        <v>1</v>
      </c>
      <c r="B10162" s="1" t="s">
        <v>7834</v>
      </c>
      <c r="C10162" s="1" t="str">
        <f ca="1">IFERROR(__xludf.DUMMYFUNCTION("GOOGLETRANSLATE(B10339,""en"",""ja"")"),"園芸")</f>
        <v>園芸</v>
      </c>
    </row>
    <row r="10163" spans="1:3" ht="18" customHeight="1" x14ac:dyDescent="0.3">
      <c r="A10163" s="1">
        <v>1</v>
      </c>
      <c r="B10163" s="1" t="s">
        <v>6065</v>
      </c>
      <c r="C10163" s="1" t="str">
        <f ca="1">IFERROR(__xludf.DUMMYFUNCTION("GOOGLETRANSLATE(B10340,""en"",""ja"")"),"植木屋")</f>
        <v>植木屋</v>
      </c>
    </row>
    <row r="10164" spans="1:3" ht="18" customHeight="1" x14ac:dyDescent="0.3">
      <c r="A10164" s="1">
        <v>1</v>
      </c>
      <c r="B10164" s="1" t="s">
        <v>2401</v>
      </c>
      <c r="C10164" s="1" t="str">
        <f ca="1">IFERROR(__xludf.DUMMYFUNCTION("GOOGLETRANSLATE(B10341,""en"",""ja"")"),"ギャップ")</f>
        <v>ギャップ</v>
      </c>
    </row>
    <row r="10165" spans="1:3" ht="18" customHeight="1" x14ac:dyDescent="0.3">
      <c r="A10165" s="1">
        <v>1</v>
      </c>
      <c r="B10165" s="1" t="s">
        <v>533</v>
      </c>
      <c r="C10165" s="1" t="str">
        <f ca="1">IFERROR(__xludf.DUMMYFUNCTION("GOOGLETRANSLATE(B10342,""en"",""ja"")"),"利得")</f>
        <v>利得</v>
      </c>
    </row>
    <row r="10166" spans="1:3" ht="18" customHeight="1" x14ac:dyDescent="0.3">
      <c r="A10166" s="1">
        <v>1</v>
      </c>
      <c r="B10166" s="1" t="s">
        <v>7835</v>
      </c>
      <c r="C10166" s="1" t="str">
        <f ca="1">IFERROR(__xludf.DUMMYFUNCTION("GOOGLETRANSLATE(B10343,""en"",""ja"")"),"ゲージ")</f>
        <v>ゲージ</v>
      </c>
    </row>
    <row r="10167" spans="1:3" ht="18" customHeight="1" x14ac:dyDescent="0.3">
      <c r="A10167" s="1">
        <v>1</v>
      </c>
      <c r="B10167" s="1" t="s">
        <v>7836</v>
      </c>
      <c r="C10167" s="1" t="str">
        <f ca="1">IFERROR(__xludf.DUMMYFUNCTION("GOOGLETRANSLATE(B10344,""en"",""ja"")"),"ガガ")</f>
        <v>ガガ</v>
      </c>
    </row>
    <row r="10168" spans="1:3" ht="18" customHeight="1" x14ac:dyDescent="0.3">
      <c r="A10168" s="1">
        <v>1</v>
      </c>
      <c r="B10168" s="1" t="s">
        <v>4817</v>
      </c>
      <c r="C10168" s="1" t="str">
        <f ca="1">IFERROR(__xludf.DUMMYFUNCTION("GOOGLETRANSLATE(B10345,""en"",""ja"")"),"融合")</f>
        <v>融合</v>
      </c>
    </row>
    <row r="10169" spans="1:3" ht="18" customHeight="1" x14ac:dyDescent="0.3">
      <c r="A10169" s="1">
        <v>1</v>
      </c>
      <c r="B10169" s="1" t="s">
        <v>6071</v>
      </c>
      <c r="C10169" s="1" t="str">
        <f ca="1">IFERROR(__xludf.DUMMYFUNCTION("GOOGLETRANSLATE(B10346,""en"",""ja"")"),"基金")</f>
        <v>基金</v>
      </c>
    </row>
    <row r="10170" spans="1:3" ht="18" customHeight="1" x14ac:dyDescent="0.3">
      <c r="A10170" s="1">
        <v>1</v>
      </c>
      <c r="B10170" s="1" t="s">
        <v>7837</v>
      </c>
      <c r="C10170" s="1" t="str">
        <f ca="1">IFERROR(__xludf.DUMMYFUNCTION("GOOGLETRANSLATE(B10347,""en"",""ja"")"),"ファンブル")</f>
        <v>ファンブル</v>
      </c>
    </row>
    <row r="10171" spans="1:3" ht="18" customHeight="1" x14ac:dyDescent="0.3">
      <c r="A10171" s="1">
        <v>1</v>
      </c>
      <c r="B10171" s="1" t="s">
        <v>4821</v>
      </c>
      <c r="C10171" s="1" t="str">
        <f ca="1">IFERROR(__xludf.DUMMYFUNCTION("GOOGLETRANSLATE(B10348,""en"",""ja"")"),"履行")</f>
        <v>履行</v>
      </c>
    </row>
    <row r="10172" spans="1:3" ht="18" customHeight="1" x14ac:dyDescent="0.3">
      <c r="A10172" s="1">
        <v>1</v>
      </c>
      <c r="B10172" s="1" t="s">
        <v>7838</v>
      </c>
      <c r="C10172" s="1" t="str">
        <f ca="1">IFERROR(__xludf.DUMMYFUNCTION("GOOGLETRANSLATE(B10349,""en"",""ja"")"),"FUID")</f>
        <v>FUID</v>
      </c>
    </row>
    <row r="10173" spans="1:3" ht="18" customHeight="1" x14ac:dyDescent="0.3">
      <c r="A10173" s="1">
        <v>1</v>
      </c>
      <c r="B10173" s="1" t="s">
        <v>7839</v>
      </c>
      <c r="C10173" s="1" t="str">
        <f ca="1">IFERROR(__xludf.DUMMYFUNCTION("GOOGLETRANSLATE(B10350,""en"",""ja"")"),"顔をしかめます")</f>
        <v>顔をしかめます</v>
      </c>
    </row>
    <row r="10174" spans="1:3" ht="18" customHeight="1" x14ac:dyDescent="0.3">
      <c r="A10174" s="1">
        <v>1</v>
      </c>
      <c r="B10174" s="1" t="s">
        <v>7105</v>
      </c>
      <c r="C10174" s="1" t="str">
        <f ca="1">IFERROR(__xludf.DUMMYFUNCTION("GOOGLETRANSLATE(B10351,""en"",""ja"")"),"フロイト")</f>
        <v>フロイト</v>
      </c>
    </row>
    <row r="10175" spans="1:3" ht="18" customHeight="1" x14ac:dyDescent="0.3">
      <c r="A10175" s="1">
        <v>1</v>
      </c>
      <c r="B10175" s="1" t="s">
        <v>6083</v>
      </c>
      <c r="C10175" s="1" t="str">
        <f ca="1">IFERROR(__xludf.DUMMYFUNCTION("GOOGLETRANSLATE(B10352,""en"",""ja"")"),"フレット")</f>
        <v>フレット</v>
      </c>
    </row>
    <row r="10176" spans="1:3" ht="18" customHeight="1" x14ac:dyDescent="0.3">
      <c r="A10176" s="1">
        <v>1</v>
      </c>
      <c r="B10176" s="1" t="s">
        <v>7840</v>
      </c>
      <c r="C10176" s="1" t="str">
        <f ca="1">IFERROR(__xludf.DUMMYFUNCTION("GOOGLETRANSLATE(B10353,""en"",""ja"")"),"頻出")</f>
        <v>頻出</v>
      </c>
    </row>
    <row r="10177" spans="1:3" ht="18" customHeight="1" x14ac:dyDescent="0.3">
      <c r="A10177" s="1">
        <v>1</v>
      </c>
      <c r="B10177" s="1" t="s">
        <v>6085</v>
      </c>
      <c r="C10177" s="1" t="str">
        <f ca="1">IFERROR(__xludf.DUMMYFUNCTION("GOOGLETRANSLATE(B10354,""en"",""ja"")"),"慌しいです")</f>
        <v>慌しいです</v>
      </c>
    </row>
    <row r="10178" spans="1:3" ht="18" customHeight="1" x14ac:dyDescent="0.3">
      <c r="A10178" s="1">
        <v>1</v>
      </c>
      <c r="B10178" s="1" t="s">
        <v>7841</v>
      </c>
      <c r="C10178" s="1" t="str">
        <f ca="1">IFERROR(__xludf.DUMMYFUNCTION("GOOGLETRANSLATE(B10355,""en"",""ja"")"),"育ん")</f>
        <v>育ん</v>
      </c>
    </row>
    <row r="10179" spans="1:3" ht="18" customHeight="1" x14ac:dyDescent="0.3">
      <c r="A10179" s="1">
        <v>1</v>
      </c>
      <c r="B10179" s="1" t="s">
        <v>1468</v>
      </c>
      <c r="C10179" s="1" t="str">
        <f ca="1">IFERROR(__xludf.DUMMYFUNCTION("GOOGLETRANSLATE(B10356,""en"",""ja"")"),"化石")</f>
        <v>化石</v>
      </c>
    </row>
    <row r="10180" spans="1:3" ht="18" customHeight="1" x14ac:dyDescent="0.3">
      <c r="A10180" s="1">
        <v>1</v>
      </c>
      <c r="B10180" s="1" t="s">
        <v>3531</v>
      </c>
      <c r="C10180" s="1" t="str">
        <f ca="1">IFERROR(__xludf.DUMMYFUNCTION("GOOGLETRANSLATE(B10357,""en"",""ja"")"),"四十")</f>
        <v>四十</v>
      </c>
    </row>
    <row r="10181" spans="1:3" ht="18" customHeight="1" x14ac:dyDescent="0.3">
      <c r="A10181" s="1">
        <v>1</v>
      </c>
      <c r="B10181" s="1" t="s">
        <v>7842</v>
      </c>
      <c r="C10181" s="1" t="str">
        <f ca="1">IFERROR(__xludf.DUMMYFUNCTION("GOOGLETRANSLATE(B10358,""en"",""ja"")"),"砦")</f>
        <v>砦</v>
      </c>
    </row>
    <row r="10182" spans="1:3" ht="18" customHeight="1" x14ac:dyDescent="0.3">
      <c r="A10182" s="1">
        <v>1</v>
      </c>
      <c r="B10182" s="1" t="s">
        <v>7110</v>
      </c>
      <c r="C10182" s="1" t="str">
        <f ca="1">IFERROR(__xludf.DUMMYFUNCTION("GOOGLETRANSLATE(B10359,""en"",""ja"")"),"式")</f>
        <v>式</v>
      </c>
    </row>
    <row r="10183" spans="1:3" ht="18" customHeight="1" x14ac:dyDescent="0.3">
      <c r="A10183" s="1">
        <v>1</v>
      </c>
      <c r="B10183" s="1" t="s">
        <v>6087</v>
      </c>
      <c r="C10183" s="1" t="str">
        <f ca="1">IFERROR(__xludf.DUMMYFUNCTION("GOOGLETRANSLATE(B10360,""en"",""ja"")"),"恐ろしいです")</f>
        <v>恐ろしいです</v>
      </c>
    </row>
    <row r="10184" spans="1:3" ht="18" customHeight="1" x14ac:dyDescent="0.3">
      <c r="A10184" s="1">
        <v>1</v>
      </c>
      <c r="B10184" s="1" t="s">
        <v>7843</v>
      </c>
      <c r="C10184" s="1" t="str">
        <f ca="1">IFERROR(__xludf.DUMMYFUNCTION("GOOGLETRANSLATE(B10361,""en"",""ja"")"),"フォージ")</f>
        <v>フォージ</v>
      </c>
    </row>
    <row r="10185" spans="1:3" ht="18" customHeight="1" x14ac:dyDescent="0.3">
      <c r="A10185" s="1">
        <v>1</v>
      </c>
      <c r="B10185" s="1" t="s">
        <v>4832</v>
      </c>
      <c r="C10185" s="1" t="str">
        <f ca="1">IFERROR(__xludf.DUMMYFUNCTION("GOOGLETRANSLATE(B10362,""en"",""ja"")"),"森林")</f>
        <v>森林</v>
      </c>
    </row>
    <row r="10186" spans="1:3" ht="18" customHeight="1" x14ac:dyDescent="0.3">
      <c r="A10186" s="1">
        <v>1</v>
      </c>
      <c r="B10186" s="1" t="s">
        <v>7844</v>
      </c>
      <c r="C10186" s="1" t="str">
        <f ca="1">IFERROR(__xludf.DUMMYFUNCTION("GOOGLETRANSLATE(B10363,""en"",""ja"")"),"愚か者")</f>
        <v>愚か者</v>
      </c>
    </row>
    <row r="10187" spans="1:3" ht="18" customHeight="1" x14ac:dyDescent="0.3">
      <c r="A10187" s="1">
        <v>1</v>
      </c>
      <c r="B10187" s="1" t="s">
        <v>7845</v>
      </c>
      <c r="C10187" s="1" t="str">
        <f ca="1">IFERROR(__xludf.DUMMYFUNCTION("GOOGLETRANSLATE(B10364,""en"",""ja"")"),"好き")</f>
        <v>好き</v>
      </c>
    </row>
    <row r="10188" spans="1:3" ht="18" customHeight="1" x14ac:dyDescent="0.3">
      <c r="A10188" s="1">
        <v>1</v>
      </c>
      <c r="B10188" s="1" t="s">
        <v>7846</v>
      </c>
      <c r="C10188" s="1" t="str">
        <f ca="1">IFERROR(__xludf.DUMMYFUNCTION("GOOGLETRANSLATE(B10365,""en"",""ja"")"),"folowed")</f>
        <v>folowed</v>
      </c>
    </row>
    <row r="10189" spans="1:3" ht="18" customHeight="1" x14ac:dyDescent="0.3">
      <c r="A10189" s="1">
        <v>1</v>
      </c>
      <c r="B10189" s="1" t="s">
        <v>7847</v>
      </c>
      <c r="C10189" s="1" t="str">
        <f ca="1">IFERROR(__xludf.DUMMYFUNCTION("GOOGLETRANSLATE(B10366,""en"",""ja"")"),"FO1")</f>
        <v>FO1</v>
      </c>
    </row>
    <row r="10190" spans="1:3" ht="18" customHeight="1" x14ac:dyDescent="0.3">
      <c r="A10190" s="1">
        <v>1</v>
      </c>
      <c r="B10190" s="1" t="s">
        <v>7848</v>
      </c>
      <c r="C10190" s="1" t="str">
        <f ca="1">IFERROR(__xludf.DUMMYFUNCTION("GOOGLETRANSLATE(B10367,""en"",""ja"")"),"フラックス")</f>
        <v>フラックス</v>
      </c>
    </row>
    <row r="10191" spans="1:3" ht="18" customHeight="1" x14ac:dyDescent="0.3">
      <c r="A10191" s="1">
        <v>1</v>
      </c>
      <c r="B10191" s="1" t="s">
        <v>7849</v>
      </c>
      <c r="C10191" s="1" t="str">
        <f ca="1">IFERROR(__xludf.DUMMYFUNCTION("GOOGLETRANSLATE(B10368,""en"",""ja"")"),"流す")</f>
        <v>流す</v>
      </c>
    </row>
    <row r="10192" spans="1:3" ht="18" customHeight="1" x14ac:dyDescent="0.3">
      <c r="A10192" s="1">
        <v>1</v>
      </c>
      <c r="B10192" s="1" t="s">
        <v>7850</v>
      </c>
      <c r="C10192" s="1" t="str">
        <f ca="1">IFERROR(__xludf.DUMMYFUNCTION("GOOGLETRANSLATE(B10369,""en"",""ja"")"),"変動")</f>
        <v>変動</v>
      </c>
    </row>
    <row r="10193" spans="1:3" ht="18" customHeight="1" x14ac:dyDescent="0.3">
      <c r="A10193" s="1">
        <v>1</v>
      </c>
      <c r="B10193" s="1" t="s">
        <v>7851</v>
      </c>
      <c r="C10193" s="1" t="str">
        <f ca="1">IFERROR(__xludf.DUMMYFUNCTION("GOOGLETRANSLATE(B10370,""en"",""ja"")"),"変動")</f>
        <v>変動</v>
      </c>
    </row>
    <row r="10194" spans="1:3" ht="18" customHeight="1" x14ac:dyDescent="0.3">
      <c r="A10194" s="1">
        <v>1</v>
      </c>
      <c r="B10194" s="1" t="s">
        <v>1958</v>
      </c>
      <c r="C10194" s="1" t="str">
        <f ca="1">IFERROR(__xludf.DUMMYFUNCTION("GOOGLETRANSLATE(B10371,""en"",""ja"")"),"フロー")</f>
        <v>フロー</v>
      </c>
    </row>
    <row r="10195" spans="1:3" ht="18" customHeight="1" x14ac:dyDescent="0.3">
      <c r="A10195" s="1">
        <v>1</v>
      </c>
      <c r="B10195" s="1" t="s">
        <v>4046</v>
      </c>
      <c r="C10195" s="1" t="str">
        <f ca="1">IFERROR(__xludf.DUMMYFUNCTION("GOOGLETRANSLATE(B10372,""en"",""ja"")"),"フリップ")</f>
        <v>フリップ</v>
      </c>
    </row>
    <row r="10196" spans="1:3" ht="18" customHeight="1" x14ac:dyDescent="0.3">
      <c r="A10196" s="1">
        <v>1</v>
      </c>
      <c r="B10196" s="1" t="s">
        <v>7852</v>
      </c>
      <c r="C10196" s="1" t="str">
        <f ca="1">IFERROR(__xludf.DUMMYFUNCTION("GOOGLETRANSLATE(B10373,""en"",""ja"")"),"投げ飛ばします")</f>
        <v>投げ飛ばします</v>
      </c>
    </row>
    <row r="10197" spans="1:3" ht="18" customHeight="1" x14ac:dyDescent="0.3">
      <c r="A10197" s="1">
        <v>1</v>
      </c>
      <c r="B10197" s="1" t="s">
        <v>6098</v>
      </c>
      <c r="C10197" s="1" t="str">
        <f ca="1">IFERROR(__xludf.DUMMYFUNCTION("GOOGLETRANSLATE(B10374,""en"",""ja"")"),"柔軟に")</f>
        <v>柔軟に</v>
      </c>
    </row>
    <row r="10198" spans="1:3" ht="18" customHeight="1" x14ac:dyDescent="0.3">
      <c r="A10198" s="1">
        <v>1</v>
      </c>
      <c r="B10198" s="1" t="s">
        <v>7853</v>
      </c>
      <c r="C10198" s="1" t="str">
        <f ca="1">IFERROR(__xludf.DUMMYFUNCTION("GOOGLETRANSLATE(B10375,""en"",""ja"")"),"柔軟性")</f>
        <v>柔軟性</v>
      </c>
    </row>
    <row r="10199" spans="1:3" ht="18" customHeight="1" x14ac:dyDescent="0.3">
      <c r="A10199" s="1">
        <v>1</v>
      </c>
      <c r="B10199" s="1" t="s">
        <v>7854</v>
      </c>
      <c r="C10199" s="1" t="str">
        <f ca="1">IFERROR(__xludf.DUMMYFUNCTION("GOOGLETRANSLATE(B10376,""en"",""ja"")"),"フレミング")</f>
        <v>フレミング</v>
      </c>
    </row>
    <row r="10200" spans="1:3" ht="18" customHeight="1" x14ac:dyDescent="0.3">
      <c r="A10200" s="1">
        <v>1</v>
      </c>
      <c r="B10200" s="1" t="s">
        <v>2708</v>
      </c>
      <c r="C10200" s="1" t="str">
        <f ca="1">IFERROR(__xludf.DUMMYFUNCTION("GOOGLETRANSLATE(B10377,""en"",""ja"")"),"フィット")</f>
        <v>フィット</v>
      </c>
    </row>
    <row r="10201" spans="1:3" ht="18" customHeight="1" x14ac:dyDescent="0.3">
      <c r="A10201" s="1">
        <v>1</v>
      </c>
      <c r="B10201" s="1" t="s">
        <v>7855</v>
      </c>
      <c r="C10201" s="1" t="str">
        <f ca="1">IFERROR(__xludf.DUMMYFUNCTION("GOOGLETRANSLATE(B10378,""en"",""ja"")"),"漁師")</f>
        <v>漁師</v>
      </c>
    </row>
    <row r="10202" spans="1:3" ht="18" customHeight="1" x14ac:dyDescent="0.3">
      <c r="A10202" s="1">
        <v>1</v>
      </c>
      <c r="B10202" s="1" t="s">
        <v>1684</v>
      </c>
      <c r="C10202" s="1" t="str">
        <f ca="1">IFERROR(__xludf.DUMMYFUNCTION("GOOGLETRANSLATE(B10379,""en"",""ja"")"),"最後の")</f>
        <v>最後の</v>
      </c>
    </row>
    <row r="10203" spans="1:3" ht="18" customHeight="1" x14ac:dyDescent="0.3">
      <c r="A10203" s="1">
        <v>1</v>
      </c>
      <c r="B10203" s="1" t="s">
        <v>7856</v>
      </c>
      <c r="C10203" s="1" t="str">
        <f ca="1">IFERROR(__xludf.DUMMYFUNCTION("GOOGLETRANSLATE(B10380,""en"",""ja"")"),"フィルム")</f>
        <v>フィルム</v>
      </c>
    </row>
    <row r="10204" spans="1:3" ht="18" customHeight="1" x14ac:dyDescent="0.3">
      <c r="A10204" s="1">
        <v>1</v>
      </c>
      <c r="B10204" s="1" t="s">
        <v>3545</v>
      </c>
      <c r="C10204" s="1" t="str">
        <f ca="1">IFERROR(__xludf.DUMMYFUNCTION("GOOGLETRANSLATE(B10381,""en"",""ja"")"),"激しく")</f>
        <v>激しく</v>
      </c>
    </row>
    <row r="10205" spans="1:3" ht="18" customHeight="1" x14ac:dyDescent="0.3">
      <c r="A10205" s="1">
        <v>1</v>
      </c>
      <c r="B10205" s="1" t="s">
        <v>7857</v>
      </c>
      <c r="C10205" s="1" t="str">
        <f ca="1">IFERROR(__xludf.DUMMYFUNCTION("GOOGLETRANSLATE(B10382,""en"",""ja"")"),"フィーンド")</f>
        <v>フィーンド</v>
      </c>
    </row>
    <row r="10206" spans="1:3" ht="18" customHeight="1" x14ac:dyDescent="0.3">
      <c r="A10206" s="1">
        <v>1</v>
      </c>
      <c r="B10206" s="1" t="s">
        <v>7858</v>
      </c>
      <c r="C10206" s="1" t="str">
        <f ca="1">IFERROR(__xludf.DUMMYFUNCTION("GOOGLETRANSLATE(B10383,""en"",""ja"")"),"架空の")</f>
        <v>架空の</v>
      </c>
    </row>
    <row r="10207" spans="1:3" ht="18" customHeight="1" x14ac:dyDescent="0.3">
      <c r="A10207" s="1">
        <v>1</v>
      </c>
      <c r="B10207" s="1" t="s">
        <v>4845</v>
      </c>
      <c r="C10207" s="1" t="str">
        <f ca="1">IFERROR(__xludf.DUMMYFUNCTION("GOOGLETRANSLATE(B10384,""en"",""ja"")"),"フィクション")</f>
        <v>フィクション</v>
      </c>
    </row>
    <row r="10208" spans="1:3" ht="18" customHeight="1" x14ac:dyDescent="0.3">
      <c r="A10208" s="1">
        <v>1</v>
      </c>
      <c r="B10208" s="1" t="s">
        <v>331</v>
      </c>
      <c r="C10208" s="1" t="str">
        <f ca="1">IFERROR(__xludf.DUMMYFUNCTION("GOOGLETRANSLATE(B10385,""en"",""ja"")"),"少数")</f>
        <v>少数</v>
      </c>
    </row>
    <row r="10209" spans="1:3" ht="18" customHeight="1" x14ac:dyDescent="0.3">
      <c r="A10209" s="1">
        <v>1</v>
      </c>
      <c r="B10209" s="1" t="s">
        <v>7859</v>
      </c>
      <c r="C10209" s="1" t="str">
        <f ca="1">IFERROR(__xludf.DUMMYFUNCTION("GOOGLETRANSLATE(B10386,""en"",""ja"")"),"お祝いの")</f>
        <v>お祝いの</v>
      </c>
    </row>
    <row r="10210" spans="1:3" ht="18" customHeight="1" x14ac:dyDescent="0.3">
      <c r="A10210" s="1">
        <v>1</v>
      </c>
      <c r="B10210" s="1" t="s">
        <v>4846</v>
      </c>
      <c r="C10210" s="1" t="str">
        <f ca="1">IFERROR(__xludf.DUMMYFUNCTION("GOOGLETRANSLATE(B10387,""en"",""ja"")"),"受胎能力")</f>
        <v>受胎能力</v>
      </c>
    </row>
    <row r="10211" spans="1:3" ht="18" customHeight="1" x14ac:dyDescent="0.3">
      <c r="A10211" s="1">
        <v>1</v>
      </c>
      <c r="B10211" s="1" t="s">
        <v>7860</v>
      </c>
      <c r="C10211" s="1" t="str">
        <f ca="1">IFERROR(__xludf.DUMMYFUNCTION("GOOGLETRANSLATE(B10388,""en"",""ja"")"),"獰猛")</f>
        <v>獰猛</v>
      </c>
    </row>
    <row r="10212" spans="1:3" ht="18" customHeight="1" x14ac:dyDescent="0.3">
      <c r="A10212" s="1">
        <v>1</v>
      </c>
      <c r="B10212" s="1" t="s">
        <v>7861</v>
      </c>
      <c r="C10212" s="1" t="str">
        <f ca="1">IFERROR(__xludf.DUMMYFUNCTION("GOOGLETRANSLATE(B10389,""en"",""ja"")"),"FER")</f>
        <v>FER</v>
      </c>
    </row>
    <row r="10213" spans="1:3" ht="18" customHeight="1" x14ac:dyDescent="0.3">
      <c r="A10213" s="1">
        <v>1</v>
      </c>
      <c r="B10213" s="1" t="s">
        <v>7862</v>
      </c>
      <c r="C10213" s="1" t="str">
        <f ca="1">IFERROR(__xludf.DUMMYFUNCTION("GOOGLETRANSLATE(B10390,""en"",""ja"")"),"feeing")</f>
        <v>feeing</v>
      </c>
    </row>
    <row r="10214" spans="1:3" ht="18" customHeight="1" x14ac:dyDescent="0.3">
      <c r="A10214" s="1">
        <v>1</v>
      </c>
      <c r="B10214" s="1" t="s">
        <v>7863</v>
      </c>
      <c r="C10214" s="1" t="str">
        <f ca="1">IFERROR(__xludf.DUMMYFUNCTION("GOOGLETRANSLATE(B10391,""en"",""ja"")"),"fect")</f>
        <v>fect</v>
      </c>
    </row>
    <row r="10215" spans="1:3" ht="18" customHeight="1" x14ac:dyDescent="0.3">
      <c r="A10215" s="1">
        <v>1</v>
      </c>
      <c r="B10215" s="1" t="s">
        <v>7864</v>
      </c>
      <c r="C10215" s="1" t="str">
        <f ca="1">IFERROR(__xludf.DUMMYFUNCTION("GOOGLETRANSLATE(B10392,""en"",""ja"")"),"お気に入り")</f>
        <v>お気に入り</v>
      </c>
    </row>
    <row r="10216" spans="1:3" ht="18" customHeight="1" x14ac:dyDescent="0.3">
      <c r="A10216" s="1">
        <v>1</v>
      </c>
      <c r="B10216" s="1" t="s">
        <v>7865</v>
      </c>
      <c r="C10216" s="1" t="str">
        <f ca="1">IFERROR(__xludf.DUMMYFUNCTION("GOOGLETRANSLATE(B10393,""en"",""ja"")"),"不完全")</f>
        <v>不完全</v>
      </c>
    </row>
    <row r="10217" spans="1:3" ht="18" customHeight="1" x14ac:dyDescent="0.3">
      <c r="A10217" s="1">
        <v>1</v>
      </c>
      <c r="B10217" s="1" t="s">
        <v>7866</v>
      </c>
      <c r="C10217" s="1" t="str">
        <f ca="1">IFERROR(__xludf.DUMMYFUNCTION("GOOGLETRANSLATE(B10394,""en"",""ja"")"),"昔ながら")</f>
        <v>昔ながら</v>
      </c>
    </row>
    <row r="10218" spans="1:3" ht="18" customHeight="1" x14ac:dyDescent="0.3">
      <c r="A10218" s="1">
        <v>1</v>
      </c>
      <c r="B10218" s="1" t="s">
        <v>6121</v>
      </c>
      <c r="C10218" s="1" t="str">
        <f ca="1">IFERROR(__xludf.DUMMYFUNCTION("GOOGLETRANSLATE(B10395,""en"",""ja"")"),"こじつけの")</f>
        <v>こじつけの</v>
      </c>
    </row>
    <row r="10219" spans="1:3" ht="18" customHeight="1" x14ac:dyDescent="0.3">
      <c r="A10219" s="1">
        <v>1</v>
      </c>
      <c r="B10219" s="1" t="s">
        <v>7867</v>
      </c>
      <c r="C10219" s="1" t="str">
        <f ca="1">IFERROR(__xludf.DUMMYFUNCTION("GOOGLETRANSLATE(B10396,""en"",""ja"")"),"運賃")</f>
        <v>運賃</v>
      </c>
    </row>
    <row r="10220" spans="1:3" ht="18" customHeight="1" x14ac:dyDescent="0.3">
      <c r="A10220" s="1">
        <v>1</v>
      </c>
      <c r="B10220" s="1" t="s">
        <v>955</v>
      </c>
      <c r="C10220" s="1" t="str">
        <f ca="1">IFERROR(__xludf.DUMMYFUNCTION("GOOGLETRANSLATE(B10397,""en"",""ja"")"),"よく知られています")</f>
        <v>よく知られています</v>
      </c>
    </row>
    <row r="10221" spans="1:3" ht="18" customHeight="1" x14ac:dyDescent="0.3">
      <c r="A10221" s="1">
        <v>1</v>
      </c>
      <c r="B10221" s="1" t="s">
        <v>7868</v>
      </c>
      <c r="C10221" s="1" t="str">
        <f ca="1">IFERROR(__xludf.DUMMYFUNCTION("GOOGLETRANSLATE(B10398,""en"",""ja"")"),"偽ります")</f>
        <v>偽ります</v>
      </c>
    </row>
    <row r="10222" spans="1:3" ht="18" customHeight="1" x14ac:dyDescent="0.3">
      <c r="A10222" s="1">
        <v>1</v>
      </c>
      <c r="B10222" s="1" t="s">
        <v>6123</v>
      </c>
      <c r="C10222" s="1" t="str">
        <f ca="1">IFERROR(__xludf.DUMMYFUNCTION("GOOGLETRANSLATE(B10399,""en"",""ja"")"),"誤信")</f>
        <v>誤信</v>
      </c>
    </row>
    <row r="10223" spans="1:3" ht="18" customHeight="1" x14ac:dyDescent="0.3">
      <c r="A10223" s="1">
        <v>1</v>
      </c>
      <c r="B10223" s="1" t="s">
        <v>7137</v>
      </c>
      <c r="C10223" s="1" t="str">
        <f ca="1">IFERROR(__xludf.DUMMYFUNCTION("GOOGLETRANSLATE(B10400,""en"",""ja"")"),"信仰")</f>
        <v>信仰</v>
      </c>
    </row>
    <row r="10224" spans="1:3" ht="18" customHeight="1" x14ac:dyDescent="0.3">
      <c r="A10224" s="1">
        <v>1</v>
      </c>
      <c r="B10224" s="1" t="s">
        <v>7869</v>
      </c>
      <c r="C10224" s="1" t="str">
        <f ca="1">IFERROR(__xludf.DUMMYFUNCTION("GOOGLETRANSLATE(B10401,""en"",""ja"")"),"障害")</f>
        <v>障害</v>
      </c>
    </row>
    <row r="10225" spans="1:3" ht="18" customHeight="1" x14ac:dyDescent="0.3">
      <c r="A10225" s="1">
        <v>1</v>
      </c>
      <c r="B10225" s="1" t="s">
        <v>7870</v>
      </c>
      <c r="C10225" s="1" t="str">
        <f ca="1">IFERROR(__xludf.DUMMYFUNCTION("GOOGLETRANSLATE(B10402,""en"",""ja"")"),"ファシリテーター")</f>
        <v>ファシリテーター</v>
      </c>
    </row>
    <row r="10226" spans="1:3" ht="18" customHeight="1" x14ac:dyDescent="0.3">
      <c r="A10226" s="1">
        <v>1</v>
      </c>
      <c r="B10226" s="1" t="s">
        <v>6129</v>
      </c>
      <c r="C10226" s="1" t="str">
        <f ca="1">IFERROR(__xludf.DUMMYFUNCTION("GOOGLETRANSLATE(B10403,""en"",""ja"")"),"容易にします")</f>
        <v>容易にします</v>
      </c>
    </row>
    <row r="10227" spans="1:3" ht="18" customHeight="1" x14ac:dyDescent="0.3">
      <c r="A10227" s="1">
        <v>1</v>
      </c>
      <c r="B10227" s="1" t="s">
        <v>6133</v>
      </c>
      <c r="C10227" s="1" t="str">
        <f ca="1">IFERROR(__xludf.DUMMYFUNCTION("GOOGLETRANSLATE(B10404,""en"",""ja"")"),"外向")</f>
        <v>外向</v>
      </c>
    </row>
    <row r="10228" spans="1:3" ht="18" customHeight="1" x14ac:dyDescent="0.3">
      <c r="A10228" s="1">
        <v>1</v>
      </c>
      <c r="B10228" s="1" t="s">
        <v>2411</v>
      </c>
      <c r="C10228" s="1" t="str">
        <f ca="1">IFERROR(__xludf.DUMMYFUNCTION("GOOGLETRANSLATE(B10405,""en"",""ja"")"),"エクストラ")</f>
        <v>エクストラ</v>
      </c>
    </row>
    <row r="10229" spans="1:3" ht="18" customHeight="1" x14ac:dyDescent="0.3">
      <c r="A10229" s="1">
        <v>1</v>
      </c>
      <c r="B10229" s="1" t="s">
        <v>7871</v>
      </c>
      <c r="C10229" s="1" t="str">
        <f ca="1">IFERROR(__xludf.DUMMYFUNCTION("GOOGLETRANSLATE(B10406,""en"",""ja"")"),"外部化")</f>
        <v>外部化</v>
      </c>
    </row>
    <row r="10230" spans="1:3" ht="18" customHeight="1" x14ac:dyDescent="0.3">
      <c r="A10230" s="1">
        <v>1</v>
      </c>
      <c r="B10230" s="1" t="s">
        <v>4860</v>
      </c>
      <c r="C10230" s="1" t="str">
        <f ca="1">IFERROR(__xludf.DUMMYFUNCTION("GOOGLETRANSLATE(B10408,""en"",""ja"")"),"晒します")</f>
        <v>晒します</v>
      </c>
    </row>
    <row r="10231" spans="1:3" ht="18" customHeight="1" x14ac:dyDescent="0.3">
      <c r="A10231" s="1">
        <v>1</v>
      </c>
      <c r="B10231" s="1" t="s">
        <v>7872</v>
      </c>
      <c r="C10231" s="1" t="str">
        <f ca="1">IFERROR(__xludf.DUMMYFUNCTION("GOOGLETRANSLATE(B10409,""en"",""ja"")"),"書き出す")</f>
        <v>書き出す</v>
      </c>
    </row>
    <row r="10232" spans="1:3" ht="18" customHeight="1" x14ac:dyDescent="0.3">
      <c r="A10232" s="1">
        <v>1</v>
      </c>
      <c r="B10232" s="1" t="s">
        <v>2414</v>
      </c>
      <c r="C10232" s="1" t="str">
        <f ca="1">IFERROR(__xludf.DUMMYFUNCTION("GOOGLETRANSLATE(B10410,""en"",""ja"")"),"指数")</f>
        <v>指数</v>
      </c>
    </row>
    <row r="10233" spans="1:3" ht="18" customHeight="1" x14ac:dyDescent="0.3">
      <c r="A10233" s="1">
        <v>1</v>
      </c>
      <c r="B10233" s="1" t="s">
        <v>7142</v>
      </c>
      <c r="C10233" s="1" t="str">
        <f ca="1">IFERROR(__xludf.DUMMYFUNCTION("GOOGLETRANSLATE(B10411,""en"",""ja"")"),"爆発")</f>
        <v>爆発</v>
      </c>
    </row>
    <row r="10234" spans="1:3" ht="18" customHeight="1" x14ac:dyDescent="0.3">
      <c r="A10234" s="1">
        <v>1</v>
      </c>
      <c r="B10234" s="1" t="s">
        <v>7873</v>
      </c>
      <c r="C10234" s="1" t="str">
        <f ca="1">IFERROR(__xludf.DUMMYFUNCTION("GOOGLETRANSLATE(B10412,""en"",""ja"")"),"探検")</f>
        <v>探検</v>
      </c>
    </row>
    <row r="10235" spans="1:3" ht="18" customHeight="1" x14ac:dyDescent="0.3">
      <c r="A10235" s="1">
        <v>1</v>
      </c>
      <c r="B10235" s="1" t="s">
        <v>4861</v>
      </c>
      <c r="C10235" s="1" t="str">
        <f ca="1">IFERROR(__xludf.DUMMYFUNCTION("GOOGLETRANSLATE(B10413,""en"",""ja"")"),"探索")</f>
        <v>探索</v>
      </c>
    </row>
    <row r="10236" spans="1:3" ht="18" customHeight="1" x14ac:dyDescent="0.3">
      <c r="A10236" s="1">
        <v>1</v>
      </c>
      <c r="B10236" s="1" t="s">
        <v>3040</v>
      </c>
      <c r="C10236" s="1" t="str">
        <f ca="1">IFERROR(__xludf.DUMMYFUNCTION("GOOGLETRANSLATE(B10414,""en"",""ja"")"),"説明")</f>
        <v>説明</v>
      </c>
    </row>
    <row r="10237" spans="1:3" ht="18" customHeight="1" x14ac:dyDescent="0.3">
      <c r="A10237" s="1">
        <v>1</v>
      </c>
      <c r="B10237" s="1" t="s">
        <v>1963</v>
      </c>
      <c r="C10237" s="1" t="str">
        <f ca="1">IFERROR(__xludf.DUMMYFUNCTION("GOOGLETRANSLATE(B10415,""en"",""ja"")"),"説明")</f>
        <v>説明</v>
      </c>
    </row>
    <row r="10238" spans="1:3" ht="18" customHeight="1" x14ac:dyDescent="0.3">
      <c r="A10238" s="1">
        <v>1</v>
      </c>
      <c r="B10238" s="1" t="s">
        <v>7874</v>
      </c>
      <c r="C10238" s="1" t="str">
        <f ca="1">IFERROR(__xludf.DUMMYFUNCTION("GOOGLETRANSLATE(B10416,""en"",""ja"")"),"説明")</f>
        <v>説明</v>
      </c>
    </row>
    <row r="10239" spans="1:3" ht="18" customHeight="1" x14ac:dyDescent="0.3">
      <c r="A10239" s="1">
        <v>1</v>
      </c>
      <c r="B10239" s="1" t="s">
        <v>7875</v>
      </c>
      <c r="C10239" s="1" t="str">
        <f ca="1">IFERROR(__xludf.DUMMYFUNCTION("GOOGLETRANSLATE(B10417,""en"",""ja"")"),"実験者")</f>
        <v>実験者</v>
      </c>
    </row>
    <row r="10240" spans="1:3" ht="18" customHeight="1" x14ac:dyDescent="0.3">
      <c r="A10240" s="1">
        <v>1</v>
      </c>
      <c r="B10240" s="1" t="s">
        <v>3041</v>
      </c>
      <c r="C10240" s="1" t="str">
        <f ca="1">IFERROR(__xludf.DUMMYFUNCTION("GOOGLETRANSLATE(B10418,""en"",""ja"")"),"実験")</f>
        <v>実験</v>
      </c>
    </row>
    <row r="10241" spans="1:3" ht="18" customHeight="1" x14ac:dyDescent="0.3">
      <c r="A10241" s="1">
        <v>1</v>
      </c>
      <c r="B10241" s="1" t="s">
        <v>7876</v>
      </c>
      <c r="C10241" s="1" t="str">
        <f ca="1">IFERROR(__xludf.DUMMYFUNCTION("GOOGLETRANSLATE(B10419,""en"",""ja"")"),"支出")</f>
        <v>支出</v>
      </c>
    </row>
    <row r="10242" spans="1:3" ht="18" customHeight="1" x14ac:dyDescent="0.3">
      <c r="A10242" s="1">
        <v>1</v>
      </c>
      <c r="B10242" s="1" t="s">
        <v>7877</v>
      </c>
      <c r="C10242" s="1" t="str">
        <f ca="1">IFERROR(__xludf.DUMMYFUNCTION("GOOGLETRANSLATE(B10420,""en"",""ja"")"),"追放")</f>
        <v>追放</v>
      </c>
    </row>
    <row r="10243" spans="1:3" ht="18" customHeight="1" x14ac:dyDescent="0.3">
      <c r="A10243" s="1">
        <v>1</v>
      </c>
      <c r="B10243" s="1" t="s">
        <v>1140</v>
      </c>
      <c r="C10243" s="1" t="str">
        <f ca="1">IFERROR(__xludf.DUMMYFUNCTION("GOOGLETRANSLATE(B10421,""en"",""ja"")"),"拡張")</f>
        <v>拡張</v>
      </c>
    </row>
    <row r="10244" spans="1:3" ht="18" customHeight="1" x14ac:dyDescent="0.3">
      <c r="A10244" s="1">
        <v>1</v>
      </c>
      <c r="B10244" s="1" t="s">
        <v>7878</v>
      </c>
      <c r="C10244" s="1" t="str">
        <f ca="1">IFERROR(__xludf.DUMMYFUNCTION("GOOGLETRANSLATE(B10422,""en"",""ja"")"),"広げます")</f>
        <v>広げます</v>
      </c>
    </row>
    <row r="10245" spans="1:3" ht="18" customHeight="1" x14ac:dyDescent="0.3">
      <c r="A10245" s="1">
        <v>1</v>
      </c>
      <c r="B10245" s="1" t="s">
        <v>7879</v>
      </c>
      <c r="C10245" s="1" t="str">
        <f ca="1">IFERROR(__xludf.DUMMYFUNCTION("GOOGLETRANSLATE(B10423,""en"",""ja"")"),"エキシビション")</f>
        <v>エキシビション</v>
      </c>
    </row>
    <row r="10246" spans="1:3" ht="18" customHeight="1" x14ac:dyDescent="0.3">
      <c r="A10246" s="1">
        <v>1</v>
      </c>
      <c r="B10246" s="1" t="s">
        <v>7880</v>
      </c>
      <c r="C10246" s="1" t="str">
        <f ca="1">IFERROR(__xludf.DUMMYFUNCTION("GOOGLETRANSLATE(B10424,""en"",""ja"")"),"例示")</f>
        <v>例示</v>
      </c>
    </row>
    <row r="10247" spans="1:3" ht="18" customHeight="1" x14ac:dyDescent="0.3">
      <c r="A10247" s="1">
        <v>1</v>
      </c>
      <c r="B10247" s="1" t="s">
        <v>7881</v>
      </c>
      <c r="C10247" s="1" t="str">
        <f ca="1">IFERROR(__xludf.DUMMYFUNCTION("GOOGLETRANSLATE(B10425,""en"",""ja"")"),"過度")</f>
        <v>過度</v>
      </c>
    </row>
    <row r="10248" spans="1:3" ht="18" customHeight="1" x14ac:dyDescent="0.3">
      <c r="A10248" s="1">
        <v>1</v>
      </c>
      <c r="B10248" s="1" t="s">
        <v>2415</v>
      </c>
      <c r="C10248" s="1" t="str">
        <f ca="1">IFERROR(__xludf.DUMMYFUNCTION("GOOGLETRANSLATE(B10426,""en"",""ja"")"),"過大")</f>
        <v>過大</v>
      </c>
    </row>
    <row r="10249" spans="1:3" ht="18" customHeight="1" x14ac:dyDescent="0.3">
      <c r="A10249" s="1">
        <v>1</v>
      </c>
      <c r="B10249" s="1" t="s">
        <v>6148</v>
      </c>
      <c r="C10249" s="1" t="str">
        <f ca="1">IFERROR(__xludf.DUMMYFUNCTION("GOOGLETRANSLATE(B10427,""en"",""ja"")"),"異例")</f>
        <v>異例</v>
      </c>
    </row>
    <row r="10250" spans="1:3" ht="18" customHeight="1" x14ac:dyDescent="0.3">
      <c r="A10250" s="1">
        <v>1</v>
      </c>
      <c r="B10250" s="1" t="s">
        <v>6150</v>
      </c>
      <c r="C10250" s="1" t="str">
        <f ca="1">IFERROR(__xludf.DUMMYFUNCTION("GOOGLETRANSLATE(B10428,""en"",""ja"")"),"極めて")</f>
        <v>極めて</v>
      </c>
    </row>
    <row r="10251" spans="1:3" ht="18" customHeight="1" x14ac:dyDescent="0.3">
      <c r="A10251" s="1">
        <v>1</v>
      </c>
      <c r="B10251" s="1" t="s">
        <v>6151</v>
      </c>
      <c r="C10251" s="1" t="str">
        <f ca="1">IFERROR(__xludf.DUMMYFUNCTION("GOOGLETRANSLATE(B10429,""en"",""ja"")"),"激怒")</f>
        <v>激怒</v>
      </c>
    </row>
    <row r="10252" spans="1:3" ht="18" customHeight="1" x14ac:dyDescent="0.3">
      <c r="A10252" s="1">
        <v>1</v>
      </c>
      <c r="B10252" s="1" t="s">
        <v>7882</v>
      </c>
      <c r="C10252" s="1" t="str">
        <f ca="1">IFERROR(__xludf.DUMMYFUNCTION("GOOGLETRANSLATE(B10430,""en"",""ja"")"),"検査")</f>
        <v>検査</v>
      </c>
    </row>
    <row r="10253" spans="1:3" ht="18" customHeight="1" x14ac:dyDescent="0.3">
      <c r="A10253" s="1">
        <v>1</v>
      </c>
      <c r="B10253" s="1" t="s">
        <v>7883</v>
      </c>
      <c r="C10253" s="1" t="str">
        <f ca="1">IFERROR(__xludf.DUMMYFUNCTION("GOOGLETRANSLATE(B10431,""en"",""ja"")"),"悪化させます")</f>
        <v>悪化させます</v>
      </c>
    </row>
    <row r="10254" spans="1:3" ht="18" customHeight="1" x14ac:dyDescent="0.3">
      <c r="A10254" s="1">
        <v>1</v>
      </c>
      <c r="B10254" s="1" t="s">
        <v>7884</v>
      </c>
      <c r="C10254" s="1" t="str">
        <f ca="1">IFERROR(__xludf.DUMMYFUNCTION("GOOGLETRANSLATE(B10432,""en"",""ja"")"),"進化論")</f>
        <v>進化論</v>
      </c>
    </row>
    <row r="10255" spans="1:3" ht="18" customHeight="1" x14ac:dyDescent="0.3">
      <c r="A10255" s="1">
        <v>1</v>
      </c>
      <c r="B10255" s="1" t="s">
        <v>7885</v>
      </c>
      <c r="C10255" s="1" t="str">
        <f ca="1">IFERROR(__xludf.DUMMYFUNCTION("GOOGLETRANSLATE(B10433,""en"",""ja"")"),"呼び起こします")</f>
        <v>呼び起こします</v>
      </c>
    </row>
    <row r="10256" spans="1:3" ht="18" customHeight="1" x14ac:dyDescent="0.3">
      <c r="A10256" s="1">
        <v>1</v>
      </c>
      <c r="B10256" s="1" t="s">
        <v>75</v>
      </c>
      <c r="C10256" s="1" t="str">
        <f ca="1">IFERROR(__xludf.DUMMYFUNCTION("GOOGLETRANSLATE(B10434,""en"",""ja"")"),"さえ")</f>
        <v>さえ</v>
      </c>
    </row>
    <row r="10257" spans="1:3" ht="18" customHeight="1" x14ac:dyDescent="0.3">
      <c r="A10257" s="1">
        <v>1</v>
      </c>
      <c r="B10257" s="1" t="s">
        <v>7886</v>
      </c>
      <c r="C10257" s="1" t="str">
        <f ca="1">IFERROR(__xludf.DUMMYFUNCTION("GOOGLETRANSLATE(B10435,""en"",""ja"")"),"最終的な")</f>
        <v>最終的な</v>
      </c>
    </row>
    <row r="10258" spans="1:3" ht="18" customHeight="1" x14ac:dyDescent="0.3">
      <c r="A10258" s="1">
        <v>1</v>
      </c>
      <c r="B10258" s="1" t="s">
        <v>7887</v>
      </c>
      <c r="C10258" s="1" t="str">
        <f ca="1">IFERROR(__xludf.DUMMYFUNCTION("GOOGLETRANSLATE(B10436,""en"",""ja"")"),"評価します")</f>
        <v>評価します</v>
      </c>
    </row>
    <row r="10259" spans="1:3" ht="18" customHeight="1" x14ac:dyDescent="0.3">
      <c r="A10259" s="1">
        <v>1</v>
      </c>
      <c r="B10259" s="1" t="s">
        <v>7888</v>
      </c>
      <c r="C10259" s="1" t="str">
        <f ca="1">IFERROR(__xludf.DUMMYFUNCTION("GOOGLETRANSLATE(B10437,""en"",""ja"")"),"eunfair")</f>
        <v>eunfair</v>
      </c>
    </row>
    <row r="10260" spans="1:3" ht="18" customHeight="1" x14ac:dyDescent="0.3">
      <c r="A10260" s="1">
        <v>1</v>
      </c>
      <c r="B10260" s="1" t="s">
        <v>7152</v>
      </c>
      <c r="C10260" s="1" t="str">
        <f ca="1">IFERROR(__xludf.DUMMYFUNCTION("GOOGLETRANSLATE(B10438,""en"",""ja"")"),"EU")</f>
        <v>EU</v>
      </c>
    </row>
    <row r="10261" spans="1:3" ht="18" customHeight="1" x14ac:dyDescent="0.3">
      <c r="A10261" s="1">
        <v>1</v>
      </c>
      <c r="B10261" s="1" t="s">
        <v>7889</v>
      </c>
      <c r="C10261" s="1" t="str">
        <f ca="1">IFERROR(__xludf.DUMMYFUNCTION("GOOGLETRANSLATE(B10439,""en"",""ja"")"),"語源")</f>
        <v>語源</v>
      </c>
    </row>
    <row r="10262" spans="1:3" ht="18" customHeight="1" x14ac:dyDescent="0.3">
      <c r="A10262" s="1">
        <v>1</v>
      </c>
      <c r="B10262" s="1" t="s">
        <v>7153</v>
      </c>
      <c r="C10262" s="1" t="str">
        <f ca="1">IFERROR(__xludf.DUMMYFUNCTION("GOOGLETRANSLATE(B10440,""en"",""ja"")"),"エチケット")</f>
        <v>エチケット</v>
      </c>
    </row>
    <row r="10263" spans="1:3" ht="18" customHeight="1" x14ac:dyDescent="0.3">
      <c r="A10263" s="1">
        <v>1</v>
      </c>
      <c r="B10263" s="1" t="s">
        <v>4064</v>
      </c>
      <c r="C10263" s="1" t="str">
        <f ca="1">IFERROR(__xludf.DUMMYFUNCTION("GOOGLETRANSLATE(B10441,""en"",""ja"")"),"ethologist")</f>
        <v>ethologist</v>
      </c>
    </row>
    <row r="10264" spans="1:3" ht="18" customHeight="1" x14ac:dyDescent="0.3">
      <c r="A10264" s="1">
        <v>1</v>
      </c>
      <c r="B10264" s="1" t="s">
        <v>2178</v>
      </c>
      <c r="C10264" s="1" t="str">
        <f ca="1">IFERROR(__xludf.DUMMYFUNCTION("GOOGLETRANSLATE(B10442,""en"",""ja"")"),"エスニック")</f>
        <v>エスニック</v>
      </c>
    </row>
    <row r="10265" spans="1:3" ht="18" customHeight="1" x14ac:dyDescent="0.3">
      <c r="A10265" s="1">
        <v>1</v>
      </c>
      <c r="B10265" s="1" t="s">
        <v>7890</v>
      </c>
      <c r="C10265" s="1" t="str">
        <f ca="1">IFERROR(__xludf.DUMMYFUNCTION("GOOGLETRANSLATE(B10443,""en"",""ja"")"),"倫理的な")</f>
        <v>倫理的な</v>
      </c>
    </row>
    <row r="10266" spans="1:3" ht="18" customHeight="1" x14ac:dyDescent="0.3">
      <c r="A10266" s="1">
        <v>1</v>
      </c>
      <c r="B10266" s="1" t="s">
        <v>7891</v>
      </c>
      <c r="C10266" s="1" t="str">
        <f ca="1">IFERROR(__xludf.DUMMYFUNCTION("GOOGLETRANSLATE(B10444,""en"",""ja"")"),"推定")</f>
        <v>推定</v>
      </c>
    </row>
    <row r="10267" spans="1:3" ht="18" customHeight="1" x14ac:dyDescent="0.3">
      <c r="A10267" s="1">
        <v>1</v>
      </c>
      <c r="B10267" s="1" t="s">
        <v>2180</v>
      </c>
      <c r="C10267" s="1" t="str">
        <f ca="1">IFERROR(__xludf.DUMMYFUNCTION("GOOGLETRANSLATE(B10445,""en"",""ja"")"),"尊敬")</f>
        <v>尊敬</v>
      </c>
    </row>
    <row r="10268" spans="1:3" ht="18" customHeight="1" x14ac:dyDescent="0.3">
      <c r="A10268" s="1">
        <v>1</v>
      </c>
      <c r="B10268" s="1" t="s">
        <v>1290</v>
      </c>
      <c r="C10268" s="1" t="str">
        <f ca="1">IFERROR(__xludf.DUMMYFUNCTION("GOOGLETRANSLATE(B10447,""en"",""ja"")"),"本来")</f>
        <v>本来</v>
      </c>
    </row>
    <row r="10269" spans="1:3" ht="18" customHeight="1" x14ac:dyDescent="0.3">
      <c r="A10269" s="1">
        <v>1</v>
      </c>
      <c r="B10269" s="1" t="s">
        <v>7892</v>
      </c>
      <c r="C10269" s="1" t="str">
        <f ca="1">IFERROR(__xludf.DUMMYFUNCTION("GOOGLETRANSLATE(B10448,""en"",""ja"")"),"ES")</f>
        <v>ES</v>
      </c>
    </row>
    <row r="10270" spans="1:3" ht="18" customHeight="1" x14ac:dyDescent="0.3">
      <c r="A10270" s="1">
        <v>1</v>
      </c>
      <c r="B10270" s="1" t="s">
        <v>2730</v>
      </c>
      <c r="C10270" s="1" t="str">
        <f ca="1">IFERROR(__xludf.DUMMYFUNCTION("GOOGLETRANSLATE(B10449,""en"",""ja"")"),"間違いました")</f>
        <v>間違いました</v>
      </c>
    </row>
    <row r="10271" spans="1:3" ht="18" customHeight="1" x14ac:dyDescent="0.3">
      <c r="A10271" s="1">
        <v>1</v>
      </c>
      <c r="B10271" s="1" t="s">
        <v>7893</v>
      </c>
      <c r="C10271" s="1" t="str">
        <f ca="1">IFERROR(__xludf.DUMMYFUNCTION("GOOGLETRANSLATE(B10450,""en"",""ja"")"),"同等物")</f>
        <v>同等物</v>
      </c>
    </row>
    <row r="10272" spans="1:3" ht="18" customHeight="1" x14ac:dyDescent="0.3">
      <c r="A10272" s="1">
        <v>1</v>
      </c>
      <c r="B10272" s="1" t="s">
        <v>7894</v>
      </c>
      <c r="C10272" s="1" t="str">
        <f ca="1">IFERROR(__xludf.DUMMYFUNCTION("GOOGLETRANSLATE(B10451,""en"",""ja"")"),"等距離")</f>
        <v>等距離</v>
      </c>
    </row>
    <row r="10273" spans="1:3" ht="18" customHeight="1" x14ac:dyDescent="0.3">
      <c r="A10273" s="1">
        <v>1</v>
      </c>
      <c r="B10273" s="1" t="s">
        <v>6163</v>
      </c>
      <c r="C10273" s="1" t="str">
        <f ca="1">IFERROR(__xludf.DUMMYFUNCTION("GOOGLETRANSLATE(B10453,""en"",""ja"")"),"赤道")</f>
        <v>赤道</v>
      </c>
    </row>
    <row r="10274" spans="1:3" ht="18" customHeight="1" x14ac:dyDescent="0.3">
      <c r="A10274" s="1">
        <v>1</v>
      </c>
      <c r="B10274" s="1" t="s">
        <v>7895</v>
      </c>
      <c r="C10274" s="1" t="str">
        <f ca="1">IFERROR(__xludf.DUMMYFUNCTION("GOOGLETRANSLATE(B10454,""en"",""ja"")"),"等式")</f>
        <v>等式</v>
      </c>
    </row>
    <row r="10275" spans="1:3" ht="18" customHeight="1" x14ac:dyDescent="0.3">
      <c r="A10275" s="1">
        <v>1</v>
      </c>
      <c r="B10275" s="1" t="s">
        <v>7896</v>
      </c>
      <c r="C10275" s="1" t="str">
        <f ca="1">IFERROR(__xludf.DUMMYFUNCTION("GOOGLETRANSLATE(B10455,""en"",""ja"")"),"エポックさん")</f>
        <v>エポックさん</v>
      </c>
    </row>
    <row r="10276" spans="1:3" ht="18" customHeight="1" x14ac:dyDescent="0.3">
      <c r="A10276" s="1">
        <v>1</v>
      </c>
      <c r="B10276" s="1" t="s">
        <v>7897</v>
      </c>
      <c r="C10276" s="1" t="str">
        <f ca="1">IFERROR(__xludf.DUMMYFUNCTION("GOOGLETRANSLATE(B10456,""en"",""ja"")"),"時代")</f>
        <v>時代</v>
      </c>
    </row>
    <row r="10277" spans="1:3" ht="18" customHeight="1" x14ac:dyDescent="0.3">
      <c r="A10277" s="1">
        <v>1</v>
      </c>
      <c r="B10277" s="1" t="s">
        <v>4885</v>
      </c>
      <c r="C10277" s="1" t="str">
        <f ca="1">IFERROR(__xludf.DUMMYFUNCTION("GOOGLETRANSLATE(B10457,""en"",""ja"")"),"疫学")</f>
        <v>疫学</v>
      </c>
    </row>
    <row r="10278" spans="1:3" ht="18" customHeight="1" x14ac:dyDescent="0.3">
      <c r="A10278" s="1">
        <v>1</v>
      </c>
      <c r="B10278" s="1" t="s">
        <v>2417</v>
      </c>
      <c r="C10278" s="1" t="str">
        <f ca="1">IFERROR(__xludf.DUMMYFUNCTION("GOOGLETRANSLATE(B10458,""en"",""ja"")"),"入口")</f>
        <v>入口</v>
      </c>
    </row>
    <row r="10279" spans="1:3" ht="18" customHeight="1" x14ac:dyDescent="0.3">
      <c r="A10279" s="1">
        <v>1</v>
      </c>
      <c r="B10279" s="1" t="s">
        <v>1691</v>
      </c>
      <c r="C10279" s="1" t="str">
        <f ca="1">IFERROR(__xludf.DUMMYFUNCTION("GOOGLETRANSLATE(B10459,""en"",""ja"")"),"企業")</f>
        <v>企業</v>
      </c>
    </row>
    <row r="10280" spans="1:3" ht="18" customHeight="1" x14ac:dyDescent="0.3">
      <c r="A10280" s="1">
        <v>1</v>
      </c>
      <c r="B10280" s="1" t="s">
        <v>7898</v>
      </c>
      <c r="C10280" s="1" t="str">
        <f ca="1">IFERROR(__xludf.DUMMYFUNCTION("GOOGLETRANSLATE(B10460,""en"",""ja"")"),"伴います")</f>
        <v>伴います</v>
      </c>
    </row>
    <row r="10281" spans="1:3" ht="18" customHeight="1" x14ac:dyDescent="0.3">
      <c r="A10281" s="1">
        <v>1</v>
      </c>
      <c r="B10281" s="1" t="s">
        <v>3052</v>
      </c>
      <c r="C10281" s="1" t="str">
        <f ca="1">IFERROR(__xludf.DUMMYFUNCTION("GOOGLETRANSLATE(B10461,""en"",""ja"")"),"確保")</f>
        <v>確保</v>
      </c>
    </row>
    <row r="10282" spans="1:3" ht="18" customHeight="1" x14ac:dyDescent="0.3">
      <c r="A10282" s="1">
        <v>1</v>
      </c>
      <c r="B10282" s="1" t="s">
        <v>6167</v>
      </c>
      <c r="C10282" s="1" t="str">
        <f ca="1">IFERROR(__xludf.DUMMYFUNCTION("GOOGLETRANSLATE(B10462,""en"",""ja"")"),"拡大")</f>
        <v>拡大</v>
      </c>
    </row>
    <row r="10283" spans="1:3" ht="18" customHeight="1" x14ac:dyDescent="0.3">
      <c r="A10283" s="1">
        <v>1</v>
      </c>
      <c r="B10283" s="1" t="s">
        <v>7899</v>
      </c>
      <c r="C10283" s="1" t="str">
        <f ca="1">IFERROR(__xludf.DUMMYFUNCTION("GOOGLETRANSLATE(B10463,""en"",""ja"")"),"楽しん")</f>
        <v>楽しん</v>
      </c>
    </row>
    <row r="10284" spans="1:3" ht="18" customHeight="1" x14ac:dyDescent="0.3">
      <c r="A10284" s="1">
        <v>1</v>
      </c>
      <c r="B10284" s="1" t="s">
        <v>2735</v>
      </c>
      <c r="C10284" s="1" t="str">
        <f ca="1">IFERROR(__xludf.DUMMYFUNCTION("GOOGLETRANSLATE(B10464,""en"",""ja"")"),"エンジン")</f>
        <v>エンジン</v>
      </c>
    </row>
    <row r="10285" spans="1:3" ht="18" customHeight="1" x14ac:dyDescent="0.3">
      <c r="A10285" s="1">
        <v>1</v>
      </c>
      <c r="B10285" s="1" t="s">
        <v>7900</v>
      </c>
      <c r="C10285" s="1" t="str">
        <f ca="1">IFERROR(__xludf.DUMMYFUNCTION("GOOGLETRANSLATE(B10465,""en"",""ja"")"),"係")</f>
        <v>係</v>
      </c>
    </row>
    <row r="10286" spans="1:3" ht="18" customHeight="1" x14ac:dyDescent="0.3">
      <c r="A10286" s="1">
        <v>1</v>
      </c>
      <c r="B10286" s="1" t="s">
        <v>7167</v>
      </c>
      <c r="C10286" s="1" t="str">
        <f ca="1">IFERROR(__xludf.DUMMYFUNCTION("GOOGLETRANSLATE(B10466,""en"",""ja"")"),"与える")</f>
        <v>与える</v>
      </c>
    </row>
    <row r="10287" spans="1:3" ht="18" customHeight="1" x14ac:dyDescent="0.3">
      <c r="A10287" s="1">
        <v>1</v>
      </c>
      <c r="B10287" s="1" t="s">
        <v>6173</v>
      </c>
      <c r="C10287" s="1" t="str">
        <f ca="1">IFERROR(__xludf.DUMMYFUNCTION("GOOGLETRANSLATE(B10467,""en"",""ja"")"),"努力")</f>
        <v>努力</v>
      </c>
    </row>
    <row r="10288" spans="1:3" ht="18" customHeight="1" x14ac:dyDescent="0.3">
      <c r="A10288" s="1">
        <v>1</v>
      </c>
      <c r="B10288" s="1" t="s">
        <v>1074</v>
      </c>
      <c r="C10288" s="1" t="str">
        <f ca="1">IFERROR(__xludf.DUMMYFUNCTION("GOOGLETRANSLATE(B10468,""en"",""ja"")"),"有効")</f>
        <v>有効</v>
      </c>
    </row>
    <row r="10289" spans="1:3" ht="18" customHeight="1" x14ac:dyDescent="0.3">
      <c r="A10289" s="1">
        <v>1</v>
      </c>
      <c r="B10289" s="1" t="s">
        <v>6177</v>
      </c>
      <c r="C10289" s="1" t="str">
        <f ca="1">IFERROR(__xludf.DUMMYFUNCTION("GOOGLETRANSLATE(B10469,""en"",""ja"")"),"EMPOWER")</f>
        <v>EMPOWER</v>
      </c>
    </row>
    <row r="10290" spans="1:3" ht="18" customHeight="1" x14ac:dyDescent="0.3">
      <c r="A10290" s="1">
        <v>1</v>
      </c>
      <c r="B10290" s="1" t="s">
        <v>2185</v>
      </c>
      <c r="C10290" s="1" t="str">
        <f ca="1">IFERROR(__xludf.DUMMYFUNCTION("GOOGLETRANSLATE(B10470,""en"",""ja"")"),"採用")</f>
        <v>採用</v>
      </c>
    </row>
    <row r="10291" spans="1:3" ht="18" customHeight="1" x14ac:dyDescent="0.3">
      <c r="A10291" s="1">
        <v>1</v>
      </c>
      <c r="B10291" s="1" t="s">
        <v>7901</v>
      </c>
      <c r="C10291" s="1" t="str">
        <f ca="1">IFERROR(__xludf.DUMMYFUNCTION("GOOGLETRANSLATE(B10471,""en"",""ja"")"),"共感")</f>
        <v>共感</v>
      </c>
    </row>
    <row r="10292" spans="1:3" ht="18" customHeight="1" x14ac:dyDescent="0.3">
      <c r="A10292" s="1">
        <v>1</v>
      </c>
      <c r="B10292" s="1" t="s">
        <v>7902</v>
      </c>
      <c r="C10292" s="1" t="str">
        <f ca="1">IFERROR(__xludf.DUMMYFUNCTION("GOOGLETRANSLATE(B10472,""en"",""ja"")"),"emotio11s")</f>
        <v>emotio11s</v>
      </c>
    </row>
    <row r="10293" spans="1:3" ht="18" customHeight="1" x14ac:dyDescent="0.3">
      <c r="A10293" s="1">
        <v>1</v>
      </c>
      <c r="B10293" s="1" t="s">
        <v>7903</v>
      </c>
      <c r="C10293" s="1" t="str">
        <f ca="1">IFERROR(__xludf.DUMMYFUNCTION("GOOGLETRANSLATE(B10473,""en"",""ja"")"),"緊急")</f>
        <v>緊急</v>
      </c>
    </row>
    <row r="10294" spans="1:3" ht="18" customHeight="1" x14ac:dyDescent="0.3">
      <c r="A10294" s="1">
        <v>1</v>
      </c>
      <c r="B10294" s="1" t="s">
        <v>7184</v>
      </c>
      <c r="C10294" s="1" t="str">
        <f ca="1">IFERROR(__xludf.DUMMYFUNCTION("GOOGLETRANSLATE(B10474,""en"",""ja"")"),"擁する")</f>
        <v>擁する</v>
      </c>
    </row>
    <row r="10295" spans="1:3" ht="18" customHeight="1" x14ac:dyDescent="0.3">
      <c r="A10295" s="1">
        <v>1</v>
      </c>
      <c r="B10295" s="1" t="s">
        <v>7904</v>
      </c>
      <c r="C10295" s="1" t="str">
        <f ca="1">IFERROR(__xludf.DUMMYFUNCTION("GOOGLETRANSLATE(B10475,""en"",""ja"")"),"雄弁")</f>
        <v>雄弁</v>
      </c>
    </row>
    <row r="10296" spans="1:3" ht="18" customHeight="1" x14ac:dyDescent="0.3">
      <c r="A10296" s="1">
        <v>1</v>
      </c>
      <c r="B10296" s="1" t="s">
        <v>7905</v>
      </c>
      <c r="C10296" s="1" t="str">
        <f ca="1">IFERROR(__xludf.DUMMYFUNCTION("GOOGLETRANSLATE(B10476,""en"",""ja"")"),"適格")</f>
        <v>適格</v>
      </c>
    </row>
    <row r="10297" spans="1:3" ht="18" customHeight="1" x14ac:dyDescent="0.3">
      <c r="A10297" s="1">
        <v>1</v>
      </c>
      <c r="B10297" s="1" t="s">
        <v>6183</v>
      </c>
      <c r="C10297" s="1" t="str">
        <f ca="1">IFERROR(__xludf.DUMMYFUNCTION("GOOGLETRANSLATE(B10477,""en"",""ja"")"),"エレガント")</f>
        <v>エレガント</v>
      </c>
    </row>
    <row r="10298" spans="1:3" ht="18" customHeight="1" x14ac:dyDescent="0.3">
      <c r="A10298" s="1">
        <v>1</v>
      </c>
      <c r="B10298" s="1" t="s">
        <v>7906</v>
      </c>
      <c r="C10298" s="1" t="str">
        <f ca="1">IFERROR(__xludf.DUMMYFUNCTION("GOOGLETRANSLATE(B10478,""en"",""ja"")"),"選挙")</f>
        <v>選挙</v>
      </c>
    </row>
    <row r="10299" spans="1:3" ht="18" customHeight="1" x14ac:dyDescent="0.3">
      <c r="A10299" s="1">
        <v>1</v>
      </c>
      <c r="B10299" s="1" t="s">
        <v>7907</v>
      </c>
      <c r="C10299" s="1" t="str">
        <f ca="1">IFERROR(__xludf.DUMMYFUNCTION("GOOGLETRANSLATE(B10479,""en"",""ja"")"),"先輩")</f>
        <v>先輩</v>
      </c>
    </row>
    <row r="10300" spans="1:3" ht="18" customHeight="1" x14ac:dyDescent="0.3">
      <c r="A10300" s="1">
        <v>1</v>
      </c>
      <c r="B10300" s="1" t="s">
        <v>7908</v>
      </c>
      <c r="C10300" s="1" t="str">
        <f ca="1">IFERROR(__xludf.DUMMYFUNCTION("GOOGLETRANSLATE(B10480,""en"",""ja"")"),"第8")</f>
        <v>第8</v>
      </c>
    </row>
    <row r="10301" spans="1:3" ht="18" customHeight="1" x14ac:dyDescent="0.3">
      <c r="A10301" s="1">
        <v>1</v>
      </c>
      <c r="B10301" s="1" t="s">
        <v>7909</v>
      </c>
      <c r="C10301" s="1" t="str">
        <f ca="1">IFERROR(__xludf.DUMMYFUNCTION("GOOGLETRANSLATE(B10481,""en"",""ja"")"),"エゴ")</f>
        <v>エゴ</v>
      </c>
    </row>
    <row r="10302" spans="1:3" ht="18" customHeight="1" x14ac:dyDescent="0.3">
      <c r="A10302" s="1">
        <v>1</v>
      </c>
      <c r="B10302" s="1" t="s">
        <v>7910</v>
      </c>
      <c r="C10302" s="1" t="str">
        <f ca="1">IFERROR(__xludf.DUMMYFUNCTION("GOOGLETRANSLATE(B10482,""en"",""ja"")"),"効果")</f>
        <v>効果</v>
      </c>
    </row>
    <row r="10303" spans="1:3" ht="18" customHeight="1" x14ac:dyDescent="0.3">
      <c r="A10303" s="1">
        <v>1</v>
      </c>
      <c r="B10303" s="1" t="s">
        <v>7911</v>
      </c>
      <c r="C10303" s="1" t="str">
        <f ca="1">IFERROR(__xludf.DUMMYFUNCTION("GOOGLETRANSLATE(B10483,""en"",""ja"")"),"消します")</f>
        <v>消します</v>
      </c>
    </row>
    <row r="10304" spans="1:3" ht="18" customHeight="1" x14ac:dyDescent="0.3">
      <c r="A10304" s="1">
        <v>1</v>
      </c>
      <c r="B10304" s="1" t="s">
        <v>7912</v>
      </c>
      <c r="C10304" s="1" t="str">
        <f ca="1">IFERROR(__xludf.DUMMYFUNCTION("GOOGLETRANSLATE(B10484,""en"",""ja"")"),"EF")</f>
        <v>EF</v>
      </c>
    </row>
    <row r="10305" spans="1:3" ht="18" customHeight="1" x14ac:dyDescent="0.3">
      <c r="A10305" s="1">
        <v>1</v>
      </c>
      <c r="B10305" s="1" t="s">
        <v>7913</v>
      </c>
      <c r="C10305" s="1" t="str">
        <f ca="1">IFERROR(__xludf.DUMMYFUNCTION("GOOGLETRANSLATE(B10485,""en"",""ja"")"),"建造物")</f>
        <v>建造物</v>
      </c>
    </row>
    <row r="10306" spans="1:3" ht="18" customHeight="1" x14ac:dyDescent="0.3">
      <c r="A10306" s="1">
        <v>1</v>
      </c>
      <c r="B10306" s="1" t="s">
        <v>7914</v>
      </c>
      <c r="C10306" s="1" t="str">
        <f ca="1">IFERROR(__xludf.DUMMYFUNCTION("GOOGLETRANSLATE(B10486,""en"",""ja"")"),"eコマース")</f>
        <v>eコマース</v>
      </c>
    </row>
    <row r="10307" spans="1:3" ht="18" customHeight="1" x14ac:dyDescent="0.3">
      <c r="A10307" s="1">
        <v>1</v>
      </c>
      <c r="B10307" s="1" t="s">
        <v>1291</v>
      </c>
      <c r="C10307" s="1" t="str">
        <f ca="1">IFERROR(__xludf.DUMMYFUNCTION("GOOGLETRANSLATE(B10487,""en"",""ja"")"),"生態")</f>
        <v>生態</v>
      </c>
    </row>
    <row r="10308" spans="1:3" ht="18" customHeight="1" x14ac:dyDescent="0.3">
      <c r="A10308" s="1">
        <v>1</v>
      </c>
      <c r="B10308" s="1" t="s">
        <v>7915</v>
      </c>
      <c r="C10308" s="1" t="str">
        <f ca="1">IFERROR(__xludf.DUMMYFUNCTION("GOOGLETRANSLATE(B10488,""en"",""ja"")"),"食べること")</f>
        <v>食べること</v>
      </c>
    </row>
    <row r="10309" spans="1:3" ht="18" customHeight="1" x14ac:dyDescent="0.3">
      <c r="A10309" s="1">
        <v>1</v>
      </c>
      <c r="B10309" s="1" t="s">
        <v>1694</v>
      </c>
      <c r="C10309" s="1" t="str">
        <f ca="1">IFERROR(__xludf.DUMMYFUNCTION("GOOGLETRANSLATE(B10489,""en"",""ja"")"),"簡易")</f>
        <v>簡易</v>
      </c>
    </row>
    <row r="10310" spans="1:3" ht="18" customHeight="1" x14ac:dyDescent="0.3">
      <c r="A10310" s="1">
        <v>1</v>
      </c>
      <c r="B10310" s="1" t="s">
        <v>7916</v>
      </c>
      <c r="C10310" s="1" t="str">
        <f ca="1">IFERROR(__xludf.DUMMYFUNCTION("GOOGLETRANSLATE(B10490,""en"",""ja"")"),"土")</f>
        <v>土</v>
      </c>
    </row>
    <row r="10311" spans="1:3" ht="18" customHeight="1" x14ac:dyDescent="0.3">
      <c r="A10311" s="1">
        <v>1</v>
      </c>
      <c r="B10311" s="1" t="s">
        <v>7917</v>
      </c>
      <c r="C10311" s="1" t="str">
        <f ca="1">IFERROR(__xludf.DUMMYFUNCTION("GOOGLETRANSLATE(B10491,""en"",""ja"")"),"収入")</f>
        <v>収入</v>
      </c>
    </row>
    <row r="10312" spans="1:3" ht="18" customHeight="1" x14ac:dyDescent="0.3">
      <c r="A10312" s="1">
        <v>1</v>
      </c>
      <c r="B10312" s="1" t="s">
        <v>7918</v>
      </c>
      <c r="C10312" s="1" t="str">
        <f ca="1">IFERROR(__xludf.DUMMYFUNCTION("GOOGLETRANSLATE(B10492,""en"",""ja"")"),"early1990s")</f>
        <v>early1990s</v>
      </c>
    </row>
    <row r="10313" spans="1:3" ht="18" customHeight="1" x14ac:dyDescent="0.3">
      <c r="A10313" s="1">
        <v>1</v>
      </c>
      <c r="B10313" s="1" t="s">
        <v>6194</v>
      </c>
      <c r="C10313" s="1" t="str">
        <f ca="1">IFERROR(__xludf.DUMMYFUNCTION("GOOGLETRANSLATE(B10493,""en"",""ja"")"),"熱心な")</f>
        <v>熱心な</v>
      </c>
    </row>
    <row r="10314" spans="1:3" ht="18" customHeight="1" x14ac:dyDescent="0.3">
      <c r="A10314" s="1">
        <v>1</v>
      </c>
      <c r="B10314" s="1" t="s">
        <v>7919</v>
      </c>
      <c r="C10314" s="1" t="str">
        <f ca="1">IFERROR(__xludf.DUMMYFUNCTION("GOOGLETRANSLATE(B10494,""en"",""ja"")"),"e111otional")</f>
        <v>e111otional</v>
      </c>
    </row>
    <row r="10315" spans="1:3" ht="18" customHeight="1" x14ac:dyDescent="0.3">
      <c r="A10315" s="1">
        <v>1</v>
      </c>
      <c r="B10315" s="1" t="s">
        <v>7920</v>
      </c>
      <c r="C10315" s="1" t="str">
        <f ca="1">IFERROR(__xludf.DUMMYFUNCTION("GOOGLETRANSLATE(B10495,""en"",""ja"")"),"ダイナミクス")</f>
        <v>ダイナミクス</v>
      </c>
    </row>
    <row r="10316" spans="1:3" ht="18" customHeight="1" x14ac:dyDescent="0.3">
      <c r="A10316" s="1">
        <v>1</v>
      </c>
      <c r="B10316" s="1" t="s">
        <v>7921</v>
      </c>
      <c r="C10316" s="1" t="str">
        <f ca="1">IFERROR(__xludf.DUMMYFUNCTION("GOOGLETRANSLATE(B10496,""en"",""ja"")"),"dwest")</f>
        <v>dwest</v>
      </c>
    </row>
    <row r="10317" spans="1:3" ht="18" customHeight="1" x14ac:dyDescent="0.3">
      <c r="A10317" s="1">
        <v>1</v>
      </c>
      <c r="B10317" s="1" t="s">
        <v>206</v>
      </c>
      <c r="C10317" s="1" t="str">
        <f ca="1">IFERROR(__xludf.DUMMYFUNCTION("GOOGLETRANSLATE(B10497,""en"",""ja"")"),"間に")</f>
        <v>間に</v>
      </c>
    </row>
    <row r="10318" spans="1:3" ht="18" customHeight="1" x14ac:dyDescent="0.3">
      <c r="A10318" s="1">
        <v>1</v>
      </c>
      <c r="B10318" s="1" t="s">
        <v>635</v>
      </c>
      <c r="C10318" s="1" t="str">
        <f ca="1">IFERROR(__xludf.DUMMYFUNCTION("GOOGLETRANSLATE(B10498,""en"",""ja"")"),"原因")</f>
        <v>原因</v>
      </c>
    </row>
    <row r="10319" spans="1:3" ht="18" customHeight="1" x14ac:dyDescent="0.3">
      <c r="A10319" s="1">
        <v>1</v>
      </c>
      <c r="B10319" s="1" t="s">
        <v>7922</v>
      </c>
      <c r="C10319" s="1" t="str">
        <f ca="1">IFERROR(__xludf.DUMMYFUNCTION("GOOGLETRANSLATE(B10499,""en"",""ja"")"),"デュース")</f>
        <v>デュース</v>
      </c>
    </row>
    <row r="10320" spans="1:3" ht="18" customHeight="1" x14ac:dyDescent="0.3">
      <c r="A10320" s="1">
        <v>1</v>
      </c>
      <c r="B10320" s="1" t="s">
        <v>7923</v>
      </c>
      <c r="C10320" s="1" t="str">
        <f ca="1">IFERROR(__xludf.DUMMYFUNCTION("GOOGLETRANSLATE(B10500,""en"",""ja"")"),"薬物")</f>
        <v>薬物</v>
      </c>
    </row>
    <row r="10321" spans="1:3" ht="18" customHeight="1" x14ac:dyDescent="0.3">
      <c r="A10321" s="1">
        <v>1</v>
      </c>
      <c r="B10321" s="1" t="s">
        <v>7924</v>
      </c>
      <c r="C10321" s="1" t="str">
        <f ca="1">IFERROR(__xludf.DUMMYFUNCTION("GOOGLETRANSLATE(B10501,""en"",""ja"")"),"ドリンク")</f>
        <v>ドリンク</v>
      </c>
    </row>
    <row r="10322" spans="1:3" ht="18" customHeight="1" x14ac:dyDescent="0.3">
      <c r="A10322" s="1">
        <v>1</v>
      </c>
      <c r="B10322" s="1" t="s">
        <v>7925</v>
      </c>
      <c r="C10322" s="1" t="str">
        <f ca="1">IFERROR(__xludf.DUMMYFUNCTION("GOOGLETRANSLATE(B10502,""en"",""ja"")"),"欠点")</f>
        <v>欠点</v>
      </c>
    </row>
    <row r="10323" spans="1:3" ht="18" customHeight="1" x14ac:dyDescent="0.3">
      <c r="A10323" s="1">
        <v>1</v>
      </c>
      <c r="B10323" s="1" t="s">
        <v>6202</v>
      </c>
      <c r="C10323" s="1" t="str">
        <f ca="1">IFERROR(__xludf.DUMMYFUNCTION("GOOGLETRANSLATE(B10503,""en"",""ja"")"),"劇的")</f>
        <v>劇的</v>
      </c>
    </row>
    <row r="10324" spans="1:3" ht="18" customHeight="1" x14ac:dyDescent="0.3">
      <c r="A10324" s="1">
        <v>1</v>
      </c>
      <c r="B10324" s="1" t="s">
        <v>6203</v>
      </c>
      <c r="C10324" s="1" t="str">
        <f ca="1">IFERROR(__xludf.DUMMYFUNCTION("GOOGLETRANSLATE(B10504,""en"",""ja"")"),"思い切りました")</f>
        <v>思い切りました</v>
      </c>
    </row>
    <row r="10325" spans="1:3" ht="18" customHeight="1" x14ac:dyDescent="0.3">
      <c r="A10325" s="1">
        <v>1</v>
      </c>
      <c r="B10325" s="1" t="s">
        <v>6205</v>
      </c>
      <c r="C10325" s="1" t="str">
        <f ca="1">IFERROR(__xludf.DUMMYFUNCTION("GOOGLETRANSLATE(B10505,""en"",""ja"")"),"ドレイン")</f>
        <v>ドレイン</v>
      </c>
    </row>
    <row r="10326" spans="1:3" ht="18" customHeight="1" x14ac:dyDescent="0.3">
      <c r="A10326" s="1">
        <v>1</v>
      </c>
      <c r="B10326" s="1" t="s">
        <v>7926</v>
      </c>
      <c r="C10326" s="1" t="str">
        <f ca="1">IFERROR(__xludf.DUMMYFUNCTION("GOOGLETRANSLATE(B10506,""en"",""ja"")"),"欠点")</f>
        <v>欠点</v>
      </c>
    </row>
    <row r="10327" spans="1:3" ht="18" customHeight="1" x14ac:dyDescent="0.3">
      <c r="A10327" s="1">
        <v>1</v>
      </c>
      <c r="B10327" s="1" t="s">
        <v>7927</v>
      </c>
      <c r="C10327" s="1" t="str">
        <f ca="1">IFERROR(__xludf.DUMMYFUNCTION("GOOGLETRANSLATE(B10507,""en"",""ja"")"),"投与")</f>
        <v>投与</v>
      </c>
    </row>
    <row r="10328" spans="1:3" ht="18" customHeight="1" x14ac:dyDescent="0.3">
      <c r="A10328" s="1">
        <v>1</v>
      </c>
      <c r="B10328" s="1" t="s">
        <v>7928</v>
      </c>
      <c r="C10328" s="1" t="str">
        <f ca="1">IFERROR(__xludf.DUMMYFUNCTION("GOOGLETRANSLATE(B10508,""en"",""ja"")"),"用量")</f>
        <v>用量</v>
      </c>
    </row>
    <row r="10329" spans="1:3" ht="18" customHeight="1" x14ac:dyDescent="0.3">
      <c r="A10329" s="1">
        <v>1</v>
      </c>
      <c r="B10329" s="1" t="s">
        <v>7929</v>
      </c>
      <c r="C10329" s="1" t="str">
        <f ca="1">IFERROR(__xludf.DUMMYFUNCTION("GOOGLETRANSLATE(B10509,""en"",""ja"")"),"ドナー")</f>
        <v>ドナー</v>
      </c>
    </row>
    <row r="10330" spans="1:3" ht="18" customHeight="1" x14ac:dyDescent="0.3">
      <c r="A10330" s="1">
        <v>1</v>
      </c>
      <c r="B10330" s="1" t="s">
        <v>7930</v>
      </c>
      <c r="C10330" s="1" t="str">
        <f ca="1">IFERROR(__xludf.DUMMYFUNCTION("GOOGLETRANSLATE(B10510,""en"",""ja"")"),"寄付")</f>
        <v>寄付</v>
      </c>
    </row>
    <row r="10331" spans="1:3" ht="18" customHeight="1" x14ac:dyDescent="0.3">
      <c r="A10331" s="1">
        <v>1</v>
      </c>
      <c r="B10331" s="1" t="s">
        <v>7931</v>
      </c>
      <c r="C10331" s="1" t="str">
        <f ca="1">IFERROR(__xludf.DUMMYFUNCTION("GOOGLETRANSLATE(B10511,""en"",""ja"")"),"威張り散らします")</f>
        <v>威張り散らします</v>
      </c>
    </row>
    <row r="10332" spans="1:3" ht="18" customHeight="1" x14ac:dyDescent="0.3">
      <c r="A10332" s="1">
        <v>1</v>
      </c>
      <c r="B10332" s="1" t="s">
        <v>1834</v>
      </c>
      <c r="C10332" s="1" t="str">
        <f ca="1">IFERROR(__xludf.DUMMYFUNCTION("GOOGLETRANSLATE(B10512,""en"",""ja"")"),"支配的な")</f>
        <v>支配的な</v>
      </c>
    </row>
    <row r="10333" spans="1:3" ht="18" customHeight="1" x14ac:dyDescent="0.3">
      <c r="A10333" s="1">
        <v>1</v>
      </c>
      <c r="B10333" s="1" t="s">
        <v>7932</v>
      </c>
      <c r="C10333" s="1" t="str">
        <f ca="1">IFERROR(__xludf.DUMMYFUNCTION("GOOGLETRANSLATE(B10513,""en"",""ja"")"),"飼い慣らします")</f>
        <v>飼い慣らします</v>
      </c>
    </row>
    <row r="10334" spans="1:3" ht="18" customHeight="1" x14ac:dyDescent="0.3">
      <c r="A10334" s="1">
        <v>1</v>
      </c>
      <c r="B10334" s="1" t="s">
        <v>7933</v>
      </c>
      <c r="C10334" s="1" t="str">
        <f ca="1">IFERROR(__xludf.DUMMYFUNCTION("GOOGLETRANSLATE(B10514,""en"",""ja"")"),"ドキュメンタリー")</f>
        <v>ドキュメンタリー</v>
      </c>
    </row>
    <row r="10335" spans="1:3" ht="18" customHeight="1" x14ac:dyDescent="0.3">
      <c r="A10335" s="1">
        <v>1</v>
      </c>
      <c r="B10335" s="1" t="s">
        <v>4928</v>
      </c>
      <c r="C10335" s="1" t="str">
        <f ca="1">IFERROR(__xludf.DUMMYFUNCTION("GOOGLETRANSLATE(B10515,""en"",""ja"")"),"医師")</f>
        <v>医師</v>
      </c>
    </row>
    <row r="10336" spans="1:3" ht="18" customHeight="1" x14ac:dyDescent="0.3">
      <c r="A10336" s="1">
        <v>1</v>
      </c>
      <c r="B10336" s="1" t="s">
        <v>1476</v>
      </c>
      <c r="C10336" s="1" t="str">
        <f ca="1">IFERROR(__xludf.DUMMYFUNCTION("GOOGLETRANSLATE(B10516,""en"",""ja"")"),"地区")</f>
        <v>地区</v>
      </c>
    </row>
    <row r="10337" spans="1:3" ht="18" customHeight="1" x14ac:dyDescent="0.3">
      <c r="A10337" s="1">
        <v>1</v>
      </c>
      <c r="B10337" s="1" t="s">
        <v>7934</v>
      </c>
      <c r="C10337" s="1" t="str">
        <f ca="1">IFERROR(__xludf.DUMMYFUNCTION("GOOGLETRANSLATE(B10517,""en"",""ja"")"),"distribute4to3")</f>
        <v>distribute4to3</v>
      </c>
    </row>
    <row r="10338" spans="1:3" ht="18" customHeight="1" x14ac:dyDescent="0.3">
      <c r="A10338" s="1">
        <v>1</v>
      </c>
      <c r="B10338" s="1" t="s">
        <v>7935</v>
      </c>
      <c r="C10338" s="1" t="str">
        <f ca="1">IFERROR(__xludf.DUMMYFUNCTION("GOOGLETRANSLATE(B10518,""en"",""ja"")"),"そらします")</f>
        <v>そらします</v>
      </c>
    </row>
    <row r="10339" spans="1:3" ht="18" customHeight="1" x14ac:dyDescent="0.3">
      <c r="A10339" s="1">
        <v>1</v>
      </c>
      <c r="B10339" s="1" t="s">
        <v>7936</v>
      </c>
      <c r="C10339" s="1" t="str">
        <f ca="1">IFERROR(__xludf.DUMMYFUNCTION("GOOGLETRANSLATE(B10519,""en"",""ja"")"),"区別する")</f>
        <v>区別する</v>
      </c>
    </row>
    <row r="10340" spans="1:3" ht="18" customHeight="1" x14ac:dyDescent="0.3">
      <c r="A10340" s="1">
        <v>1</v>
      </c>
      <c r="B10340" s="1" t="s">
        <v>6223</v>
      </c>
      <c r="C10340" s="1" t="str">
        <f ca="1">IFERROR(__xludf.DUMMYFUNCTION("GOOGLETRANSLATE(B10520,""en"",""ja"")"),"解離")</f>
        <v>解離</v>
      </c>
    </row>
    <row r="10341" spans="1:3" ht="18" customHeight="1" x14ac:dyDescent="0.3">
      <c r="A10341" s="1">
        <v>1</v>
      </c>
      <c r="B10341" s="1" t="s">
        <v>7201</v>
      </c>
      <c r="C10341" s="1" t="str">
        <f ca="1">IFERROR(__xludf.DUMMYFUNCTION("GOOGLETRANSLATE(B10521,""en"",""ja"")"),"放散")</f>
        <v>放散</v>
      </c>
    </row>
    <row r="10342" spans="1:3" ht="18" customHeight="1" x14ac:dyDescent="0.3">
      <c r="A10342" s="1">
        <v>1</v>
      </c>
      <c r="B10342" s="1" t="s">
        <v>7937</v>
      </c>
      <c r="C10342" s="1" t="str">
        <f ca="1">IFERROR(__xludf.DUMMYFUNCTION("GOOGLETRANSLATE(B10522,""en"",""ja"")"),"無視")</f>
        <v>無視</v>
      </c>
    </row>
    <row r="10343" spans="1:3" ht="18" customHeight="1" x14ac:dyDescent="0.3">
      <c r="A10343" s="1">
        <v>1</v>
      </c>
      <c r="B10343" s="1" t="s">
        <v>7938</v>
      </c>
      <c r="C10343" s="1" t="str">
        <f ca="1">IFERROR(__xludf.DUMMYFUNCTION("GOOGLETRANSLATE(B10524,""en"",""ja"")"),"紛争")</f>
        <v>紛争</v>
      </c>
    </row>
    <row r="10344" spans="1:3" ht="18" customHeight="1" x14ac:dyDescent="0.3">
      <c r="A10344" s="1">
        <v>1</v>
      </c>
      <c r="B10344" s="1" t="s">
        <v>6226</v>
      </c>
      <c r="C10344" s="1" t="str">
        <f ca="1">IFERROR(__xludf.DUMMYFUNCTION("GOOGLETRANSLATE(B10525,""en"",""ja"")"),"不均衡な")</f>
        <v>不均衡な</v>
      </c>
    </row>
    <row r="10345" spans="1:3" ht="18" customHeight="1" x14ac:dyDescent="0.3">
      <c r="A10345" s="1">
        <v>1</v>
      </c>
      <c r="B10345" s="1" t="s">
        <v>4092</v>
      </c>
      <c r="C10345" s="1" t="str">
        <f ca="1">IFERROR(__xludf.DUMMYFUNCTION("GOOGLETRANSLATE(B10526,""en"",""ja"")"),"dispositional")</f>
        <v>dispositional</v>
      </c>
    </row>
    <row r="10346" spans="1:3" ht="18" customHeight="1" x14ac:dyDescent="0.3">
      <c r="A10346" s="1">
        <v>1</v>
      </c>
      <c r="B10346" s="1" t="s">
        <v>7939</v>
      </c>
      <c r="C10346" s="1" t="str">
        <f ca="1">IFERROR(__xludf.DUMMYFUNCTION("GOOGLETRANSLATE(B10527,""en"",""ja"")"),"混乱させる")</f>
        <v>混乱させる</v>
      </c>
    </row>
    <row r="10347" spans="1:3" ht="18" customHeight="1" x14ac:dyDescent="0.3">
      <c r="A10347" s="1">
        <v>1</v>
      </c>
      <c r="B10347" s="1" t="s">
        <v>7940</v>
      </c>
      <c r="C10347" s="1" t="str">
        <f ca="1">IFERROR(__xludf.DUMMYFUNCTION("GOOGLETRANSLATE(B10528,""en"",""ja"")"),"変装")</f>
        <v>変装</v>
      </c>
    </row>
    <row r="10348" spans="1:3" ht="18" customHeight="1" x14ac:dyDescent="0.3">
      <c r="A10348" s="1">
        <v>1</v>
      </c>
      <c r="B10348" s="1" t="s">
        <v>7941</v>
      </c>
      <c r="C10348" s="1" t="str">
        <f ca="1">IFERROR(__xludf.DUMMYFUNCTION("GOOGLETRANSLATE(B10529,""en"",""ja"")"),"disenfranchise")</f>
        <v>disenfranchise</v>
      </c>
    </row>
    <row r="10349" spans="1:3" ht="18" customHeight="1" x14ac:dyDescent="0.3">
      <c r="A10349" s="1">
        <v>1</v>
      </c>
      <c r="B10349" s="1" t="s">
        <v>7942</v>
      </c>
      <c r="C10349" s="1" t="str">
        <f ca="1">IFERROR(__xludf.DUMMYFUNCTION("GOOGLETRANSLATE(B10530,""en"",""ja"")"),"議論する")</f>
        <v>議論する</v>
      </c>
    </row>
    <row r="10350" spans="1:3" ht="18" customHeight="1" x14ac:dyDescent="0.3">
      <c r="A10350" s="1">
        <v>1</v>
      </c>
      <c r="B10350" s="1" t="s">
        <v>7943</v>
      </c>
      <c r="C10350" s="1" t="str">
        <f ca="1">IFERROR(__xludf.DUMMYFUNCTION("GOOGLETRANSLATE(B10531,""en"",""ja"")"),"差別")</f>
        <v>差別</v>
      </c>
    </row>
    <row r="10351" spans="1:3" ht="18" customHeight="1" x14ac:dyDescent="0.3">
      <c r="A10351" s="1">
        <v>1</v>
      </c>
      <c r="B10351" s="1" t="s">
        <v>1019</v>
      </c>
      <c r="C10351" s="1" t="str">
        <f ca="1">IFERROR(__xludf.DUMMYFUNCTION("GOOGLETRANSLATE(B10532,""en"",""ja"")"),"発見")</f>
        <v>発見</v>
      </c>
    </row>
    <row r="10352" spans="1:3" ht="18" customHeight="1" x14ac:dyDescent="0.3">
      <c r="A10352" s="1">
        <v>1</v>
      </c>
      <c r="B10352" s="1" t="s">
        <v>3609</v>
      </c>
      <c r="C10352" s="1" t="str">
        <f ca="1">IFERROR(__xludf.DUMMYFUNCTION("GOOGLETRANSLATE(B10533,""en"",""ja"")"),"落胆")</f>
        <v>落胆</v>
      </c>
    </row>
    <row r="10353" spans="1:3" ht="18" customHeight="1" x14ac:dyDescent="0.3">
      <c r="A10353" s="1">
        <v>1</v>
      </c>
      <c r="B10353" s="1" t="s">
        <v>3066</v>
      </c>
      <c r="C10353" s="1" t="str">
        <f ca="1">IFERROR(__xludf.DUMMYFUNCTION("GOOGLETRANSLATE(B10534,""en"",""ja"")"),"廃棄")</f>
        <v>廃棄</v>
      </c>
    </row>
    <row r="10354" spans="1:3" ht="18" customHeight="1" x14ac:dyDescent="0.3">
      <c r="A10354" s="1">
        <v>1</v>
      </c>
      <c r="B10354" s="1" t="s">
        <v>7944</v>
      </c>
      <c r="C10354" s="1" t="str">
        <f ca="1">IFERROR(__xludf.DUMMYFUNCTION("GOOGLETRANSLATE(B10535,""en"",""ja"")"),"災害")</f>
        <v>災害</v>
      </c>
    </row>
    <row r="10355" spans="1:3" ht="18" customHeight="1" x14ac:dyDescent="0.3">
      <c r="A10355" s="1">
        <v>1</v>
      </c>
      <c r="B10355" s="1" t="s">
        <v>7945</v>
      </c>
      <c r="C10355" s="1" t="str">
        <f ca="1">IFERROR(__xludf.DUMMYFUNCTION("GOOGLETRANSLATE(B10536,""en"",""ja"")"),"災害")</f>
        <v>災害</v>
      </c>
    </row>
    <row r="10356" spans="1:3" ht="18" customHeight="1" x14ac:dyDescent="0.3">
      <c r="A10356" s="1">
        <v>1</v>
      </c>
      <c r="B10356" s="1" t="s">
        <v>7946</v>
      </c>
      <c r="C10356" s="1" t="str">
        <f ca="1">IFERROR(__xludf.DUMMYFUNCTION("GOOGLETRANSLATE(B10538,""en"",""ja"")"),"不承認")</f>
        <v>不承認</v>
      </c>
    </row>
    <row r="10357" spans="1:3" ht="18" customHeight="1" x14ac:dyDescent="0.3">
      <c r="A10357" s="1">
        <v>1</v>
      </c>
      <c r="B10357" s="1" t="s">
        <v>7947</v>
      </c>
      <c r="C10357" s="1" t="str">
        <f ca="1">IFERROR(__xludf.DUMMYFUNCTION("GOOGLETRANSLATE(B10539,""en"",""ja"")"),"失望")</f>
        <v>失望</v>
      </c>
    </row>
    <row r="10358" spans="1:3" ht="18" customHeight="1" x14ac:dyDescent="0.3">
      <c r="A10358" s="1">
        <v>1</v>
      </c>
      <c r="B10358" s="1" t="s">
        <v>6244</v>
      </c>
      <c r="C10358" s="1" t="str">
        <f ca="1">IFERROR(__xludf.DUMMYFUNCTION("GOOGLETRANSLATE(B10540,""en"",""ja"")"),"不一致")</f>
        <v>不一致</v>
      </c>
    </row>
    <row r="10359" spans="1:3" ht="18" customHeight="1" x14ac:dyDescent="0.3">
      <c r="A10359" s="1">
        <v>1</v>
      </c>
      <c r="B10359" s="1" t="s">
        <v>4937</v>
      </c>
      <c r="C10359" s="1" t="str">
        <f ca="1">IFERROR(__xludf.DUMMYFUNCTION("GOOGLETRANSLATE(B10541,""en"",""ja"")"),"ディレクター")</f>
        <v>ディレクター</v>
      </c>
    </row>
    <row r="10360" spans="1:3" ht="18" customHeight="1" x14ac:dyDescent="0.3">
      <c r="A10360" s="1">
        <v>1</v>
      </c>
      <c r="B10360" s="1" t="s">
        <v>860</v>
      </c>
      <c r="C10360" s="1" t="str">
        <f ca="1">IFERROR(__xludf.DUMMYFUNCTION("GOOGLETRANSLATE(B10542,""en"",""ja"")"),"直接")</f>
        <v>直接</v>
      </c>
    </row>
    <row r="10361" spans="1:3" ht="18" customHeight="1" x14ac:dyDescent="0.3">
      <c r="A10361" s="1">
        <v>1</v>
      </c>
      <c r="B10361" s="1" t="s">
        <v>7948</v>
      </c>
      <c r="C10361" s="1" t="str">
        <f ca="1">IFERROR(__xludf.DUMMYFUNCTION("GOOGLETRANSLATE(B10543,""en"",""ja"")"),"外交")</f>
        <v>外交</v>
      </c>
    </row>
    <row r="10362" spans="1:3" ht="18" customHeight="1" x14ac:dyDescent="0.3">
      <c r="A10362" s="1">
        <v>1</v>
      </c>
      <c r="B10362" s="1" t="s">
        <v>7949</v>
      </c>
      <c r="C10362" s="1" t="str">
        <f ca="1">IFERROR(__xludf.DUMMYFUNCTION("GOOGLETRANSLATE(B10544,""en"",""ja"")"),"恐竜")</f>
        <v>恐竜</v>
      </c>
    </row>
    <row r="10363" spans="1:3" ht="18" customHeight="1" x14ac:dyDescent="0.3">
      <c r="A10363" s="1">
        <v>1</v>
      </c>
      <c r="B10363" s="1" t="s">
        <v>7950</v>
      </c>
      <c r="C10363" s="1" t="str">
        <f ca="1">IFERROR(__xludf.DUMMYFUNCTION("GOOGLETRANSLATE(B10545,""en"",""ja"")"),"デジタル化")</f>
        <v>デジタル化</v>
      </c>
    </row>
    <row r="10364" spans="1:3" ht="18" customHeight="1" x14ac:dyDescent="0.3">
      <c r="A10364" s="1">
        <v>1</v>
      </c>
      <c r="B10364" s="1" t="s">
        <v>4941</v>
      </c>
      <c r="C10364" s="1" t="str">
        <f ca="1">IFERROR(__xludf.DUMMYFUNCTION("GOOGLETRANSLATE(B10546,""en"",""ja"")"),"ダイジェスト")</f>
        <v>ダイジェスト</v>
      </c>
    </row>
    <row r="10365" spans="1:3" ht="18" customHeight="1" x14ac:dyDescent="0.3">
      <c r="A10365" s="1">
        <v>1</v>
      </c>
      <c r="B10365" s="1" t="s">
        <v>6250</v>
      </c>
      <c r="C10365" s="1" t="str">
        <f ca="1">IFERROR(__xludf.DUMMYFUNCTION("GOOGLETRANSLATE(B10547,""en"",""ja"")"),"差別")</f>
        <v>差別</v>
      </c>
    </row>
    <row r="10366" spans="1:3" ht="18" customHeight="1" x14ac:dyDescent="0.3">
      <c r="A10366" s="1">
        <v>1</v>
      </c>
      <c r="B10366" s="1" t="s">
        <v>7951</v>
      </c>
      <c r="C10366" s="1" t="str">
        <f ca="1">IFERROR(__xludf.DUMMYFUNCTION("GOOGLETRANSLATE(B10548,""en"",""ja"")"),"差別")</f>
        <v>差別</v>
      </c>
    </row>
    <row r="10367" spans="1:3" ht="18" customHeight="1" x14ac:dyDescent="0.3">
      <c r="A10367" s="1">
        <v>1</v>
      </c>
      <c r="B10367" s="1" t="s">
        <v>4943</v>
      </c>
      <c r="C10367" s="1" t="str">
        <f ca="1">IFERROR(__xludf.DUMMYFUNCTION("GOOGLETRANSLATE(B10549,""en"",""ja"")"),"分化")</f>
        <v>分化</v>
      </c>
    </row>
    <row r="10368" spans="1:3" ht="18" customHeight="1" x14ac:dyDescent="0.3">
      <c r="A10368" s="1">
        <v>1</v>
      </c>
      <c r="B10368" s="1" t="s">
        <v>7952</v>
      </c>
      <c r="C10368" s="1" t="str">
        <f ca="1">IFERROR(__xludf.DUMMYFUNCTION("GOOGLETRANSLATE(B10550,""en"",""ja"")"),"ダイス")</f>
        <v>ダイス</v>
      </c>
    </row>
    <row r="10369" spans="1:3" ht="18" customHeight="1" x14ac:dyDescent="0.3">
      <c r="A10369" s="1">
        <v>1</v>
      </c>
      <c r="B10369" s="1" t="s">
        <v>7953</v>
      </c>
      <c r="C10369" s="1" t="str">
        <f ca="1">IFERROR(__xludf.DUMMYFUNCTION("GOOGLETRANSLATE(B10551,""en"",""ja"")"),"独裁者")</f>
        <v>独裁者</v>
      </c>
    </row>
    <row r="10370" spans="1:3" ht="18" customHeight="1" x14ac:dyDescent="0.3">
      <c r="A10370" s="1">
        <v>1</v>
      </c>
      <c r="B10370" s="1" t="s">
        <v>6253</v>
      </c>
      <c r="C10370" s="1" t="str">
        <f ca="1">IFERROR(__xludf.DUMMYFUNCTION("GOOGLETRANSLATE(B10552,""en"",""ja"")"),"ディクテーション")</f>
        <v>ディクテーション</v>
      </c>
    </row>
    <row r="10371" spans="1:3" ht="18" customHeight="1" x14ac:dyDescent="0.3">
      <c r="A10371" s="1">
        <v>1</v>
      </c>
      <c r="B10371" s="1" t="s">
        <v>7954</v>
      </c>
      <c r="C10371" s="1" t="str">
        <f ca="1">IFERROR(__xludf.DUMMYFUNCTION("GOOGLETRANSLATE(B10553,""en"",""ja"")"),"下痢")</f>
        <v>下痢</v>
      </c>
    </row>
    <row r="10372" spans="1:3" ht="18" customHeight="1" x14ac:dyDescent="0.3">
      <c r="A10372" s="1">
        <v>1</v>
      </c>
      <c r="B10372" s="1" t="s">
        <v>7209</v>
      </c>
      <c r="C10372" s="1" t="str">
        <f ca="1">IFERROR(__xludf.DUMMYFUNCTION("GOOGLETRANSLATE(B10554,""en"",""ja"")"),"糖尿病")</f>
        <v>糖尿病</v>
      </c>
    </row>
    <row r="10373" spans="1:3" ht="18" customHeight="1" x14ac:dyDescent="0.3">
      <c r="A10373" s="1">
        <v>1</v>
      </c>
      <c r="B10373" s="1" t="s">
        <v>4946</v>
      </c>
      <c r="C10373" s="1" t="str">
        <f ca="1">IFERROR(__xludf.DUMMYFUNCTION("GOOGLETRANSLATE(B10555,""en"",""ja"")"),"熟練")</f>
        <v>熟練</v>
      </c>
    </row>
    <row r="10374" spans="1:3" ht="18" customHeight="1" x14ac:dyDescent="0.3">
      <c r="A10374" s="1">
        <v>1</v>
      </c>
      <c r="B10374" s="1" t="s">
        <v>4949</v>
      </c>
      <c r="C10374" s="1" t="str">
        <f ca="1">IFERROR(__xludf.DUMMYFUNCTION("GOOGLETRANSLATE(B10556,""en"",""ja"")"),"偏差")</f>
        <v>偏差</v>
      </c>
    </row>
    <row r="10375" spans="1:3" ht="18" customHeight="1" x14ac:dyDescent="0.3">
      <c r="A10375" s="1">
        <v>1</v>
      </c>
      <c r="B10375" s="1" t="s">
        <v>7955</v>
      </c>
      <c r="C10375" s="1" t="str">
        <f ca="1">IFERROR(__xludf.DUMMYFUNCTION("GOOGLETRANSLATE(B10557,""en"",""ja"")"),"発達")</f>
        <v>発達</v>
      </c>
    </row>
    <row r="10376" spans="1:3" ht="18" customHeight="1" x14ac:dyDescent="0.3">
      <c r="A10376" s="1">
        <v>1</v>
      </c>
      <c r="B10376" s="1" t="s">
        <v>7211</v>
      </c>
      <c r="C10376" s="1" t="str">
        <f ca="1">IFERROR(__xludf.DUMMYFUNCTION("GOOGLETRANSLATE(B10558,""en"",""ja"")"),"デチューン")</f>
        <v>デチューン</v>
      </c>
    </row>
    <row r="10377" spans="1:3" ht="18" customHeight="1" x14ac:dyDescent="0.3">
      <c r="A10377" s="1">
        <v>1</v>
      </c>
      <c r="B10377" s="1" t="s">
        <v>7956</v>
      </c>
      <c r="C10377" s="1" t="str">
        <f ca="1">IFERROR(__xludf.DUMMYFUNCTION("GOOGLETRANSLATE(B10559,""en"",""ja"")"),"確定")</f>
        <v>確定</v>
      </c>
    </row>
    <row r="10378" spans="1:3" ht="18" customHeight="1" x14ac:dyDescent="0.3">
      <c r="A10378" s="1">
        <v>1</v>
      </c>
      <c r="B10378" s="1" t="s">
        <v>6260</v>
      </c>
      <c r="C10378" s="1" t="str">
        <f ca="1">IFERROR(__xludf.DUMMYFUNCTION("GOOGLETRANSLATE(B10561,""en"",""ja"")"),"行列式")</f>
        <v>行列式</v>
      </c>
    </row>
    <row r="10379" spans="1:3" ht="18" customHeight="1" x14ac:dyDescent="0.3">
      <c r="A10379" s="1">
        <v>1</v>
      </c>
      <c r="B10379" s="1" t="s">
        <v>1478</v>
      </c>
      <c r="C10379" s="1" t="str">
        <f ca="1">IFERROR(__xludf.DUMMYFUNCTION("GOOGLETRANSLATE(B10562,""en"",""ja"")"),"破壊的な")</f>
        <v>破壊的な</v>
      </c>
    </row>
    <row r="10380" spans="1:3" ht="18" customHeight="1" x14ac:dyDescent="0.3">
      <c r="A10380" s="1">
        <v>1</v>
      </c>
      <c r="B10380" s="1" t="s">
        <v>4109</v>
      </c>
      <c r="C10380" s="1" t="str">
        <f ca="1">IFERROR(__xludf.DUMMYFUNCTION("GOOGLETRANSLATE(B10563,""en"",""ja"")"),"机")</f>
        <v>机</v>
      </c>
    </row>
    <row r="10381" spans="1:3" ht="18" customHeight="1" x14ac:dyDescent="0.3">
      <c r="A10381" s="1">
        <v>1</v>
      </c>
      <c r="B10381" s="1" t="s">
        <v>7957</v>
      </c>
      <c r="C10381" s="1" t="str">
        <f ca="1">IFERROR(__xludf.DUMMYFUNCTION("GOOGLETRANSLATE(B10564,""en"",""ja"")"),"指名")</f>
        <v>指名</v>
      </c>
    </row>
    <row r="10382" spans="1:3" ht="18" customHeight="1" x14ac:dyDescent="0.3">
      <c r="A10382" s="1">
        <v>1</v>
      </c>
      <c r="B10382" s="1" t="s">
        <v>3619</v>
      </c>
      <c r="C10382" s="1" t="str">
        <f ca="1">IFERROR(__xludf.DUMMYFUNCTION("GOOGLETRANSLATE(B10565,""en"",""ja"")"),"砂漠化")</f>
        <v>砂漠化</v>
      </c>
    </row>
    <row r="10383" spans="1:3" ht="18" customHeight="1" x14ac:dyDescent="0.3">
      <c r="A10383" s="1">
        <v>1</v>
      </c>
      <c r="B10383" s="1" t="s">
        <v>7958</v>
      </c>
      <c r="C10383" s="1" t="str">
        <f ca="1">IFERROR(__xludf.DUMMYFUNCTION("GOOGLETRANSLATE(B10566,""en"",""ja"")"),"減感")</f>
        <v>減感</v>
      </c>
    </row>
    <row r="10384" spans="1:3" ht="18" customHeight="1" x14ac:dyDescent="0.3">
      <c r="A10384" s="1">
        <v>1</v>
      </c>
      <c r="B10384" s="1" t="s">
        <v>7959</v>
      </c>
      <c r="C10384" s="1" t="str">
        <f ca="1">IFERROR(__xludf.DUMMYFUNCTION("GOOGLETRANSLATE(B10567,""en"",""ja"")"),"人種差別廃止")</f>
        <v>人種差別廃止</v>
      </c>
    </row>
    <row r="10385" spans="1:3" ht="18" customHeight="1" x14ac:dyDescent="0.3">
      <c r="A10385" s="1">
        <v>1</v>
      </c>
      <c r="B10385" s="1" t="s">
        <v>862</v>
      </c>
      <c r="C10385" s="1" t="str">
        <f ca="1">IFERROR(__xludf.DUMMYFUNCTION("GOOGLETRANSLATE(B10568,""en"",""ja"")"),"述べます")</f>
        <v>述べます</v>
      </c>
    </row>
    <row r="10386" spans="1:3" ht="18" customHeight="1" x14ac:dyDescent="0.3">
      <c r="A10386" s="1">
        <v>1</v>
      </c>
      <c r="B10386" s="1" t="s">
        <v>7216</v>
      </c>
      <c r="C10386" s="1" t="str">
        <f ca="1">IFERROR(__xludf.DUMMYFUNCTION("GOOGLETRANSLATE(B10569,""en"",""ja"")"),"奪います")</f>
        <v>奪います</v>
      </c>
    </row>
    <row r="10387" spans="1:3" ht="18" customHeight="1" x14ac:dyDescent="0.3">
      <c r="A10387" s="1">
        <v>1</v>
      </c>
      <c r="B10387" s="1" t="s">
        <v>7960</v>
      </c>
      <c r="C10387" s="1" t="str">
        <f ca="1">IFERROR(__xludf.DUMMYFUNCTION("GOOGLETRANSLATE(B10570,""en"",""ja"")"),"剥奪")</f>
        <v>剥奪</v>
      </c>
    </row>
    <row r="10388" spans="1:3" ht="18" customHeight="1" x14ac:dyDescent="0.3">
      <c r="A10388" s="1">
        <v>1</v>
      </c>
      <c r="B10388" s="1" t="s">
        <v>7961</v>
      </c>
      <c r="C10388" s="1" t="str">
        <f ca="1">IFERROR(__xludf.DUMMYFUNCTION("GOOGLETRANSLATE(B10571,""en"",""ja"")"),"堆積")</f>
        <v>堆積</v>
      </c>
    </row>
    <row r="10389" spans="1:3" ht="18" customHeight="1" x14ac:dyDescent="0.3">
      <c r="A10389" s="1">
        <v>1</v>
      </c>
      <c r="B10389" s="1" t="s">
        <v>7962</v>
      </c>
      <c r="C10389" s="1" t="str">
        <f ca="1">IFERROR(__xludf.DUMMYFUNCTION("GOOGLETRANSLATE(B10572,""en"",""ja"")"),"描写")</f>
        <v>描写</v>
      </c>
    </row>
    <row r="10390" spans="1:3" ht="18" customHeight="1" x14ac:dyDescent="0.3">
      <c r="A10390" s="1">
        <v>1</v>
      </c>
      <c r="B10390" s="1" t="s">
        <v>7963</v>
      </c>
      <c r="C10390" s="1" t="str">
        <f ca="1">IFERROR(__xludf.DUMMYFUNCTION("GOOGLETRANSLATE(B10573,""en"",""ja"")"),"依存")</f>
        <v>依存</v>
      </c>
    </row>
    <row r="10391" spans="1:3" ht="18" customHeight="1" x14ac:dyDescent="0.3">
      <c r="A10391" s="1">
        <v>1</v>
      </c>
      <c r="B10391" s="1" t="s">
        <v>7964</v>
      </c>
      <c r="C10391" s="1" t="str">
        <f ca="1">IFERROR(__xludf.DUMMYFUNCTION("GOOGLETRANSLATE(B10574,""en"",""ja"")"),"部門")</f>
        <v>部門</v>
      </c>
    </row>
    <row r="10392" spans="1:3" ht="18" customHeight="1" x14ac:dyDescent="0.3">
      <c r="A10392" s="1">
        <v>1</v>
      </c>
      <c r="B10392" s="1" t="s">
        <v>4960</v>
      </c>
      <c r="C10392" s="1" t="str">
        <f ca="1">IFERROR(__xludf.DUMMYFUNCTION("GOOGLETRANSLATE(B10575,""en"",""ja"")"),"否定します")</f>
        <v>否定します</v>
      </c>
    </row>
    <row r="10393" spans="1:3" ht="18" customHeight="1" x14ac:dyDescent="0.3">
      <c r="A10393" s="1">
        <v>1</v>
      </c>
      <c r="B10393" s="1" t="s">
        <v>2432</v>
      </c>
      <c r="C10393" s="1" t="str">
        <f ca="1">IFERROR(__xludf.DUMMYFUNCTION("GOOGLETRANSLATE(B10576,""en"",""ja"")"),"密")</f>
        <v>密</v>
      </c>
    </row>
    <row r="10394" spans="1:3" ht="18" customHeight="1" x14ac:dyDescent="0.3">
      <c r="A10394" s="1">
        <v>1</v>
      </c>
      <c r="B10394" s="1" t="s">
        <v>6275</v>
      </c>
      <c r="C10394" s="1" t="str">
        <f ca="1">IFERROR(__xludf.DUMMYFUNCTION("GOOGLETRANSLATE(B10577,""en"",""ja"")"),"侮辱します")</f>
        <v>侮辱します</v>
      </c>
    </row>
    <row r="10395" spans="1:3" ht="18" customHeight="1" x14ac:dyDescent="0.3">
      <c r="A10395" s="1">
        <v>1</v>
      </c>
      <c r="B10395" s="1" t="s">
        <v>6278</v>
      </c>
      <c r="C10395" s="1" t="str">
        <f ca="1">IFERROR(__xludf.DUMMYFUNCTION("GOOGLETRANSLATE(B10578,""en"",""ja"")"),"解体")</f>
        <v>解体</v>
      </c>
    </row>
    <row r="10396" spans="1:3" ht="18" customHeight="1" x14ac:dyDescent="0.3">
      <c r="A10396" s="1">
        <v>1</v>
      </c>
      <c r="B10396" s="1" t="s">
        <v>7965</v>
      </c>
      <c r="C10396" s="1" t="str">
        <f ca="1">IFERROR(__xludf.DUMMYFUNCTION("GOOGLETRANSLATE(B10579,""en"",""ja"")"),"人口統計")</f>
        <v>人口統計</v>
      </c>
    </row>
    <row r="10397" spans="1:3" ht="18" customHeight="1" x14ac:dyDescent="0.3">
      <c r="A10397" s="1">
        <v>1</v>
      </c>
      <c r="B10397" s="1" t="s">
        <v>7966</v>
      </c>
      <c r="C10397" s="1" t="str">
        <f ca="1">IFERROR(__xludf.DUMMYFUNCTION("GOOGLETRANSLATE(B10580,""en"",""ja"")"),"民主化")</f>
        <v>民主化</v>
      </c>
    </row>
    <row r="10398" spans="1:3" ht="18" customHeight="1" x14ac:dyDescent="0.3">
      <c r="A10398" s="1">
        <v>1</v>
      </c>
      <c r="B10398" s="1" t="s">
        <v>7967</v>
      </c>
      <c r="C10398" s="1" t="str">
        <f ca="1">IFERROR(__xludf.DUMMYFUNCTION("GOOGLETRANSLATE(B10581,""en"",""ja"")"),"要求")</f>
        <v>要求</v>
      </c>
    </row>
    <row r="10399" spans="1:3" ht="18" customHeight="1" x14ac:dyDescent="0.3">
      <c r="A10399" s="1">
        <v>1</v>
      </c>
      <c r="B10399" s="1" t="s">
        <v>1217</v>
      </c>
      <c r="C10399" s="1" t="str">
        <f ca="1">IFERROR(__xludf.DUMMYFUNCTION("GOOGLETRANSLATE(B10582,""en"",""ja"")"),"デルタ")</f>
        <v>デルタ</v>
      </c>
    </row>
    <row r="10400" spans="1:3" ht="18" customHeight="1" x14ac:dyDescent="0.3">
      <c r="A10400" s="1">
        <v>1</v>
      </c>
      <c r="B10400" s="1" t="s">
        <v>3079</v>
      </c>
      <c r="C10400" s="1" t="str">
        <f ca="1">IFERROR(__xludf.DUMMYFUNCTION("GOOGLETRANSLATE(B10583,""en"",""ja"")"),"届けます")</f>
        <v>届けます</v>
      </c>
    </row>
    <row r="10401" spans="1:3" ht="18" customHeight="1" x14ac:dyDescent="0.3">
      <c r="A10401" s="1">
        <v>1</v>
      </c>
      <c r="B10401" s="1" t="s">
        <v>7222</v>
      </c>
      <c r="C10401" s="1" t="str">
        <f ca="1">IFERROR(__xludf.DUMMYFUNCTION("GOOGLETRANSLATE(B10584,""en"",""ja"")"),"わざと")</f>
        <v>わざと</v>
      </c>
    </row>
    <row r="10402" spans="1:3" ht="18" customHeight="1" x14ac:dyDescent="0.3">
      <c r="A10402" s="1">
        <v>1</v>
      </c>
      <c r="B10402" s="1" t="s">
        <v>7968</v>
      </c>
      <c r="C10402" s="1" t="str">
        <f ca="1">IFERROR(__xludf.DUMMYFUNCTION("GOOGLETRANSLATE(B10585,""en"",""ja"")"),"ディレイ")</f>
        <v>ディレイ</v>
      </c>
    </row>
    <row r="10403" spans="1:3" ht="18" customHeight="1" x14ac:dyDescent="0.3">
      <c r="A10403" s="1">
        <v>1</v>
      </c>
      <c r="B10403" s="1" t="s">
        <v>7969</v>
      </c>
      <c r="C10403" s="1" t="str">
        <f ca="1">IFERROR(__xludf.DUMMYFUNCTION("GOOGLETRANSLATE(B10586,""en"",""ja"")"),"劣化")</f>
        <v>劣化</v>
      </c>
    </row>
    <row r="10404" spans="1:3" ht="18" customHeight="1" x14ac:dyDescent="0.3">
      <c r="A10404" s="1">
        <v>1</v>
      </c>
      <c r="B10404" s="1" t="s">
        <v>7970</v>
      </c>
      <c r="C10404" s="1" t="str">
        <f ca="1">IFERROR(__xludf.DUMMYFUNCTION("GOOGLETRANSLATE(B10588,""en"",""ja"")"),"定義")</f>
        <v>定義</v>
      </c>
    </row>
    <row r="10405" spans="1:3" ht="18" customHeight="1" x14ac:dyDescent="0.3">
      <c r="A10405" s="1">
        <v>1</v>
      </c>
      <c r="B10405" s="1" t="s">
        <v>6288</v>
      </c>
      <c r="C10405" s="1" t="str">
        <f ca="1">IFERROR(__xludf.DUMMYFUNCTION("GOOGLETRANSLATE(B10589,""en"",""ja"")"),"欠乏")</f>
        <v>欠乏</v>
      </c>
    </row>
    <row r="10406" spans="1:3" ht="18" customHeight="1" x14ac:dyDescent="0.3">
      <c r="A10406" s="1">
        <v>1</v>
      </c>
      <c r="B10406" s="1" t="s">
        <v>6292</v>
      </c>
      <c r="C10406" s="1" t="str">
        <f ca="1">IFERROR(__xludf.DUMMYFUNCTION("GOOGLETRANSLATE(B10590,""en"",""ja"")"),"防衛")</f>
        <v>防衛</v>
      </c>
    </row>
    <row r="10407" spans="1:3" ht="18" customHeight="1" x14ac:dyDescent="0.3">
      <c r="A10407" s="1">
        <v>1</v>
      </c>
      <c r="B10407" s="1" t="s">
        <v>7971</v>
      </c>
      <c r="C10407" s="1" t="str">
        <f ca="1">IFERROR(__xludf.DUMMYFUNCTION("GOOGLETRANSLATE(B10591,""en"",""ja"")"),"欠陥")</f>
        <v>欠陥</v>
      </c>
    </row>
    <row r="10408" spans="1:3" ht="18" customHeight="1" x14ac:dyDescent="0.3">
      <c r="A10408" s="1">
        <v>1</v>
      </c>
      <c r="B10408" s="1" t="s">
        <v>3627</v>
      </c>
      <c r="C10408" s="1" t="str">
        <f ca="1">IFERROR(__xludf.DUMMYFUNCTION("GOOGLETRANSLATE(B10592,""en"",""ja"")"),"深める")</f>
        <v>深める</v>
      </c>
    </row>
    <row r="10409" spans="1:3" ht="18" customHeight="1" x14ac:dyDescent="0.3">
      <c r="A10409" s="1">
        <v>1</v>
      </c>
      <c r="B10409" s="1" t="s">
        <v>1147</v>
      </c>
      <c r="C10409" s="1" t="str">
        <f ca="1">IFERROR(__xludf.DUMMYFUNCTION("GOOGLETRANSLATE(B10593,""en"",""ja"")"),"低下")</f>
        <v>低下</v>
      </c>
    </row>
    <row r="10410" spans="1:3" ht="18" customHeight="1" x14ac:dyDescent="0.3">
      <c r="A10410" s="1">
        <v>1</v>
      </c>
      <c r="B10410" s="1" t="s">
        <v>7972</v>
      </c>
      <c r="C10410" s="1" t="str">
        <f ca="1">IFERROR(__xludf.DUMMYFUNCTION("GOOGLETRANSLATE(B10594,""en"",""ja"")"),"分散させます")</f>
        <v>分散させます</v>
      </c>
    </row>
    <row r="10411" spans="1:3" ht="18" customHeight="1" x14ac:dyDescent="0.3">
      <c r="A10411" s="1">
        <v>1</v>
      </c>
      <c r="B10411" s="1" t="s">
        <v>7973</v>
      </c>
      <c r="C10411" s="1" t="str">
        <f ca="1">IFERROR(__xludf.DUMMYFUNCTION("GOOGLETRANSLATE(B10595,""en"",""ja"")"),"だまさ")</f>
        <v>だまさ</v>
      </c>
    </row>
    <row r="10412" spans="1:3" ht="18" customHeight="1" x14ac:dyDescent="0.3">
      <c r="A10412" s="1">
        <v>1</v>
      </c>
      <c r="B10412" s="1" t="s">
        <v>7974</v>
      </c>
      <c r="C10412" s="1" t="str">
        <f ca="1">IFERROR(__xludf.DUMMYFUNCTION("GOOGLETRANSLATE(B10596,""en"",""ja"")"),"欺く")</f>
        <v>欺く</v>
      </c>
    </row>
    <row r="10413" spans="1:3" ht="18" customHeight="1" x14ac:dyDescent="0.3">
      <c r="A10413" s="1">
        <v>1</v>
      </c>
      <c r="B10413" s="1" t="s">
        <v>7975</v>
      </c>
      <c r="C10413" s="1" t="str">
        <f ca="1">IFERROR(__xludf.DUMMYFUNCTION("GOOGLETRANSLATE(B10598,""en"",""ja"")"),"挑戦")</f>
        <v>挑戦</v>
      </c>
    </row>
    <row r="10414" spans="1:3" ht="18" customHeight="1" x14ac:dyDescent="0.3">
      <c r="A10414" s="1">
        <v>1</v>
      </c>
      <c r="B10414" s="1" t="s">
        <v>1480</v>
      </c>
      <c r="C10414" s="1" t="str">
        <f ca="1">IFERROR(__xludf.DUMMYFUNCTION("GOOGLETRANSLATE(B10599,""en"",""ja"")"),"危険な")</f>
        <v>危険な</v>
      </c>
    </row>
    <row r="10415" spans="1:3" ht="18" customHeight="1" x14ac:dyDescent="0.3">
      <c r="A10415" s="1">
        <v>1</v>
      </c>
      <c r="B10415" s="1" t="s">
        <v>2767</v>
      </c>
      <c r="C10415" s="1" t="str">
        <f ca="1">IFERROR(__xludf.DUMMYFUNCTION("GOOGLETRANSLATE(B10600,""en"",""ja"")"),"サイクリック")</f>
        <v>サイクリック</v>
      </c>
    </row>
    <row r="10416" spans="1:3" ht="18" customHeight="1" x14ac:dyDescent="0.3">
      <c r="A10416" s="1">
        <v>1</v>
      </c>
      <c r="B10416" s="1" t="s">
        <v>7229</v>
      </c>
      <c r="C10416" s="1" t="str">
        <f ca="1">IFERROR(__xludf.DUMMYFUNCTION("GOOGLETRANSLATE(B10601,""en"",""ja"")"),"サイバーセキュリティ")</f>
        <v>サイバーセキュリティ</v>
      </c>
    </row>
    <row r="10417" spans="1:3" ht="18" customHeight="1" x14ac:dyDescent="0.3">
      <c r="A10417" s="1">
        <v>1</v>
      </c>
      <c r="B10417" s="1" t="s">
        <v>7976</v>
      </c>
      <c r="C10417" s="1" t="str">
        <f ca="1">IFERROR(__xludf.DUMMYFUNCTION("GOOGLETRANSLATE(B10602,""en"",""ja"")"),"履歴書")</f>
        <v>履歴書</v>
      </c>
    </row>
    <row r="10418" spans="1:3" ht="18" customHeight="1" x14ac:dyDescent="0.3">
      <c r="A10418" s="1">
        <v>1</v>
      </c>
      <c r="B10418" s="1" t="s">
        <v>2204</v>
      </c>
      <c r="C10418" s="1" t="str">
        <f ca="1">IFERROR(__xludf.DUMMYFUNCTION("GOOGLETRANSLATE(B10603,""en"",""ja"")"),"切る")</f>
        <v>切る</v>
      </c>
    </row>
    <row r="10419" spans="1:3" ht="18" customHeight="1" x14ac:dyDescent="0.3">
      <c r="A10419" s="1">
        <v>1</v>
      </c>
      <c r="B10419" s="1" t="s">
        <v>2205</v>
      </c>
      <c r="C10419" s="1" t="str">
        <f ca="1">IFERROR(__xludf.DUMMYFUNCTION("GOOGLETRANSLATE(B10604,""en"",""ja"")"),"カスタム")</f>
        <v>カスタム</v>
      </c>
    </row>
    <row r="10420" spans="1:3" ht="18" customHeight="1" x14ac:dyDescent="0.3">
      <c r="A10420" s="1">
        <v>1</v>
      </c>
      <c r="B10420" s="1" t="s">
        <v>6307</v>
      </c>
      <c r="C10420" s="1" t="str">
        <f ca="1">IFERROR(__xludf.DUMMYFUNCTION("GOOGLETRANSLATE(B10605,""en"",""ja"")"),"累積的な")</f>
        <v>累積的な</v>
      </c>
    </row>
    <row r="10421" spans="1:3" ht="18" customHeight="1" x14ac:dyDescent="0.3">
      <c r="A10421" s="1">
        <v>1</v>
      </c>
      <c r="B10421" s="1" t="s">
        <v>3083</v>
      </c>
      <c r="C10421" s="1" t="str">
        <f ca="1">IFERROR(__xludf.DUMMYFUNCTION("GOOGLETRANSLATE(B10606,""en"",""ja"")"),"やっかいな")</f>
        <v>やっかいな</v>
      </c>
    </row>
    <row r="10422" spans="1:3" ht="18" customHeight="1" x14ac:dyDescent="0.3">
      <c r="A10422" s="1">
        <v>1</v>
      </c>
      <c r="B10422" s="1" t="s">
        <v>204</v>
      </c>
      <c r="C10422" s="1" t="str">
        <f ca="1">IFERROR(__xludf.DUMMYFUNCTION("GOOGLETRANSLATE(B10607,""en"",""ja"")"),"文化的")</f>
        <v>文化的</v>
      </c>
    </row>
    <row r="10423" spans="1:3" ht="18" customHeight="1" x14ac:dyDescent="0.3">
      <c r="A10423" s="1">
        <v>1</v>
      </c>
      <c r="B10423" s="1" t="s">
        <v>7977</v>
      </c>
      <c r="C10423" s="1" t="str">
        <f ca="1">IFERROR(__xludf.DUMMYFUNCTION("GOOGLETRANSLATE(B10608,""en"",""ja"")"),"残酷さ")</f>
        <v>残酷さ</v>
      </c>
    </row>
    <row r="10424" spans="1:3" ht="18" customHeight="1" x14ac:dyDescent="0.3">
      <c r="A10424" s="1">
        <v>1</v>
      </c>
      <c r="B10424" s="1" t="s">
        <v>4982</v>
      </c>
      <c r="C10424" s="1" t="str">
        <f ca="1">IFERROR(__xludf.DUMMYFUNCTION("GOOGLETRANSLATE(B10609,""en"",""ja"")"),"粗製の")</f>
        <v>粗製の</v>
      </c>
    </row>
    <row r="10425" spans="1:3" ht="18" customHeight="1" x14ac:dyDescent="0.3">
      <c r="A10425" s="1">
        <v>1</v>
      </c>
      <c r="B10425" s="1" t="s">
        <v>7978</v>
      </c>
      <c r="C10425" s="1" t="str">
        <f ca="1">IFERROR(__xludf.DUMMYFUNCTION("GOOGLETRANSLATE(B10610,""en"",""ja"")"),"詐欺師")</f>
        <v>詐欺師</v>
      </c>
    </row>
    <row r="10426" spans="1:3" ht="18" customHeight="1" x14ac:dyDescent="0.3">
      <c r="A10426" s="1">
        <v>1</v>
      </c>
      <c r="B10426" s="1" t="s">
        <v>7979</v>
      </c>
      <c r="C10426" s="1" t="str">
        <f ca="1">IFERROR(__xludf.DUMMYFUNCTION("GOOGLETRANSLATE(B10611,""en"",""ja"")"),"しゃがれ声")</f>
        <v>しゃがれ声</v>
      </c>
    </row>
    <row r="10427" spans="1:3" ht="18" customHeight="1" x14ac:dyDescent="0.3">
      <c r="A10427" s="1">
        <v>1</v>
      </c>
      <c r="B10427" s="1" t="s">
        <v>7980</v>
      </c>
      <c r="C10427" s="1" t="str">
        <f ca="1">IFERROR(__xludf.DUMMYFUNCTION("GOOGLETRANSLATE(B10612,""en"",""ja"")"),"critcherさん")</f>
        <v>critcherさん</v>
      </c>
    </row>
    <row r="10428" spans="1:3" ht="18" customHeight="1" x14ac:dyDescent="0.3">
      <c r="A10428" s="1">
        <v>1</v>
      </c>
      <c r="B10428" s="1" t="s">
        <v>7981</v>
      </c>
      <c r="C10428" s="1" t="str">
        <f ca="1">IFERROR(__xludf.DUMMYFUNCTION("GOOGLETRANSLATE(B10613,""en"",""ja"")"),"critcher")</f>
        <v>critcher</v>
      </c>
    </row>
    <row r="10429" spans="1:3" ht="18" customHeight="1" x14ac:dyDescent="0.3">
      <c r="A10429" s="1">
        <v>1</v>
      </c>
      <c r="B10429" s="1" t="s">
        <v>6314</v>
      </c>
      <c r="C10429" s="1" t="str">
        <f ca="1">IFERROR(__xludf.DUMMYFUNCTION("GOOGLETRANSLATE(B10614,""en"",""ja"")"),"犯罪者")</f>
        <v>犯罪者</v>
      </c>
    </row>
    <row r="10430" spans="1:3" ht="18" customHeight="1" x14ac:dyDescent="0.3">
      <c r="A10430" s="1">
        <v>1</v>
      </c>
      <c r="B10430" s="1" t="s">
        <v>7982</v>
      </c>
      <c r="C10430" s="1" t="str">
        <f ca="1">IFERROR(__xludf.DUMMYFUNCTION("GOOGLETRANSLATE(B10615,""en"",""ja"")"),"犯罪")</f>
        <v>犯罪</v>
      </c>
    </row>
    <row r="10431" spans="1:3" ht="18" customHeight="1" x14ac:dyDescent="0.3">
      <c r="A10431" s="1">
        <v>1</v>
      </c>
      <c r="B10431" s="1" t="s">
        <v>3643</v>
      </c>
      <c r="C10431" s="1" t="str">
        <f ca="1">IFERROR(__xludf.DUMMYFUNCTION("GOOGLETRANSLATE(B10617,""en"",""ja"")"),"信頼性")</f>
        <v>信頼性</v>
      </c>
    </row>
    <row r="10432" spans="1:3" ht="18" customHeight="1" x14ac:dyDescent="0.3">
      <c r="A10432" s="1">
        <v>1</v>
      </c>
      <c r="B10432" s="1" t="s">
        <v>7983</v>
      </c>
      <c r="C10432" s="1" t="str">
        <f ca="1">IFERROR(__xludf.DUMMYFUNCTION("GOOGLETRANSLATE(B10618,""en"",""ja"")"),"折り目")</f>
        <v>折り目</v>
      </c>
    </row>
    <row r="10433" spans="1:3" ht="18" customHeight="1" x14ac:dyDescent="0.3">
      <c r="A10433" s="1">
        <v>1</v>
      </c>
      <c r="B10433" s="1" t="s">
        <v>3644</v>
      </c>
      <c r="C10433" s="1" t="str">
        <f ca="1">IFERROR(__xludf.DUMMYFUNCTION("GOOGLETRANSLATE(B10619,""en"",""ja"")"),"クレージー")</f>
        <v>クレージー</v>
      </c>
    </row>
    <row r="10434" spans="1:3" ht="18" customHeight="1" x14ac:dyDescent="0.3">
      <c r="A10434" s="1">
        <v>1</v>
      </c>
      <c r="B10434" s="1" t="s">
        <v>6317</v>
      </c>
      <c r="C10434" s="1" t="str">
        <f ca="1">IFERROR(__xludf.DUMMYFUNCTION("GOOGLETRANSLATE(B10620,""en"",""ja"")"),"クレーン")</f>
        <v>クレーン</v>
      </c>
    </row>
    <row r="10435" spans="1:3" ht="18" customHeight="1" x14ac:dyDescent="0.3">
      <c r="A10435" s="1">
        <v>1</v>
      </c>
      <c r="B10435" s="1" t="s">
        <v>7984</v>
      </c>
      <c r="C10435" s="1" t="str">
        <f ca="1">IFERROR(__xludf.DUMMYFUNCTION("GOOGLETRANSLATE(B10621,""en"",""ja"")"),"職人")</f>
        <v>職人</v>
      </c>
    </row>
    <row r="10436" spans="1:3" ht="18" customHeight="1" x14ac:dyDescent="0.3">
      <c r="A10436" s="1">
        <v>1</v>
      </c>
      <c r="B10436" s="1" t="s">
        <v>4124</v>
      </c>
      <c r="C10436" s="1" t="str">
        <f ca="1">IFERROR(__xludf.DUMMYFUNCTION("GOOGLETRANSLATE(B10622,""en"",""ja"")"),"クラフト")</f>
        <v>クラフト</v>
      </c>
    </row>
    <row r="10437" spans="1:3" ht="18" customHeight="1" x14ac:dyDescent="0.3">
      <c r="A10437" s="1">
        <v>1</v>
      </c>
      <c r="B10437" s="1" t="s">
        <v>7985</v>
      </c>
      <c r="C10437" s="1" t="str">
        <f ca="1">IFERROR(__xludf.DUMMYFUNCTION("GOOGLETRANSLATE(B10623,""en"",""ja"")"),"カウボーイ")</f>
        <v>カウボーイ</v>
      </c>
    </row>
    <row r="10438" spans="1:3" ht="18" customHeight="1" x14ac:dyDescent="0.3">
      <c r="A10438" s="1">
        <v>1</v>
      </c>
      <c r="B10438" s="1" t="s">
        <v>2444</v>
      </c>
      <c r="C10438" s="1" t="str">
        <f ca="1">IFERROR(__xludf.DUMMYFUNCTION("GOOGLETRANSLATE(B10624,""en"",""ja"")"),"求婚")</f>
        <v>求婚</v>
      </c>
    </row>
    <row r="10439" spans="1:3" ht="18" customHeight="1" x14ac:dyDescent="0.3">
      <c r="A10439" s="1">
        <v>1</v>
      </c>
      <c r="B10439" s="1" t="s">
        <v>7239</v>
      </c>
      <c r="C10439" s="1" t="str">
        <f ca="1">IFERROR(__xludf.DUMMYFUNCTION("GOOGLETRANSLATE(B10625,""en"",""ja"")"),"礼儀")</f>
        <v>礼儀</v>
      </c>
    </row>
    <row r="10440" spans="1:3" ht="18" customHeight="1" x14ac:dyDescent="0.3">
      <c r="A10440" s="1">
        <v>1</v>
      </c>
      <c r="B10440" s="1" t="s">
        <v>7986</v>
      </c>
      <c r="C10440" s="1" t="str">
        <f ca="1">IFERROR(__xludf.DUMMYFUNCTION("GOOGLETRANSLATE(B10626,""en"",""ja"")"),"衣装")</f>
        <v>衣装</v>
      </c>
    </row>
    <row r="10441" spans="1:3" ht="18" customHeight="1" x14ac:dyDescent="0.3">
      <c r="A10441" s="1">
        <v>1</v>
      </c>
      <c r="B10441" s="1" t="s">
        <v>7987</v>
      </c>
      <c r="C10441" s="1" t="str">
        <f ca="1">IFERROR(__xludf.DUMMYFUNCTION("GOOGLETRANSLATE(B10627,""en"",""ja"")"),"対応")</f>
        <v>対応</v>
      </c>
    </row>
    <row r="10442" spans="1:3" ht="18" customHeight="1" x14ac:dyDescent="0.3">
      <c r="A10442" s="1">
        <v>1</v>
      </c>
      <c r="B10442" s="1" t="s">
        <v>7242</v>
      </c>
      <c r="C10442" s="1" t="str">
        <f ca="1">IFERROR(__xludf.DUMMYFUNCTION("GOOGLETRANSLATE(B10628,""en"",""ja"")"),"一致する")</f>
        <v>一致する</v>
      </c>
    </row>
    <row r="10443" spans="1:3" ht="18" customHeight="1" x14ac:dyDescent="0.3">
      <c r="A10443" s="1">
        <v>1</v>
      </c>
      <c r="B10443" s="1" t="s">
        <v>7988</v>
      </c>
      <c r="C10443" s="1" t="str">
        <f ca="1">IFERROR(__xludf.DUMMYFUNCTION("GOOGLETRANSLATE(B10629,""en"",""ja"")"),"補正")</f>
        <v>補正</v>
      </c>
    </row>
    <row r="10444" spans="1:3" ht="18" customHeight="1" x14ac:dyDescent="0.3">
      <c r="A10444" s="1">
        <v>1</v>
      </c>
      <c r="B10444" s="1" t="s">
        <v>2446</v>
      </c>
      <c r="C10444" s="1" t="str">
        <f ca="1">IFERROR(__xludf.DUMMYFUNCTION("GOOGLETRANSLATE(B10630,""en"",""ja"")"),"正しい")</f>
        <v>正しい</v>
      </c>
    </row>
    <row r="10445" spans="1:3" ht="18" customHeight="1" x14ac:dyDescent="0.3">
      <c r="A10445" s="1">
        <v>1</v>
      </c>
      <c r="B10445" s="1" t="s">
        <v>7989</v>
      </c>
      <c r="C10445" s="1" t="str">
        <f ca="1">IFERROR(__xludf.DUMMYFUNCTION("GOOGLETRANSLATE(B10631,""en"",""ja"")"),"死体")</f>
        <v>死体</v>
      </c>
    </row>
    <row r="10446" spans="1:3" ht="18" customHeight="1" x14ac:dyDescent="0.3">
      <c r="A10446" s="1">
        <v>1</v>
      </c>
      <c r="B10446" s="1" t="s">
        <v>1983</v>
      </c>
      <c r="C10446" s="1" t="str">
        <f ca="1">IFERROR(__xludf.DUMMYFUNCTION("GOOGLETRANSLATE(B10632,""en"",""ja"")"),"芯")</f>
        <v>芯</v>
      </c>
    </row>
    <row r="10447" spans="1:3" ht="18" customHeight="1" x14ac:dyDescent="0.3">
      <c r="A10447" s="1">
        <v>1</v>
      </c>
      <c r="B10447" s="1" t="s">
        <v>7990</v>
      </c>
      <c r="C10447" s="1" t="str">
        <f ca="1">IFERROR(__xludf.DUMMYFUNCTION("GOOGLETRANSLATE(B10633,""en"",""ja"")"),"対処")</f>
        <v>対処</v>
      </c>
    </row>
    <row r="10448" spans="1:3" ht="18" customHeight="1" x14ac:dyDescent="0.3">
      <c r="A10448" s="1">
        <v>1</v>
      </c>
      <c r="B10448" s="1" t="s">
        <v>7991</v>
      </c>
      <c r="C10448" s="1" t="str">
        <f ca="1">IFERROR(__xludf.DUMMYFUNCTION("GOOGLETRANSLATE(B10634,""en"",""ja"")"),"コピー")</f>
        <v>コピー</v>
      </c>
    </row>
    <row r="10449" spans="1:3" ht="18" customHeight="1" x14ac:dyDescent="0.3">
      <c r="A10449" s="1">
        <v>1</v>
      </c>
      <c r="B10449" s="1" t="s">
        <v>4999</v>
      </c>
      <c r="C10449" s="1" t="str">
        <f ca="1">IFERROR(__xludf.DUMMYFUNCTION("GOOGLETRANSLATE(B10635,""en"",""ja"")"),"コーディネーション")</f>
        <v>コーディネーション</v>
      </c>
    </row>
    <row r="10450" spans="1:3" ht="18" customHeight="1" x14ac:dyDescent="0.3">
      <c r="A10450" s="1">
        <v>1</v>
      </c>
      <c r="B10450" s="1" t="s">
        <v>2208</v>
      </c>
      <c r="C10450" s="1" t="str">
        <f ca="1">IFERROR(__xludf.DUMMYFUNCTION("GOOGLETRANSLATE(B10636,""en"",""ja"")"),"座標")</f>
        <v>座標</v>
      </c>
    </row>
    <row r="10451" spans="1:3" ht="18" customHeight="1" x14ac:dyDescent="0.3">
      <c r="A10451" s="1">
        <v>1</v>
      </c>
      <c r="B10451" s="1" t="s">
        <v>7992</v>
      </c>
      <c r="C10451" s="1" t="str">
        <f ca="1">IFERROR(__xludf.DUMMYFUNCTION("GOOGLETRANSLATE(B10637,""en"",""ja"")"),"協力")</f>
        <v>協力</v>
      </c>
    </row>
    <row r="10452" spans="1:3" ht="18" customHeight="1" x14ac:dyDescent="0.3">
      <c r="A10452" s="1">
        <v>1</v>
      </c>
      <c r="B10452" s="1" t="s">
        <v>7993</v>
      </c>
      <c r="C10452" s="1" t="str">
        <f ca="1">IFERROR(__xludf.DUMMYFUNCTION("GOOGLETRANSLATE(B10638,""en"",""ja"")"),"冷却")</f>
        <v>冷却</v>
      </c>
    </row>
    <row r="10453" spans="1:3" ht="18" customHeight="1" x14ac:dyDescent="0.3">
      <c r="A10453" s="1">
        <v>1</v>
      </c>
      <c r="B10453" s="1" t="s">
        <v>7994</v>
      </c>
      <c r="C10453" s="1" t="str">
        <f ca="1">IFERROR(__xludf.DUMMYFUNCTION("GOOGLETRANSLATE(B10639,""en"",""ja"")"),"料理")</f>
        <v>料理</v>
      </c>
    </row>
    <row r="10454" spans="1:3" ht="18" customHeight="1" x14ac:dyDescent="0.3">
      <c r="A10454" s="1">
        <v>1</v>
      </c>
      <c r="B10454" s="1" t="s">
        <v>3089</v>
      </c>
      <c r="C10454" s="1" t="str">
        <f ca="1">IFERROR(__xludf.DUMMYFUNCTION("GOOGLETRANSLATE(B10640,""en"",""ja"")"),"確信させます")</f>
        <v>確信させます</v>
      </c>
    </row>
    <row r="10455" spans="1:3" ht="18" customHeight="1" x14ac:dyDescent="0.3">
      <c r="A10455" s="1">
        <v>1</v>
      </c>
      <c r="B10455" s="1" t="s">
        <v>7995</v>
      </c>
      <c r="C10455" s="1" t="str">
        <f ca="1">IFERROR(__xludf.DUMMYFUNCTION("GOOGLETRANSLATE(B10641,""en"",""ja"")"),"信念")</f>
        <v>信念</v>
      </c>
    </row>
    <row r="10456" spans="1:3" ht="18" customHeight="1" x14ac:dyDescent="0.3">
      <c r="A10456" s="1">
        <v>1</v>
      </c>
      <c r="B10456" s="1" t="s">
        <v>1384</v>
      </c>
      <c r="C10456" s="1" t="str">
        <f ca="1">IFERROR(__xludf.DUMMYFUNCTION("GOOGLETRANSLATE(B10642,""en"",""ja"")"),"従来の")</f>
        <v>従来の</v>
      </c>
    </row>
    <row r="10457" spans="1:3" ht="18" customHeight="1" x14ac:dyDescent="0.3">
      <c r="A10457" s="1">
        <v>1</v>
      </c>
      <c r="B10457" s="1" t="s">
        <v>4134</v>
      </c>
      <c r="C10457" s="1" t="str">
        <f ca="1">IFERROR(__xludf.DUMMYFUNCTION("GOOGLETRANSLATE(B10643,""en"",""ja"")"),"大陸")</f>
        <v>大陸</v>
      </c>
    </row>
    <row r="10458" spans="1:3" ht="18" customHeight="1" x14ac:dyDescent="0.3">
      <c r="A10458" s="1">
        <v>1</v>
      </c>
      <c r="B10458" s="1" t="s">
        <v>7996</v>
      </c>
      <c r="C10458" s="1" t="str">
        <f ca="1">IFERROR(__xludf.DUMMYFUNCTION("GOOGLETRANSLATE(B10644,""en"",""ja"")"),"コンテンツ")</f>
        <v>コンテンツ</v>
      </c>
    </row>
    <row r="10459" spans="1:3" ht="18" customHeight="1" x14ac:dyDescent="0.3">
      <c r="A10459" s="1">
        <v>1</v>
      </c>
      <c r="B10459" s="1" t="s">
        <v>6337</v>
      </c>
      <c r="C10459" s="1" t="str">
        <f ca="1">IFERROR(__xludf.DUMMYFUNCTION("GOOGLETRANSLATE(B10645,""en"",""ja"")"),"瞑想")</f>
        <v>瞑想</v>
      </c>
    </row>
    <row r="10460" spans="1:3" ht="18" customHeight="1" x14ac:dyDescent="0.3">
      <c r="A10460" s="1">
        <v>1</v>
      </c>
      <c r="B10460" s="1" t="s">
        <v>7997</v>
      </c>
      <c r="C10460" s="1" t="str">
        <f ca="1">IFERROR(__xludf.DUMMYFUNCTION("GOOGLETRANSLATE(B10646,""en"",""ja"")"),"汚染")</f>
        <v>汚染</v>
      </c>
    </row>
    <row r="10461" spans="1:3" ht="18" customHeight="1" x14ac:dyDescent="0.3">
      <c r="A10461" s="1">
        <v>1</v>
      </c>
      <c r="B10461" s="1" t="s">
        <v>5013</v>
      </c>
      <c r="C10461" s="1" t="str">
        <f ca="1">IFERROR(__xludf.DUMMYFUNCTION("GOOGLETRANSLATE(B10647,""en"",""ja"")"),"コンシューマリズム")</f>
        <v>コンシューマリズム</v>
      </c>
    </row>
    <row r="10462" spans="1:3" ht="18" customHeight="1" x14ac:dyDescent="0.3">
      <c r="A10462" s="1">
        <v>1</v>
      </c>
      <c r="B10462" s="1" t="s">
        <v>7998</v>
      </c>
      <c r="C10462" s="1" t="str">
        <f ca="1">IFERROR(__xludf.DUMMYFUNCTION("GOOGLETRANSLATE(B10648,""en"",""ja"")"),"コンサルティング")</f>
        <v>コンサルティング</v>
      </c>
    </row>
    <row r="10463" spans="1:3" ht="18" customHeight="1" x14ac:dyDescent="0.3">
      <c r="A10463" s="1">
        <v>1</v>
      </c>
      <c r="B10463" s="1" t="s">
        <v>7999</v>
      </c>
      <c r="C10463" s="1" t="str">
        <f ca="1">IFERROR(__xludf.DUMMYFUNCTION("GOOGLETRANSLATE(B10649,""en"",""ja"")"),"構築")</f>
        <v>構築</v>
      </c>
    </row>
    <row r="10464" spans="1:3" ht="18" customHeight="1" x14ac:dyDescent="0.3">
      <c r="A10464" s="1">
        <v>1</v>
      </c>
      <c r="B10464" s="1" t="s">
        <v>2777</v>
      </c>
      <c r="C10464" s="1" t="str">
        <f ca="1">IFERROR(__xludf.DUMMYFUNCTION("GOOGLETRANSLATE(B10650,""en"",""ja"")"),"構文")</f>
        <v>構文</v>
      </c>
    </row>
    <row r="10465" spans="1:3" ht="18" customHeight="1" x14ac:dyDescent="0.3">
      <c r="A10465" s="1">
        <v>1</v>
      </c>
      <c r="B10465" s="1" t="s">
        <v>8000</v>
      </c>
      <c r="C10465" s="1" t="str">
        <f ca="1">IFERROR(__xludf.DUMMYFUNCTION("GOOGLETRANSLATE(B10651,""en"",""ja"")"),"星座")</f>
        <v>星座</v>
      </c>
    </row>
    <row r="10466" spans="1:3" ht="18" customHeight="1" x14ac:dyDescent="0.3">
      <c r="A10466" s="1">
        <v>1</v>
      </c>
      <c r="B10466" s="1" t="s">
        <v>8001</v>
      </c>
      <c r="C10466" s="1" t="str">
        <f ca="1">IFERROR(__xludf.DUMMYFUNCTION("GOOGLETRANSLATE(B10652,""en"",""ja"")"),"共謀")</f>
        <v>共謀</v>
      </c>
    </row>
    <row r="10467" spans="1:3" ht="18" customHeight="1" x14ac:dyDescent="0.3">
      <c r="A10467" s="1">
        <v>1</v>
      </c>
      <c r="B10467" s="1" t="s">
        <v>8002</v>
      </c>
      <c r="C10467" s="1" t="str">
        <f ca="1">IFERROR(__xludf.DUMMYFUNCTION("GOOGLETRANSLATE(B10653,""en"",""ja"")"),"共謀")</f>
        <v>共謀</v>
      </c>
    </row>
    <row r="10468" spans="1:3" ht="18" customHeight="1" x14ac:dyDescent="0.3">
      <c r="A10468" s="1">
        <v>1</v>
      </c>
      <c r="B10468" s="1" t="s">
        <v>4138</v>
      </c>
      <c r="C10468" s="1" t="str">
        <f ca="1">IFERROR(__xludf.DUMMYFUNCTION("GOOGLETRANSLATE(B10654,""en"",""ja"")"),"目立ちます")</f>
        <v>目立ちます</v>
      </c>
    </row>
    <row r="10469" spans="1:3" ht="18" customHeight="1" x14ac:dyDescent="0.3">
      <c r="A10469" s="1">
        <v>1</v>
      </c>
      <c r="B10469" s="1" t="s">
        <v>8003</v>
      </c>
      <c r="C10469" s="1" t="str">
        <f ca="1">IFERROR(__xludf.DUMMYFUNCTION("GOOGLETRANSLATE(B10655,""en"",""ja"")"),"一貫性")</f>
        <v>一貫性</v>
      </c>
    </row>
    <row r="10470" spans="1:3" ht="18" customHeight="1" x14ac:dyDescent="0.3">
      <c r="A10470" s="1">
        <v>1</v>
      </c>
      <c r="B10470" s="1" t="s">
        <v>3658</v>
      </c>
      <c r="C10470" s="1" t="str">
        <f ca="1">IFERROR(__xludf.DUMMYFUNCTION("GOOGLETRANSLATE(B10656,""en"",""ja"")"),"かなりの")</f>
        <v>かなりの</v>
      </c>
    </row>
    <row r="10471" spans="1:3" ht="18" customHeight="1" x14ac:dyDescent="0.3">
      <c r="A10471" s="1">
        <v>1</v>
      </c>
      <c r="B10471" s="1" t="s">
        <v>3659</v>
      </c>
      <c r="C10471" s="1" t="str">
        <f ca="1">IFERROR(__xludf.DUMMYFUNCTION("GOOGLETRANSLATE(B10657,""en"",""ja"")"),"節約")</f>
        <v>節約</v>
      </c>
    </row>
    <row r="10472" spans="1:3" ht="18" customHeight="1" x14ac:dyDescent="0.3">
      <c r="A10472" s="1">
        <v>1</v>
      </c>
      <c r="B10472" s="1" t="s">
        <v>8004</v>
      </c>
      <c r="C10472" s="1" t="str">
        <f ca="1">IFERROR(__xludf.DUMMYFUNCTION("GOOGLETRANSLATE(B10658,""en"",""ja"")"),"天然資源保護論者")</f>
        <v>天然資源保護論者</v>
      </c>
    </row>
    <row r="10473" spans="1:3" ht="18" customHeight="1" x14ac:dyDescent="0.3">
      <c r="A10473" s="1">
        <v>1</v>
      </c>
      <c r="B10473" s="1" t="s">
        <v>4141</v>
      </c>
      <c r="C10473" s="1" t="str">
        <f ca="1">IFERROR(__xludf.DUMMYFUNCTION("GOOGLETRANSLATE(B10659,""en"",""ja"")"),"意識")</f>
        <v>意識</v>
      </c>
    </row>
    <row r="10474" spans="1:3" ht="18" customHeight="1" x14ac:dyDescent="0.3">
      <c r="A10474" s="1">
        <v>1</v>
      </c>
      <c r="B10474" s="1" t="s">
        <v>8005</v>
      </c>
      <c r="C10474" s="1" t="str">
        <f ca="1">IFERROR(__xludf.DUMMYFUNCTION("GOOGLETRANSLATE(B10660,""en"",""ja"")"),"征服")</f>
        <v>征服</v>
      </c>
    </row>
    <row r="10475" spans="1:3" ht="18" customHeight="1" x14ac:dyDescent="0.3">
      <c r="A10475" s="1">
        <v>1</v>
      </c>
      <c r="B10475" s="1" t="s">
        <v>8006</v>
      </c>
      <c r="C10475" s="1" t="str">
        <f ca="1">IFERROR(__xludf.DUMMYFUNCTION("GOOGLETRANSLATE(B10661,""en"",""ja"")"),"統治")</f>
        <v>統治</v>
      </c>
    </row>
    <row r="10476" spans="1:3" ht="18" customHeight="1" x14ac:dyDescent="0.3">
      <c r="A10476" s="1">
        <v>1</v>
      </c>
      <c r="B10476" s="1" t="s">
        <v>6341</v>
      </c>
      <c r="C10476" s="1" t="str">
        <f ca="1">IFERROR(__xludf.DUMMYFUNCTION("GOOGLETRANSLATE(B10662,""en"",""ja"")"),"接続")</f>
        <v>接続</v>
      </c>
    </row>
    <row r="10477" spans="1:3" ht="18" customHeight="1" x14ac:dyDescent="0.3">
      <c r="A10477" s="1">
        <v>1</v>
      </c>
      <c r="B10477" s="1" t="s">
        <v>7258</v>
      </c>
      <c r="C10477" s="1" t="str">
        <f ca="1">IFERROR(__xludf.DUMMYFUNCTION("GOOGLETRANSLATE(B10663,""en"",""ja"")"),"つながり")</f>
        <v>つながり</v>
      </c>
    </row>
    <row r="10478" spans="1:3" ht="18" customHeight="1" x14ac:dyDescent="0.3">
      <c r="A10478" s="1">
        <v>1</v>
      </c>
      <c r="B10478" s="1" t="s">
        <v>6342</v>
      </c>
      <c r="C10478" s="1" t="str">
        <f ca="1">IFERROR(__xludf.DUMMYFUNCTION("GOOGLETRANSLATE(B10664,""en"",""ja"")"),"お祝いの")</f>
        <v>お祝いの</v>
      </c>
    </row>
    <row r="10479" spans="1:3" ht="18" customHeight="1" x14ac:dyDescent="0.3">
      <c r="A10479" s="1">
        <v>1</v>
      </c>
      <c r="B10479" s="1" t="s">
        <v>8007</v>
      </c>
      <c r="C10479" s="1" t="str">
        <f ca="1">IFERROR(__xludf.DUMMYFUNCTION("GOOGLETRANSLATE(B10665,""en"",""ja"")"),"気心の知れた")</f>
        <v>気心の知れた</v>
      </c>
    </row>
    <row r="10480" spans="1:3" ht="18" customHeight="1" x14ac:dyDescent="0.3">
      <c r="A10480" s="1">
        <v>1</v>
      </c>
      <c r="B10480" s="1" t="s">
        <v>5017</v>
      </c>
      <c r="C10480" s="1" t="str">
        <f ca="1">IFERROR(__xludf.DUMMYFUNCTION("GOOGLETRANSLATE(B10667,""en"",""ja"")"),"孔子")</f>
        <v>孔子</v>
      </c>
    </row>
    <row r="10481" spans="1:3" ht="18" customHeight="1" x14ac:dyDescent="0.3">
      <c r="A10481" s="1">
        <v>1</v>
      </c>
      <c r="B10481" s="1" t="s">
        <v>6346</v>
      </c>
      <c r="C10481" s="1" t="str">
        <f ca="1">IFERROR(__xludf.DUMMYFUNCTION("GOOGLETRANSLATE(B10668,""en"",""ja"")"),"対面")</f>
        <v>対面</v>
      </c>
    </row>
    <row r="10482" spans="1:3" ht="18" customHeight="1" x14ac:dyDescent="0.3">
      <c r="A10482" s="1">
        <v>1</v>
      </c>
      <c r="B10482" s="1" t="s">
        <v>6349</v>
      </c>
      <c r="C10482" s="1" t="str">
        <f ca="1">IFERROR(__xludf.DUMMYFUNCTION("GOOGLETRANSLATE(B10669,""en"",""ja"")"),"閉じ込めます")</f>
        <v>閉じ込めます</v>
      </c>
    </row>
    <row r="10483" spans="1:3" ht="18" customHeight="1" x14ac:dyDescent="0.3">
      <c r="A10483" s="1">
        <v>1</v>
      </c>
      <c r="B10483" s="1" t="s">
        <v>8008</v>
      </c>
      <c r="C10483" s="1" t="str">
        <f ca="1">IFERROR(__xludf.DUMMYFUNCTION("GOOGLETRANSLATE(B10670,""en"",""ja"")"),"設定します")</f>
        <v>設定します</v>
      </c>
    </row>
    <row r="10484" spans="1:3" ht="18" customHeight="1" x14ac:dyDescent="0.3">
      <c r="A10484" s="1">
        <v>1</v>
      </c>
      <c r="B10484" s="1" t="s">
        <v>1296</v>
      </c>
      <c r="C10484" s="1" t="str">
        <f ca="1">IFERROR(__xludf.DUMMYFUNCTION("GOOGLETRANSLATE(B10671,""en"",""ja"")"),"構成")</f>
        <v>構成</v>
      </c>
    </row>
    <row r="10485" spans="1:3" ht="18" customHeight="1" x14ac:dyDescent="0.3">
      <c r="A10485" s="1">
        <v>1</v>
      </c>
      <c r="B10485" s="1" t="s">
        <v>8009</v>
      </c>
      <c r="C10485" s="1" t="str">
        <f ca="1">IFERROR(__xludf.DUMMYFUNCTION("GOOGLETRANSLATE(B10672,""en"",""ja"")"),"導電性")</f>
        <v>導電性</v>
      </c>
    </row>
    <row r="10486" spans="1:3" ht="18" customHeight="1" x14ac:dyDescent="0.3">
      <c r="A10486" s="1">
        <v>1</v>
      </c>
      <c r="B10486" s="1" t="s">
        <v>8010</v>
      </c>
      <c r="C10486" s="1" t="str">
        <f ca="1">IFERROR(__xludf.DUMMYFUNCTION("GOOGLETRANSLATE(B10673,""en"",""ja"")"),"実施")</f>
        <v>実施</v>
      </c>
    </row>
    <row r="10487" spans="1:3" ht="18" customHeight="1" x14ac:dyDescent="0.3">
      <c r="A10487" s="1">
        <v>1</v>
      </c>
      <c r="B10487" s="1" t="s">
        <v>8011</v>
      </c>
      <c r="C10487" s="1" t="str">
        <f ca="1">IFERROR(__xludf.DUMMYFUNCTION("GOOGLETRANSLATE(B10674,""en"",""ja"")"),"条件付きの")</f>
        <v>条件付きの</v>
      </c>
    </row>
    <row r="10488" spans="1:3" ht="18" customHeight="1" x14ac:dyDescent="0.3">
      <c r="A10488" s="1">
        <v>1</v>
      </c>
      <c r="B10488" s="1" t="s">
        <v>6352</v>
      </c>
      <c r="C10488" s="1" t="str">
        <f ca="1">IFERROR(__xludf.DUMMYFUNCTION("GOOGLETRANSLATE(B10675,""en"",""ja"")"),"コンデンス")</f>
        <v>コンデンス</v>
      </c>
    </row>
    <row r="10489" spans="1:3" ht="18" customHeight="1" x14ac:dyDescent="0.3">
      <c r="A10489" s="1">
        <v>1</v>
      </c>
      <c r="B10489" s="1" t="s">
        <v>6354</v>
      </c>
      <c r="C10489" s="1" t="str">
        <f ca="1">IFERROR(__xludf.DUMMYFUNCTION("GOOGLETRANSLATE(B10676,""en"",""ja"")"),"責めます")</f>
        <v>責めます</v>
      </c>
    </row>
    <row r="10490" spans="1:3" ht="18" customHeight="1" x14ac:dyDescent="0.3">
      <c r="A10490" s="1">
        <v>1</v>
      </c>
      <c r="B10490" s="1" t="s">
        <v>8012</v>
      </c>
      <c r="C10490" s="1" t="str">
        <f ca="1">IFERROR(__xludf.DUMMYFUNCTION("GOOGLETRANSLATE(B10677,""en"",""ja"")"),"コンクリート")</f>
        <v>コンクリート</v>
      </c>
    </row>
    <row r="10491" spans="1:3" ht="18" customHeight="1" x14ac:dyDescent="0.3">
      <c r="A10491" s="1">
        <v>1</v>
      </c>
      <c r="B10491" s="1" t="s">
        <v>3666</v>
      </c>
      <c r="C10491" s="1" t="str">
        <f ca="1">IFERROR(__xludf.DUMMYFUNCTION("GOOGLETRANSLATE(B10678,""en"",""ja"")"),"結論")</f>
        <v>結論</v>
      </c>
    </row>
    <row r="10492" spans="1:3" ht="18" customHeight="1" x14ac:dyDescent="0.3">
      <c r="A10492" s="1">
        <v>1</v>
      </c>
      <c r="B10492" s="1" t="s">
        <v>561</v>
      </c>
      <c r="C10492" s="1" t="str">
        <f ca="1">IFERROR(__xludf.DUMMYFUNCTION("GOOGLETRANSLATE(B10679,""en"",""ja"")"),"心配している")</f>
        <v>心配している</v>
      </c>
    </row>
    <row r="10493" spans="1:3" ht="18" customHeight="1" x14ac:dyDescent="0.3">
      <c r="A10493" s="1">
        <v>1</v>
      </c>
      <c r="B10493" s="1" t="s">
        <v>8013</v>
      </c>
      <c r="C10493" s="1" t="str">
        <f ca="1">IFERROR(__xludf.DUMMYFUNCTION("GOOGLETRANSLATE(B10680,""en"",""ja"")"),"概念の")</f>
        <v>概念の</v>
      </c>
    </row>
    <row r="10494" spans="1:3" ht="18" customHeight="1" x14ac:dyDescent="0.3">
      <c r="A10494" s="1">
        <v>1</v>
      </c>
      <c r="B10494" s="1" t="s">
        <v>6357</v>
      </c>
      <c r="C10494" s="1" t="str">
        <f ca="1">IFERROR(__xludf.DUMMYFUNCTION("GOOGLETRANSLATE(B10681,""en"",""ja"")"),"濃度")</f>
        <v>濃度</v>
      </c>
    </row>
    <row r="10495" spans="1:3" ht="18" customHeight="1" x14ac:dyDescent="0.3">
      <c r="A10495" s="1">
        <v>1</v>
      </c>
      <c r="B10495" s="1" t="s">
        <v>8014</v>
      </c>
      <c r="C10495" s="1" t="str">
        <f ca="1">IFERROR(__xludf.DUMMYFUNCTION("GOOGLETRANSLATE(B10682,""en"",""ja"")"),"集中")</f>
        <v>集中</v>
      </c>
    </row>
    <row r="10496" spans="1:3" ht="18" customHeight="1" x14ac:dyDescent="0.3">
      <c r="A10496" s="1">
        <v>1</v>
      </c>
      <c r="B10496" s="1" t="s">
        <v>8015</v>
      </c>
      <c r="C10496" s="1" t="str">
        <f ca="1">IFERROR(__xludf.DUMMYFUNCTION("GOOGLETRANSLATE(B10683,""en"",""ja"")"),"コン")</f>
        <v>コン</v>
      </c>
    </row>
    <row r="10497" spans="1:3" ht="18" customHeight="1" x14ac:dyDescent="0.3">
      <c r="A10497" s="1">
        <v>1</v>
      </c>
      <c r="B10497" s="1" t="s">
        <v>8016</v>
      </c>
      <c r="C10497" s="1" t="str">
        <f ca="1">IFERROR(__xludf.DUMMYFUNCTION("GOOGLETRANSLATE(B10684,""en"",""ja"")"),"計算")</f>
        <v>計算</v>
      </c>
    </row>
    <row r="10498" spans="1:3" ht="18" customHeight="1" x14ac:dyDescent="0.3">
      <c r="A10498" s="1">
        <v>1</v>
      </c>
      <c r="B10498" s="1" t="s">
        <v>4145</v>
      </c>
      <c r="C10498" s="1" t="str">
        <f ca="1">IFERROR(__xludf.DUMMYFUNCTION("GOOGLETRANSLATE(B10685,""en"",""ja"")"),"妥協")</f>
        <v>妥協</v>
      </c>
    </row>
    <row r="10499" spans="1:3" ht="18" customHeight="1" x14ac:dyDescent="0.3">
      <c r="A10499" s="1">
        <v>1</v>
      </c>
      <c r="B10499" s="1" t="s">
        <v>6361</v>
      </c>
      <c r="C10499" s="1" t="str">
        <f ca="1">IFERROR(__xludf.DUMMYFUNCTION("GOOGLETRANSLATE(B10686,""en"",""ja"")"),"備え")</f>
        <v>備え</v>
      </c>
    </row>
    <row r="10500" spans="1:3" ht="18" customHeight="1" x14ac:dyDescent="0.3">
      <c r="A10500" s="1">
        <v>1</v>
      </c>
      <c r="B10500" s="1" t="s">
        <v>8017</v>
      </c>
      <c r="C10500" s="1" t="str">
        <f ca="1">IFERROR(__xludf.DUMMYFUNCTION("GOOGLETRANSLATE(B10687,""en"",""ja"")"),"含む")</f>
        <v>含む</v>
      </c>
    </row>
    <row r="10501" spans="1:3" ht="18" customHeight="1" x14ac:dyDescent="0.3">
      <c r="A10501" s="1">
        <v>1</v>
      </c>
      <c r="B10501" s="1" t="s">
        <v>8018</v>
      </c>
      <c r="C10501" s="1" t="str">
        <f ca="1">IFERROR(__xludf.DUMMYFUNCTION("GOOGLETRANSLATE(B10688,""en"",""ja"")"),"包括的")</f>
        <v>包括的</v>
      </c>
    </row>
    <row r="10502" spans="1:3" ht="18" customHeight="1" x14ac:dyDescent="0.3">
      <c r="A10502" s="1">
        <v>1</v>
      </c>
      <c r="B10502" s="1" t="s">
        <v>5022</v>
      </c>
      <c r="C10502" s="1" t="str">
        <f ca="1">IFERROR(__xludf.DUMMYFUNCTION("GOOGLETRANSLATE(B10689,""en"",""ja"")"),"複雑")</f>
        <v>複雑</v>
      </c>
    </row>
    <row r="10503" spans="1:3" ht="18" customHeight="1" x14ac:dyDescent="0.3">
      <c r="A10503" s="1">
        <v>1</v>
      </c>
      <c r="B10503" s="1" t="s">
        <v>8019</v>
      </c>
      <c r="C10503" s="1" t="str">
        <f ca="1">IFERROR(__xludf.DUMMYFUNCTION("GOOGLETRANSLATE(B10690,""en"",""ja"")"),"補完")</f>
        <v>補完</v>
      </c>
    </row>
    <row r="10504" spans="1:3" ht="18" customHeight="1" x14ac:dyDescent="0.3">
      <c r="A10504" s="1">
        <v>1</v>
      </c>
      <c r="B10504" s="1" t="s">
        <v>8020</v>
      </c>
      <c r="C10504" s="1" t="str">
        <f ca="1">IFERROR(__xludf.DUMMYFUNCTION("GOOGLETRANSLATE(B10691,""en"",""ja"")"),"補体")</f>
        <v>補体</v>
      </c>
    </row>
    <row r="10505" spans="1:3" ht="18" customHeight="1" x14ac:dyDescent="0.3">
      <c r="A10505" s="1">
        <v>1</v>
      </c>
      <c r="B10505" s="1" t="s">
        <v>6366</v>
      </c>
      <c r="C10505" s="1" t="str">
        <f ca="1">IFERROR(__xludf.DUMMYFUNCTION("GOOGLETRANSLATE(B10692,""en"",""ja"")"),"苦情文句")</f>
        <v>苦情文句</v>
      </c>
    </row>
    <row r="10506" spans="1:3" ht="18" customHeight="1" x14ac:dyDescent="0.3">
      <c r="A10506" s="1">
        <v>1</v>
      </c>
      <c r="B10506" s="1" t="s">
        <v>8021</v>
      </c>
      <c r="C10506" s="1" t="str">
        <f ca="1">IFERROR(__xludf.DUMMYFUNCTION("GOOGLETRANSLATE(B10693,""en"",""ja"")"),"文句を言います")</f>
        <v>文句を言います</v>
      </c>
    </row>
    <row r="10507" spans="1:3" ht="18" customHeight="1" x14ac:dyDescent="0.3">
      <c r="A10507" s="1">
        <v>1</v>
      </c>
      <c r="B10507" s="1" t="s">
        <v>2211</v>
      </c>
      <c r="C10507" s="1" t="str">
        <f ca="1">IFERROR(__xludf.DUMMYFUNCTION("GOOGLETRANSLATE(B10694,""en"",""ja"")"),"比較します")</f>
        <v>比較します</v>
      </c>
    </row>
    <row r="10508" spans="1:3" ht="18" customHeight="1" x14ac:dyDescent="0.3">
      <c r="A10508" s="1">
        <v>1</v>
      </c>
      <c r="B10508" s="1" t="s">
        <v>8022</v>
      </c>
      <c r="C10508" s="1" t="str">
        <f ca="1">IFERROR(__xludf.DUMMYFUNCTION("GOOGLETRANSLATE(B10695,""en"",""ja"")"),"常識")</f>
        <v>常識</v>
      </c>
    </row>
    <row r="10509" spans="1:3" ht="18" customHeight="1" x14ac:dyDescent="0.3">
      <c r="A10509" s="1">
        <v>1</v>
      </c>
      <c r="B10509" s="1" t="s">
        <v>8023</v>
      </c>
      <c r="C10509" s="1" t="str">
        <f ca="1">IFERROR(__xludf.DUMMYFUNCTION("GOOGLETRANSLATE(B10696,""en"",""ja"")"),"商品")</f>
        <v>商品</v>
      </c>
    </row>
    <row r="10510" spans="1:3" ht="18" customHeight="1" x14ac:dyDescent="0.3">
      <c r="A10510" s="1">
        <v>1</v>
      </c>
      <c r="B10510" s="1" t="s">
        <v>6370</v>
      </c>
      <c r="C10510" s="1" t="str">
        <f ca="1">IFERROR(__xludf.DUMMYFUNCTION("GOOGLETRANSLATE(B10697,""en"",""ja"")"),"コミッショナー")</f>
        <v>コミッショナー</v>
      </c>
    </row>
    <row r="10511" spans="1:3" ht="18" customHeight="1" x14ac:dyDescent="0.3">
      <c r="A10511" s="1">
        <v>1</v>
      </c>
      <c r="B10511" s="1" t="s">
        <v>3103</v>
      </c>
      <c r="C10511" s="1" t="str">
        <f ca="1">IFERROR(__xludf.DUMMYFUNCTION("GOOGLETRANSLATE(B10698,""en"",""ja"")"),"手数料")</f>
        <v>手数料</v>
      </c>
    </row>
    <row r="10512" spans="1:3" ht="18" customHeight="1" x14ac:dyDescent="0.3">
      <c r="A10512" s="1">
        <v>1</v>
      </c>
      <c r="B10512" s="1" t="s">
        <v>8024</v>
      </c>
      <c r="C10512" s="1" t="str">
        <f ca="1">IFERROR(__xludf.DUMMYFUNCTION("GOOGLETRANSLATE(B10699,""en"",""ja"")"),"実用化")</f>
        <v>実用化</v>
      </c>
    </row>
    <row r="10513" spans="1:3" ht="18" customHeight="1" x14ac:dyDescent="0.3">
      <c r="A10513" s="1">
        <v>1</v>
      </c>
      <c r="B10513" s="1" t="s">
        <v>8025</v>
      </c>
      <c r="C10513" s="1" t="str">
        <f ca="1">IFERROR(__xludf.DUMMYFUNCTION("GOOGLETRANSLATE(B10700,""en"",""ja"")"),"商品化")</f>
        <v>商品化</v>
      </c>
    </row>
    <row r="10514" spans="1:3" ht="18" customHeight="1" x14ac:dyDescent="0.3">
      <c r="A10514" s="1">
        <v>1</v>
      </c>
      <c r="B10514" s="1" t="s">
        <v>5031</v>
      </c>
      <c r="C10514" s="1" t="str">
        <f ca="1">IFERROR(__xludf.DUMMYFUNCTION("GOOGLETRANSLATE(B10701,""en"",""ja"")"),"コメント")</f>
        <v>コメント</v>
      </c>
    </row>
    <row r="10515" spans="1:3" ht="18" customHeight="1" x14ac:dyDescent="0.3">
      <c r="A10515" s="1">
        <v>1</v>
      </c>
      <c r="B10515" s="1" t="s">
        <v>8026</v>
      </c>
      <c r="C10515" s="1" t="str">
        <f ca="1">IFERROR(__xludf.DUMMYFUNCTION("GOOGLETRANSLATE(B10702,""en"",""ja"")"),"コマンド")</f>
        <v>コマンド</v>
      </c>
    </row>
    <row r="10516" spans="1:3" ht="18" customHeight="1" x14ac:dyDescent="0.3">
      <c r="A10516" s="1">
        <v>1</v>
      </c>
      <c r="B10516" s="1" t="s">
        <v>6372</v>
      </c>
      <c r="C10516" s="1" t="str">
        <f ca="1">IFERROR(__xludf.DUMMYFUNCTION("GOOGLETRANSLATE(B10703,""en"",""ja"")"),"快適")</f>
        <v>快適</v>
      </c>
    </row>
    <row r="10517" spans="1:3" ht="18" customHeight="1" x14ac:dyDescent="0.3">
      <c r="A10517" s="1">
        <v>1</v>
      </c>
      <c r="B10517" s="1" t="s">
        <v>6373</v>
      </c>
      <c r="C10517" s="1" t="str">
        <f ca="1">IFERROR(__xludf.DUMMYFUNCTION("GOOGLETRANSLATE(B10704,""en"",""ja"")"),"戻ってくる")</f>
        <v>戻ってくる</v>
      </c>
    </row>
    <row r="10518" spans="1:3" ht="18" customHeight="1" x14ac:dyDescent="0.3">
      <c r="A10518" s="1">
        <v>1</v>
      </c>
      <c r="B10518" s="1" t="s">
        <v>8027</v>
      </c>
      <c r="C10518" s="1" t="str">
        <f ca="1">IFERROR(__xludf.DUMMYFUNCTION("GOOGLETRANSLATE(B10705,""en"",""ja"")"),"COLUMN1")</f>
        <v>COLUMN1</v>
      </c>
    </row>
    <row r="10519" spans="1:3" ht="18" customHeight="1" x14ac:dyDescent="0.3">
      <c r="A10519" s="1">
        <v>1</v>
      </c>
      <c r="B10519" s="1" t="s">
        <v>8028</v>
      </c>
      <c r="C10519" s="1" t="str">
        <f ca="1">IFERROR(__xludf.DUMMYFUNCTION("GOOGLETRANSLATE(B10706,""en"",""ja"")"),"無色")</f>
        <v>無色</v>
      </c>
    </row>
    <row r="10520" spans="1:3" ht="18" customHeight="1" x14ac:dyDescent="0.3">
      <c r="A10520" s="1">
        <v>1</v>
      </c>
      <c r="B10520" s="1" t="s">
        <v>8029</v>
      </c>
      <c r="C10520" s="1" t="str">
        <f ca="1">IFERROR(__xludf.DUMMYFUNCTION("GOOGLETRANSLATE(B10707,""en"",""ja"")"),"カラフル")</f>
        <v>カラフル</v>
      </c>
    </row>
    <row r="10521" spans="1:3" ht="18" customHeight="1" x14ac:dyDescent="0.3">
      <c r="A10521" s="1">
        <v>1</v>
      </c>
      <c r="B10521" s="1" t="s">
        <v>8030</v>
      </c>
      <c r="C10521" s="1" t="str">
        <f ca="1">IFERROR(__xludf.DUMMYFUNCTION("GOOGLETRANSLATE(B10708,""en"",""ja"")"),"植民地化")</f>
        <v>植民地化</v>
      </c>
    </row>
    <row r="10522" spans="1:3" ht="18" customHeight="1" x14ac:dyDescent="0.3">
      <c r="A10522" s="1">
        <v>1</v>
      </c>
      <c r="B10522" s="1" t="s">
        <v>5034</v>
      </c>
      <c r="C10522" s="1" t="str">
        <f ca="1">IFERROR(__xludf.DUMMYFUNCTION("GOOGLETRANSLATE(B10709,""en"",""ja"")"),"植民地主義")</f>
        <v>植民地主義</v>
      </c>
    </row>
    <row r="10523" spans="1:3" ht="18" customHeight="1" x14ac:dyDescent="0.3">
      <c r="A10523" s="1">
        <v>1</v>
      </c>
      <c r="B10523" s="1" t="s">
        <v>8031</v>
      </c>
      <c r="C10523" s="1" t="str">
        <f ca="1">IFERROR(__xludf.DUMMYFUNCTION("GOOGLETRANSLATE(B10710,""en"",""ja"")"),"崩壊")</f>
        <v>崩壊</v>
      </c>
    </row>
    <row r="10524" spans="1:3" ht="18" customHeight="1" x14ac:dyDescent="0.3">
      <c r="A10524" s="1">
        <v>1</v>
      </c>
      <c r="B10524" s="1" t="s">
        <v>6376</v>
      </c>
      <c r="C10524" s="1" t="str">
        <f ca="1">IFERROR(__xludf.DUMMYFUNCTION("GOOGLETRANSLATE(B10711,""en"",""ja"")"),"共同")</f>
        <v>共同</v>
      </c>
    </row>
    <row r="10525" spans="1:3" ht="18" customHeight="1" x14ac:dyDescent="0.3">
      <c r="A10525" s="1">
        <v>1</v>
      </c>
      <c r="B10525" s="1" t="s">
        <v>2453</v>
      </c>
      <c r="C10525" s="1" t="str">
        <f ca="1">IFERROR(__xludf.DUMMYFUNCTION("GOOGLETRANSLATE(B10712,""en"",""ja"")"),"コラボレイティブ")</f>
        <v>コラボレイティブ</v>
      </c>
    </row>
    <row r="10526" spans="1:3" ht="18" customHeight="1" x14ac:dyDescent="0.3">
      <c r="A10526" s="1">
        <v>1</v>
      </c>
      <c r="B10526" s="1" t="s">
        <v>8032</v>
      </c>
      <c r="C10526" s="1" t="str">
        <f ca="1">IFERROR(__xludf.DUMMYFUNCTION("GOOGLETRANSLATE(B10713,""en"",""ja"")"),"協働")</f>
        <v>協働</v>
      </c>
    </row>
    <row r="10527" spans="1:3" ht="18" customHeight="1" x14ac:dyDescent="0.3">
      <c r="A10527" s="1">
        <v>1</v>
      </c>
      <c r="B10527" s="1" t="s">
        <v>8033</v>
      </c>
      <c r="C10527" s="1" t="str">
        <f ca="1">IFERROR(__xludf.DUMMYFUNCTION("GOOGLETRANSLATE(B10714,""en"",""ja"")"),"clude")</f>
        <v>clude</v>
      </c>
    </row>
    <row r="10528" spans="1:3" ht="18" customHeight="1" x14ac:dyDescent="0.3">
      <c r="A10528" s="1">
        <v>1</v>
      </c>
      <c r="B10528" s="3" t="s">
        <v>8034</v>
      </c>
      <c r="C10528" s="1" t="str">
        <f ca="1">IFERROR(__xludf.DUMMYFUNCTION("GOOGLETRANSLATE(B10715,""en"",""ja"")"),"ピエロ")</f>
        <v>ピエロ</v>
      </c>
    </row>
    <row r="10529" spans="1:3" ht="18" customHeight="1" x14ac:dyDescent="0.3">
      <c r="A10529" s="1">
        <v>1</v>
      </c>
      <c r="B10529" s="1" t="s">
        <v>3680</v>
      </c>
      <c r="C10529" s="1" t="str">
        <f ca="1">IFERROR(__xludf.DUMMYFUNCTION("GOOGLETRANSLATE(B10717,""en"",""ja"")"),"雲")</f>
        <v>雲</v>
      </c>
    </row>
    <row r="10530" spans="1:3" ht="18" customHeight="1" x14ac:dyDescent="0.3">
      <c r="A10530" s="1">
        <v>1</v>
      </c>
      <c r="B10530" s="1" t="s">
        <v>8035</v>
      </c>
      <c r="C10530" s="1" t="str">
        <f ca="1">IFERROR(__xludf.DUMMYFUNCTION("GOOGLETRANSLATE(B10718,""en"",""ja"")"),"クローゼット")</f>
        <v>クローゼット</v>
      </c>
    </row>
    <row r="10531" spans="1:3" ht="18" customHeight="1" x14ac:dyDescent="0.3">
      <c r="A10531" s="1">
        <v>1</v>
      </c>
      <c r="B10531" s="1" t="s">
        <v>8036</v>
      </c>
      <c r="C10531" s="1" t="str">
        <f ca="1">IFERROR(__xludf.DUMMYFUNCTION("GOOGLETRANSLATE(B10719,""en"",""ja"")"),"クローニング")</f>
        <v>クローニング</v>
      </c>
    </row>
    <row r="10532" spans="1:3" ht="18" customHeight="1" x14ac:dyDescent="0.3">
      <c r="A10532" s="1">
        <v>1</v>
      </c>
      <c r="B10532" s="1" t="s">
        <v>8037</v>
      </c>
      <c r="C10532" s="1" t="str">
        <f ca="1">IFERROR(__xludf.DUMMYFUNCTION("GOOGLETRANSLATE(B10720,""en"",""ja"")"),"クローン")</f>
        <v>クローン</v>
      </c>
    </row>
    <row r="10533" spans="1:3" ht="18" customHeight="1" x14ac:dyDescent="0.3">
      <c r="A10533" s="1">
        <v>1</v>
      </c>
      <c r="B10533" s="1" t="s">
        <v>8038</v>
      </c>
      <c r="C10533" s="1" t="str">
        <f ca="1">IFERROR(__xludf.DUMMYFUNCTION("GOOGLETRANSLATE(B10721,""en"",""ja"")"),"クロックさん")</f>
        <v>クロックさん</v>
      </c>
    </row>
    <row r="10534" spans="1:3" ht="18" customHeight="1" x14ac:dyDescent="0.3">
      <c r="A10534" s="1">
        <v>1</v>
      </c>
      <c r="B10534" s="1" t="s">
        <v>8039</v>
      </c>
      <c r="C10534" s="1" t="str">
        <f ca="1">IFERROR(__xludf.DUMMYFUNCTION("GOOGLETRANSLATE(B10722,""en"",""ja"")"),"クライマックス")</f>
        <v>クライマックス</v>
      </c>
    </row>
    <row r="10535" spans="1:3" ht="18" customHeight="1" x14ac:dyDescent="0.3">
      <c r="A10535" s="1">
        <v>1</v>
      </c>
      <c r="B10535" s="1" t="s">
        <v>8040</v>
      </c>
      <c r="C10535" s="1" t="str">
        <f ca="1">IFERROR(__xludf.DUMMYFUNCTION("GOOGLETRANSLATE(B10723,""en"",""ja"")"),"クライアント")</f>
        <v>クライアント</v>
      </c>
    </row>
    <row r="10536" spans="1:3" ht="18" customHeight="1" x14ac:dyDescent="0.3">
      <c r="A10536" s="1">
        <v>1</v>
      </c>
      <c r="B10536" s="1" t="s">
        <v>8041</v>
      </c>
      <c r="C10536" s="1" t="str">
        <f ca="1">IFERROR(__xludf.DUMMYFUNCTION("GOOGLETRANSLATE(B10724,""en"",""ja"")"),"クリック")</f>
        <v>クリック</v>
      </c>
    </row>
    <row r="10537" spans="1:3" ht="18" customHeight="1" x14ac:dyDescent="0.3">
      <c r="A10537" s="1">
        <v>1</v>
      </c>
      <c r="B10537" s="1" t="s">
        <v>8042</v>
      </c>
      <c r="C10537" s="1" t="str">
        <f ca="1">IFERROR(__xludf.DUMMYFUNCTION("GOOGLETRANSLATE(B10725,""en"",""ja"")"),"分類")</f>
        <v>分類</v>
      </c>
    </row>
    <row r="10538" spans="1:3" ht="18" customHeight="1" x14ac:dyDescent="0.3">
      <c r="A10538" s="1">
        <v>1</v>
      </c>
      <c r="B10538" s="1" t="s">
        <v>1706</v>
      </c>
      <c r="C10538" s="1" t="str">
        <f ca="1">IFERROR(__xludf.DUMMYFUNCTION("GOOGLETRANSLATE(B10726,""en"",""ja"")"),"クラシック")</f>
        <v>クラシック</v>
      </c>
    </row>
    <row r="10539" spans="1:3" ht="18" customHeight="1" x14ac:dyDescent="0.3">
      <c r="A10539" s="1">
        <v>1</v>
      </c>
      <c r="B10539" s="1" t="s">
        <v>8043</v>
      </c>
      <c r="C10539" s="1" t="str">
        <f ca="1">IFERROR(__xludf.DUMMYFUNCTION("GOOGLETRANSLATE(B10727,""en"",""ja"")"),"衝突")</f>
        <v>衝突</v>
      </c>
    </row>
    <row r="10540" spans="1:3" ht="18" customHeight="1" x14ac:dyDescent="0.3">
      <c r="A10540" s="1">
        <v>1</v>
      </c>
      <c r="B10540" s="1" t="s">
        <v>5051</v>
      </c>
      <c r="C10540" s="1" t="str">
        <f ca="1">IFERROR(__xludf.DUMMYFUNCTION("GOOGLETRANSLATE(B10728,""en"",""ja"")"),"明らかにする")</f>
        <v>明らかにする</v>
      </c>
    </row>
    <row r="10541" spans="1:3" ht="18" customHeight="1" x14ac:dyDescent="0.3">
      <c r="A10541" s="1">
        <v>1</v>
      </c>
      <c r="B10541" s="1" t="s">
        <v>6392</v>
      </c>
      <c r="C10541" s="1" t="str">
        <f ca="1">IFERROR(__xludf.DUMMYFUNCTION("GOOGLETRANSLATE(B10729,""en"",""ja"")"),"一族")</f>
        <v>一族</v>
      </c>
    </row>
    <row r="10542" spans="1:3" ht="18" customHeight="1" x14ac:dyDescent="0.3">
      <c r="A10542" s="1">
        <v>1</v>
      </c>
      <c r="B10542" s="1" t="s">
        <v>8044</v>
      </c>
      <c r="C10542" s="1" t="str">
        <f ca="1">IFERROR(__xludf.DUMMYFUNCTION("GOOGLETRANSLATE(B10730,""en"",""ja"")"),"文明化")</f>
        <v>文明化</v>
      </c>
    </row>
    <row r="10543" spans="1:3" ht="18" customHeight="1" x14ac:dyDescent="0.3">
      <c r="A10543" s="1">
        <v>1</v>
      </c>
      <c r="B10543" s="1" t="s">
        <v>8045</v>
      </c>
      <c r="C10543" s="1" t="str">
        <f ca="1">IFERROR(__xludf.DUMMYFUNCTION("GOOGLETRANSLATE(B10731,""en"",""ja"")"),"引用します")</f>
        <v>引用します</v>
      </c>
    </row>
    <row r="10544" spans="1:3" ht="18" customHeight="1" x14ac:dyDescent="0.3">
      <c r="A10544" s="1">
        <v>1</v>
      </c>
      <c r="B10544" s="1" t="s">
        <v>6396</v>
      </c>
      <c r="C10544" s="1" t="str">
        <f ca="1">IFERROR(__xludf.DUMMYFUNCTION("GOOGLETRANSLATE(B10732,""en"",""ja"")"),"状況的")</f>
        <v>状況的</v>
      </c>
    </row>
    <row r="10545" spans="1:3" ht="18" customHeight="1" x14ac:dyDescent="0.3">
      <c r="A10545" s="1">
        <v>1</v>
      </c>
      <c r="B10545" s="1" t="s">
        <v>8046</v>
      </c>
      <c r="C10545" s="1" t="str">
        <f ca="1">IFERROR(__xludf.DUMMYFUNCTION("GOOGLETRANSLATE(B10733,""en"",""ja"")"),"外接")</f>
        <v>外接</v>
      </c>
    </row>
    <row r="10546" spans="1:3" ht="18" customHeight="1" x14ac:dyDescent="0.3">
      <c r="A10546" s="1">
        <v>1</v>
      </c>
      <c r="B10546" s="1" t="s">
        <v>8047</v>
      </c>
      <c r="C10546" s="1" t="str">
        <f ca="1">IFERROR(__xludf.DUMMYFUNCTION("GOOGLETRANSLATE(B10734,""en"",""ja"")"),"シネマトグラフ")</f>
        <v>シネマトグラフ</v>
      </c>
    </row>
    <row r="10547" spans="1:3" ht="18" customHeight="1" x14ac:dyDescent="0.3">
      <c r="A10547" s="1">
        <v>1</v>
      </c>
      <c r="B10547" s="1" t="s">
        <v>6401</v>
      </c>
      <c r="C10547" s="1" t="str">
        <f ca="1">IFERROR(__xludf.DUMMYFUNCTION("GOOGLETRANSLATE(B10735,""en"",""ja"")"),"時系列")</f>
        <v>時系列</v>
      </c>
    </row>
    <row r="10548" spans="1:3" ht="18" customHeight="1" x14ac:dyDescent="0.3">
      <c r="A10548" s="1">
        <v>1</v>
      </c>
      <c r="B10548" s="1" t="s">
        <v>8048</v>
      </c>
      <c r="C10548" s="1" t="str">
        <f ca="1">IFERROR(__xludf.DUMMYFUNCTION("GOOGLETRANSLATE(B10736,""en"",""ja"")"),"チョップ")</f>
        <v>チョップ</v>
      </c>
    </row>
    <row r="10549" spans="1:3" ht="18" customHeight="1" x14ac:dyDescent="0.3">
      <c r="A10549" s="1">
        <v>1</v>
      </c>
      <c r="B10549" s="1" t="s">
        <v>8049</v>
      </c>
      <c r="C10549" s="1" t="str">
        <f ca="1">IFERROR(__xludf.DUMMYFUNCTION("GOOGLETRANSLATE(B10737,""en"",""ja"")"),"chologist")</f>
        <v>chologist</v>
      </c>
    </row>
    <row r="10550" spans="1:3" ht="18" customHeight="1" x14ac:dyDescent="0.3">
      <c r="A10550" s="1">
        <v>1</v>
      </c>
      <c r="B10550" s="1" t="s">
        <v>8050</v>
      </c>
      <c r="C10550" s="1" t="str">
        <f ca="1">IFERROR(__xludf.DUMMYFUNCTION("GOOGLETRANSLATE(B10738,""en"",""ja"")"),"選択肢")</f>
        <v>選択肢</v>
      </c>
    </row>
    <row r="10551" spans="1:3" ht="18" customHeight="1" x14ac:dyDescent="0.3">
      <c r="A10551" s="1">
        <v>1</v>
      </c>
      <c r="B10551" s="1" t="s">
        <v>8051</v>
      </c>
      <c r="C10551" s="1" t="str">
        <f ca="1">IFERROR(__xludf.DUMMYFUNCTION("GOOGLETRANSLATE(B10739,""en"",""ja"")"),"チンパンジー")</f>
        <v>チンパンジー</v>
      </c>
    </row>
    <row r="10552" spans="1:3" ht="18" customHeight="1" x14ac:dyDescent="0.3">
      <c r="A10552" s="1">
        <v>1</v>
      </c>
      <c r="B10552" s="1" t="s">
        <v>8052</v>
      </c>
      <c r="C10552" s="1" t="str">
        <f ca="1">IFERROR(__xludf.DUMMYFUNCTION("GOOGLETRANSLATE(B10740,""en"",""ja"")"),"子供")</f>
        <v>子供</v>
      </c>
    </row>
    <row r="10553" spans="1:3" ht="18" customHeight="1" x14ac:dyDescent="0.3">
      <c r="A10553" s="1">
        <v>1</v>
      </c>
      <c r="B10553" s="1" t="s">
        <v>8053</v>
      </c>
      <c r="C10553" s="1" t="str">
        <f ca="1">IFERROR(__xludf.DUMMYFUNCTION("GOOGLETRANSLATE(B10741,""en"",""ja"")"),"小切手")</f>
        <v>小切手</v>
      </c>
    </row>
    <row r="10554" spans="1:3" ht="18" customHeight="1" x14ac:dyDescent="0.3">
      <c r="A10554" s="1">
        <v>1</v>
      </c>
      <c r="B10554" s="1" t="s">
        <v>6408</v>
      </c>
      <c r="C10554" s="1" t="str">
        <f ca="1">IFERROR(__xludf.DUMMYFUNCTION("GOOGLETRANSLATE(B10742,""en"",""ja"")"),"充電")</f>
        <v>充電</v>
      </c>
    </row>
    <row r="10555" spans="1:3" ht="18" customHeight="1" x14ac:dyDescent="0.3">
      <c r="A10555" s="1">
        <v>1</v>
      </c>
      <c r="B10555" s="1" t="s">
        <v>8054</v>
      </c>
      <c r="C10555" s="1" t="str">
        <f ca="1">IFERROR(__xludf.DUMMYFUNCTION("GOOGLETRANSLATE(B10743,""en"",""ja"")"),"chakrabortihasalsofound")</f>
        <v>chakrabortihasalsofound</v>
      </c>
    </row>
    <row r="10556" spans="1:3" ht="18" customHeight="1" x14ac:dyDescent="0.3">
      <c r="A10556" s="1">
        <v>1</v>
      </c>
      <c r="B10556" s="1" t="s">
        <v>8055</v>
      </c>
      <c r="C10556" s="1" t="str">
        <f ca="1">IFERROR(__xludf.DUMMYFUNCTION("GOOGLETRANSLATE(B10744,""en"",""ja"")"),"chakraborti")</f>
        <v>chakraborti</v>
      </c>
    </row>
    <row r="10557" spans="1:3" ht="18" customHeight="1" x14ac:dyDescent="0.3">
      <c r="A10557" s="1">
        <v>1</v>
      </c>
      <c r="B10557" s="1" t="s">
        <v>8056</v>
      </c>
      <c r="C10557" s="1" t="str">
        <f ca="1">IFERROR(__xludf.DUMMYFUNCTION("GOOGLETRANSLATE(B10746,""en"",""ja"")"),"中心性")</f>
        <v>中心性</v>
      </c>
    </row>
    <row r="10558" spans="1:3" ht="18" customHeight="1" x14ac:dyDescent="0.3">
      <c r="A10558" s="1">
        <v>1</v>
      </c>
      <c r="B10558" s="1" t="s">
        <v>6413</v>
      </c>
      <c r="C10558" s="1" t="str">
        <f ca="1">IFERROR(__xludf.DUMMYFUNCTION("GOOGLETRANSLATE(B10748,""en"",""ja"")"),"細胞充実")</f>
        <v>細胞充実</v>
      </c>
    </row>
    <row r="10559" spans="1:3" ht="18" customHeight="1" x14ac:dyDescent="0.3">
      <c r="A10559" s="1">
        <v>1</v>
      </c>
      <c r="B10559" s="1" t="s">
        <v>4163</v>
      </c>
      <c r="C10559" s="1" t="str">
        <f ca="1">IFERROR(__xludf.DUMMYFUNCTION("GOOGLETRANSLATE(B10749,""en"",""ja"")"),"天の")</f>
        <v>天の</v>
      </c>
    </row>
    <row r="10560" spans="1:3" ht="18" customHeight="1" x14ac:dyDescent="0.3">
      <c r="A10560" s="1">
        <v>1</v>
      </c>
      <c r="B10560" s="1" t="s">
        <v>8057</v>
      </c>
      <c r="C10560" s="1" t="str">
        <f ca="1">IFERROR(__xludf.DUMMYFUNCTION("GOOGLETRANSLATE(B10750,""en"",""ja"")"),"注意事項")</f>
        <v>注意事項</v>
      </c>
    </row>
    <row r="10561" spans="1:3" ht="18" customHeight="1" x14ac:dyDescent="0.3">
      <c r="A10561" s="1">
        <v>1</v>
      </c>
      <c r="B10561" s="1" t="s">
        <v>8058</v>
      </c>
      <c r="C10561" s="1" t="str">
        <f ca="1">IFERROR(__xludf.DUMMYFUNCTION("GOOGLETRANSLATE(B10751,""en"",""ja"")"),"鋳造")</f>
        <v>鋳造</v>
      </c>
    </row>
    <row r="10562" spans="1:3" ht="18" customHeight="1" x14ac:dyDescent="0.3">
      <c r="A10562" s="1">
        <v>1</v>
      </c>
      <c r="B10562" s="1" t="s">
        <v>8059</v>
      </c>
      <c r="C10562" s="1" t="str">
        <f ca="1">IFERROR(__xludf.DUMMYFUNCTION("GOOGLETRANSLATE(B10752,""en"",""ja"")"),"カーソンさん")</f>
        <v>カーソンさん</v>
      </c>
    </row>
    <row r="10563" spans="1:3" ht="18" customHeight="1" x14ac:dyDescent="0.3">
      <c r="A10563" s="1">
        <v>1</v>
      </c>
      <c r="B10563" s="1" t="s">
        <v>8060</v>
      </c>
      <c r="C10563" s="1" t="str">
        <f ca="1">IFERROR(__xludf.DUMMYFUNCTION("GOOGLETRANSLATE(B10753,""en"",""ja"")"),"被介護")</f>
        <v>被介護</v>
      </c>
    </row>
    <row r="10564" spans="1:3" ht="18" customHeight="1" x14ac:dyDescent="0.3">
      <c r="A10564" s="1">
        <v>1</v>
      </c>
      <c r="B10564" s="1" t="s">
        <v>8061</v>
      </c>
      <c r="C10564" s="1" t="str">
        <f ca="1">IFERROR(__xludf.DUMMYFUNCTION("GOOGLETRANSLATE(B10754,""en"",""ja"")"),"キャプティブ")</f>
        <v>キャプティブ</v>
      </c>
    </row>
    <row r="10565" spans="1:3" ht="18" customHeight="1" x14ac:dyDescent="0.3">
      <c r="A10565" s="1">
        <v>1</v>
      </c>
      <c r="B10565" s="1" t="s">
        <v>8062</v>
      </c>
      <c r="C10565" s="1" t="str">
        <f ca="1">IFERROR(__xludf.DUMMYFUNCTION("GOOGLETRANSLATE(B10756,""en"",""ja"")"),"ケープ")</f>
        <v>ケープ</v>
      </c>
    </row>
    <row r="10566" spans="1:3" ht="18" customHeight="1" x14ac:dyDescent="0.3">
      <c r="A10566" s="1">
        <v>1</v>
      </c>
      <c r="B10566" s="1" t="s">
        <v>3695</v>
      </c>
      <c r="C10566" s="1" t="str">
        <f ca="1">IFERROR(__xludf.DUMMYFUNCTION("GOOGLETRANSLATE(B10757,""en"",""ja"")"),"できます")</f>
        <v>できます</v>
      </c>
    </row>
    <row r="10567" spans="1:3" ht="18" customHeight="1" x14ac:dyDescent="0.3">
      <c r="A10567" s="1">
        <v>1</v>
      </c>
      <c r="B10567" s="1" t="s">
        <v>8063</v>
      </c>
      <c r="C10567" s="1" t="str">
        <f ca="1">IFERROR(__xludf.DUMMYFUNCTION("GOOGLETRANSLATE(B10758,""en"",""ja"")"),"大砲")</f>
        <v>大砲</v>
      </c>
    </row>
    <row r="10568" spans="1:3" ht="18" customHeight="1" x14ac:dyDescent="0.3">
      <c r="A10568" s="1">
        <v>1</v>
      </c>
      <c r="B10568" s="1" t="s">
        <v>8064</v>
      </c>
      <c r="C10568" s="1" t="str">
        <f ca="1">IFERROR(__xludf.DUMMYFUNCTION("GOOGLETRANSLATE(B10759,""en"",""ja"")"),"キャンセル")</f>
        <v>キャンセル</v>
      </c>
    </row>
    <row r="10569" spans="1:3" ht="18" customHeight="1" x14ac:dyDescent="0.3">
      <c r="A10569" s="1">
        <v>1</v>
      </c>
      <c r="B10569" s="1" t="s">
        <v>8065</v>
      </c>
      <c r="C10569" s="1" t="str">
        <f ca="1">IFERROR(__xludf.DUMMYFUNCTION("GOOGLETRANSLATE(B10760,""en"",""ja"")"),"キャンセル")</f>
        <v>キャンセル</v>
      </c>
    </row>
    <row r="10570" spans="1:3" ht="18" customHeight="1" x14ac:dyDescent="0.3">
      <c r="A10570" s="1">
        <v>1</v>
      </c>
      <c r="B10570" s="1" t="s">
        <v>5073</v>
      </c>
      <c r="C10570" s="1" t="str">
        <f ca="1">IFERROR(__xludf.DUMMYFUNCTION("GOOGLETRANSLATE(B10761,""en"",""ja"")"),"取り消し")</f>
        <v>取り消し</v>
      </c>
    </row>
    <row r="10571" spans="1:3" ht="18" customHeight="1" x14ac:dyDescent="0.3">
      <c r="A10571" s="1">
        <v>1</v>
      </c>
      <c r="B10571" s="1" t="s">
        <v>8066</v>
      </c>
      <c r="C10571" s="1" t="str">
        <f ca="1">IFERROR(__xludf.DUMMYFUNCTION("GOOGLETRANSLATE(B10762,""en"",""ja"")"),"カナダ")</f>
        <v>カナダ</v>
      </c>
    </row>
    <row r="10572" spans="1:3" ht="18" customHeight="1" x14ac:dyDescent="0.3">
      <c r="A10572" s="1">
        <v>1</v>
      </c>
      <c r="B10572" s="1" t="s">
        <v>6428</v>
      </c>
      <c r="C10572" s="1" t="str">
        <f ca="1">IFERROR(__xludf.DUMMYFUNCTION("GOOGLETRANSLATE(B10763,""en"",""ja"")"),"カメラ")</f>
        <v>カメラ</v>
      </c>
    </row>
    <row r="10573" spans="1:3" ht="18" customHeight="1" x14ac:dyDescent="0.3">
      <c r="A10573" s="1">
        <v>1</v>
      </c>
      <c r="B10573" s="1" t="s">
        <v>8067</v>
      </c>
      <c r="C10573" s="1" t="str">
        <f ca="1">IFERROR(__xludf.DUMMYFUNCTION("GOOGLETRANSLATE(B10764,""en"",""ja"")"),"ビデオカメラ")</f>
        <v>ビデオカメラ</v>
      </c>
    </row>
    <row r="10574" spans="1:3" ht="18" customHeight="1" x14ac:dyDescent="0.3">
      <c r="A10574" s="1">
        <v>1</v>
      </c>
      <c r="B10574" s="1" t="s">
        <v>8068</v>
      </c>
      <c r="C10574" s="1" t="str">
        <f ca="1">IFERROR(__xludf.DUMMYFUNCTION("GOOGLETRANSLATE(B10765,""en"",""ja"")"),"穏やか")</f>
        <v>穏やか</v>
      </c>
    </row>
    <row r="10575" spans="1:3" ht="18" customHeight="1" x14ac:dyDescent="0.3">
      <c r="A10575" s="1">
        <v>1</v>
      </c>
      <c r="B10575" s="1" t="s">
        <v>7293</v>
      </c>
      <c r="C10575" s="1" t="str">
        <f ca="1">IFERROR(__xludf.DUMMYFUNCTION("GOOGLETRANSLATE(B10766,""en"",""ja"")"),"暦")</f>
        <v>暦</v>
      </c>
    </row>
    <row r="10576" spans="1:3" ht="18" customHeight="1" x14ac:dyDescent="0.3">
      <c r="A10576" s="1">
        <v>1</v>
      </c>
      <c r="B10576" s="1" t="s">
        <v>24</v>
      </c>
      <c r="C10576" s="1" t="str">
        <f ca="1">IFERROR(__xludf.DUMMYFUNCTION("GOOGLETRANSLATE(B10767,""en"",""ja"")"),"だが")</f>
        <v>だが</v>
      </c>
    </row>
    <row r="10577" spans="1:3" ht="18" customHeight="1" x14ac:dyDescent="0.3">
      <c r="A10577" s="1">
        <v>1</v>
      </c>
      <c r="B10577" s="1" t="s">
        <v>8069</v>
      </c>
      <c r="C10577" s="1" t="str">
        <f ca="1">IFERROR(__xludf.DUMMYFUNCTION("GOOGLETRANSLATE(B10768,""en"",""ja"")"),"重荷")</f>
        <v>重荷</v>
      </c>
    </row>
    <row r="10578" spans="1:3" ht="18" customHeight="1" x14ac:dyDescent="0.3">
      <c r="A10578" s="1">
        <v>1</v>
      </c>
      <c r="B10578" s="1" t="s">
        <v>3123</v>
      </c>
      <c r="C10578" s="1" t="str">
        <f ca="1">IFERROR(__xludf.DUMMYFUNCTION("GOOGLETRANSLATE(B10769,""en"",""ja"")"),"バンドル")</f>
        <v>バンドル</v>
      </c>
    </row>
    <row r="10579" spans="1:3" ht="18" customHeight="1" x14ac:dyDescent="0.3">
      <c r="A10579" s="1">
        <v>1</v>
      </c>
      <c r="B10579" s="1" t="s">
        <v>2003</v>
      </c>
      <c r="C10579" s="1" t="str">
        <f ca="1">IFERROR(__xludf.DUMMYFUNCTION("GOOGLETRANSLATE(B10770,""en"",""ja"")"),"かさ")</f>
        <v>かさ</v>
      </c>
    </row>
    <row r="10580" spans="1:3" ht="18" customHeight="1" x14ac:dyDescent="0.3">
      <c r="A10580" s="1">
        <v>1</v>
      </c>
      <c r="B10580" s="1" t="s">
        <v>6438</v>
      </c>
      <c r="C10580" s="1" t="str">
        <f ca="1">IFERROR(__xludf.DUMMYFUNCTION("GOOGLETRANSLATE(B10771,""en"",""ja"")"),"バルブ")</f>
        <v>バルブ</v>
      </c>
    </row>
    <row r="10581" spans="1:3" ht="18" customHeight="1" x14ac:dyDescent="0.3">
      <c r="A10581" s="1">
        <v>1</v>
      </c>
      <c r="B10581" s="1" t="s">
        <v>8070</v>
      </c>
      <c r="C10581" s="1" t="str">
        <f ca="1">IFERROR(__xludf.DUMMYFUNCTION("GOOGLETRANSLATE(B10772,""en"",""ja"")"),"バギー")</f>
        <v>バギー</v>
      </c>
    </row>
    <row r="10582" spans="1:3" ht="18" customHeight="1" x14ac:dyDescent="0.3">
      <c r="A10582" s="1">
        <v>1</v>
      </c>
      <c r="B10582" s="1" t="s">
        <v>8071</v>
      </c>
      <c r="C10582" s="1" t="str">
        <f ca="1">IFERROR(__xludf.DUMMYFUNCTION("GOOGLETRANSLATE(B10773,""en"",""ja"")"),"淡黄色")</f>
        <v>淡黄色</v>
      </c>
    </row>
    <row r="10583" spans="1:3" ht="18" customHeight="1" x14ac:dyDescent="0.3">
      <c r="A10583" s="1">
        <v>1</v>
      </c>
      <c r="B10583" s="1" t="s">
        <v>8072</v>
      </c>
      <c r="C10583" s="1" t="str">
        <f ca="1">IFERROR(__xludf.DUMMYFUNCTION("GOOGLETRANSLATE(B10774,""en"",""ja"")"),"ブラウジング")</f>
        <v>ブラウジング</v>
      </c>
    </row>
    <row r="10584" spans="1:3" ht="18" customHeight="1" x14ac:dyDescent="0.3">
      <c r="A10584" s="1">
        <v>1</v>
      </c>
      <c r="B10584" s="1" t="s">
        <v>8073</v>
      </c>
      <c r="C10584" s="1" t="str">
        <f ca="1">IFERROR(__xludf.DUMMYFUNCTION("GOOGLETRANSLATE(B10775,""en"",""ja"")"),"小川")</f>
        <v>小川</v>
      </c>
    </row>
    <row r="10585" spans="1:3" ht="18" customHeight="1" x14ac:dyDescent="0.3">
      <c r="A10585" s="1">
        <v>1</v>
      </c>
      <c r="B10585" s="1" t="s">
        <v>3126</v>
      </c>
      <c r="C10585" s="1" t="str">
        <f ca="1">IFERROR(__xludf.DUMMYFUNCTION("GOOGLETRANSLATE(B10776,""en"",""ja"")"),"幅広いです")</f>
        <v>幅広いです</v>
      </c>
    </row>
    <row r="10586" spans="1:3" ht="18" customHeight="1" x14ac:dyDescent="0.3">
      <c r="A10586" s="1">
        <v>1</v>
      </c>
      <c r="B10586" s="1" t="s">
        <v>1027</v>
      </c>
      <c r="C10586" s="1" t="str">
        <f ca="1">IFERROR(__xludf.DUMMYFUNCTION("GOOGLETRANSLATE(B10777,""en"",""ja"")"),"持って来ます")</f>
        <v>持って来ます</v>
      </c>
    </row>
    <row r="10587" spans="1:3" ht="18" customHeight="1" x14ac:dyDescent="0.3">
      <c r="A10587" s="1">
        <v>1</v>
      </c>
      <c r="B10587" s="1" t="s">
        <v>8074</v>
      </c>
      <c r="C10587" s="1" t="str">
        <f ca="1">IFERROR(__xludf.DUMMYFUNCTION("GOOGLETRANSLATE(B10778,""en"",""ja"")"),"ブリッジ")</f>
        <v>ブリッジ</v>
      </c>
    </row>
    <row r="10588" spans="1:3" ht="18" customHeight="1" x14ac:dyDescent="0.3">
      <c r="A10588" s="1">
        <v>1</v>
      </c>
      <c r="B10588" s="1" t="s">
        <v>2224</v>
      </c>
      <c r="C10588" s="1" t="str">
        <f ca="1">IFERROR(__xludf.DUMMYFUNCTION("GOOGLETRANSLATE(B10779,""en"",""ja"")"),"繁殖")</f>
        <v>繁殖</v>
      </c>
    </row>
    <row r="10589" spans="1:3" ht="18" customHeight="1" x14ac:dyDescent="0.3">
      <c r="A10589" s="1">
        <v>1</v>
      </c>
      <c r="B10589" s="1" t="s">
        <v>7299</v>
      </c>
      <c r="C10589" s="1" t="str">
        <f ca="1">IFERROR(__xludf.DUMMYFUNCTION("GOOGLETRANSLATE(B10780,""en"",""ja"")"),"息")</f>
        <v>息</v>
      </c>
    </row>
    <row r="10590" spans="1:3" ht="18" customHeight="1" x14ac:dyDescent="0.3">
      <c r="A10590" s="1">
        <v>1</v>
      </c>
      <c r="B10590" s="1" t="s">
        <v>8075</v>
      </c>
      <c r="C10590" s="1" t="str">
        <f ca="1">IFERROR(__xludf.DUMMYFUNCTION("GOOGLETRANSLATE(B10781,""en"",""ja"")"),"違反")</f>
        <v>違反</v>
      </c>
    </row>
    <row r="10591" spans="1:3" ht="18" customHeight="1" x14ac:dyDescent="0.3">
      <c r="A10591" s="1">
        <v>1</v>
      </c>
      <c r="B10591" s="1" t="s">
        <v>8076</v>
      </c>
      <c r="C10591" s="1" t="str">
        <f ca="1">IFERROR(__xludf.DUMMYFUNCTION("GOOGLETRANSLATE(B10782,""en"",""ja"")"),"境界")</f>
        <v>境界</v>
      </c>
    </row>
    <row r="10592" spans="1:3" ht="18" customHeight="1" x14ac:dyDescent="0.3">
      <c r="A10592" s="1">
        <v>1</v>
      </c>
      <c r="B10592" s="1" t="s">
        <v>8077</v>
      </c>
      <c r="C10592" s="1" t="str">
        <f ca="1">IFERROR(__xludf.DUMMYFUNCTION("GOOGLETRANSLATE(B10783,""en"",""ja"")"),"ブースト")</f>
        <v>ブースト</v>
      </c>
    </row>
    <row r="10593" spans="1:3" ht="18" customHeight="1" x14ac:dyDescent="0.3">
      <c r="A10593" s="1">
        <v>1</v>
      </c>
      <c r="B10593" s="1" t="s">
        <v>8078</v>
      </c>
      <c r="C10593" s="1" t="str">
        <f ca="1">IFERROR(__xludf.DUMMYFUNCTION("GOOGLETRANSLATE(B10784,""en"",""ja"")"),"ブームタウン")</f>
        <v>ブームタウン</v>
      </c>
    </row>
    <row r="10594" spans="1:3" ht="18" customHeight="1" x14ac:dyDescent="0.3">
      <c r="A10594" s="1">
        <v>1</v>
      </c>
      <c r="B10594" s="1" t="s">
        <v>1487</v>
      </c>
      <c r="C10594" s="1" t="str">
        <f ca="1">IFERROR(__xludf.DUMMYFUNCTION("GOOGLETRANSLATE(B10785,""en"",""ja"")"),"骨")</f>
        <v>骨</v>
      </c>
    </row>
    <row r="10595" spans="1:3" ht="18" customHeight="1" x14ac:dyDescent="0.3">
      <c r="A10595" s="1">
        <v>1</v>
      </c>
      <c r="B10595" s="1" t="s">
        <v>8079</v>
      </c>
      <c r="C10595" s="1" t="str">
        <f ca="1">IFERROR(__xludf.DUMMYFUNCTION("GOOGLETRANSLATE(B10786,""en"",""ja"")"),"ボンディング")</f>
        <v>ボンディング</v>
      </c>
    </row>
    <row r="10596" spans="1:3" ht="18" customHeight="1" x14ac:dyDescent="0.3">
      <c r="A10596" s="1">
        <v>1</v>
      </c>
      <c r="B10596" s="1" t="s">
        <v>8080</v>
      </c>
      <c r="C10596" s="1" t="str">
        <f ca="1">IFERROR(__xludf.DUMMYFUNCTION("GOOGLETRANSLATE(B10787,""en"",""ja"")"),"強化する")</f>
        <v>強化する</v>
      </c>
    </row>
    <row r="10597" spans="1:3" ht="18" customHeight="1" x14ac:dyDescent="0.3">
      <c r="A10597" s="1">
        <v>1</v>
      </c>
      <c r="B10597" s="1" t="s">
        <v>5093</v>
      </c>
      <c r="C10597" s="1" t="str">
        <f ca="1">IFERROR(__xludf.DUMMYFUNCTION("GOOGLETRANSLATE(B10788,""en"",""ja"")"),"前兆となります")</f>
        <v>前兆となります</v>
      </c>
    </row>
    <row r="10598" spans="1:3" ht="18" customHeight="1" x14ac:dyDescent="0.3">
      <c r="A10598" s="1">
        <v>1</v>
      </c>
      <c r="B10598" s="1" t="s">
        <v>8081</v>
      </c>
      <c r="C10598" s="1" t="str">
        <f ca="1">IFERROR(__xludf.DUMMYFUNCTION("GOOGLETRANSLATE(B10789,""en"",""ja"")"),"ボード")</f>
        <v>ボード</v>
      </c>
    </row>
    <row r="10599" spans="1:3" ht="18" customHeight="1" x14ac:dyDescent="0.3">
      <c r="A10599" s="1">
        <v>1</v>
      </c>
      <c r="B10599" s="1" t="s">
        <v>4181</v>
      </c>
      <c r="C10599" s="1" t="str">
        <f ca="1">IFERROR(__xludf.DUMMYFUNCTION("GOOGLETRANSLATE(B10790,""en"",""ja"")"),"ぼやけ")</f>
        <v>ぼやけ</v>
      </c>
    </row>
    <row r="10600" spans="1:3" ht="18" customHeight="1" x14ac:dyDescent="0.3">
      <c r="A10600" s="1">
        <v>1</v>
      </c>
      <c r="B10600" s="1" t="s">
        <v>8082</v>
      </c>
      <c r="C10600" s="1" t="str">
        <f ca="1">IFERROR(__xludf.DUMMYFUNCTION("GOOGLETRANSLATE(B10791,""en"",""ja"")"),"生得権")</f>
        <v>生得権</v>
      </c>
    </row>
    <row r="10601" spans="1:3" ht="18" customHeight="1" x14ac:dyDescent="0.3">
      <c r="A10601" s="1">
        <v>1</v>
      </c>
      <c r="B10601" s="1" t="s">
        <v>8083</v>
      </c>
      <c r="C10601" s="1" t="str">
        <f ca="1">IFERROR(__xludf.DUMMYFUNCTION("GOOGLETRANSLATE(B10792,""en"",""ja"")"),"出生地")</f>
        <v>出生地</v>
      </c>
    </row>
    <row r="10602" spans="1:3" ht="18" customHeight="1" x14ac:dyDescent="0.3">
      <c r="A10602" s="1">
        <v>1</v>
      </c>
      <c r="B10602" s="1" t="s">
        <v>8084</v>
      </c>
      <c r="C10602" s="1" t="str">
        <f ca="1">IFERROR(__xludf.DUMMYFUNCTION("GOOGLETRANSLATE(B10793,""en"",""ja"")"),"生物学的に")</f>
        <v>生物学的に</v>
      </c>
    </row>
    <row r="10603" spans="1:3" ht="18" customHeight="1" x14ac:dyDescent="0.3">
      <c r="A10603" s="1">
        <v>1</v>
      </c>
      <c r="B10603" s="1" t="s">
        <v>8085</v>
      </c>
      <c r="C10603" s="1" t="str">
        <f ca="1">IFERROR(__xludf.DUMMYFUNCTION("GOOGLETRANSLATE(B10794,""en"",""ja"")"),"最大の")</f>
        <v>最大の</v>
      </c>
    </row>
    <row r="10604" spans="1:3" ht="18" customHeight="1" x14ac:dyDescent="0.3">
      <c r="A10604" s="1">
        <v>1</v>
      </c>
      <c r="B10604" s="1" t="s">
        <v>8086</v>
      </c>
      <c r="C10604" s="1" t="str">
        <f ca="1">IFERROR(__xludf.DUMMYFUNCTION("GOOGLETRANSLATE(B10795,""en"",""ja"")"),"バイアス")</f>
        <v>バイアス</v>
      </c>
    </row>
    <row r="10605" spans="1:3" ht="18" customHeight="1" x14ac:dyDescent="0.3">
      <c r="A10605" s="1">
        <v>1</v>
      </c>
      <c r="B10605" s="1" t="s">
        <v>64</v>
      </c>
      <c r="C10605" s="1" t="str">
        <f ca="1">IFERROR(__xludf.DUMMYFUNCTION("GOOGLETRANSLATE(B10796,""en"",""ja"")"),"の間に")</f>
        <v>の間に</v>
      </c>
    </row>
    <row r="10606" spans="1:3" ht="18" customHeight="1" x14ac:dyDescent="0.3">
      <c r="A10606" s="1">
        <v>1</v>
      </c>
      <c r="B10606" s="1" t="s">
        <v>6477</v>
      </c>
      <c r="C10606" s="1" t="str">
        <f ca="1">IFERROR(__xludf.DUMMYFUNCTION("GOOGLETRANSLATE(B10797,""en"",""ja"")"),"良性の")</f>
        <v>良性の</v>
      </c>
    </row>
    <row r="10607" spans="1:3" ht="18" customHeight="1" x14ac:dyDescent="0.3">
      <c r="A10607" s="1">
        <v>1</v>
      </c>
      <c r="B10607" s="1" t="s">
        <v>8087</v>
      </c>
      <c r="C10607" s="1" t="str">
        <f ca="1">IFERROR(__xludf.DUMMYFUNCTION("GOOGLETRANSLATE(B10798,""en"",""ja"")"),"恩恵を受け")</f>
        <v>恩恵を受け</v>
      </c>
    </row>
    <row r="10608" spans="1:3" ht="18" customHeight="1" x14ac:dyDescent="0.3">
      <c r="A10608" s="1">
        <v>1</v>
      </c>
      <c r="B10608" s="1" t="s">
        <v>8088</v>
      </c>
      <c r="C10608" s="1" t="str">
        <f ca="1">IFERROR(__xludf.DUMMYFUNCTION("GOOGLETRANSLATE(B10799,""en"",""ja"")"),"基準")</f>
        <v>基準</v>
      </c>
    </row>
    <row r="10609" spans="1:3" ht="18" customHeight="1" x14ac:dyDescent="0.3">
      <c r="A10609" s="1">
        <v>1</v>
      </c>
      <c r="B10609" s="1" t="s">
        <v>8089</v>
      </c>
      <c r="C10609" s="1" t="str">
        <f ca="1">IFERROR(__xludf.DUMMYFUNCTION("GOOGLETRANSLATE(B10800,""en"",""ja"")"),"嘆く")</f>
        <v>嘆く</v>
      </c>
    </row>
    <row r="10610" spans="1:3" ht="18" customHeight="1" x14ac:dyDescent="0.3">
      <c r="A10610" s="1">
        <v>1</v>
      </c>
      <c r="B10610" s="1" t="s">
        <v>8090</v>
      </c>
      <c r="C10610" s="1" t="str">
        <f ca="1">IFERROR(__xludf.DUMMYFUNCTION("GOOGLETRANSLATE(B10801,""en"",""ja"")"),"所属する")</f>
        <v>所属する</v>
      </c>
    </row>
    <row r="10611" spans="1:3" ht="18" customHeight="1" x14ac:dyDescent="0.3">
      <c r="A10611" s="1">
        <v>1</v>
      </c>
      <c r="B10611" s="1" t="s">
        <v>8091</v>
      </c>
      <c r="C10611" s="1" t="str">
        <f ca="1">IFERROR(__xludf.DUMMYFUNCTION("GOOGLETRANSLATE(B10802,""en"",""ja"")"),"考えています")</f>
        <v>考えています</v>
      </c>
    </row>
    <row r="10612" spans="1:3" ht="18" customHeight="1" x14ac:dyDescent="0.3">
      <c r="A10612" s="1">
        <v>1</v>
      </c>
      <c r="B10612" s="1" t="s">
        <v>6479</v>
      </c>
      <c r="C10612" s="1" t="str">
        <f ca="1">IFERROR(__xludf.DUMMYFUNCTION("GOOGLETRANSLATE(B10803,""en"",""ja"")"),"信じられません")</f>
        <v>信じられません</v>
      </c>
    </row>
    <row r="10613" spans="1:3" ht="18" customHeight="1" x14ac:dyDescent="0.3">
      <c r="A10613" s="1">
        <v>1</v>
      </c>
      <c r="B10613" s="1" t="s">
        <v>391</v>
      </c>
      <c r="C10613" s="1" t="str">
        <f ca="1">IFERROR(__xludf.DUMMYFUNCTION("GOOGLETRANSLATE(B10804,""en"",""ja"")"),"初め")</f>
        <v>初め</v>
      </c>
    </row>
    <row r="10614" spans="1:3" ht="18" customHeight="1" x14ac:dyDescent="0.3">
      <c r="A10614" s="1">
        <v>1</v>
      </c>
      <c r="B10614" s="1" t="s">
        <v>227</v>
      </c>
      <c r="C10614" s="1" t="str">
        <f ca="1">IFERROR(__xludf.DUMMYFUNCTION("GOOGLETRANSLATE(B10805,""en"",""ja"")"),"前")</f>
        <v>前</v>
      </c>
    </row>
    <row r="10615" spans="1:3" ht="18" customHeight="1" x14ac:dyDescent="0.3">
      <c r="A10615" s="1">
        <v>1</v>
      </c>
      <c r="B10615" s="1" t="s">
        <v>6481</v>
      </c>
      <c r="C10615" s="1" t="str">
        <f ca="1">IFERROR(__xludf.DUMMYFUNCTION("GOOGLETRANSLATE(B10806,""en"",""ja"")"),"予め")</f>
        <v>予め</v>
      </c>
    </row>
    <row r="10616" spans="1:3" ht="18" customHeight="1" x14ac:dyDescent="0.3">
      <c r="A10616" s="1">
        <v>1</v>
      </c>
      <c r="B10616" s="1" t="s">
        <v>3134</v>
      </c>
      <c r="C10616" s="1" t="str">
        <f ca="1">IFERROR(__xludf.DUMMYFUNCTION("GOOGLETRANSLATE(B10807,""en"",""ja"")"),"たらい")</f>
        <v>たらい</v>
      </c>
    </row>
    <row r="10617" spans="1:3" ht="18" customHeight="1" x14ac:dyDescent="0.3">
      <c r="A10617" s="1">
        <v>1</v>
      </c>
      <c r="B10617" s="1" t="s">
        <v>2469</v>
      </c>
      <c r="C10617" s="1" t="str">
        <f ca="1">IFERROR(__xludf.DUMMYFUNCTION("GOOGLETRANSLATE(B10808,""en"",""ja"")"),"バリア")</f>
        <v>バリア</v>
      </c>
    </row>
    <row r="10618" spans="1:3" ht="18" customHeight="1" x14ac:dyDescent="0.3">
      <c r="A10618" s="1">
        <v>1</v>
      </c>
      <c r="B10618" s="1" t="s">
        <v>3720</v>
      </c>
      <c r="C10618" s="1" t="str">
        <f ca="1">IFERROR(__xludf.DUMMYFUNCTION("GOOGLETRANSLATE(B10809,""en"",""ja"")"),"かろうじて")</f>
        <v>かろうじて</v>
      </c>
    </row>
    <row r="10619" spans="1:3" ht="18" customHeight="1" x14ac:dyDescent="0.3">
      <c r="A10619" s="1">
        <v>1</v>
      </c>
      <c r="B10619" s="1" t="s">
        <v>6488</v>
      </c>
      <c r="C10619" s="1" t="str">
        <f ca="1">IFERROR(__xludf.DUMMYFUNCTION("GOOGLETRANSLATE(B10810,""en"",""ja"")"),"蛮行")</f>
        <v>蛮行</v>
      </c>
    </row>
    <row r="10620" spans="1:3" ht="18" customHeight="1" x14ac:dyDescent="0.3">
      <c r="A10620" s="1">
        <v>1</v>
      </c>
      <c r="B10620" s="1" t="s">
        <v>4193</v>
      </c>
      <c r="C10620" s="1" t="str">
        <f ca="1">IFERROR(__xludf.DUMMYFUNCTION("GOOGLETRANSLATE(B10811,""en"",""ja"")"),"野蛮人")</f>
        <v>野蛮人</v>
      </c>
    </row>
    <row r="10621" spans="1:3" ht="18" customHeight="1" x14ac:dyDescent="0.3">
      <c r="A10621" s="1">
        <v>1</v>
      </c>
      <c r="B10621" s="1" t="s">
        <v>8092</v>
      </c>
      <c r="C10621" s="1" t="str">
        <f ca="1">IFERROR(__xludf.DUMMYFUNCTION("GOOGLETRANSLATE(B10812,""en"",""ja"")"),"bangladeshs")</f>
        <v>bangladeshs</v>
      </c>
    </row>
    <row r="10622" spans="1:3" ht="18" customHeight="1" x14ac:dyDescent="0.3">
      <c r="A10622" s="1">
        <v>1</v>
      </c>
      <c r="B10622" s="1" t="s">
        <v>8093</v>
      </c>
      <c r="C10622" s="1" t="str">
        <f ca="1">IFERROR(__xludf.DUMMYFUNCTION("GOOGLETRANSLATE(B10813,""en"",""ja"")"),"禁止")</f>
        <v>禁止</v>
      </c>
    </row>
    <row r="10623" spans="1:3" ht="18" customHeight="1" x14ac:dyDescent="0.3">
      <c r="A10623" s="1">
        <v>1</v>
      </c>
      <c r="B10623" s="1" t="s">
        <v>6494</v>
      </c>
      <c r="C10623" s="1" t="str">
        <f ca="1">IFERROR(__xludf.DUMMYFUNCTION("GOOGLETRANSLATE(B10814,""en"",""ja"")"),"balkiness")</f>
        <v>balkiness</v>
      </c>
    </row>
    <row r="10624" spans="1:3" ht="18" customHeight="1" x14ac:dyDescent="0.3">
      <c r="A10624" s="1">
        <v>1</v>
      </c>
      <c r="B10624" s="1" t="s">
        <v>8094</v>
      </c>
      <c r="C10624" s="1" t="str">
        <f ca="1">IFERROR(__xludf.DUMMYFUNCTION("GOOGLETRANSLATE(B10815,""en"",""ja"")"),"バランシング")</f>
        <v>バランシング</v>
      </c>
    </row>
    <row r="10625" spans="1:3" ht="18" customHeight="1" x14ac:dyDescent="0.3">
      <c r="A10625" s="1">
        <v>1</v>
      </c>
      <c r="B10625" s="1" t="s">
        <v>5113</v>
      </c>
      <c r="C10625" s="1" t="str">
        <f ca="1">IFERROR(__xludf.DUMMYFUNCTION("GOOGLETRANSLATE(B10816,""en"",""ja"")"),"千枚通し")</f>
        <v>千枚通し</v>
      </c>
    </row>
    <row r="10626" spans="1:3" ht="18" customHeight="1" x14ac:dyDescent="0.3">
      <c r="A10626" s="1">
        <v>1</v>
      </c>
      <c r="B10626" s="1" t="s">
        <v>6500</v>
      </c>
      <c r="C10626" s="1" t="str">
        <f ca="1">IFERROR(__xludf.DUMMYFUNCTION("GOOGLETRANSLATE(B10817,""en"",""ja"")"),"驚くばかり")</f>
        <v>驚くばかり</v>
      </c>
    </row>
    <row r="10627" spans="1:3" ht="18" customHeight="1" x14ac:dyDescent="0.3">
      <c r="A10627" s="1">
        <v>1</v>
      </c>
      <c r="B10627" s="1" t="s">
        <v>8095</v>
      </c>
      <c r="C10627" s="1" t="str">
        <f ca="1">IFERROR(__xludf.DUMMYFUNCTION("GOOGLETRANSLATE(B10818,""en"",""ja"")"),"賞")</f>
        <v>賞</v>
      </c>
    </row>
    <row r="10628" spans="1:3" ht="18" customHeight="1" x14ac:dyDescent="0.3">
      <c r="A10628" s="1">
        <v>1</v>
      </c>
      <c r="B10628" s="1" t="s">
        <v>381</v>
      </c>
      <c r="C10628" s="1" t="str">
        <f ca="1">IFERROR(__xludf.DUMMYFUNCTION("GOOGLETRANSLATE(B10819,""en"",""ja"")"),"平均")</f>
        <v>平均</v>
      </c>
    </row>
    <row r="10629" spans="1:3" ht="18" customHeight="1" x14ac:dyDescent="0.3">
      <c r="A10629" s="1">
        <v>1</v>
      </c>
      <c r="B10629" s="1" t="s">
        <v>8096</v>
      </c>
      <c r="C10629" s="1" t="str">
        <f ca="1">IFERROR(__xludf.DUMMYFUNCTION("GOOGLETRANSLATE(B10820,""en"",""ja"")"),"オートメーション")</f>
        <v>オートメーション</v>
      </c>
    </row>
    <row r="10630" spans="1:3" ht="18" customHeight="1" x14ac:dyDescent="0.3">
      <c r="A10630" s="1">
        <v>1</v>
      </c>
      <c r="B10630" s="1" t="s">
        <v>8097</v>
      </c>
      <c r="C10630" s="1" t="str">
        <f ca="1">IFERROR(__xludf.DUMMYFUNCTION("GOOGLETRANSLATE(B10821,""en"",""ja"")"),"著者の")</f>
        <v>著者の</v>
      </c>
    </row>
    <row r="10631" spans="1:3" ht="18" customHeight="1" x14ac:dyDescent="0.3">
      <c r="A10631" s="1">
        <v>1</v>
      </c>
      <c r="B10631" s="1" t="s">
        <v>7322</v>
      </c>
      <c r="C10631" s="1" t="str">
        <f ca="1">IFERROR(__xludf.DUMMYFUNCTION("GOOGLETRANSLATE(B10822,""en"",""ja"")"),"オーセンティック")</f>
        <v>オーセンティック</v>
      </c>
    </row>
    <row r="10632" spans="1:3" ht="18" customHeight="1" x14ac:dyDescent="0.3">
      <c r="A10632" s="1">
        <v>1</v>
      </c>
      <c r="B10632" s="1" t="s">
        <v>6507</v>
      </c>
      <c r="C10632" s="1" t="str">
        <f ca="1">IFERROR(__xludf.DUMMYFUNCTION("GOOGLETRANSLATE(B10823,""en"",""ja"")"),"代理人")</f>
        <v>代理人</v>
      </c>
    </row>
    <row r="10633" spans="1:3" ht="18" customHeight="1" x14ac:dyDescent="0.3">
      <c r="A10633" s="1">
        <v>1</v>
      </c>
      <c r="B10633" s="1" t="s">
        <v>6510</v>
      </c>
      <c r="C10633" s="1" t="str">
        <f ca="1">IFERROR(__xludf.DUMMYFUNCTION("GOOGLETRANSLATE(B10824,""en"",""ja"")"),"到達できます")</f>
        <v>到達できます</v>
      </c>
    </row>
    <row r="10634" spans="1:3" ht="18" customHeight="1" x14ac:dyDescent="0.3">
      <c r="A10634" s="1">
        <v>1</v>
      </c>
      <c r="B10634" s="1" t="s">
        <v>687</v>
      </c>
      <c r="C10634" s="1" t="str">
        <f ca="1">IFERROR(__xludf.DUMMYFUNCTION("GOOGLETRANSLATE(B10825,""en"",""ja"")"),"大気の")</f>
        <v>大気の</v>
      </c>
    </row>
    <row r="10635" spans="1:3" ht="18" customHeight="1" x14ac:dyDescent="0.3">
      <c r="A10635" s="1">
        <v>1</v>
      </c>
      <c r="B10635" s="1" t="s">
        <v>6516</v>
      </c>
      <c r="C10635" s="1" t="str">
        <f ca="1">IFERROR(__xludf.DUMMYFUNCTION("GOOGLETRANSLATE(B10826,""en"",""ja"")"),"天体物理学")</f>
        <v>天体物理学</v>
      </c>
    </row>
    <row r="10636" spans="1:3" ht="18" customHeight="1" x14ac:dyDescent="0.3">
      <c r="A10636" s="1">
        <v>1</v>
      </c>
      <c r="B10636" s="1" t="s">
        <v>8098</v>
      </c>
      <c r="C10636" s="1" t="str">
        <f ca="1">IFERROR(__xludf.DUMMYFUNCTION("GOOGLETRANSLATE(B10827,""en"",""ja"")"),"占星術")</f>
        <v>占星術</v>
      </c>
    </row>
    <row r="10637" spans="1:3" ht="18" customHeight="1" x14ac:dyDescent="0.3">
      <c r="A10637" s="1">
        <v>1</v>
      </c>
      <c r="B10637" s="1" t="s">
        <v>6518</v>
      </c>
      <c r="C10637" s="1" t="str">
        <f ca="1">IFERROR(__xludf.DUMMYFUNCTION("GOOGLETRANSLATE(B10829,""en"",""ja"")"),"またがって")</f>
        <v>またがって</v>
      </c>
    </row>
    <row r="10638" spans="1:3" ht="18" customHeight="1" x14ac:dyDescent="0.3">
      <c r="A10638" s="1">
        <v>1</v>
      </c>
      <c r="B10638" s="1" t="s">
        <v>5130</v>
      </c>
      <c r="C10638" s="1" t="str">
        <f ca="1">IFERROR(__xludf.DUMMYFUNCTION("GOOGLETRANSLATE(B10830,""en"",""ja"")"),"道に迷って")</f>
        <v>道に迷って</v>
      </c>
    </row>
    <row r="10639" spans="1:3" ht="18" customHeight="1" x14ac:dyDescent="0.3">
      <c r="A10639" s="1">
        <v>1</v>
      </c>
      <c r="B10639" s="1" t="s">
        <v>3734</v>
      </c>
      <c r="C10639" s="1" t="str">
        <f ca="1">IFERROR(__xludf.DUMMYFUNCTION("GOOGLETRANSLATE(B10831,""en"",""ja"")"),"保証")</f>
        <v>保証</v>
      </c>
    </row>
    <row r="10640" spans="1:3" ht="18" customHeight="1" x14ac:dyDescent="0.3">
      <c r="A10640" s="1">
        <v>1</v>
      </c>
      <c r="B10640" s="1" t="s">
        <v>8099</v>
      </c>
      <c r="C10640" s="1" t="str">
        <f ca="1">IFERROR(__xludf.DUMMYFUNCTION("GOOGLETRANSLATE(B10832,""en"",""ja"")"),"仮定すると")</f>
        <v>仮定すると</v>
      </c>
    </row>
    <row r="10641" spans="1:3" ht="18" customHeight="1" x14ac:dyDescent="0.3">
      <c r="A10641" s="1">
        <v>1</v>
      </c>
      <c r="B10641" s="1" t="s">
        <v>4201</v>
      </c>
      <c r="C10641" s="1" t="str">
        <f ca="1">IFERROR(__xludf.DUMMYFUNCTION("GOOGLETRANSLATE(B10833,""en"",""ja"")"),"仲間、同僚")</f>
        <v>仲間、同僚</v>
      </c>
    </row>
    <row r="10642" spans="1:3" ht="18" customHeight="1" x14ac:dyDescent="0.3">
      <c r="A10642" s="1">
        <v>1</v>
      </c>
      <c r="B10642" s="1" t="s">
        <v>6523</v>
      </c>
      <c r="C10642" s="1" t="str">
        <f ca="1">IFERROR(__xludf.DUMMYFUNCTION("GOOGLETRANSLATE(B10834,""en"",""ja"")"),"暴行")</f>
        <v>暴行</v>
      </c>
    </row>
    <row r="10643" spans="1:3" ht="18" customHeight="1" x14ac:dyDescent="0.3">
      <c r="A10643" s="1">
        <v>1</v>
      </c>
      <c r="B10643" s="1" t="s">
        <v>8100</v>
      </c>
      <c r="C10643" s="1" t="str">
        <f ca="1">IFERROR(__xludf.DUMMYFUNCTION("GOOGLETRANSLATE(B10835,""en"",""ja"")"),"帰")</f>
        <v>帰</v>
      </c>
    </row>
    <row r="10644" spans="1:3" ht="18" customHeight="1" x14ac:dyDescent="0.3">
      <c r="A10644" s="1">
        <v>1</v>
      </c>
      <c r="B10644" s="1" t="s">
        <v>8101</v>
      </c>
      <c r="C10644" s="1" t="str">
        <f ca="1">IFERROR(__xludf.DUMMYFUNCTION("GOOGLETRANSLATE(B10836,""en"",""ja"")"),"アーティスト")</f>
        <v>アーティスト</v>
      </c>
    </row>
    <row r="10645" spans="1:3" ht="18" customHeight="1" x14ac:dyDescent="0.3">
      <c r="A10645" s="1">
        <v>1</v>
      </c>
      <c r="B10645" s="1" t="s">
        <v>3735</v>
      </c>
      <c r="C10645" s="1" t="str">
        <f ca="1">IFERROR(__xludf.DUMMYFUNCTION("GOOGLETRANSLATE(B10837,""en"",""ja"")"),"分節")</f>
        <v>分節</v>
      </c>
    </row>
    <row r="10646" spans="1:3" ht="18" customHeight="1" x14ac:dyDescent="0.3">
      <c r="A10646" s="1">
        <v>1</v>
      </c>
      <c r="B10646" s="1" t="s">
        <v>8102</v>
      </c>
      <c r="C10646" s="1" t="str">
        <f ca="1">IFERROR(__xludf.DUMMYFUNCTION("GOOGLETRANSLATE(B10838,""en"",""ja"")"),"アレンジ")</f>
        <v>アレンジ</v>
      </c>
    </row>
    <row r="10647" spans="1:3" ht="18" customHeight="1" x14ac:dyDescent="0.3">
      <c r="A10647" s="1">
        <v>1</v>
      </c>
      <c r="B10647" s="1" t="s">
        <v>8103</v>
      </c>
      <c r="C10647" s="1" t="str">
        <f ca="1">IFERROR(__xludf.DUMMYFUNCTION("GOOGLETRANSLATE(B10839,""en"",""ja"")"),"鎧")</f>
        <v>鎧</v>
      </c>
    </row>
    <row r="10648" spans="1:3" ht="18" customHeight="1" x14ac:dyDescent="0.3">
      <c r="A10648" s="1">
        <v>1</v>
      </c>
      <c r="B10648" s="1" t="s">
        <v>5140</v>
      </c>
      <c r="C10648" s="1" t="str">
        <f ca="1">IFERROR(__xludf.DUMMYFUNCTION("GOOGLETRANSLATE(B10840,""en"",""ja"")"),"貴族")</f>
        <v>貴族</v>
      </c>
    </row>
    <row r="10649" spans="1:3" ht="18" customHeight="1" x14ac:dyDescent="0.3">
      <c r="A10649" s="1">
        <v>1</v>
      </c>
      <c r="B10649" s="1" t="s">
        <v>6532</v>
      </c>
      <c r="C10649" s="1" t="str">
        <f ca="1">IFERROR(__xludf.DUMMYFUNCTION("GOOGLETRANSLATE(B10841,""en"",""ja"")"),"乾燥")</f>
        <v>乾燥</v>
      </c>
    </row>
    <row r="10650" spans="1:3" ht="18" customHeight="1" x14ac:dyDescent="0.3">
      <c r="A10650" s="1">
        <v>1</v>
      </c>
      <c r="B10650" s="1" t="s">
        <v>5144</v>
      </c>
      <c r="C10650" s="1" t="str">
        <f ca="1">IFERROR(__xludf.DUMMYFUNCTION("GOOGLETRANSLATE(B10842,""en"",""ja"")"),"考古学の")</f>
        <v>考古学の</v>
      </c>
    </row>
    <row r="10651" spans="1:3" ht="18" customHeight="1" x14ac:dyDescent="0.3">
      <c r="A10651" s="1">
        <v>1</v>
      </c>
      <c r="B10651" s="1" t="s">
        <v>8104</v>
      </c>
      <c r="C10651" s="1" t="str">
        <f ca="1">IFERROR(__xludf.DUMMYFUNCTION("GOOGLETRANSLATE(B10843,""en"",""ja"")"),"四月")</f>
        <v>四月</v>
      </c>
    </row>
    <row r="10652" spans="1:3" ht="18" customHeight="1" x14ac:dyDescent="0.3">
      <c r="A10652" s="1">
        <v>1</v>
      </c>
      <c r="B10652" s="1" t="s">
        <v>3741</v>
      </c>
      <c r="C10652" s="1" t="str">
        <f ca="1">IFERROR(__xludf.DUMMYFUNCTION("GOOGLETRANSLATE(B10844,""en"",""ja"")"),"約")</f>
        <v>約</v>
      </c>
    </row>
    <row r="10653" spans="1:3" ht="18" customHeight="1" x14ac:dyDescent="0.3">
      <c r="A10653" s="1">
        <v>1</v>
      </c>
      <c r="B10653" s="1" t="s">
        <v>1718</v>
      </c>
      <c r="C10653" s="1" t="str">
        <f ca="1">IFERROR(__xludf.DUMMYFUNCTION("GOOGLETRANSLATE(B10845,""en"",""ja"")"),"近似")</f>
        <v>近似</v>
      </c>
    </row>
    <row r="10654" spans="1:3" ht="18" customHeight="1" x14ac:dyDescent="0.3">
      <c r="A10654" s="1">
        <v>1</v>
      </c>
      <c r="B10654" s="1" t="s">
        <v>8105</v>
      </c>
      <c r="C10654" s="1" t="str">
        <f ca="1">IFERROR(__xludf.DUMMYFUNCTION("GOOGLETRANSLATE(B10846,""en"",""ja"")"),"承認")</f>
        <v>承認</v>
      </c>
    </row>
    <row r="10655" spans="1:3" ht="18" customHeight="1" x14ac:dyDescent="0.3">
      <c r="A10655" s="1">
        <v>1</v>
      </c>
      <c r="B10655" s="1" t="s">
        <v>3743</v>
      </c>
      <c r="C10655" s="1" t="str">
        <f ca="1">IFERROR(__xludf.DUMMYFUNCTION("GOOGLETRANSLATE(B10847,""en"",""ja"")"),"充当")</f>
        <v>充当</v>
      </c>
    </row>
    <row r="10656" spans="1:3" ht="18" customHeight="1" x14ac:dyDescent="0.3">
      <c r="A10656" s="1">
        <v>1</v>
      </c>
      <c r="B10656" s="1" t="s">
        <v>8106</v>
      </c>
      <c r="C10656" s="1" t="str">
        <f ca="1">IFERROR(__xludf.DUMMYFUNCTION("GOOGLETRANSLATE(B10848,""en"",""ja"")"),"感謝")</f>
        <v>感謝</v>
      </c>
    </row>
    <row r="10657" spans="1:3" ht="18" customHeight="1" x14ac:dyDescent="0.3">
      <c r="A10657" s="1">
        <v>1</v>
      </c>
      <c r="B10657" s="1" t="s">
        <v>2818</v>
      </c>
      <c r="C10657" s="1" t="str">
        <f ca="1">IFERROR(__xludf.DUMMYFUNCTION("GOOGLETRANSLATE(B10849,""en"",""ja"")"),"感謝する")</f>
        <v>感謝する</v>
      </c>
    </row>
    <row r="10658" spans="1:3" ht="18" customHeight="1" x14ac:dyDescent="0.3">
      <c r="A10658" s="1">
        <v>1</v>
      </c>
      <c r="B10658" s="1" t="s">
        <v>8107</v>
      </c>
      <c r="C10658" s="1" t="str">
        <f ca="1">IFERROR(__xludf.DUMMYFUNCTION("GOOGLETRANSLATE(B10850,""en"",""ja"")"),"適用できます")</f>
        <v>適用できます</v>
      </c>
    </row>
    <row r="10659" spans="1:3" ht="18" customHeight="1" x14ac:dyDescent="0.3">
      <c r="A10659" s="1">
        <v>1</v>
      </c>
      <c r="B10659" s="1" t="s">
        <v>2819</v>
      </c>
      <c r="C10659" s="1" t="str">
        <f ca="1">IFERROR(__xludf.DUMMYFUNCTION("GOOGLETRANSLATE(B10851,""en"",""ja"")"),"器具")</f>
        <v>器具</v>
      </c>
    </row>
    <row r="10660" spans="1:3" ht="18" customHeight="1" x14ac:dyDescent="0.3">
      <c r="A10660" s="1">
        <v>1</v>
      </c>
      <c r="B10660" s="1" t="s">
        <v>8108</v>
      </c>
      <c r="C10660" s="1" t="str">
        <f ca="1">IFERROR(__xludf.DUMMYFUNCTION("GOOGLETRANSLATE(B10852,""en"",""ja"")"),"控訴")</f>
        <v>控訴</v>
      </c>
    </row>
    <row r="10661" spans="1:3" ht="18" customHeight="1" x14ac:dyDescent="0.3">
      <c r="A10661" s="1">
        <v>1</v>
      </c>
      <c r="B10661" s="1" t="s">
        <v>2820</v>
      </c>
      <c r="C10661" s="1" t="str">
        <f ca="1">IFERROR(__xludf.DUMMYFUNCTION("GOOGLETRANSLATE(B10853,""en"",""ja"")"),"アピール")</f>
        <v>アピール</v>
      </c>
    </row>
    <row r="10662" spans="1:3" ht="18" customHeight="1" x14ac:dyDescent="0.3">
      <c r="A10662" s="1">
        <v>1</v>
      </c>
      <c r="B10662" s="1" t="s">
        <v>2239</v>
      </c>
      <c r="C10662" s="1" t="str">
        <f ca="1">IFERROR(__xludf.DUMMYFUNCTION("GOOGLETRANSLATE(B10854,""en"",""ja"")"),"明らかに")</f>
        <v>明らかに</v>
      </c>
    </row>
    <row r="10663" spans="1:3" ht="18" customHeight="1" x14ac:dyDescent="0.3">
      <c r="A10663" s="1">
        <v>1</v>
      </c>
      <c r="B10663" s="1" t="s">
        <v>8109</v>
      </c>
      <c r="C10663" s="1" t="str">
        <f ca="1">IFERROR(__xludf.DUMMYFUNCTION("GOOGLETRANSLATE(B10855,""en"",""ja"")"),"謝ります")</f>
        <v>謝ります</v>
      </c>
    </row>
    <row r="10664" spans="1:3" ht="18" customHeight="1" x14ac:dyDescent="0.3">
      <c r="A10664" s="1">
        <v>1</v>
      </c>
      <c r="B10664" s="1" t="s">
        <v>8110</v>
      </c>
      <c r="C10664" s="1" t="str">
        <f ca="1">IFERROR(__xludf.DUMMYFUNCTION("GOOGLETRANSLATE(B10856,""en"",""ja"")"),"擬人化")</f>
        <v>擬人化</v>
      </c>
    </row>
    <row r="10665" spans="1:3" ht="18" customHeight="1" x14ac:dyDescent="0.3">
      <c r="A10665" s="1">
        <v>1</v>
      </c>
      <c r="B10665" s="1" t="s">
        <v>8111</v>
      </c>
      <c r="C10665" s="1" t="str">
        <f ca="1">IFERROR(__xludf.DUMMYFUNCTION("GOOGLETRANSLATE(B10857,""en"",""ja"")"),"anooshian")</f>
        <v>anooshian</v>
      </c>
    </row>
    <row r="10666" spans="1:3" ht="18" customHeight="1" x14ac:dyDescent="0.3">
      <c r="A10666" s="1">
        <v>1</v>
      </c>
      <c r="B10666" s="1" t="s">
        <v>8112</v>
      </c>
      <c r="C10666" s="1" t="str">
        <f ca="1">IFERROR(__xludf.DUMMYFUNCTION("GOOGLETRANSLATE(B10858,""en"",""ja"")"),"変則")</f>
        <v>変則</v>
      </c>
    </row>
    <row r="10667" spans="1:3" ht="18" customHeight="1" x14ac:dyDescent="0.3">
      <c r="A10667" s="1">
        <v>1</v>
      </c>
      <c r="B10667" s="1" t="s">
        <v>8113</v>
      </c>
      <c r="C10667" s="1" t="str">
        <f ca="1">IFERROR(__xludf.DUMMYFUNCTION("GOOGLETRANSLATE(B10859,""en"",""ja"")"),"アナウンス")</f>
        <v>アナウンス</v>
      </c>
    </row>
    <row r="10668" spans="1:3" ht="18" customHeight="1" x14ac:dyDescent="0.3">
      <c r="A10668" s="1">
        <v>1</v>
      </c>
      <c r="B10668" s="1" t="s">
        <v>539</v>
      </c>
      <c r="C10668" s="1" t="str">
        <f ca="1">IFERROR(__xludf.DUMMYFUNCTION("GOOGLETRANSLATE(B10860,""en"",""ja"")"),"分析")</f>
        <v>分析</v>
      </c>
    </row>
    <row r="10669" spans="1:3" ht="18" customHeight="1" x14ac:dyDescent="0.3">
      <c r="A10669" s="1">
        <v>1</v>
      </c>
      <c r="B10669" s="1" t="s">
        <v>2825</v>
      </c>
      <c r="C10669" s="1" t="str">
        <f ca="1">IFERROR(__xludf.DUMMYFUNCTION("GOOGLETRANSLATE(B10861,""en"",""ja"")"),"類推")</f>
        <v>類推</v>
      </c>
    </row>
    <row r="10670" spans="1:3" ht="18" customHeight="1" x14ac:dyDescent="0.3">
      <c r="A10670" s="1">
        <v>1</v>
      </c>
      <c r="B10670" s="1" t="s">
        <v>20</v>
      </c>
      <c r="C10670" s="1" t="str">
        <f ca="1">IFERROR(__xludf.DUMMYFUNCTION("GOOGLETRANSLATE(B10862,""en"",""ja"")"),"AN")</f>
        <v>AN</v>
      </c>
    </row>
    <row r="10671" spans="1:3" ht="18" customHeight="1" x14ac:dyDescent="0.3">
      <c r="A10671" s="1">
        <v>1</v>
      </c>
      <c r="B10671" s="1" t="s">
        <v>8114</v>
      </c>
      <c r="C10671" s="1" t="str">
        <f ca="1">IFERROR(__xludf.DUMMYFUNCTION("GOOGLETRANSLATE(B10863,""en"",""ja"")"),"快適さ")</f>
        <v>快適さ</v>
      </c>
    </row>
    <row r="10672" spans="1:3" ht="18" customHeight="1" x14ac:dyDescent="0.3">
      <c r="A10672" s="1">
        <v>1</v>
      </c>
      <c r="B10672" s="1" t="s">
        <v>5162</v>
      </c>
      <c r="C10672" s="1" t="str">
        <f ca="1">IFERROR(__xludf.DUMMYFUNCTION("GOOGLETRANSLATE(B10864,""en"",""ja"")"),"野心的な")</f>
        <v>野心的な</v>
      </c>
    </row>
    <row r="10673" spans="1:3" ht="18" customHeight="1" x14ac:dyDescent="0.3">
      <c r="A10673" s="1">
        <v>1</v>
      </c>
      <c r="B10673" s="1" t="s">
        <v>5163</v>
      </c>
      <c r="C10673" s="1" t="str">
        <f ca="1">IFERROR(__xludf.DUMMYFUNCTION("GOOGLETRANSLATE(B10865,""en"",""ja"")"),"あいまいさ")</f>
        <v>あいまいさ</v>
      </c>
    </row>
    <row r="10674" spans="1:3" ht="18" customHeight="1" x14ac:dyDescent="0.3">
      <c r="A10674" s="1">
        <v>1</v>
      </c>
      <c r="B10674" s="1" t="s">
        <v>8115</v>
      </c>
      <c r="C10674" s="1" t="str">
        <f ca="1">IFERROR(__xludf.DUMMYFUNCTION("GOOGLETRANSLATE(B10866,""en"",""ja"")"),"アマチュア")</f>
        <v>アマチュア</v>
      </c>
    </row>
    <row r="10675" spans="1:3" ht="18" customHeight="1" x14ac:dyDescent="0.3">
      <c r="A10675" s="1">
        <v>1</v>
      </c>
      <c r="B10675" s="1" t="s">
        <v>6561</v>
      </c>
      <c r="C10675" s="1" t="str">
        <f ca="1">IFERROR(__xludf.DUMMYFUNCTION("GOOGLETRANSLATE(B10867,""en"",""ja"")"),"合併")</f>
        <v>合併</v>
      </c>
    </row>
    <row r="10676" spans="1:3" ht="18" customHeight="1" x14ac:dyDescent="0.3">
      <c r="A10676" s="1">
        <v>1</v>
      </c>
      <c r="B10676" s="1" t="s">
        <v>2010</v>
      </c>
      <c r="C10676" s="1" t="str">
        <f ca="1">IFERROR(__xludf.DUMMYFUNCTION("GOOGLETRANSLATE(B10868,""en"",""ja"")"),"そばに")</f>
        <v>そばに</v>
      </c>
    </row>
    <row r="10677" spans="1:3" ht="18" customHeight="1" x14ac:dyDescent="0.3">
      <c r="A10677" s="1">
        <v>1</v>
      </c>
      <c r="B10677" s="1" t="s">
        <v>400</v>
      </c>
      <c r="C10677" s="1" t="str">
        <f ca="1">IFERROR(__xludf.DUMMYFUNCTION("GOOGLETRANSLATE(B10869,""en"",""ja"")"),"ほとんど")</f>
        <v>ほとんど</v>
      </c>
    </row>
    <row r="10678" spans="1:3" ht="18" customHeight="1" x14ac:dyDescent="0.3">
      <c r="A10678" s="1">
        <v>1</v>
      </c>
      <c r="B10678" s="1" t="s">
        <v>8116</v>
      </c>
      <c r="C10678" s="1" t="str">
        <f ca="1">IFERROR(__xludf.DUMMYFUNCTION("GOOGLETRANSLATE(B10870,""en"",""ja"")"),"軽減")</f>
        <v>軽減</v>
      </c>
    </row>
    <row r="10679" spans="1:3" ht="18" customHeight="1" x14ac:dyDescent="0.3">
      <c r="A10679" s="1">
        <v>1</v>
      </c>
      <c r="B10679" s="1" t="s">
        <v>8117</v>
      </c>
      <c r="C10679" s="1" t="str">
        <f ca="1">IFERROR(__xludf.DUMMYFUNCTION("GOOGLETRANSLATE(B10871,""en"",""ja"")"),"aligator")</f>
        <v>aligator</v>
      </c>
    </row>
    <row r="10680" spans="1:3" ht="18" customHeight="1" x14ac:dyDescent="0.3">
      <c r="A10680" s="1">
        <v>1</v>
      </c>
      <c r="B10680" s="1" t="s">
        <v>8118</v>
      </c>
      <c r="C10680" s="1" t="str">
        <f ca="1">IFERROR(__xludf.DUMMYFUNCTION("GOOGLETRANSLATE(B10872,""en"",""ja"")"),"警報")</f>
        <v>警報</v>
      </c>
    </row>
    <row r="10681" spans="1:3" ht="18" customHeight="1" x14ac:dyDescent="0.3">
      <c r="A10681" s="1">
        <v>1</v>
      </c>
      <c r="B10681" s="1" t="s">
        <v>5165</v>
      </c>
      <c r="C10681" s="1" t="str">
        <f ca="1">IFERROR(__xludf.DUMMYFUNCTION("GOOGLETRANSLATE(B10873,""en"",""ja"")"),"アルコール依存症")</f>
        <v>アルコール依存症</v>
      </c>
    </row>
    <row r="10682" spans="1:3" ht="18" customHeight="1" x14ac:dyDescent="0.3">
      <c r="A10682" s="1">
        <v>1</v>
      </c>
      <c r="B10682" s="1" t="s">
        <v>8119</v>
      </c>
      <c r="C10682" s="1" t="str">
        <f ca="1">IFERROR(__xludf.DUMMYFUNCTION("GOOGLETRANSLATE(B10874,""en"",""ja"")"),"錬金術")</f>
        <v>錬金術</v>
      </c>
    </row>
    <row r="10683" spans="1:3" ht="18" customHeight="1" x14ac:dyDescent="0.3">
      <c r="A10683" s="1">
        <v>1</v>
      </c>
      <c r="B10683" s="1" t="s">
        <v>6568</v>
      </c>
      <c r="C10683" s="1" t="str">
        <f ca="1">IFERROR(__xludf.DUMMYFUNCTION("GOOGLETRANSLATE(B10875,""en"",""ja"")"),"錬金術")</f>
        <v>錬金術</v>
      </c>
    </row>
    <row r="10684" spans="1:3" ht="18" customHeight="1" x14ac:dyDescent="0.3">
      <c r="A10684" s="1">
        <v>1</v>
      </c>
      <c r="B10684" s="1" t="s">
        <v>6569</v>
      </c>
      <c r="C10684" s="1" t="str">
        <f ca="1">IFERROR(__xludf.DUMMYFUNCTION("GOOGLETRANSLATE(B10876,""en"",""ja"")"),"いえ")</f>
        <v>いえ</v>
      </c>
    </row>
    <row r="10685" spans="1:3" ht="18" customHeight="1" x14ac:dyDescent="0.3">
      <c r="A10685" s="1">
        <v>1</v>
      </c>
      <c r="B10685" s="1" t="s">
        <v>7341</v>
      </c>
      <c r="C10685" s="1" t="str">
        <f ca="1">IFERROR(__xludf.DUMMYFUNCTION("GOOGLETRANSLATE(B10877,""en"",""ja"")"),"アル")</f>
        <v>アル</v>
      </c>
    </row>
    <row r="10686" spans="1:3" ht="18" customHeight="1" x14ac:dyDescent="0.3">
      <c r="A10686" s="1">
        <v>1</v>
      </c>
      <c r="B10686" s="1" t="s">
        <v>8120</v>
      </c>
      <c r="C10686" s="1" t="str">
        <f ca="1">IFERROR(__xludf.DUMMYFUNCTION("GOOGLETRANSLATE(B10878,""en"",""ja"")"),"飛行機")</f>
        <v>飛行機</v>
      </c>
    </row>
    <row r="10687" spans="1:3" ht="18" customHeight="1" x14ac:dyDescent="0.3">
      <c r="A10687" s="1">
        <v>1</v>
      </c>
      <c r="B10687" s="1" t="s">
        <v>6570</v>
      </c>
      <c r="C10687" s="1" t="str">
        <f ca="1">IFERROR(__xludf.DUMMYFUNCTION("GOOGLETRANSLATE(B10879,""en"",""ja"")"),"飛行機")</f>
        <v>飛行機</v>
      </c>
    </row>
    <row r="10688" spans="1:3" ht="18" customHeight="1" x14ac:dyDescent="0.3">
      <c r="A10688" s="1">
        <v>1</v>
      </c>
      <c r="B10688" s="1" t="s">
        <v>8121</v>
      </c>
      <c r="C10688" s="1" t="str">
        <f ca="1">IFERROR(__xludf.DUMMYFUNCTION("GOOGLETRANSLATE(B10880,""en"",""ja"")"),"アグリビジネス")</f>
        <v>アグリビジネス</v>
      </c>
    </row>
    <row r="10689" spans="1:3" ht="18" customHeight="1" x14ac:dyDescent="0.3">
      <c r="A10689" s="1">
        <v>1</v>
      </c>
      <c r="B10689" s="1" t="s">
        <v>8122</v>
      </c>
      <c r="C10689" s="1" t="str">
        <f ca="1">IFERROR(__xludf.DUMMYFUNCTION("GOOGLETRANSLATE(B10881,""en"",""ja"")"),"合意")</f>
        <v>合意</v>
      </c>
    </row>
    <row r="10690" spans="1:3" ht="18" customHeight="1" x14ac:dyDescent="0.3">
      <c r="A10690" s="1">
        <v>1</v>
      </c>
      <c r="B10690" s="1" t="s">
        <v>6574</v>
      </c>
      <c r="C10690" s="1" t="str">
        <f ca="1">IFERROR(__xludf.DUMMYFUNCTION("GOOGLETRANSLATE(B10882,""en"",""ja"")"),"敏捷")</f>
        <v>敏捷</v>
      </c>
    </row>
    <row r="10691" spans="1:3" ht="18" customHeight="1" x14ac:dyDescent="0.3">
      <c r="A10691" s="1">
        <v>1</v>
      </c>
      <c r="B10691" s="1" t="s">
        <v>5169</v>
      </c>
      <c r="C10691" s="1" t="str">
        <f ca="1">IFERROR(__xludf.DUMMYFUNCTION("GOOGLETRANSLATE(B10883,""en"",""ja"")"),"攻撃性")</f>
        <v>攻撃性</v>
      </c>
    </row>
    <row r="10692" spans="1:3" ht="18" customHeight="1" x14ac:dyDescent="0.3">
      <c r="A10692" s="1">
        <v>1</v>
      </c>
      <c r="B10692" s="1" t="s">
        <v>149</v>
      </c>
      <c r="C10692" s="1" t="str">
        <f ca="1">IFERROR(__xludf.DUMMYFUNCTION("GOOGLETRANSLATE(B10884,""en"",""ja"")"),"後に")</f>
        <v>後に</v>
      </c>
    </row>
    <row r="10693" spans="1:3" ht="18" customHeight="1" x14ac:dyDescent="0.3">
      <c r="A10693" s="1">
        <v>1</v>
      </c>
      <c r="B10693" s="1" t="s">
        <v>8123</v>
      </c>
      <c r="C10693" s="1" t="str">
        <f ca="1">IFERROR(__xludf.DUMMYFUNCTION("GOOGLETRANSLATE(B10885,""en"",""ja"")"),"恐れ")</f>
        <v>恐れ</v>
      </c>
    </row>
    <row r="10694" spans="1:3" ht="18" customHeight="1" x14ac:dyDescent="0.3">
      <c r="A10694" s="1">
        <v>1</v>
      </c>
      <c r="B10694" s="1" t="s">
        <v>7346</v>
      </c>
      <c r="C10694" s="1" t="str">
        <f ca="1">IFERROR(__xludf.DUMMYFUNCTION("GOOGLETRANSLATE(B10886,""en"",""ja"")"),"歩いて")</f>
        <v>歩いて</v>
      </c>
    </row>
    <row r="10695" spans="1:3" ht="18" customHeight="1" x14ac:dyDescent="0.3">
      <c r="A10695" s="1">
        <v>1</v>
      </c>
      <c r="B10695" s="1" t="s">
        <v>8124</v>
      </c>
      <c r="C10695" s="1" t="str">
        <f ca="1">IFERROR(__xludf.DUMMYFUNCTION("GOOGLETRANSLATE(B10887,""en"",""ja"")"),"手頃な価格")</f>
        <v>手頃な価格</v>
      </c>
    </row>
    <row r="10696" spans="1:3" ht="18" customHeight="1" x14ac:dyDescent="0.3">
      <c r="A10696" s="1">
        <v>1</v>
      </c>
      <c r="B10696" s="1" t="s">
        <v>8125</v>
      </c>
      <c r="C10696" s="1" t="str">
        <f ca="1">IFERROR(__xludf.DUMMYFUNCTION("GOOGLETRANSLATE(B10888,""en"",""ja"")"),"苦しめる")</f>
        <v>苦しめる</v>
      </c>
    </row>
    <row r="10697" spans="1:3" ht="18" customHeight="1" x14ac:dyDescent="0.3">
      <c r="A10697" s="1">
        <v>1</v>
      </c>
      <c r="B10697" s="1" t="s">
        <v>8126</v>
      </c>
      <c r="C10697" s="1" t="str">
        <f ca="1">IFERROR(__xludf.DUMMYFUNCTION("GOOGLETRANSLATE(B10889,""en"",""ja"")"),"アフィリエイト")</f>
        <v>アフィリエイト</v>
      </c>
    </row>
    <row r="10698" spans="1:3" ht="18" customHeight="1" x14ac:dyDescent="0.3">
      <c r="A10698" s="1">
        <v>1</v>
      </c>
      <c r="B10698" s="1" t="s">
        <v>2244</v>
      </c>
      <c r="C10698" s="1" t="str">
        <f ca="1">IFERROR(__xludf.DUMMYFUNCTION("GOOGLETRANSLATE(B10890,""en"",""ja"")"),"影響を及ぼす")</f>
        <v>影響を及ぼす</v>
      </c>
    </row>
    <row r="10699" spans="1:3" ht="18" customHeight="1" x14ac:dyDescent="0.3">
      <c r="A10699" s="1">
        <v>1</v>
      </c>
      <c r="B10699" s="1" t="s">
        <v>6580</v>
      </c>
      <c r="C10699" s="1" t="str">
        <f ca="1">IFERROR(__xludf.DUMMYFUNCTION("GOOGLETRANSLATE(B10891,""en"",""ja"")"),"空力")</f>
        <v>空力</v>
      </c>
    </row>
    <row r="10700" spans="1:3" ht="18" customHeight="1" x14ac:dyDescent="0.3">
      <c r="A10700" s="1">
        <v>1</v>
      </c>
      <c r="B10700" s="1" t="s">
        <v>8127</v>
      </c>
      <c r="C10700" s="1" t="str">
        <f ca="1">IFERROR(__xludf.DUMMYFUNCTION("GOOGLETRANSLATE(B10892,""en"",""ja"")"),"AEDの")</f>
        <v>AEDの</v>
      </c>
    </row>
    <row r="10701" spans="1:3" ht="18" customHeight="1" x14ac:dyDescent="0.3">
      <c r="A10701" s="1">
        <v>1</v>
      </c>
      <c r="B10701" s="1" t="s">
        <v>8128</v>
      </c>
      <c r="C10701" s="1" t="str">
        <f ca="1">IFERROR(__xludf.DUMMYFUNCTION("GOOGLETRANSLATE(B10893,""en"",""ja"")"),"AED")</f>
        <v>AED</v>
      </c>
    </row>
    <row r="10702" spans="1:3" ht="18" customHeight="1" x14ac:dyDescent="0.3">
      <c r="A10702" s="1">
        <v>1</v>
      </c>
      <c r="B10702" s="1" t="s">
        <v>5174</v>
      </c>
      <c r="C10702" s="1" t="str">
        <f ca="1">IFERROR(__xludf.DUMMYFUNCTION("GOOGLETRANSLATE(B10894,""en"",""ja"")"),"広告主")</f>
        <v>広告主</v>
      </c>
    </row>
    <row r="10703" spans="1:3" ht="18" customHeight="1" x14ac:dyDescent="0.3">
      <c r="A10703" s="1">
        <v>1</v>
      </c>
      <c r="B10703" s="1" t="s">
        <v>6583</v>
      </c>
      <c r="C10703" s="1" t="str">
        <f ca="1">IFERROR(__xludf.DUMMYFUNCTION("GOOGLETRANSLATE(B10895,""en"",""ja"")"),"広告")</f>
        <v>広告</v>
      </c>
    </row>
    <row r="10704" spans="1:3" ht="18" customHeight="1" x14ac:dyDescent="0.3">
      <c r="A10704" s="1">
        <v>1</v>
      </c>
      <c r="B10704" s="1" t="s">
        <v>8129</v>
      </c>
      <c r="C10704" s="1" t="str">
        <f ca="1">IFERROR(__xludf.DUMMYFUNCTION("GOOGLETRANSLATE(B10896,""en"",""ja"")"),"降臨")</f>
        <v>降臨</v>
      </c>
    </row>
    <row r="10705" spans="1:3" ht="18" customHeight="1" x14ac:dyDescent="0.3">
      <c r="A10705" s="1">
        <v>1</v>
      </c>
      <c r="B10705" s="1" t="s">
        <v>1720</v>
      </c>
      <c r="C10705" s="1" t="str">
        <f ca="1">IFERROR(__xludf.DUMMYFUNCTION("GOOGLETRANSLATE(B10897,""en"",""ja"")"),"有利")</f>
        <v>有利</v>
      </c>
    </row>
    <row r="10706" spans="1:3" ht="18" customHeight="1" x14ac:dyDescent="0.3">
      <c r="A10706" s="1">
        <v>1</v>
      </c>
      <c r="B10706" s="1" t="s">
        <v>8130</v>
      </c>
      <c r="C10706" s="1" t="str">
        <f ca="1">IFERROR(__xludf.DUMMYFUNCTION("GOOGLETRANSLATE(B10898,""en"",""ja"")"),"進歩")</f>
        <v>進歩</v>
      </c>
    </row>
    <row r="10707" spans="1:3" ht="18" customHeight="1" x14ac:dyDescent="0.3">
      <c r="A10707" s="1">
        <v>1</v>
      </c>
      <c r="B10707" s="1" t="s">
        <v>7351</v>
      </c>
      <c r="C10707" s="1" t="str">
        <f ca="1">IFERROR(__xludf.DUMMYFUNCTION("GOOGLETRANSLATE(B10899,""en"",""ja"")"),"アドバンス")</f>
        <v>アドバンス</v>
      </c>
    </row>
    <row r="10708" spans="1:3" ht="18" customHeight="1" x14ac:dyDescent="0.3">
      <c r="A10708" s="1">
        <v>1</v>
      </c>
      <c r="B10708" s="1" t="s">
        <v>720</v>
      </c>
      <c r="C10708" s="1" t="str">
        <f ca="1">IFERROR(__xludf.DUMMYFUNCTION("GOOGLETRANSLATE(B10900,""en"",""ja"")"),"大人")</f>
        <v>大人</v>
      </c>
    </row>
    <row r="10709" spans="1:3" ht="18" customHeight="1" x14ac:dyDescent="0.3">
      <c r="A10709" s="1">
        <v>1</v>
      </c>
      <c r="B10709" s="1" t="s">
        <v>8131</v>
      </c>
      <c r="C10709" s="1" t="str">
        <f ca="1">IFERROR(__xludf.DUMMYFUNCTION("GOOGLETRANSLATE(B10901,""en"",""ja"")"),"入場")</f>
        <v>入場</v>
      </c>
    </row>
    <row r="10710" spans="1:3" ht="18" customHeight="1" x14ac:dyDescent="0.3">
      <c r="A10710" s="1">
        <v>1</v>
      </c>
      <c r="B10710" s="1" t="s">
        <v>5175</v>
      </c>
      <c r="C10710" s="1" t="str">
        <f ca="1">IFERROR(__xludf.DUMMYFUNCTION("GOOGLETRANSLATE(B10902,""en"",""ja"")"),"管理者")</f>
        <v>管理者</v>
      </c>
    </row>
    <row r="10711" spans="1:3" ht="18" customHeight="1" x14ac:dyDescent="0.3">
      <c r="A10711" s="1">
        <v>1</v>
      </c>
      <c r="B10711" s="1" t="s">
        <v>8132</v>
      </c>
      <c r="C10711" s="1" t="str">
        <f ca="1">IFERROR(__xludf.DUMMYFUNCTION("GOOGLETRANSLATE(B10903,""en"",""ja"")"),"調整")</f>
        <v>調整</v>
      </c>
    </row>
    <row r="10712" spans="1:3" ht="18" customHeight="1" x14ac:dyDescent="0.3">
      <c r="A10712" s="1">
        <v>1</v>
      </c>
      <c r="B10712" s="1" t="s">
        <v>8133</v>
      </c>
      <c r="C10712" s="1" t="str">
        <f ca="1">IFERROR(__xludf.DUMMYFUNCTION("GOOGLETRANSLATE(B10905,""en"",""ja"")"),"調整可能")</f>
        <v>調整可能</v>
      </c>
    </row>
    <row r="10713" spans="1:3" ht="18" customHeight="1" x14ac:dyDescent="0.3">
      <c r="A10713" s="1">
        <v>1</v>
      </c>
      <c r="B10713" s="1" t="s">
        <v>8134</v>
      </c>
      <c r="C10713" s="1" t="str">
        <f ca="1">IFERROR(__xludf.DUMMYFUNCTION("GOOGLETRANSLATE(B10906,""en"",""ja"")"),"名人")</f>
        <v>名人</v>
      </c>
    </row>
    <row r="10714" spans="1:3" ht="18" customHeight="1" x14ac:dyDescent="0.3">
      <c r="A10714" s="1">
        <v>1</v>
      </c>
      <c r="B10714" s="1" t="s">
        <v>6590</v>
      </c>
      <c r="C10714" s="1" t="str">
        <f ca="1">IFERROR(__xludf.DUMMYFUNCTION("GOOGLETRANSLATE(B10907,""en"",""ja"")"),"適応性")</f>
        <v>適応性</v>
      </c>
    </row>
    <row r="10715" spans="1:3" ht="18" customHeight="1" x14ac:dyDescent="0.3">
      <c r="A10715" s="1">
        <v>1</v>
      </c>
      <c r="B10715" s="1" t="s">
        <v>8135</v>
      </c>
      <c r="C10715" s="1" t="str">
        <f ca="1">IFERROR(__xludf.DUMMYFUNCTION("GOOGLETRANSLATE(B10908,""en"",""ja"")"),"広告")</f>
        <v>広告</v>
      </c>
    </row>
    <row r="10716" spans="1:3" ht="18" customHeight="1" x14ac:dyDescent="0.3">
      <c r="A10716" s="1">
        <v>1</v>
      </c>
      <c r="B10716" s="1" t="s">
        <v>7359</v>
      </c>
      <c r="C10716" s="1" t="str">
        <f ca="1">IFERROR(__xludf.DUMMYFUNCTION("GOOGLETRANSLATE(B10909,""en"",""ja"")"),"顕在")</f>
        <v>顕在</v>
      </c>
    </row>
    <row r="10717" spans="1:3" ht="18" customHeight="1" x14ac:dyDescent="0.3">
      <c r="A10717" s="1">
        <v>1</v>
      </c>
      <c r="B10717" s="1" t="s">
        <v>8136</v>
      </c>
      <c r="C10717" s="1" t="str">
        <f ca="1">IFERROR(__xludf.DUMMYFUNCTION("GOOGLETRANSLATE(B10910,""en"",""ja"")"),"actualizatation")</f>
        <v>actualizatation</v>
      </c>
    </row>
    <row r="10718" spans="1:3" ht="18" customHeight="1" x14ac:dyDescent="0.3">
      <c r="A10718" s="1">
        <v>1</v>
      </c>
      <c r="B10718" s="1" t="s">
        <v>8137</v>
      </c>
      <c r="C10718" s="1" t="str">
        <f ca="1">IFERROR(__xludf.DUMMYFUNCTION("GOOGLETRANSLATE(B10912,""en"",""ja"")"),"アクティブ")</f>
        <v>アクティブ</v>
      </c>
    </row>
    <row r="10719" spans="1:3" ht="18" customHeight="1" x14ac:dyDescent="0.3">
      <c r="A10719" s="1">
        <v>1</v>
      </c>
      <c r="B10719" s="1" t="s">
        <v>746</v>
      </c>
      <c r="C10719" s="1" t="str">
        <f ca="1">IFERROR(__xludf.DUMMYFUNCTION("GOOGLETRANSLATE(B10913,""en"",""ja"")"),"取得")</f>
        <v>取得</v>
      </c>
    </row>
    <row r="10720" spans="1:3" ht="18" customHeight="1" x14ac:dyDescent="0.3">
      <c r="A10720" s="1">
        <v>1</v>
      </c>
      <c r="B10720" s="1" t="s">
        <v>6595</v>
      </c>
      <c r="C10720" s="1" t="str">
        <f ca="1">IFERROR(__xludf.DUMMYFUNCTION("GOOGLETRANSLATE(B10914,""en"",""ja"")"),"認める")</f>
        <v>認める</v>
      </c>
    </row>
    <row r="10721" spans="1:3" ht="18" customHeight="1" x14ac:dyDescent="0.3">
      <c r="A10721" s="1">
        <v>1</v>
      </c>
      <c r="B10721" s="1" t="s">
        <v>3764</v>
      </c>
      <c r="C10721" s="1" t="str">
        <f ca="1">IFERROR(__xludf.DUMMYFUNCTION("GOOGLETRANSLATE(B10915,""en"",""ja"")"),"成果")</f>
        <v>成果</v>
      </c>
    </row>
    <row r="10722" spans="1:3" ht="18" customHeight="1" x14ac:dyDescent="0.3">
      <c r="A10722" s="1">
        <v>1</v>
      </c>
      <c r="B10722" s="1" t="s">
        <v>2249</v>
      </c>
      <c r="C10722" s="1" t="str">
        <f ca="1">IFERROR(__xludf.DUMMYFUNCTION("GOOGLETRANSLATE(B10916,""en"",""ja"")"),"正確さ")</f>
        <v>正確さ</v>
      </c>
    </row>
    <row r="10723" spans="1:3" ht="18" customHeight="1" x14ac:dyDescent="0.3">
      <c r="A10723" s="1">
        <v>1</v>
      </c>
      <c r="B10723" s="1" t="s">
        <v>7362</v>
      </c>
      <c r="C10723" s="1" t="str">
        <f ca="1">IFERROR(__xludf.DUMMYFUNCTION("GOOGLETRANSLATE(B10917,""en"",""ja"")"),"アコード")</f>
        <v>アコード</v>
      </c>
    </row>
    <row r="10724" spans="1:3" ht="18" customHeight="1" x14ac:dyDescent="0.3">
      <c r="A10724" s="1">
        <v>1</v>
      </c>
      <c r="B10724" s="1" t="s">
        <v>4228</v>
      </c>
      <c r="C10724" s="1" t="str">
        <f ca="1">IFERROR(__xludf.DUMMYFUNCTION("GOOGLETRANSLATE(B10918,""en"",""ja"")"),"誤っ")</f>
        <v>誤っ</v>
      </c>
    </row>
    <row r="10725" spans="1:3" ht="18" customHeight="1" x14ac:dyDescent="0.3">
      <c r="A10725" s="1">
        <v>1</v>
      </c>
      <c r="B10725" s="1" t="s">
        <v>3765</v>
      </c>
      <c r="C10725" s="1" t="str">
        <f ca="1">IFERROR(__xludf.DUMMYFUNCTION("GOOGLETRANSLATE(B10919,""en"",""ja"")"),"許容")</f>
        <v>許容</v>
      </c>
    </row>
    <row r="10726" spans="1:3" ht="18" customHeight="1" x14ac:dyDescent="0.3">
      <c r="A10726" s="1">
        <v>1</v>
      </c>
      <c r="B10726" s="1" t="s">
        <v>5186</v>
      </c>
      <c r="C10726" s="1" t="str">
        <f ca="1">IFERROR(__xludf.DUMMYFUNCTION("GOOGLETRANSLATE(B10920,""en"",""ja"")"),"口汚いです")</f>
        <v>口汚いです</v>
      </c>
    </row>
    <row r="10727" spans="1:3" ht="18" customHeight="1" x14ac:dyDescent="0.3">
      <c r="A10727" s="1">
        <v>1</v>
      </c>
      <c r="B10727" s="1" t="s">
        <v>8138</v>
      </c>
      <c r="C10727" s="1" t="str">
        <f ca="1">IFERROR(__xludf.DUMMYFUNCTION("GOOGLETRANSLATE(B10921,""en"",""ja"")"),"豊か")</f>
        <v>豊か</v>
      </c>
    </row>
    <row r="10728" spans="1:3" ht="18" customHeight="1" x14ac:dyDescent="0.3">
      <c r="A10728" s="1">
        <v>1</v>
      </c>
      <c r="B10728" s="1" t="s">
        <v>8139</v>
      </c>
      <c r="C10728" s="1" t="str">
        <f ca="1">IFERROR(__xludf.DUMMYFUNCTION("GOOGLETRANSLATE(B10922,""en"",""ja"")"),"抄録")</f>
        <v>抄録</v>
      </c>
    </row>
    <row r="10729" spans="1:3" ht="18" customHeight="1" x14ac:dyDescent="0.3">
      <c r="A10729" s="1">
        <v>1</v>
      </c>
      <c r="B10729" s="1" t="s">
        <v>747</v>
      </c>
      <c r="C10729" s="1" t="str">
        <f ca="1">IFERROR(__xludf.DUMMYFUNCTION("GOOGLETRANSLATE(B10923,""en"",""ja"")"),"絶対の")</f>
        <v>絶対の</v>
      </c>
    </row>
    <row r="10730" spans="1:3" ht="18" customHeight="1" x14ac:dyDescent="0.3">
      <c r="A10730" s="1">
        <v>1</v>
      </c>
      <c r="B10730" s="1" t="s">
        <v>8140</v>
      </c>
      <c r="C10730" s="1" t="str">
        <f ca="1">IFERROR(__xludf.DUMMYFUNCTION("GOOGLETRANSLATE(B10924,""en"",""ja"")"),"アブラハム")</f>
        <v>アブラハム</v>
      </c>
    </row>
    <row r="10731" spans="1:3" ht="18" customHeight="1" x14ac:dyDescent="0.3">
      <c r="A10731" s="1">
        <v>1</v>
      </c>
      <c r="B10731" s="1" t="s">
        <v>8141</v>
      </c>
      <c r="C10731" s="1" t="str">
        <f ca="1">IFERROR(__xludf.DUMMYFUNCTION("GOOGLETRANSLATE(B10925,""en"",""ja"")"),"遵守")</f>
        <v>遵守</v>
      </c>
    </row>
    <row r="10732" spans="1:3" ht="18" customHeight="1" x14ac:dyDescent="0.3">
      <c r="A10732" s="1">
        <v>1</v>
      </c>
      <c r="B10732" s="1" t="s">
        <v>8142</v>
      </c>
      <c r="C10732" s="1" t="str">
        <f ca="1">IFERROR(__xludf.DUMMYFUNCTION("GOOGLETRANSLATE(B10926,""en"",""ja"")"),"捨てられました")</f>
        <v>捨てられました</v>
      </c>
    </row>
    <row r="10733" spans="1:3" ht="18" customHeight="1" x14ac:dyDescent="0.3">
      <c r="B10733" s="2"/>
    </row>
    <row r="10734" spans="1:3" ht="18" customHeight="1" x14ac:dyDescent="0.3"/>
    <row r="10735" spans="1:3" ht="18" customHeight="1" x14ac:dyDescent="0.3"/>
    <row r="10736" spans="1:3" ht="18" customHeight="1" x14ac:dyDescent="0.3"/>
    <row r="10737" ht="18" customHeight="1" x14ac:dyDescent="0.3"/>
    <row r="10738" ht="18" customHeight="1" x14ac:dyDescent="0.3"/>
    <row r="10739" ht="18" customHeight="1" x14ac:dyDescent="0.3"/>
    <row r="10740" ht="18" customHeight="1" x14ac:dyDescent="0.3"/>
    <row r="10741" ht="18" customHeight="1" x14ac:dyDescent="0.3"/>
    <row r="10742" ht="18" customHeight="1" x14ac:dyDescent="0.3"/>
    <row r="10743" ht="18" customHeight="1" x14ac:dyDescent="0.3"/>
    <row r="10744" ht="18" customHeight="1" x14ac:dyDescent="0.3"/>
    <row r="10745" ht="18" customHeight="1" x14ac:dyDescent="0.3"/>
    <row r="10746" ht="18" customHeight="1" x14ac:dyDescent="0.3"/>
    <row r="10747" ht="18" customHeight="1" x14ac:dyDescent="0.3"/>
    <row r="10748" ht="18" customHeight="1" x14ac:dyDescent="0.3"/>
    <row r="10749" ht="18" customHeight="1" x14ac:dyDescent="0.3"/>
    <row r="10750" ht="18" customHeight="1" x14ac:dyDescent="0.3"/>
    <row r="10751" ht="18" customHeight="1" x14ac:dyDescent="0.3"/>
    <row r="10752" ht="18" customHeight="1" x14ac:dyDescent="0.3"/>
    <row r="10753" ht="18" customHeight="1" x14ac:dyDescent="0.3"/>
    <row r="10754" ht="18" customHeight="1" x14ac:dyDescent="0.3"/>
    <row r="10755" ht="18" customHeight="1" x14ac:dyDescent="0.3"/>
    <row r="10756" ht="18" customHeight="1" x14ac:dyDescent="0.3"/>
    <row r="10757" ht="18" customHeight="1" x14ac:dyDescent="0.3"/>
    <row r="10758" ht="18" customHeight="1" x14ac:dyDescent="0.3"/>
    <row r="10759" ht="18" customHeight="1" x14ac:dyDescent="0.3"/>
    <row r="10760" ht="18" customHeight="1" x14ac:dyDescent="0.3"/>
    <row r="10761" ht="18" customHeight="1" x14ac:dyDescent="0.3"/>
    <row r="10762" ht="18" customHeight="1" x14ac:dyDescent="0.3"/>
    <row r="10763" ht="18" customHeight="1" x14ac:dyDescent="0.3"/>
    <row r="10764" ht="18" customHeight="1" x14ac:dyDescent="0.3"/>
    <row r="10765" ht="18" customHeight="1" x14ac:dyDescent="0.3"/>
    <row r="10766" ht="18" customHeight="1" x14ac:dyDescent="0.3"/>
    <row r="10767" ht="18" customHeight="1" x14ac:dyDescent="0.3"/>
    <row r="10768" ht="18" customHeight="1" x14ac:dyDescent="0.3"/>
    <row r="10769" ht="18" customHeight="1" x14ac:dyDescent="0.3"/>
    <row r="10770" ht="18" customHeight="1" x14ac:dyDescent="0.3"/>
    <row r="10771" ht="18" customHeight="1" x14ac:dyDescent="0.3"/>
    <row r="10772" ht="18" customHeight="1" x14ac:dyDescent="0.3"/>
    <row r="10773" ht="18" customHeight="1" x14ac:dyDescent="0.3"/>
    <row r="10774" ht="18" customHeight="1" x14ac:dyDescent="0.3"/>
    <row r="10775" ht="18" customHeight="1" x14ac:dyDescent="0.3"/>
    <row r="10776" ht="18" customHeight="1" x14ac:dyDescent="0.3"/>
    <row r="10777" ht="18" customHeight="1" x14ac:dyDescent="0.3"/>
    <row r="10778" ht="18" customHeight="1" x14ac:dyDescent="0.3"/>
    <row r="10779" ht="18" customHeight="1" x14ac:dyDescent="0.3"/>
    <row r="10780" ht="18" customHeight="1" x14ac:dyDescent="0.3"/>
    <row r="10781" ht="18" customHeight="1" x14ac:dyDescent="0.3"/>
    <row r="10782" ht="18" customHeight="1" x14ac:dyDescent="0.3"/>
    <row r="10783" ht="18" customHeight="1" x14ac:dyDescent="0.3"/>
    <row r="10784" ht="18" customHeight="1" x14ac:dyDescent="0.3"/>
    <row r="10785" ht="18" customHeight="1" x14ac:dyDescent="0.3"/>
    <row r="10786" ht="18" customHeight="1" x14ac:dyDescent="0.3"/>
    <row r="10787" ht="18" customHeight="1" x14ac:dyDescent="0.3"/>
    <row r="10788" ht="18" customHeight="1" x14ac:dyDescent="0.3"/>
    <row r="10789" ht="18" customHeight="1" x14ac:dyDescent="0.3"/>
    <row r="10790" ht="18" customHeight="1" x14ac:dyDescent="0.3"/>
    <row r="10791" ht="18" customHeight="1" x14ac:dyDescent="0.3"/>
    <row r="10792" ht="18" customHeight="1" x14ac:dyDescent="0.3"/>
    <row r="10793" ht="18" customHeight="1" x14ac:dyDescent="0.3"/>
    <row r="10794" ht="18" customHeight="1" x14ac:dyDescent="0.3"/>
    <row r="10795" ht="18" customHeight="1" x14ac:dyDescent="0.3"/>
    <row r="10796" ht="18" customHeight="1" x14ac:dyDescent="0.3"/>
    <row r="10797" ht="18" customHeight="1" x14ac:dyDescent="0.3"/>
    <row r="10798" ht="18" customHeight="1" x14ac:dyDescent="0.3"/>
    <row r="10799" ht="18" customHeight="1" x14ac:dyDescent="0.3"/>
    <row r="10800" ht="18" customHeight="1" x14ac:dyDescent="0.3"/>
    <row r="10801" ht="18" customHeight="1" x14ac:dyDescent="0.3"/>
    <row r="10802" ht="18" customHeight="1" x14ac:dyDescent="0.3"/>
    <row r="10803" ht="18" customHeight="1" x14ac:dyDescent="0.3"/>
    <row r="10804" ht="18" customHeight="1" x14ac:dyDescent="0.3"/>
    <row r="10805" ht="18" customHeight="1" x14ac:dyDescent="0.3"/>
    <row r="10806" ht="18" customHeight="1" x14ac:dyDescent="0.3"/>
    <row r="10807" ht="18" customHeight="1" x14ac:dyDescent="0.3"/>
    <row r="10808" ht="18" customHeight="1" x14ac:dyDescent="0.3"/>
    <row r="10809" ht="18" customHeight="1" x14ac:dyDescent="0.3"/>
    <row r="10810" ht="18" customHeight="1" x14ac:dyDescent="0.3"/>
    <row r="10811" ht="18" customHeight="1" x14ac:dyDescent="0.3"/>
    <row r="10812" ht="18" customHeight="1" x14ac:dyDescent="0.3"/>
    <row r="10813" ht="18" customHeight="1" x14ac:dyDescent="0.3"/>
    <row r="10814" ht="18" customHeight="1" x14ac:dyDescent="0.3"/>
    <row r="10815" ht="18" customHeight="1" x14ac:dyDescent="0.3"/>
    <row r="10816" ht="18" customHeight="1" x14ac:dyDescent="0.3"/>
    <row r="10817" ht="18" customHeight="1" x14ac:dyDescent="0.3"/>
    <row r="10818" ht="18" customHeight="1" x14ac:dyDescent="0.3"/>
    <row r="10819" ht="18" customHeight="1" x14ac:dyDescent="0.3"/>
    <row r="10820" ht="18" customHeight="1" x14ac:dyDescent="0.3"/>
    <row r="10821" ht="18" customHeight="1" x14ac:dyDescent="0.3"/>
    <row r="10822" ht="18" customHeight="1" x14ac:dyDescent="0.3"/>
    <row r="10823" ht="18" customHeight="1" x14ac:dyDescent="0.3"/>
    <row r="10824" ht="18" customHeight="1" x14ac:dyDescent="0.3"/>
    <row r="10825" ht="18" customHeight="1" x14ac:dyDescent="0.3"/>
    <row r="10826" ht="18" customHeight="1" x14ac:dyDescent="0.3"/>
    <row r="10827" ht="18" customHeight="1" x14ac:dyDescent="0.3"/>
    <row r="10828" ht="18" customHeight="1" x14ac:dyDescent="0.3"/>
    <row r="10829" ht="18" customHeight="1" x14ac:dyDescent="0.3"/>
    <row r="10830" ht="18" customHeight="1" x14ac:dyDescent="0.3"/>
    <row r="10831" ht="18" customHeight="1" x14ac:dyDescent="0.3"/>
    <row r="10832" ht="18" customHeight="1" x14ac:dyDescent="0.3"/>
    <row r="10833" ht="18" customHeight="1" x14ac:dyDescent="0.3"/>
    <row r="10834" ht="18" customHeight="1" x14ac:dyDescent="0.3"/>
    <row r="10835" ht="18" customHeight="1" x14ac:dyDescent="0.3"/>
    <row r="10836" ht="18" customHeight="1" x14ac:dyDescent="0.3"/>
    <row r="10837" ht="18" customHeight="1" x14ac:dyDescent="0.3"/>
    <row r="10838" ht="18" customHeight="1" x14ac:dyDescent="0.3"/>
    <row r="10839" ht="18" customHeight="1" x14ac:dyDescent="0.3"/>
    <row r="10840" ht="18" customHeight="1" x14ac:dyDescent="0.3"/>
    <row r="10841" ht="18" customHeight="1" x14ac:dyDescent="0.3"/>
    <row r="10842" ht="18" customHeight="1" x14ac:dyDescent="0.3"/>
    <row r="10843" ht="18" customHeight="1" x14ac:dyDescent="0.3"/>
    <row r="10844" ht="18" customHeight="1" x14ac:dyDescent="0.3"/>
    <row r="10845" ht="18" customHeight="1" x14ac:dyDescent="0.3"/>
    <row r="10846" ht="18" customHeight="1" x14ac:dyDescent="0.3"/>
    <row r="10847" ht="18" customHeight="1" x14ac:dyDescent="0.3"/>
    <row r="10848" ht="18" customHeight="1" x14ac:dyDescent="0.3"/>
    <row r="10849" ht="18" customHeight="1" x14ac:dyDescent="0.3"/>
    <row r="10850" ht="18" customHeight="1" x14ac:dyDescent="0.3"/>
    <row r="10851" ht="18" customHeight="1" x14ac:dyDescent="0.3"/>
    <row r="10852" ht="18" customHeight="1" x14ac:dyDescent="0.3"/>
    <row r="10853" ht="18" customHeight="1" x14ac:dyDescent="0.3"/>
    <row r="10854" ht="18" customHeight="1" x14ac:dyDescent="0.3"/>
    <row r="10855" ht="18" customHeight="1" x14ac:dyDescent="0.3"/>
    <row r="10856" ht="18" customHeight="1" x14ac:dyDescent="0.3"/>
    <row r="10857" ht="18" customHeight="1" x14ac:dyDescent="0.3"/>
    <row r="10858" ht="18" customHeight="1" x14ac:dyDescent="0.3"/>
    <row r="10859" ht="18" customHeight="1" x14ac:dyDescent="0.3"/>
    <row r="10860" ht="18" customHeight="1" x14ac:dyDescent="0.3"/>
    <row r="10861" ht="18" customHeight="1" x14ac:dyDescent="0.3"/>
    <row r="10862" ht="18" customHeight="1" x14ac:dyDescent="0.3"/>
    <row r="10863" ht="18" customHeight="1" x14ac:dyDescent="0.3"/>
    <row r="10864" ht="18" customHeight="1" x14ac:dyDescent="0.3"/>
    <row r="10865" ht="18" customHeight="1" x14ac:dyDescent="0.3"/>
    <row r="10866" ht="18" customHeight="1" x14ac:dyDescent="0.3"/>
    <row r="10867" ht="18" customHeight="1" x14ac:dyDescent="0.3"/>
    <row r="10868" ht="18" customHeight="1" x14ac:dyDescent="0.3"/>
    <row r="10869" ht="18" customHeight="1" x14ac:dyDescent="0.3"/>
    <row r="10870" ht="18" customHeight="1" x14ac:dyDescent="0.3"/>
    <row r="10871" ht="18" customHeight="1" x14ac:dyDescent="0.3"/>
    <row r="10872" ht="18" customHeight="1" x14ac:dyDescent="0.3"/>
    <row r="10873" ht="18" customHeight="1" x14ac:dyDescent="0.3"/>
    <row r="10874" ht="18" customHeight="1" x14ac:dyDescent="0.3"/>
    <row r="10875" ht="18" customHeight="1" x14ac:dyDescent="0.3"/>
    <row r="10876" ht="18" customHeight="1" x14ac:dyDescent="0.3"/>
    <row r="10877" ht="18" customHeight="1" x14ac:dyDescent="0.3"/>
    <row r="10878" ht="18" customHeight="1" x14ac:dyDescent="0.3"/>
    <row r="10879" ht="18" customHeight="1" x14ac:dyDescent="0.3"/>
    <row r="10880" ht="18" customHeight="1" x14ac:dyDescent="0.3"/>
    <row r="10881" ht="18" customHeight="1" x14ac:dyDescent="0.3"/>
    <row r="10882" ht="18" customHeight="1" x14ac:dyDescent="0.3"/>
    <row r="10883" ht="18" customHeight="1" x14ac:dyDescent="0.3"/>
    <row r="10884" ht="18" customHeight="1" x14ac:dyDescent="0.3"/>
    <row r="10885" ht="18" customHeight="1" x14ac:dyDescent="0.3"/>
    <row r="10886" ht="18" customHeight="1" x14ac:dyDescent="0.3"/>
    <row r="10887" ht="18" customHeight="1" x14ac:dyDescent="0.3"/>
    <row r="10888" ht="18" customHeight="1" x14ac:dyDescent="0.3"/>
    <row r="10889" ht="18" customHeight="1" x14ac:dyDescent="0.3"/>
    <row r="10890" ht="18" customHeight="1" x14ac:dyDescent="0.3"/>
    <row r="10891" ht="18" customHeight="1" x14ac:dyDescent="0.3"/>
    <row r="10892" ht="18" customHeight="1" x14ac:dyDescent="0.3"/>
    <row r="10894" ht="14" x14ac:dyDescent="0.3"/>
    <row r="10895" ht="14" x14ac:dyDescent="0.3"/>
    <row r="10896" ht="14" x14ac:dyDescent="0.3"/>
    <row r="10897" ht="14" x14ac:dyDescent="0.3"/>
    <row r="10898" ht="14" x14ac:dyDescent="0.3"/>
    <row r="10899" ht="14" x14ac:dyDescent="0.3"/>
    <row r="10900" ht="14" x14ac:dyDescent="0.3"/>
    <row r="10901" ht="14" x14ac:dyDescent="0.3"/>
    <row r="10902" ht="14" x14ac:dyDescent="0.3"/>
    <row r="10903" ht="14" x14ac:dyDescent="0.3"/>
    <row r="10904" ht="14" x14ac:dyDescent="0.3"/>
    <row r="10905" ht="14" x14ac:dyDescent="0.3"/>
    <row r="10906" ht="14" x14ac:dyDescent="0.3"/>
    <row r="10907" ht="14" x14ac:dyDescent="0.3"/>
    <row r="10908" ht="14" x14ac:dyDescent="0.3"/>
    <row r="10909" ht="14" x14ac:dyDescent="0.3"/>
    <row r="10910" ht="14" x14ac:dyDescent="0.3"/>
    <row r="10911" ht="14" x14ac:dyDescent="0.3"/>
    <row r="10912" ht="14" x14ac:dyDescent="0.3"/>
    <row r="10913" ht="14" x14ac:dyDescent="0.3"/>
    <row r="10914" ht="14" x14ac:dyDescent="0.3"/>
    <row r="10915" ht="14" x14ac:dyDescent="0.3"/>
    <row r="10916" ht="14" x14ac:dyDescent="0.3"/>
    <row r="10917" ht="14" x14ac:dyDescent="0.3"/>
    <row r="10918" ht="14" x14ac:dyDescent="0.3"/>
  </sheetData>
  <sortState xmlns:xlrd2="http://schemas.microsoft.com/office/spreadsheetml/2017/richdata2" ref="A2:C10918">
    <sortCondition descending="1" ref="A2:A10918"/>
  </sortState>
  <phoneticPr fontId="2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環境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Taisuke .</cp:lastModifiedBy>
  <dcterms:created xsi:type="dcterms:W3CDTF">2021-05-13T15:22:48Z</dcterms:created>
  <dcterms:modified xsi:type="dcterms:W3CDTF">2021-05-13T06:29:48Z</dcterms:modified>
</cp:coreProperties>
</file>