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mrvengenhariasa-my.sharepoint.com/personal/vitor_lfonseca_mrv_com_br/Documents/Área de Trabalho/"/>
    </mc:Choice>
  </mc:AlternateContent>
  <xr:revisionPtr revIDLastSave="0" documentId="8_{20BF9374-9A07-45AE-87A2-60B5E57F51C8}" xr6:coauthVersionLast="47" xr6:coauthVersionMax="47" xr10:uidLastSave="{00000000-0000-0000-0000-000000000000}"/>
  <bookViews>
    <workbookView xWindow="-110" yWindow="-110" windowWidth="19420" windowHeight="10420" tabRatio="736" firstSheet="12" activeTab="12" xr2:uid="{A2F24637-C825-4C48-9031-3EAC4E2CD6E6}"/>
  </bookViews>
  <sheets>
    <sheet name="SIMULAÇÃO" sheetId="59" r:id="rId1"/>
    <sheet name="EMPREENDIMENTOS" sheetId="2" r:id="rId2"/>
    <sheet name="COMPORTAMENTO" sheetId="31" r:id="rId3"/>
    <sheet name="ADERÊNCIA" sheetId="35" r:id="rId4"/>
    <sheet name="DESVIOS" sheetId="57" r:id="rId5"/>
    <sheet name="Planilha17" sheetId="56" state="hidden" r:id="rId6"/>
    <sheet name="ACAB" sheetId="48" state="hidden" r:id="rId7"/>
    <sheet name="LAZER" sheetId="52" state="hidden" r:id="rId8"/>
    <sheet name="TIPOLOGIA" sheetId="53" state="hidden" r:id="rId9"/>
    <sheet name="VAGAS" sheetId="54" state="hidden" r:id="rId10"/>
    <sheet name="RÉGUAS" sheetId="3" r:id="rId11"/>
    <sheet name="CUSTO" sheetId="4" r:id="rId12"/>
    <sheet name="BASE DE DADOS - ACABAMENTOS" sheetId="61" r:id="rId13"/>
    <sheet name="BASE DE DADOS - LAZER" sheetId="62" r:id="rId14"/>
    <sheet name="BASE DE DADOS - TIPOLOGIA" sheetId="63" r:id="rId15"/>
    <sheet name="BASE DE DADOS - VAGAS" sheetId="65" r:id="rId16"/>
    <sheet name="ELEVADOR" sheetId="33" state="hidden" r:id="rId17"/>
  </sheets>
  <externalReferences>
    <externalReference r:id="rId18"/>
  </externalReferences>
  <definedNames>
    <definedName name="_xlnm._FilterDatabase" localSheetId="12" hidden="1">'BASE DE DADOS - ACABAMENTOS'!#REF!</definedName>
    <definedName name="_xlnm._FilterDatabase" localSheetId="13" hidden="1">'BASE DE DADOS - LAZER'!$C$2:$D$38</definedName>
    <definedName name="_xlnm._FilterDatabase" localSheetId="14" hidden="1">'BASE DE DADOS - TIPOLOGIA'!$C$2:$G$194</definedName>
    <definedName name="_xlnm._FilterDatabase" localSheetId="4" hidden="1">DESVIOS!$K$2:$AE$104</definedName>
  </definedNames>
  <calcPr calcId="191028"/>
  <pivotCaches>
    <pivotCache cacheId="0" r:id="rId19"/>
    <pivotCache cacheId="1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2" i="3" l="1"/>
  <c r="F72" i="3"/>
  <c r="D72" i="3"/>
  <c r="C72" i="3"/>
  <c r="J119" i="59"/>
  <c r="BJ114" i="59"/>
  <c r="BH111" i="59"/>
  <c r="BH112" i="59" s="1"/>
  <c r="BK110" i="59"/>
  <c r="BH108" i="59"/>
  <c r="BI108" i="59" s="1"/>
  <c r="CI104" i="59"/>
  <c r="CJ104" i="59" s="1"/>
  <c r="BZ104" i="59"/>
  <c r="BY104" i="59"/>
  <c r="BX104" i="59"/>
  <c r="BW104" i="59"/>
  <c r="CG104" i="59" s="1"/>
  <c r="CH104" i="59" s="1"/>
  <c r="BP104" i="59"/>
  <c r="BM104" i="59"/>
  <c r="CE104" i="59" s="1"/>
  <c r="CF104" i="59" s="1"/>
  <c r="BL104" i="59"/>
  <c r="BG104" i="59"/>
  <c r="BF104" i="59"/>
  <c r="BE104" i="59"/>
  <c r="BD104" i="59"/>
  <c r="BC104" i="59"/>
  <c r="BB104" i="59"/>
  <c r="BA104" i="59"/>
  <c r="CC104" i="59" s="1"/>
  <c r="AZ104" i="59"/>
  <c r="AY104" i="59"/>
  <c r="AX104" i="59"/>
  <c r="AC104" i="59"/>
  <c r="AB104" i="59"/>
  <c r="AA104" i="59"/>
  <c r="Z104" i="59"/>
  <c r="Y104" i="59"/>
  <c r="X104" i="59"/>
  <c r="W104" i="59"/>
  <c r="L104" i="59"/>
  <c r="N104" i="59" s="1"/>
  <c r="F104" i="59"/>
  <c r="CI103" i="59"/>
  <c r="CJ103" i="59" s="1"/>
  <c r="BZ103" i="59"/>
  <c r="BY103" i="59"/>
  <c r="BX103" i="59"/>
  <c r="BW103" i="59"/>
  <c r="CG103" i="59" s="1"/>
  <c r="CH103" i="59" s="1"/>
  <c r="BP103" i="59"/>
  <c r="BM103" i="59"/>
  <c r="BL103" i="59"/>
  <c r="CE103" i="59" s="1"/>
  <c r="CF103" i="59" s="1"/>
  <c r="BG103" i="59"/>
  <c r="BF103" i="59"/>
  <c r="BE103" i="59"/>
  <c r="BD103" i="59"/>
  <c r="BC103" i="59"/>
  <c r="BB103" i="59"/>
  <c r="BA103" i="59"/>
  <c r="AZ103" i="59"/>
  <c r="AY103" i="59"/>
  <c r="CC103" i="59" s="1"/>
  <c r="AX103" i="59"/>
  <c r="AC103" i="59"/>
  <c r="AB103" i="59"/>
  <c r="AA103" i="59"/>
  <c r="Z103" i="59"/>
  <c r="Y103" i="59"/>
  <c r="X103" i="59"/>
  <c r="W103" i="59"/>
  <c r="CA103" i="59" s="1"/>
  <c r="N103" i="59"/>
  <c r="L103" i="59"/>
  <c r="F103" i="59"/>
  <c r="CI102" i="59"/>
  <c r="CJ102" i="59" s="1"/>
  <c r="BZ102" i="59"/>
  <c r="BY102" i="59"/>
  <c r="BX102" i="59"/>
  <c r="BO102" i="59"/>
  <c r="BW102" i="59" s="1"/>
  <c r="CG102" i="59" s="1"/>
  <c r="CH102" i="59" s="1"/>
  <c r="BL102" i="59"/>
  <c r="CE102" i="59" s="1"/>
  <c r="CF102" i="59" s="1"/>
  <c r="BK102" i="59"/>
  <c r="BM102" i="59" s="1"/>
  <c r="BI102" i="59"/>
  <c r="BG102" i="59"/>
  <c r="BF102" i="59"/>
  <c r="BE102" i="59"/>
  <c r="BD102" i="59"/>
  <c r="BC102" i="59"/>
  <c r="BB102" i="59"/>
  <c r="BA102" i="59"/>
  <c r="AZ102" i="59"/>
  <c r="CC102" i="59" s="1"/>
  <c r="CD102" i="59" s="1"/>
  <c r="AY102" i="59"/>
  <c r="AX102" i="59"/>
  <c r="AC102" i="59"/>
  <c r="AB102" i="59"/>
  <c r="AA102" i="59"/>
  <c r="Z102" i="59"/>
  <c r="Y102" i="59"/>
  <c r="CA102" i="59" s="1"/>
  <c r="X102" i="59"/>
  <c r="W102" i="59"/>
  <c r="L102" i="59"/>
  <c r="N102" i="59" s="1"/>
  <c r="F102" i="59"/>
  <c r="CI101" i="59"/>
  <c r="CJ101" i="59" s="1"/>
  <c r="CH101" i="59"/>
  <c r="BZ101" i="59"/>
  <c r="BY101" i="59"/>
  <c r="BX101" i="59"/>
  <c r="BP101" i="59"/>
  <c r="BO101" i="59"/>
  <c r="BW101" i="59" s="1"/>
  <c r="CG101" i="59" s="1"/>
  <c r="BM101" i="59"/>
  <c r="BL101" i="59"/>
  <c r="BK101" i="59"/>
  <c r="BI101" i="59"/>
  <c r="BG101" i="59"/>
  <c r="BF101" i="59"/>
  <c r="BE101" i="59"/>
  <c r="BD101" i="59"/>
  <c r="BC101" i="59"/>
  <c r="BB101" i="59"/>
  <c r="BA101" i="59"/>
  <c r="AZ101" i="59"/>
  <c r="AY101" i="59"/>
  <c r="AX101" i="59"/>
  <c r="AC101" i="59"/>
  <c r="AB101" i="59"/>
  <c r="AA101" i="59"/>
  <c r="Z101" i="59"/>
  <c r="Y101" i="59"/>
  <c r="X101" i="59"/>
  <c r="W101" i="59"/>
  <c r="L101" i="59"/>
  <c r="N101" i="59" s="1"/>
  <c r="F101" i="59"/>
  <c r="CI100" i="59"/>
  <c r="CJ100" i="59" s="1"/>
  <c r="BZ100" i="59"/>
  <c r="BY100" i="59"/>
  <c r="BX100" i="59"/>
  <c r="BW100" i="59"/>
  <c r="CG100" i="59" s="1"/>
  <c r="CH100" i="59" s="1"/>
  <c r="BP100" i="59"/>
  <c r="BM100" i="59"/>
  <c r="BL100" i="59"/>
  <c r="BK100" i="59"/>
  <c r="BI100" i="59"/>
  <c r="BG100" i="59"/>
  <c r="BF100" i="59"/>
  <c r="BE100" i="59"/>
  <c r="BD100" i="59"/>
  <c r="BC100" i="59"/>
  <c r="BB100" i="59"/>
  <c r="CC100" i="59" s="1"/>
  <c r="BA100" i="59"/>
  <c r="AZ100" i="59"/>
  <c r="AY100" i="59"/>
  <c r="AX100" i="59"/>
  <c r="AC100" i="59"/>
  <c r="AB100" i="59"/>
  <c r="AA100" i="59"/>
  <c r="Z100" i="59"/>
  <c r="Y100" i="59"/>
  <c r="CA100" i="59" s="1"/>
  <c r="X100" i="59"/>
  <c r="W100" i="59"/>
  <c r="L100" i="59"/>
  <c r="N100" i="59" s="1"/>
  <c r="F100" i="59"/>
  <c r="CI99" i="59"/>
  <c r="CJ99" i="59" s="1"/>
  <c r="BZ99" i="59"/>
  <c r="BY99" i="59"/>
  <c r="BX99" i="59"/>
  <c r="BW99" i="59"/>
  <c r="CG99" i="59" s="1"/>
  <c r="CH99" i="59" s="1"/>
  <c r="BP99" i="59"/>
  <c r="BM99" i="59"/>
  <c r="BL99" i="59"/>
  <c r="CE99" i="59" s="1"/>
  <c r="CF99" i="59" s="1"/>
  <c r="BG99" i="59"/>
  <c r="BF99" i="59"/>
  <c r="BE99" i="59"/>
  <c r="BD99" i="59"/>
  <c r="BC99" i="59"/>
  <c r="BB99" i="59"/>
  <c r="BA99" i="59"/>
  <c r="AZ99" i="59"/>
  <c r="CC99" i="59" s="1"/>
  <c r="AY99" i="59"/>
  <c r="AX99" i="59"/>
  <c r="AC99" i="59"/>
  <c r="AB99" i="59"/>
  <c r="AA99" i="59"/>
  <c r="Z99" i="59"/>
  <c r="Y99" i="59"/>
  <c r="X99" i="59"/>
  <c r="W99" i="59"/>
  <c r="CA99" i="59" s="1"/>
  <c r="L99" i="59"/>
  <c r="N99" i="59" s="1"/>
  <c r="F99" i="59"/>
  <c r="CI98" i="59"/>
  <c r="CJ98" i="59" s="1"/>
  <c r="BZ98" i="59"/>
  <c r="BY98" i="59"/>
  <c r="CG98" i="59" s="1"/>
  <c r="CH98" i="59" s="1"/>
  <c r="BX98" i="59"/>
  <c r="BW98" i="59"/>
  <c r="BP98" i="59"/>
  <c r="BM98" i="59"/>
  <c r="BL98" i="59"/>
  <c r="CE98" i="59" s="1"/>
  <c r="CF98" i="59" s="1"/>
  <c r="BG98" i="59"/>
  <c r="BF98" i="59"/>
  <c r="BE98" i="59"/>
  <c r="BD98" i="59"/>
  <c r="BC98" i="59"/>
  <c r="BB98" i="59"/>
  <c r="BA98" i="59"/>
  <c r="AZ98" i="59"/>
  <c r="AY98" i="59"/>
  <c r="AX98" i="59"/>
  <c r="AC98" i="59"/>
  <c r="AB98" i="59"/>
  <c r="AA98" i="59"/>
  <c r="Z98" i="59"/>
  <c r="Y98" i="59"/>
  <c r="X98" i="59"/>
  <c r="W98" i="59"/>
  <c r="CA98" i="59" s="1"/>
  <c r="L98" i="59"/>
  <c r="N98" i="59" s="1"/>
  <c r="F98" i="59"/>
  <c r="CI97" i="59"/>
  <c r="CJ97" i="59" s="1"/>
  <c r="CG97" i="59"/>
  <c r="CH97" i="59" s="1"/>
  <c r="CF97" i="59"/>
  <c r="CE97" i="59"/>
  <c r="BZ97" i="59"/>
  <c r="BY97" i="59"/>
  <c r="BX97" i="59"/>
  <c r="BW97" i="59"/>
  <c r="BP97" i="59"/>
  <c r="BM97" i="59"/>
  <c r="BL97" i="59"/>
  <c r="BG97" i="59"/>
  <c r="BF97" i="59"/>
  <c r="BE97" i="59"/>
  <c r="BD97" i="59"/>
  <c r="BC97" i="59"/>
  <c r="BB97" i="59"/>
  <c r="BA97" i="59"/>
  <c r="AZ97" i="59"/>
  <c r="AY97" i="59"/>
  <c r="AX97" i="59"/>
  <c r="AC97" i="59"/>
  <c r="AB97" i="59"/>
  <c r="AA97" i="59"/>
  <c r="Z97" i="59"/>
  <c r="Y97" i="59"/>
  <c r="X97" i="59"/>
  <c r="W97" i="59"/>
  <c r="L97" i="59"/>
  <c r="N97" i="59" s="1"/>
  <c r="F97" i="59"/>
  <c r="CI96" i="59"/>
  <c r="CJ96" i="59" s="1"/>
  <c r="CC96" i="59"/>
  <c r="BZ96" i="59"/>
  <c r="BY96" i="59"/>
  <c r="BX96" i="59"/>
  <c r="BW96" i="59"/>
  <c r="CG96" i="59" s="1"/>
  <c r="CH96" i="59" s="1"/>
  <c r="BP96" i="59"/>
  <c r="BM96" i="59"/>
  <c r="CE96" i="59" s="1"/>
  <c r="BL96" i="59"/>
  <c r="BG96" i="59"/>
  <c r="BF96" i="59"/>
  <c r="BE96" i="59"/>
  <c r="BD96" i="59"/>
  <c r="BC96" i="59"/>
  <c r="BB96" i="59"/>
  <c r="BA96" i="59"/>
  <c r="AZ96" i="59"/>
  <c r="AY96" i="59"/>
  <c r="AX96" i="59"/>
  <c r="AC96" i="59"/>
  <c r="AB96" i="59"/>
  <c r="AA96" i="59"/>
  <c r="Z96" i="59"/>
  <c r="Y96" i="59"/>
  <c r="X96" i="59"/>
  <c r="W96" i="59"/>
  <c r="CA96" i="59" s="1"/>
  <c r="L96" i="59"/>
  <c r="N96" i="59" s="1"/>
  <c r="F96" i="59"/>
  <c r="CJ95" i="59"/>
  <c r="CI95" i="59"/>
  <c r="BZ95" i="59"/>
  <c r="BY95" i="59"/>
  <c r="BX95" i="59"/>
  <c r="BW95" i="59"/>
  <c r="CG95" i="59" s="1"/>
  <c r="CH95" i="59" s="1"/>
  <c r="BP95" i="59"/>
  <c r="BM95" i="59"/>
  <c r="BL95" i="59"/>
  <c r="CE95" i="59" s="1"/>
  <c r="CF95" i="59" s="1"/>
  <c r="BG95" i="59"/>
  <c r="BF95" i="59"/>
  <c r="BE95" i="59"/>
  <c r="BD95" i="59"/>
  <c r="BC95" i="59"/>
  <c r="BB95" i="59"/>
  <c r="BA95" i="59"/>
  <c r="AZ95" i="59"/>
  <c r="AY95" i="59"/>
  <c r="CC95" i="59" s="1"/>
  <c r="AX95" i="59"/>
  <c r="AC95" i="59"/>
  <c r="AB95" i="59"/>
  <c r="AA95" i="59"/>
  <c r="Z95" i="59"/>
  <c r="Y95" i="59"/>
  <c r="X95" i="59"/>
  <c r="W95" i="59"/>
  <c r="CA95" i="59" s="1"/>
  <c r="L95" i="59"/>
  <c r="N95" i="59" s="1"/>
  <c r="F95" i="59"/>
  <c r="CI94" i="59"/>
  <c r="CJ94" i="59" s="1"/>
  <c r="CH94" i="59"/>
  <c r="CG94" i="59"/>
  <c r="BZ94" i="59"/>
  <c r="BY94" i="59"/>
  <c r="BX94" i="59"/>
  <c r="BW94" i="59"/>
  <c r="BP94" i="59"/>
  <c r="BM94" i="59"/>
  <c r="BL94" i="59"/>
  <c r="CE94" i="59" s="1"/>
  <c r="CF94" i="59" s="1"/>
  <c r="BG94" i="59"/>
  <c r="BF94" i="59"/>
  <c r="BE94" i="59"/>
  <c r="BD94" i="59"/>
  <c r="BC94" i="59"/>
  <c r="BB94" i="59"/>
  <c r="BA94" i="59"/>
  <c r="AZ94" i="59"/>
  <c r="AY94" i="59"/>
  <c r="AX94" i="59"/>
  <c r="AC94" i="59"/>
  <c r="AB94" i="59"/>
  <c r="AA94" i="59"/>
  <c r="Z94" i="59"/>
  <c r="Y94" i="59"/>
  <c r="X94" i="59"/>
  <c r="W94" i="59"/>
  <c r="CA94" i="59" s="1"/>
  <c r="L94" i="59"/>
  <c r="N94" i="59" s="1"/>
  <c r="F94" i="59"/>
  <c r="CI93" i="59"/>
  <c r="CJ93" i="59" s="1"/>
  <c r="CF93" i="59"/>
  <c r="CE93" i="59"/>
  <c r="BZ93" i="59"/>
  <c r="BY93" i="59"/>
  <c r="BX93" i="59"/>
  <c r="CG93" i="59" s="1"/>
  <c r="CH93" i="59" s="1"/>
  <c r="BW93" i="59"/>
  <c r="BP93" i="59"/>
  <c r="BM93" i="59"/>
  <c r="BL93" i="59"/>
  <c r="BG93" i="59"/>
  <c r="BF93" i="59"/>
  <c r="BE93" i="59"/>
  <c r="BD93" i="59"/>
  <c r="BC93" i="59"/>
  <c r="BB93" i="59"/>
  <c r="BA93" i="59"/>
  <c r="AZ93" i="59"/>
  <c r="AY93" i="59"/>
  <c r="AX93" i="59"/>
  <c r="AC93" i="59"/>
  <c r="AB93" i="59"/>
  <c r="AA93" i="59"/>
  <c r="Z93" i="59"/>
  <c r="Y93" i="59"/>
  <c r="X93" i="59"/>
  <c r="W93" i="59"/>
  <c r="CA93" i="59" s="1"/>
  <c r="L93" i="59"/>
  <c r="N93" i="59" s="1"/>
  <c r="F93" i="59"/>
  <c r="CI92" i="59"/>
  <c r="CJ92" i="59" s="1"/>
  <c r="BZ92" i="59"/>
  <c r="BY92" i="59"/>
  <c r="BX92" i="59"/>
  <c r="BW92" i="59"/>
  <c r="CG92" i="59" s="1"/>
  <c r="CH92" i="59" s="1"/>
  <c r="BP92" i="59"/>
  <c r="BM92" i="59"/>
  <c r="CE92" i="59" s="1"/>
  <c r="CF92" i="59" s="1"/>
  <c r="BK92" i="59"/>
  <c r="BI92" i="59"/>
  <c r="BL92" i="59" s="1"/>
  <c r="BG92" i="59"/>
  <c r="BF92" i="59"/>
  <c r="BE92" i="59"/>
  <c r="BD92" i="59"/>
  <c r="BC92" i="59"/>
  <c r="BB92" i="59"/>
  <c r="BA92" i="59"/>
  <c r="AZ92" i="59"/>
  <c r="AY92" i="59"/>
  <c r="AX92" i="59"/>
  <c r="AC92" i="59"/>
  <c r="AB92" i="59"/>
  <c r="AA92" i="59"/>
  <c r="Z92" i="59"/>
  <c r="Y92" i="59"/>
  <c r="X92" i="59"/>
  <c r="W92" i="59"/>
  <c r="L92" i="59"/>
  <c r="N92" i="59" s="1"/>
  <c r="F92" i="59"/>
  <c r="CI91" i="59"/>
  <c r="CJ91" i="59" s="1"/>
  <c r="CE91" i="59"/>
  <c r="CF91" i="59" s="1"/>
  <c r="BZ91" i="59"/>
  <c r="BY91" i="59"/>
  <c r="BX91" i="59"/>
  <c r="BW91" i="59"/>
  <c r="CG91" i="59" s="1"/>
  <c r="CH91" i="59" s="1"/>
  <c r="BP91" i="59"/>
  <c r="BM91" i="59"/>
  <c r="BL91" i="59"/>
  <c r="BG91" i="59"/>
  <c r="BF91" i="59"/>
  <c r="BE91" i="59"/>
  <c r="BD91" i="59"/>
  <c r="BC91" i="59"/>
  <c r="BB91" i="59"/>
  <c r="BA91" i="59"/>
  <c r="CC91" i="59" s="1"/>
  <c r="CD91" i="59" s="1"/>
  <c r="AZ91" i="59"/>
  <c r="AY91" i="59"/>
  <c r="AX91" i="59"/>
  <c r="AC91" i="59"/>
  <c r="AB91" i="59"/>
  <c r="AA91" i="59"/>
  <c r="Z91" i="59"/>
  <c r="Y91" i="59"/>
  <c r="X91" i="59"/>
  <c r="W91" i="59"/>
  <c r="L91" i="59"/>
  <c r="N91" i="59" s="1"/>
  <c r="F91" i="59"/>
  <c r="CI90" i="59"/>
  <c r="CJ90" i="59" s="1"/>
  <c r="BZ90" i="59"/>
  <c r="BY90" i="59"/>
  <c r="BX90" i="59"/>
  <c r="BW90" i="59"/>
  <c r="CG90" i="59" s="1"/>
  <c r="CH90" i="59" s="1"/>
  <c r="BP90" i="59"/>
  <c r="BM90" i="59"/>
  <c r="BL90" i="59"/>
  <c r="BG90" i="59"/>
  <c r="BF90" i="59"/>
  <c r="BE90" i="59"/>
  <c r="BD90" i="59"/>
  <c r="BC90" i="59"/>
  <c r="BB90" i="59"/>
  <c r="BA90" i="59"/>
  <c r="AZ90" i="59"/>
  <c r="AY90" i="59"/>
  <c r="CC90" i="59" s="1"/>
  <c r="AX90" i="59"/>
  <c r="AC90" i="59"/>
  <c r="AB90" i="59"/>
  <c r="AA90" i="59"/>
  <c r="Z90" i="59"/>
  <c r="Y90" i="59"/>
  <c r="X90" i="59"/>
  <c r="W90" i="59"/>
  <c r="CA90" i="59" s="1"/>
  <c r="L90" i="59"/>
  <c r="N90" i="59" s="1"/>
  <c r="F90" i="59"/>
  <c r="CI89" i="59"/>
  <c r="CJ89" i="59" s="1"/>
  <c r="BZ89" i="59"/>
  <c r="BY89" i="59"/>
  <c r="CG89" i="59" s="1"/>
  <c r="CH89" i="59" s="1"/>
  <c r="BX89" i="59"/>
  <c r="BW89" i="59"/>
  <c r="BP89" i="59"/>
  <c r="BM89" i="59"/>
  <c r="BL89" i="59"/>
  <c r="CE89" i="59" s="1"/>
  <c r="CF89" i="59" s="1"/>
  <c r="BG89" i="59"/>
  <c r="BF89" i="59"/>
  <c r="BE89" i="59"/>
  <c r="BD89" i="59"/>
  <c r="BC89" i="59"/>
  <c r="BB89" i="59"/>
  <c r="BA89" i="59"/>
  <c r="AZ89" i="59"/>
  <c r="AY89" i="59"/>
  <c r="AX89" i="59"/>
  <c r="AC89" i="59"/>
  <c r="AB89" i="59"/>
  <c r="AA89" i="59"/>
  <c r="Z89" i="59"/>
  <c r="Y89" i="59"/>
  <c r="X89" i="59"/>
  <c r="W89" i="59"/>
  <c r="CA89" i="59" s="1"/>
  <c r="L89" i="59"/>
  <c r="N89" i="59" s="1"/>
  <c r="F89" i="59"/>
  <c r="CI88" i="59"/>
  <c r="CJ88" i="59" s="1"/>
  <c r="CE88" i="59"/>
  <c r="CF88" i="59" s="1"/>
  <c r="BZ88" i="59"/>
  <c r="BY88" i="59"/>
  <c r="BX88" i="59"/>
  <c r="BW88" i="59"/>
  <c r="CG88" i="59" s="1"/>
  <c r="CH88" i="59" s="1"/>
  <c r="BP88" i="59"/>
  <c r="BM88" i="59"/>
  <c r="BL88" i="59"/>
  <c r="BG88" i="59"/>
  <c r="BF88" i="59"/>
  <c r="BE88" i="59"/>
  <c r="BD88" i="59"/>
  <c r="BC88" i="59"/>
  <c r="BB88" i="59"/>
  <c r="BA88" i="59"/>
  <c r="AZ88" i="59"/>
  <c r="AY88" i="59"/>
  <c r="AX88" i="59"/>
  <c r="AC88" i="59"/>
  <c r="AB88" i="59"/>
  <c r="AA88" i="59"/>
  <c r="Z88" i="59"/>
  <c r="Y88" i="59"/>
  <c r="X88" i="59"/>
  <c r="W88" i="59"/>
  <c r="L88" i="59"/>
  <c r="N88" i="59" s="1"/>
  <c r="F88" i="59"/>
  <c r="CI87" i="59"/>
  <c r="CJ87" i="59" s="1"/>
  <c r="CE87" i="59"/>
  <c r="CF87" i="59" s="1"/>
  <c r="BZ87" i="59"/>
  <c r="BY87" i="59"/>
  <c r="BX87" i="59"/>
  <c r="BW87" i="59"/>
  <c r="CG87" i="59" s="1"/>
  <c r="CH87" i="59" s="1"/>
  <c r="BP87" i="59"/>
  <c r="BM87" i="59"/>
  <c r="BL87" i="59"/>
  <c r="BG87" i="59"/>
  <c r="BF87" i="59"/>
  <c r="BE87" i="59"/>
  <c r="BD87" i="59"/>
  <c r="BC87" i="59"/>
  <c r="BB87" i="59"/>
  <c r="BA87" i="59"/>
  <c r="AZ87" i="59"/>
  <c r="AY87" i="59"/>
  <c r="AX87" i="59"/>
  <c r="AC87" i="59"/>
  <c r="AB87" i="59"/>
  <c r="AA87" i="59"/>
  <c r="Z87" i="59"/>
  <c r="Y87" i="59"/>
  <c r="X87" i="59"/>
  <c r="W87" i="59"/>
  <c r="L87" i="59"/>
  <c r="N87" i="59" s="1"/>
  <c r="F87" i="59"/>
  <c r="CJ86" i="59"/>
  <c r="CI86" i="59"/>
  <c r="CE86" i="59"/>
  <c r="CF86" i="59" s="1"/>
  <c r="BZ86" i="59"/>
  <c r="BY86" i="59"/>
  <c r="BX86" i="59"/>
  <c r="BW86" i="59"/>
  <c r="CG86" i="59" s="1"/>
  <c r="CH86" i="59" s="1"/>
  <c r="BP86" i="59"/>
  <c r="BM86" i="59"/>
  <c r="BL86" i="59"/>
  <c r="BG86" i="59"/>
  <c r="BF86" i="59"/>
  <c r="BE86" i="59"/>
  <c r="BD86" i="59"/>
  <c r="BC86" i="59"/>
  <c r="BB86" i="59"/>
  <c r="BA86" i="59"/>
  <c r="AZ86" i="59"/>
  <c r="AY86" i="59"/>
  <c r="CC86" i="59" s="1"/>
  <c r="AX86" i="59"/>
  <c r="AC86" i="59"/>
  <c r="AB86" i="59"/>
  <c r="AA86" i="59"/>
  <c r="Z86" i="59"/>
  <c r="Y86" i="59"/>
  <c r="X86" i="59"/>
  <c r="W86" i="59"/>
  <c r="CA86" i="59" s="1"/>
  <c r="L86" i="59"/>
  <c r="N86" i="59" s="1"/>
  <c r="F86" i="59"/>
  <c r="CI85" i="59"/>
  <c r="CJ85" i="59" s="1"/>
  <c r="BZ85" i="59"/>
  <c r="BY85" i="59"/>
  <c r="BX85" i="59"/>
  <c r="BO85" i="59"/>
  <c r="BM85" i="59"/>
  <c r="BL85" i="59"/>
  <c r="BG85" i="59"/>
  <c r="BF85" i="59"/>
  <c r="BE85" i="59"/>
  <c r="BD85" i="59"/>
  <c r="BC85" i="59"/>
  <c r="BB85" i="59"/>
  <c r="BA85" i="59"/>
  <c r="AZ85" i="59"/>
  <c r="AY85" i="59"/>
  <c r="AX85" i="59"/>
  <c r="AC85" i="59"/>
  <c r="AB85" i="59"/>
  <c r="AA85" i="59"/>
  <c r="Z85" i="59"/>
  <c r="Y85" i="59"/>
  <c r="X85" i="59"/>
  <c r="W85" i="59"/>
  <c r="N85" i="59"/>
  <c r="L85" i="59"/>
  <c r="F85" i="59"/>
  <c r="CJ84" i="59"/>
  <c r="CI84" i="59"/>
  <c r="CH84" i="59"/>
  <c r="CF84" i="59"/>
  <c r="BZ84" i="59"/>
  <c r="BY84" i="59"/>
  <c r="CG84" i="59" s="1"/>
  <c r="BX84" i="59"/>
  <c r="BW84" i="59"/>
  <c r="BP84" i="59"/>
  <c r="BM84" i="59"/>
  <c r="BL84" i="59"/>
  <c r="CE84" i="59" s="1"/>
  <c r="BG84" i="59"/>
  <c r="BF84" i="59"/>
  <c r="BE84" i="59"/>
  <c r="BD84" i="59"/>
  <c r="BC84" i="59"/>
  <c r="BB84" i="59"/>
  <c r="BA84" i="59"/>
  <c r="AZ84" i="59"/>
  <c r="AY84" i="59"/>
  <c r="AX84" i="59"/>
  <c r="AC84" i="59"/>
  <c r="AB84" i="59"/>
  <c r="AA84" i="59"/>
  <c r="Z84" i="59"/>
  <c r="Y84" i="59"/>
  <c r="X84" i="59"/>
  <c r="W84" i="59"/>
  <c r="CA84" i="59" s="1"/>
  <c r="L84" i="59"/>
  <c r="N84" i="59" s="1"/>
  <c r="F84" i="59"/>
  <c r="CI83" i="59"/>
  <c r="CJ83" i="59" s="1"/>
  <c r="CE83" i="59"/>
  <c r="CF83" i="59" s="1"/>
  <c r="BZ83" i="59"/>
  <c r="BY83" i="59"/>
  <c r="BX83" i="59"/>
  <c r="BW83" i="59"/>
  <c r="BP83" i="59"/>
  <c r="BO83" i="59"/>
  <c r="BK83" i="59"/>
  <c r="BM83" i="59" s="1"/>
  <c r="BI83" i="59"/>
  <c r="BL83" i="59" s="1"/>
  <c r="BG83" i="59"/>
  <c r="BF83" i="59"/>
  <c r="BE83" i="59"/>
  <c r="BD83" i="59"/>
  <c r="BC83" i="59"/>
  <c r="BB83" i="59"/>
  <c r="BA83" i="59"/>
  <c r="AZ83" i="59"/>
  <c r="AY83" i="59"/>
  <c r="AX83" i="59"/>
  <c r="AC83" i="59"/>
  <c r="AB83" i="59"/>
  <c r="AA83" i="59"/>
  <c r="Z83" i="59"/>
  <c r="Y83" i="59"/>
  <c r="X83" i="59"/>
  <c r="W83" i="59"/>
  <c r="N83" i="59"/>
  <c r="L83" i="59"/>
  <c r="F83" i="59"/>
  <c r="CI82" i="59"/>
  <c r="CJ82" i="59" s="1"/>
  <c r="BZ82" i="59"/>
  <c r="BY82" i="59"/>
  <c r="BX82" i="59"/>
  <c r="CG82" i="59" s="1"/>
  <c r="CH82" i="59" s="1"/>
  <c r="BW82" i="59"/>
  <c r="BP82" i="59"/>
  <c r="BO82" i="59"/>
  <c r="BM82" i="59"/>
  <c r="BI82" i="59"/>
  <c r="BL82" i="59" s="1"/>
  <c r="CE82" i="59" s="1"/>
  <c r="CF82" i="59" s="1"/>
  <c r="BG82" i="59"/>
  <c r="BF82" i="59"/>
  <c r="BE82" i="59"/>
  <c r="BD82" i="59"/>
  <c r="BC82" i="59"/>
  <c r="BB82" i="59"/>
  <c r="BA82" i="59"/>
  <c r="AZ82" i="59"/>
  <c r="AY82" i="59"/>
  <c r="AX82" i="59"/>
  <c r="AC82" i="59"/>
  <c r="AB82" i="59"/>
  <c r="AA82" i="59"/>
  <c r="Z82" i="59"/>
  <c r="Y82" i="59"/>
  <c r="X82" i="59"/>
  <c r="W82" i="59"/>
  <c r="CA82" i="59" s="1"/>
  <c r="L82" i="59"/>
  <c r="N82" i="59" s="1"/>
  <c r="F82" i="59"/>
  <c r="CJ81" i="59"/>
  <c r="CI81" i="59"/>
  <c r="CC81" i="59"/>
  <c r="BZ81" i="59"/>
  <c r="BY81" i="59"/>
  <c r="BX81" i="59"/>
  <c r="BW81" i="59"/>
  <c r="CG81" i="59" s="1"/>
  <c r="CH81" i="59" s="1"/>
  <c r="BP81" i="59"/>
  <c r="BM81" i="59"/>
  <c r="CE81" i="59" s="1"/>
  <c r="CF81" i="59" s="1"/>
  <c r="BL81" i="59"/>
  <c r="BG81" i="59"/>
  <c r="BF81" i="59"/>
  <c r="BE81" i="59"/>
  <c r="BD81" i="59"/>
  <c r="BC81" i="59"/>
  <c r="BB81" i="59"/>
  <c r="BA81" i="59"/>
  <c r="AZ81" i="59"/>
  <c r="AY81" i="59"/>
  <c r="AX81" i="59"/>
  <c r="AC81" i="59"/>
  <c r="AB81" i="59"/>
  <c r="AA81" i="59"/>
  <c r="Z81" i="59"/>
  <c r="Y81" i="59"/>
  <c r="X81" i="59"/>
  <c r="W81" i="59"/>
  <c r="CA81" i="59" s="1"/>
  <c r="N81" i="59"/>
  <c r="L81" i="59"/>
  <c r="F81" i="59"/>
  <c r="CI80" i="59"/>
  <c r="CJ80" i="59" s="1"/>
  <c r="BZ80" i="59"/>
  <c r="BY80" i="59"/>
  <c r="BX80" i="59"/>
  <c r="BW80" i="59"/>
  <c r="CG80" i="59" s="1"/>
  <c r="CH80" i="59" s="1"/>
  <c r="BP80" i="59"/>
  <c r="BM80" i="59"/>
  <c r="BI80" i="59"/>
  <c r="BL80" i="59" s="1"/>
  <c r="BG80" i="59"/>
  <c r="BF80" i="59"/>
  <c r="BE80" i="59"/>
  <c r="BD80" i="59"/>
  <c r="BC80" i="59"/>
  <c r="BB80" i="59"/>
  <c r="CC80" i="59" s="1"/>
  <c r="BA80" i="59"/>
  <c r="AZ80" i="59"/>
  <c r="AY80" i="59"/>
  <c r="AX80" i="59"/>
  <c r="AC80" i="59"/>
  <c r="AB80" i="59"/>
  <c r="AA80" i="59"/>
  <c r="Z80" i="59"/>
  <c r="CA80" i="59" s="1"/>
  <c r="Y80" i="59"/>
  <c r="X80" i="59"/>
  <c r="W80" i="59"/>
  <c r="L80" i="59"/>
  <c r="N80" i="59" s="1"/>
  <c r="F80" i="59"/>
  <c r="CI79" i="59"/>
  <c r="CJ79" i="59" s="1"/>
  <c r="BZ79" i="59"/>
  <c r="BY79" i="59"/>
  <c r="BX79" i="59"/>
  <c r="BO79" i="59"/>
  <c r="BM79" i="59"/>
  <c r="BL79" i="59"/>
  <c r="CE79" i="59" s="1"/>
  <c r="CF79" i="59" s="1"/>
  <c r="BI79" i="59"/>
  <c r="BG79" i="59"/>
  <c r="BF79" i="59"/>
  <c r="BE79" i="59"/>
  <c r="BD79" i="59"/>
  <c r="BC79" i="59"/>
  <c r="BB79" i="59"/>
  <c r="BA79" i="59"/>
  <c r="CC79" i="59" s="1"/>
  <c r="AZ79" i="59"/>
  <c r="AY79" i="59"/>
  <c r="AX79" i="59"/>
  <c r="AC79" i="59"/>
  <c r="AB79" i="59"/>
  <c r="AA79" i="59"/>
  <c r="CA79" i="59" s="1"/>
  <c r="Z79" i="59"/>
  <c r="Y79" i="59"/>
  <c r="X79" i="59"/>
  <c r="W79" i="59"/>
  <c r="N79" i="59"/>
  <c r="L79" i="59"/>
  <c r="F79" i="59"/>
  <c r="CI78" i="59"/>
  <c r="CJ78" i="59" s="1"/>
  <c r="BZ78" i="59"/>
  <c r="BY78" i="59"/>
  <c r="BX78" i="59"/>
  <c r="BW78" i="59"/>
  <c r="BP78" i="59"/>
  <c r="BM78" i="59"/>
  <c r="BI78" i="59"/>
  <c r="BL78" i="59" s="1"/>
  <c r="BG78" i="59"/>
  <c r="BF78" i="59"/>
  <c r="BE78" i="59"/>
  <c r="BD78" i="59"/>
  <c r="BC78" i="59"/>
  <c r="BB78" i="59"/>
  <c r="BA78" i="59"/>
  <c r="AZ78" i="59"/>
  <c r="AY78" i="59"/>
  <c r="AX78" i="59"/>
  <c r="AC78" i="59"/>
  <c r="AB78" i="59"/>
  <c r="AA78" i="59"/>
  <c r="Z78" i="59"/>
  <c r="Y78" i="59"/>
  <c r="X78" i="59"/>
  <c r="W78" i="59"/>
  <c r="N78" i="59"/>
  <c r="L78" i="59"/>
  <c r="F78" i="59"/>
  <c r="CI77" i="59"/>
  <c r="CJ77" i="59" s="1"/>
  <c r="BZ77" i="59"/>
  <c r="BY77" i="59"/>
  <c r="BX77" i="59"/>
  <c r="BO77" i="59"/>
  <c r="BW77" i="59" s="1"/>
  <c r="CG77" i="59" s="1"/>
  <c r="CH77" i="59" s="1"/>
  <c r="BM77" i="59"/>
  <c r="BL77" i="59"/>
  <c r="CE77" i="59" s="1"/>
  <c r="CF77" i="59" s="1"/>
  <c r="BG77" i="59"/>
  <c r="BF77" i="59"/>
  <c r="BE77" i="59"/>
  <c r="BD77" i="59"/>
  <c r="BC77" i="59"/>
  <c r="BB77" i="59"/>
  <c r="BA77" i="59"/>
  <c r="AZ77" i="59"/>
  <c r="AY77" i="59"/>
  <c r="AX77" i="59"/>
  <c r="AC77" i="59"/>
  <c r="AB77" i="59"/>
  <c r="AA77" i="59"/>
  <c r="Z77" i="59"/>
  <c r="Y77" i="59"/>
  <c r="X77" i="59"/>
  <c r="W77" i="59"/>
  <c r="CA77" i="59" s="1"/>
  <c r="N77" i="59"/>
  <c r="L77" i="59"/>
  <c r="F77" i="59"/>
  <c r="CI76" i="59"/>
  <c r="CJ76" i="59" s="1"/>
  <c r="BZ76" i="59"/>
  <c r="CG76" i="59" s="1"/>
  <c r="CH76" i="59" s="1"/>
  <c r="BY76" i="59"/>
  <c r="BX76" i="59"/>
  <c r="BW76" i="59"/>
  <c r="BP76" i="59"/>
  <c r="BM76" i="59"/>
  <c r="BI76" i="59"/>
  <c r="BL76" i="59" s="1"/>
  <c r="CE76" i="59" s="1"/>
  <c r="CF76" i="59" s="1"/>
  <c r="BG76" i="59"/>
  <c r="BF76" i="59"/>
  <c r="BE76" i="59"/>
  <c r="BD76" i="59"/>
  <c r="BC76" i="59"/>
  <c r="BB76" i="59"/>
  <c r="BA76" i="59"/>
  <c r="AZ76" i="59"/>
  <c r="AY76" i="59"/>
  <c r="AX76" i="59"/>
  <c r="CC76" i="59" s="1"/>
  <c r="AC76" i="59"/>
  <c r="AB76" i="59"/>
  <c r="AA76" i="59"/>
  <c r="Z76" i="59"/>
  <c r="Y76" i="59"/>
  <c r="X76" i="59"/>
  <c r="W76" i="59"/>
  <c r="CA76" i="59" s="1"/>
  <c r="N76" i="59"/>
  <c r="L76" i="59"/>
  <c r="F76" i="59"/>
  <c r="CI75" i="59"/>
  <c r="CJ75" i="59" s="1"/>
  <c r="CH75" i="59"/>
  <c r="CE75" i="59"/>
  <c r="BZ75" i="59"/>
  <c r="CG75" i="59" s="1"/>
  <c r="BY75" i="59"/>
  <c r="BX75" i="59"/>
  <c r="BW75" i="59"/>
  <c r="BP75" i="59"/>
  <c r="BM75" i="59"/>
  <c r="BL75" i="59"/>
  <c r="BG75" i="59"/>
  <c r="BF75" i="59"/>
  <c r="BE75" i="59"/>
  <c r="BD75" i="59"/>
  <c r="BC75" i="59"/>
  <c r="BB75" i="59"/>
  <c r="BA75" i="59"/>
  <c r="AZ75" i="59"/>
  <c r="AY75" i="59"/>
  <c r="AX75" i="59"/>
  <c r="CC75" i="59" s="1"/>
  <c r="CD75" i="59" s="1"/>
  <c r="AC75" i="59"/>
  <c r="AB75" i="59"/>
  <c r="AA75" i="59"/>
  <c r="Z75" i="59"/>
  <c r="Y75" i="59"/>
  <c r="X75" i="59"/>
  <c r="W75" i="59"/>
  <c r="CA75" i="59" s="1"/>
  <c r="N75" i="59"/>
  <c r="L75" i="59"/>
  <c r="F75" i="59"/>
  <c r="CI74" i="59"/>
  <c r="CJ74" i="59" s="1"/>
  <c r="CE74" i="59"/>
  <c r="CF74" i="59" s="1"/>
  <c r="BZ74" i="59"/>
  <c r="BY74" i="59"/>
  <c r="BX74" i="59"/>
  <c r="BW74" i="59"/>
  <c r="CG74" i="59" s="1"/>
  <c r="CH74" i="59" s="1"/>
  <c r="BO74" i="59"/>
  <c r="BP74" i="59" s="1"/>
  <c r="BM74" i="59"/>
  <c r="BL74" i="59"/>
  <c r="BI74" i="59"/>
  <c r="BG74" i="59"/>
  <c r="BF74" i="59"/>
  <c r="BE74" i="59"/>
  <c r="CC74" i="59" s="1"/>
  <c r="BD74" i="59"/>
  <c r="BC74" i="59"/>
  <c r="BB74" i="59"/>
  <c r="BA74" i="59"/>
  <c r="AZ74" i="59"/>
  <c r="AY74" i="59"/>
  <c r="AX74" i="59"/>
  <c r="AC74" i="59"/>
  <c r="AB74" i="59"/>
  <c r="AA74" i="59"/>
  <c r="Z74" i="59"/>
  <c r="Y74" i="59"/>
  <c r="X74" i="59"/>
  <c r="W74" i="59"/>
  <c r="L74" i="59"/>
  <c r="N74" i="59" s="1"/>
  <c r="F74" i="59"/>
  <c r="CI73" i="59"/>
  <c r="CJ73" i="59" s="1"/>
  <c r="CF73" i="59"/>
  <c r="CE73" i="59"/>
  <c r="BZ73" i="59"/>
  <c r="BY73" i="59"/>
  <c r="BX73" i="59"/>
  <c r="BW73" i="59"/>
  <c r="CG73" i="59" s="1"/>
  <c r="CH73" i="59" s="1"/>
  <c r="BP73" i="59"/>
  <c r="BO73" i="59"/>
  <c r="BM73" i="59"/>
  <c r="BL73" i="59"/>
  <c r="BI73" i="59"/>
  <c r="BG73" i="59"/>
  <c r="BF73" i="59"/>
  <c r="BE73" i="59"/>
  <c r="BD73" i="59"/>
  <c r="BC73" i="59"/>
  <c r="BB73" i="59"/>
  <c r="BA73" i="59"/>
  <c r="AZ73" i="59"/>
  <c r="AY73" i="59"/>
  <c r="AX73" i="59"/>
  <c r="AC73" i="59"/>
  <c r="AB73" i="59"/>
  <c r="AA73" i="59"/>
  <c r="Z73" i="59"/>
  <c r="Y73" i="59"/>
  <c r="X73" i="59"/>
  <c r="W73" i="59"/>
  <c r="L73" i="59"/>
  <c r="N73" i="59" s="1"/>
  <c r="F73" i="59"/>
  <c r="CI72" i="59"/>
  <c r="CJ72" i="59" s="1"/>
  <c r="CE72" i="59"/>
  <c r="CF72" i="59" s="1"/>
  <c r="BZ72" i="59"/>
  <c r="BY72" i="59"/>
  <c r="BX72" i="59"/>
  <c r="BO72" i="59"/>
  <c r="BM72" i="59"/>
  <c r="BL72" i="59"/>
  <c r="BI72" i="59"/>
  <c r="BG72" i="59"/>
  <c r="BF72" i="59"/>
  <c r="BE72" i="59"/>
  <c r="BD72" i="59"/>
  <c r="BC72" i="59"/>
  <c r="CC72" i="59" s="1"/>
  <c r="BB72" i="59"/>
  <c r="BA72" i="59"/>
  <c r="AZ72" i="59"/>
  <c r="AY72" i="59"/>
  <c r="AX72" i="59"/>
  <c r="AC72" i="59"/>
  <c r="AB72" i="59"/>
  <c r="AA72" i="59"/>
  <c r="Z72" i="59"/>
  <c r="Y72" i="59"/>
  <c r="X72" i="59"/>
  <c r="W72" i="59"/>
  <c r="L72" i="59"/>
  <c r="N72" i="59" s="1"/>
  <c r="F72" i="59"/>
  <c r="CI71" i="59"/>
  <c r="CJ71" i="59" s="1"/>
  <c r="BZ71" i="59"/>
  <c r="BY71" i="59"/>
  <c r="BX71" i="59"/>
  <c r="BW71" i="59"/>
  <c r="BP71" i="59"/>
  <c r="BM71" i="59"/>
  <c r="BI71" i="59"/>
  <c r="BL71" i="59" s="1"/>
  <c r="CE71" i="59" s="1"/>
  <c r="CF71" i="59" s="1"/>
  <c r="BG71" i="59"/>
  <c r="BF71" i="59"/>
  <c r="BE71" i="59"/>
  <c r="BD71" i="59"/>
  <c r="BC71" i="59"/>
  <c r="BB71" i="59"/>
  <c r="BA71" i="59"/>
  <c r="AZ71" i="59"/>
  <c r="AY71" i="59"/>
  <c r="AX71" i="59"/>
  <c r="AC71" i="59"/>
  <c r="AB71" i="59"/>
  <c r="AA71" i="59"/>
  <c r="Z71" i="59"/>
  <c r="Y71" i="59"/>
  <c r="X71" i="59"/>
  <c r="W71" i="59"/>
  <c r="L71" i="59"/>
  <c r="N71" i="59" s="1"/>
  <c r="F71" i="59"/>
  <c r="CJ70" i="59"/>
  <c r="CI70" i="59"/>
  <c r="BZ70" i="59"/>
  <c r="BY70" i="59"/>
  <c r="BX70" i="59"/>
  <c r="BW70" i="59"/>
  <c r="CG70" i="59" s="1"/>
  <c r="CH70" i="59" s="1"/>
  <c r="BP70" i="59"/>
  <c r="BM70" i="59"/>
  <c r="CE70" i="59" s="1"/>
  <c r="CF70" i="59" s="1"/>
  <c r="BL70" i="59"/>
  <c r="BG70" i="59"/>
  <c r="BF70" i="59"/>
  <c r="BE70" i="59"/>
  <c r="BD70" i="59"/>
  <c r="BC70" i="59"/>
  <c r="BB70" i="59"/>
  <c r="BA70" i="59"/>
  <c r="AZ70" i="59"/>
  <c r="AY70" i="59"/>
  <c r="AX70" i="59"/>
  <c r="AC70" i="59"/>
  <c r="AB70" i="59"/>
  <c r="AA70" i="59"/>
  <c r="Z70" i="59"/>
  <c r="Y70" i="59"/>
  <c r="X70" i="59"/>
  <c r="W70" i="59"/>
  <c r="N70" i="59"/>
  <c r="L70" i="59"/>
  <c r="F70" i="59"/>
  <c r="CI69" i="59"/>
  <c r="CJ69" i="59" s="1"/>
  <c r="BZ69" i="59"/>
  <c r="BY69" i="59"/>
  <c r="BX69" i="59"/>
  <c r="CG69" i="59" s="1"/>
  <c r="CH69" i="59" s="1"/>
  <c r="BW69" i="59"/>
  <c r="BP69" i="59"/>
  <c r="BM69" i="59"/>
  <c r="BL69" i="59"/>
  <c r="BG69" i="59"/>
  <c r="BF69" i="59"/>
  <c r="BE69" i="59"/>
  <c r="BD69" i="59"/>
  <c r="BC69" i="59"/>
  <c r="BB69" i="59"/>
  <c r="BA69" i="59"/>
  <c r="AZ69" i="59"/>
  <c r="AY69" i="59"/>
  <c r="AX69" i="59"/>
  <c r="AC69" i="59"/>
  <c r="AB69" i="59"/>
  <c r="AA69" i="59"/>
  <c r="Z69" i="59"/>
  <c r="Y69" i="59"/>
  <c r="X69" i="59"/>
  <c r="W69" i="59"/>
  <c r="CA69" i="59" s="1"/>
  <c r="N69" i="59"/>
  <c r="L69" i="59"/>
  <c r="F69" i="59"/>
  <c r="CI68" i="59"/>
  <c r="CJ68" i="59" s="1"/>
  <c r="BZ68" i="59"/>
  <c r="BY68" i="59"/>
  <c r="BX68" i="59"/>
  <c r="CG68" i="59" s="1"/>
  <c r="CH68" i="59" s="1"/>
  <c r="BW68" i="59"/>
  <c r="BP68" i="59"/>
  <c r="BM68" i="59"/>
  <c r="BL68" i="59"/>
  <c r="CE68" i="59" s="1"/>
  <c r="CF68" i="59" s="1"/>
  <c r="BI68" i="59"/>
  <c r="BG68" i="59"/>
  <c r="BF68" i="59"/>
  <c r="BE68" i="59"/>
  <c r="BD68" i="59"/>
  <c r="BC68" i="59"/>
  <c r="BB68" i="59"/>
  <c r="BA68" i="59"/>
  <c r="AZ68" i="59"/>
  <c r="AY68" i="59"/>
  <c r="AX68" i="59"/>
  <c r="AC68" i="59"/>
  <c r="AB68" i="59"/>
  <c r="AA68" i="59"/>
  <c r="Z68" i="59"/>
  <c r="Y68" i="59"/>
  <c r="X68" i="59"/>
  <c r="W68" i="59"/>
  <c r="L68" i="59"/>
  <c r="N68" i="59" s="1"/>
  <c r="F68" i="59"/>
  <c r="CI67" i="59"/>
  <c r="CJ67" i="59" s="1"/>
  <c r="BZ67" i="59"/>
  <c r="BY67" i="59"/>
  <c r="BX67" i="59"/>
  <c r="BP67" i="59"/>
  <c r="BO67" i="59"/>
  <c r="BW67" i="59" s="1"/>
  <c r="BM67" i="59"/>
  <c r="BI67" i="59"/>
  <c r="BL67" i="59" s="1"/>
  <c r="CE67" i="59" s="1"/>
  <c r="CF67" i="59" s="1"/>
  <c r="BG67" i="59"/>
  <c r="BF67" i="59"/>
  <c r="BE67" i="59"/>
  <c r="BD67" i="59"/>
  <c r="BC67" i="59"/>
  <c r="BB67" i="59"/>
  <c r="BA67" i="59"/>
  <c r="AZ67" i="59"/>
  <c r="AY67" i="59"/>
  <c r="AX67" i="59"/>
  <c r="AC67" i="59"/>
  <c r="AB67" i="59"/>
  <c r="AA67" i="59"/>
  <c r="Z67" i="59"/>
  <c r="Y67" i="59"/>
  <c r="CA67" i="59" s="1"/>
  <c r="X67" i="59"/>
  <c r="W67" i="59"/>
  <c r="N67" i="59"/>
  <c r="L67" i="59"/>
  <c r="F67" i="59"/>
  <c r="CI66" i="59"/>
  <c r="CJ66" i="59" s="1"/>
  <c r="BZ66" i="59"/>
  <c r="BY66" i="59"/>
  <c r="BX66" i="59"/>
  <c r="BP66" i="59"/>
  <c r="BO66" i="59"/>
  <c r="BW66" i="59" s="1"/>
  <c r="BM66" i="59"/>
  <c r="BI66" i="59"/>
  <c r="BL66" i="59" s="1"/>
  <c r="CE66" i="59" s="1"/>
  <c r="CF66" i="59" s="1"/>
  <c r="BG66" i="59"/>
  <c r="BF66" i="59"/>
  <c r="BE66" i="59"/>
  <c r="BD66" i="59"/>
  <c r="BC66" i="59"/>
  <c r="BB66" i="59"/>
  <c r="BA66" i="59"/>
  <c r="AZ66" i="59"/>
  <c r="CC66" i="59" s="1"/>
  <c r="AY66" i="59"/>
  <c r="AX66" i="59"/>
  <c r="AC66" i="59"/>
  <c r="AB66" i="59"/>
  <c r="AA66" i="59"/>
  <c r="Z66" i="59"/>
  <c r="Y66" i="59"/>
  <c r="CA66" i="59" s="1"/>
  <c r="X66" i="59"/>
  <c r="W66" i="59"/>
  <c r="N66" i="59"/>
  <c r="L66" i="59"/>
  <c r="F66" i="59"/>
  <c r="CI65" i="59"/>
  <c r="CJ65" i="59" s="1"/>
  <c r="BZ65" i="59"/>
  <c r="BY65" i="59"/>
  <c r="BX65" i="59"/>
  <c r="BP65" i="59"/>
  <c r="BO65" i="59"/>
  <c r="BW65" i="59" s="1"/>
  <c r="BM65" i="59"/>
  <c r="BI65" i="59"/>
  <c r="BL65" i="59" s="1"/>
  <c r="CE65" i="59" s="1"/>
  <c r="CF65" i="59" s="1"/>
  <c r="BG65" i="59"/>
  <c r="BF65" i="59"/>
  <c r="BE65" i="59"/>
  <c r="BD65" i="59"/>
  <c r="BC65" i="59"/>
  <c r="BB65" i="59"/>
  <c r="BA65" i="59"/>
  <c r="AZ65" i="59"/>
  <c r="CC65" i="59" s="1"/>
  <c r="AY65" i="59"/>
  <c r="AX65" i="59"/>
  <c r="AC65" i="59"/>
  <c r="AB65" i="59"/>
  <c r="CA65" i="59" s="1"/>
  <c r="AA65" i="59"/>
  <c r="Z65" i="59"/>
  <c r="Y65" i="59"/>
  <c r="X65" i="59"/>
  <c r="W65" i="59"/>
  <c r="N65" i="59"/>
  <c r="L65" i="59"/>
  <c r="F65" i="59"/>
  <c r="CI64" i="59"/>
  <c r="CJ64" i="59" s="1"/>
  <c r="BZ64" i="59"/>
  <c r="BY64" i="59"/>
  <c r="BX64" i="59"/>
  <c r="BP64" i="59"/>
  <c r="BO64" i="59"/>
  <c r="BW64" i="59" s="1"/>
  <c r="CG64" i="59" s="1"/>
  <c r="CH64" i="59" s="1"/>
  <c r="BM64" i="59"/>
  <c r="BI64" i="59"/>
  <c r="BL64" i="59" s="1"/>
  <c r="CE64" i="59" s="1"/>
  <c r="CF64" i="59" s="1"/>
  <c r="BG64" i="59"/>
  <c r="BF64" i="59"/>
  <c r="BE64" i="59"/>
  <c r="BD64" i="59"/>
  <c r="BC64" i="59"/>
  <c r="BB64" i="59"/>
  <c r="BA64" i="59"/>
  <c r="AZ64" i="59"/>
  <c r="CC64" i="59" s="1"/>
  <c r="AY64" i="59"/>
  <c r="AX64" i="59"/>
  <c r="AC64" i="59"/>
  <c r="AB64" i="59"/>
  <c r="AA64" i="59"/>
  <c r="Z64" i="59"/>
  <c r="Y64" i="59"/>
  <c r="CA64" i="59" s="1"/>
  <c r="X64" i="59"/>
  <c r="W64" i="59"/>
  <c r="N64" i="59"/>
  <c r="L64" i="59"/>
  <c r="F64" i="59"/>
  <c r="CI63" i="59"/>
  <c r="CJ63" i="59" s="1"/>
  <c r="BZ63" i="59"/>
  <c r="BY63" i="59"/>
  <c r="BX63" i="59"/>
  <c r="BP63" i="59"/>
  <c r="BO63" i="59"/>
  <c r="BW63" i="59" s="1"/>
  <c r="CG63" i="59" s="1"/>
  <c r="CH63" i="59" s="1"/>
  <c r="BM63" i="59"/>
  <c r="BI63" i="59"/>
  <c r="BL63" i="59" s="1"/>
  <c r="CE63" i="59" s="1"/>
  <c r="CF63" i="59" s="1"/>
  <c r="BG63" i="59"/>
  <c r="BF63" i="59"/>
  <c r="BE63" i="59"/>
  <c r="BD63" i="59"/>
  <c r="BC63" i="59"/>
  <c r="BB63" i="59"/>
  <c r="BA63" i="59"/>
  <c r="AZ63" i="59"/>
  <c r="CC63" i="59" s="1"/>
  <c r="AY63" i="59"/>
  <c r="AX63" i="59"/>
  <c r="AC63" i="59"/>
  <c r="AB63" i="59"/>
  <c r="CA63" i="59" s="1"/>
  <c r="AA63" i="59"/>
  <c r="Z63" i="59"/>
  <c r="Y63" i="59"/>
  <c r="X63" i="59"/>
  <c r="W63" i="59"/>
  <c r="N63" i="59"/>
  <c r="L63" i="59"/>
  <c r="F63" i="59"/>
  <c r="CI62" i="59"/>
  <c r="CJ62" i="59" s="1"/>
  <c r="BZ62" i="59"/>
  <c r="BY62" i="59"/>
  <c r="BX62" i="59"/>
  <c r="BW62" i="59"/>
  <c r="BP62" i="59"/>
  <c r="BM62" i="59"/>
  <c r="BI62" i="59"/>
  <c r="BL62" i="59" s="1"/>
  <c r="CE62" i="59" s="1"/>
  <c r="CF62" i="59" s="1"/>
  <c r="BG62" i="59"/>
  <c r="BF62" i="59"/>
  <c r="BE62" i="59"/>
  <c r="BD62" i="59"/>
  <c r="BC62" i="59"/>
  <c r="BB62" i="59"/>
  <c r="BA62" i="59"/>
  <c r="AZ62" i="59"/>
  <c r="AY62" i="59"/>
  <c r="AX62" i="59"/>
  <c r="AC62" i="59"/>
  <c r="AB62" i="59"/>
  <c r="AA62" i="59"/>
  <c r="Z62" i="59"/>
  <c r="Y62" i="59"/>
  <c r="X62" i="59"/>
  <c r="W62" i="59"/>
  <c r="CA62" i="59" s="1"/>
  <c r="N62" i="59"/>
  <c r="L62" i="59"/>
  <c r="F62" i="59"/>
  <c r="CK61" i="59"/>
  <c r="CI61" i="59"/>
  <c r="CJ61" i="59" s="1"/>
  <c r="CC61" i="59"/>
  <c r="CD61" i="59" s="1"/>
  <c r="BZ61" i="59"/>
  <c r="CG61" i="59" s="1"/>
  <c r="CH61" i="59" s="1"/>
  <c r="BY61" i="59"/>
  <c r="BX61" i="59"/>
  <c r="BW61" i="59"/>
  <c r="BP61" i="59"/>
  <c r="BM61" i="59"/>
  <c r="BL61" i="59"/>
  <c r="CE61" i="59" s="1"/>
  <c r="CF61" i="59" s="1"/>
  <c r="BG61" i="59"/>
  <c r="BF61" i="59"/>
  <c r="BE61" i="59"/>
  <c r="BD61" i="59"/>
  <c r="BC61" i="59"/>
  <c r="BB61" i="59"/>
  <c r="BA61" i="59"/>
  <c r="AZ61" i="59"/>
  <c r="AY61" i="59"/>
  <c r="AX61" i="59"/>
  <c r="AC61" i="59"/>
  <c r="AB61" i="59"/>
  <c r="AA61" i="59"/>
  <c r="Z61" i="59"/>
  <c r="Y61" i="59"/>
  <c r="X61" i="59"/>
  <c r="W61" i="59"/>
  <c r="CA61" i="59" s="1"/>
  <c r="N61" i="59"/>
  <c r="L61" i="59"/>
  <c r="F61" i="59"/>
  <c r="CI60" i="59"/>
  <c r="CJ60" i="59" s="1"/>
  <c r="CE60" i="59"/>
  <c r="CF60" i="59" s="1"/>
  <c r="BZ60" i="59"/>
  <c r="BY60" i="59"/>
  <c r="BX60" i="59"/>
  <c r="BW60" i="59"/>
  <c r="BO60" i="59"/>
  <c r="BP60" i="59" s="1"/>
  <c r="BM60" i="59"/>
  <c r="BL60" i="59"/>
  <c r="BI60" i="59"/>
  <c r="BG60" i="59"/>
  <c r="BF60" i="59"/>
  <c r="BE60" i="59"/>
  <c r="BD60" i="59"/>
  <c r="BC60" i="59"/>
  <c r="BB60" i="59"/>
  <c r="BA60" i="59"/>
  <c r="AZ60" i="59"/>
  <c r="AY60" i="59"/>
  <c r="AX60" i="59"/>
  <c r="AC60" i="59"/>
  <c r="AB60" i="59"/>
  <c r="AA60" i="59"/>
  <c r="Z60" i="59"/>
  <c r="Y60" i="59"/>
  <c r="CA60" i="59" s="1"/>
  <c r="X60" i="59"/>
  <c r="W60" i="59"/>
  <c r="L60" i="59"/>
  <c r="N60" i="59" s="1"/>
  <c r="F60" i="59"/>
  <c r="CI59" i="59"/>
  <c r="CJ59" i="59" s="1"/>
  <c r="BZ59" i="59"/>
  <c r="BY59" i="59"/>
  <c r="BX59" i="59"/>
  <c r="BW59" i="59"/>
  <c r="CG59" i="59" s="1"/>
  <c r="CH59" i="59" s="1"/>
  <c r="BP59" i="59"/>
  <c r="BO59" i="59"/>
  <c r="BM59" i="59"/>
  <c r="BL59" i="59"/>
  <c r="CE59" i="59" s="1"/>
  <c r="CF59" i="59" s="1"/>
  <c r="BI59" i="59"/>
  <c r="BG59" i="59"/>
  <c r="BF59" i="59"/>
  <c r="BE59" i="59"/>
  <c r="BD59" i="59"/>
  <c r="BC59" i="59"/>
  <c r="BB59" i="59"/>
  <c r="BA59" i="59"/>
  <c r="AZ59" i="59"/>
  <c r="AY59" i="59"/>
  <c r="AX59" i="59"/>
  <c r="AC59" i="59"/>
  <c r="AB59" i="59"/>
  <c r="AA59" i="59"/>
  <c r="Z59" i="59"/>
  <c r="Y59" i="59"/>
  <c r="CA59" i="59" s="1"/>
  <c r="X59" i="59"/>
  <c r="W59" i="59"/>
  <c r="L59" i="59"/>
  <c r="N59" i="59" s="1"/>
  <c r="F59" i="59"/>
  <c r="CI58" i="59"/>
  <c r="CJ58" i="59" s="1"/>
  <c r="BZ58" i="59"/>
  <c r="BY58" i="59"/>
  <c r="BX58" i="59"/>
  <c r="BW58" i="59"/>
  <c r="CG58" i="59" s="1"/>
  <c r="CH58" i="59" s="1"/>
  <c r="BO58" i="59"/>
  <c r="BP58" i="59" s="1"/>
  <c r="BM58" i="59"/>
  <c r="BL58" i="59"/>
  <c r="CE58" i="59" s="1"/>
  <c r="CF58" i="59" s="1"/>
  <c r="BI58" i="59"/>
  <c r="BG58" i="59"/>
  <c r="BF58" i="59"/>
  <c r="BE58" i="59"/>
  <c r="BD58" i="59"/>
  <c r="BC58" i="59"/>
  <c r="BB58" i="59"/>
  <c r="BA58" i="59"/>
  <c r="AZ58" i="59"/>
  <c r="AY58" i="59"/>
  <c r="AX58" i="59"/>
  <c r="AC58" i="59"/>
  <c r="AB58" i="59"/>
  <c r="AA58" i="59"/>
  <c r="Z58" i="59"/>
  <c r="Y58" i="59"/>
  <c r="X58" i="59"/>
  <c r="W58" i="59"/>
  <c r="CA58" i="59" s="1"/>
  <c r="N58" i="59"/>
  <c r="L58" i="59"/>
  <c r="F58" i="59"/>
  <c r="CI57" i="59"/>
  <c r="CJ57" i="59" s="1"/>
  <c r="CG57" i="59"/>
  <c r="CH57" i="59" s="1"/>
  <c r="BZ57" i="59"/>
  <c r="BY57" i="59"/>
  <c r="BX57" i="59"/>
  <c r="BW57" i="59"/>
  <c r="BO57" i="59"/>
  <c r="BP57" i="59" s="1"/>
  <c r="BM57" i="59"/>
  <c r="BL57" i="59"/>
  <c r="CE57" i="59" s="1"/>
  <c r="CF57" i="59" s="1"/>
  <c r="BI57" i="59"/>
  <c r="BG57" i="59"/>
  <c r="BF57" i="59"/>
  <c r="BE57" i="59"/>
  <c r="BD57" i="59"/>
  <c r="BC57" i="59"/>
  <c r="BB57" i="59"/>
  <c r="BA57" i="59"/>
  <c r="AZ57" i="59"/>
  <c r="AY57" i="59"/>
  <c r="AX57" i="59"/>
  <c r="AC57" i="59"/>
  <c r="AB57" i="59"/>
  <c r="AA57" i="59"/>
  <c r="Z57" i="59"/>
  <c r="Y57" i="59"/>
  <c r="X57" i="59"/>
  <c r="W57" i="59"/>
  <c r="CA57" i="59" s="1"/>
  <c r="L57" i="59"/>
  <c r="N57" i="59" s="1"/>
  <c r="F57" i="59"/>
  <c r="CI56" i="59"/>
  <c r="CJ56" i="59" s="1"/>
  <c r="BZ56" i="59"/>
  <c r="BY56" i="59"/>
  <c r="BX56" i="59"/>
  <c r="BW56" i="59"/>
  <c r="CG56" i="59" s="1"/>
  <c r="CH56" i="59" s="1"/>
  <c r="BP56" i="59"/>
  <c r="BO56" i="59"/>
  <c r="BM56" i="59"/>
  <c r="BL56" i="59"/>
  <c r="CE56" i="59" s="1"/>
  <c r="CF56" i="59" s="1"/>
  <c r="BI56" i="59"/>
  <c r="BG56" i="59"/>
  <c r="BF56" i="59"/>
  <c r="BE56" i="59"/>
  <c r="BD56" i="59"/>
  <c r="BC56" i="59"/>
  <c r="BB56" i="59"/>
  <c r="BA56" i="59"/>
  <c r="AZ56" i="59"/>
  <c r="AY56" i="59"/>
  <c r="AX56" i="59"/>
  <c r="AC56" i="59"/>
  <c r="AB56" i="59"/>
  <c r="AA56" i="59"/>
  <c r="Z56" i="59"/>
  <c r="Y56" i="59"/>
  <c r="CA56" i="59" s="1"/>
  <c r="X56" i="59"/>
  <c r="W56" i="59"/>
  <c r="L56" i="59"/>
  <c r="N56" i="59" s="1"/>
  <c r="F56" i="59"/>
  <c r="CI55" i="59"/>
  <c r="CJ55" i="59" s="1"/>
  <c r="BZ55" i="59"/>
  <c r="BY55" i="59"/>
  <c r="BX55" i="59"/>
  <c r="BW55" i="59"/>
  <c r="BP55" i="59"/>
  <c r="BO55" i="59"/>
  <c r="BM55" i="59"/>
  <c r="BL55" i="59"/>
  <c r="CE55" i="59" s="1"/>
  <c r="CF55" i="59" s="1"/>
  <c r="BI55" i="59"/>
  <c r="BG55" i="59"/>
  <c r="BF55" i="59"/>
  <c r="BE55" i="59"/>
  <c r="BD55" i="59"/>
  <c r="BC55" i="59"/>
  <c r="BB55" i="59"/>
  <c r="BA55" i="59"/>
  <c r="AZ55" i="59"/>
  <c r="AY55" i="59"/>
  <c r="AX55" i="59"/>
  <c r="AC55" i="59"/>
  <c r="AB55" i="59"/>
  <c r="AA55" i="59"/>
  <c r="Z55" i="59"/>
  <c r="Y55" i="59"/>
  <c r="CA55" i="59" s="1"/>
  <c r="X55" i="59"/>
  <c r="W55" i="59"/>
  <c r="L55" i="59"/>
  <c r="N55" i="59" s="1"/>
  <c r="F55" i="59"/>
  <c r="CI54" i="59"/>
  <c r="CJ54" i="59" s="1"/>
  <c r="CH54" i="59"/>
  <c r="BZ54" i="59"/>
  <c r="BY54" i="59"/>
  <c r="BX54" i="59"/>
  <c r="BP54" i="59"/>
  <c r="BO54" i="59"/>
  <c r="BW54" i="59" s="1"/>
  <c r="CG54" i="59" s="1"/>
  <c r="BM54" i="59"/>
  <c r="BL54" i="59"/>
  <c r="CE54" i="59" s="1"/>
  <c r="CF54" i="59" s="1"/>
  <c r="BI54" i="59"/>
  <c r="BG54" i="59"/>
  <c r="BF54" i="59"/>
  <c r="BE54" i="59"/>
  <c r="BD54" i="59"/>
  <c r="BC54" i="59"/>
  <c r="BB54" i="59"/>
  <c r="BA54" i="59"/>
  <c r="AZ54" i="59"/>
  <c r="AY54" i="59"/>
  <c r="AX54" i="59"/>
  <c r="AC54" i="59"/>
  <c r="AB54" i="59"/>
  <c r="AA54" i="59"/>
  <c r="Z54" i="59"/>
  <c r="Y54" i="59"/>
  <c r="CA54" i="59" s="1"/>
  <c r="X54" i="59"/>
  <c r="W54" i="59"/>
  <c r="N54" i="59"/>
  <c r="L54" i="59"/>
  <c r="F54" i="59"/>
  <c r="CI53" i="59"/>
  <c r="CJ53" i="59" s="1"/>
  <c r="BZ53" i="59"/>
  <c r="BY53" i="59"/>
  <c r="BX53" i="59"/>
  <c r="BP53" i="59"/>
  <c r="BO53" i="59"/>
  <c r="BW53" i="59" s="1"/>
  <c r="CG53" i="59" s="1"/>
  <c r="CH53" i="59" s="1"/>
  <c r="BM53" i="59"/>
  <c r="BI53" i="59"/>
  <c r="BL53" i="59" s="1"/>
  <c r="CE53" i="59" s="1"/>
  <c r="CF53" i="59" s="1"/>
  <c r="BG53" i="59"/>
  <c r="BF53" i="59"/>
  <c r="BE53" i="59"/>
  <c r="BD53" i="59"/>
  <c r="BC53" i="59"/>
  <c r="BB53" i="59"/>
  <c r="BA53" i="59"/>
  <c r="AZ53" i="59"/>
  <c r="AY53" i="59"/>
  <c r="AX53" i="59"/>
  <c r="AC53" i="59"/>
  <c r="AB53" i="59"/>
  <c r="CA53" i="59" s="1"/>
  <c r="AA53" i="59"/>
  <c r="Z53" i="59"/>
  <c r="Y53" i="59"/>
  <c r="X53" i="59"/>
  <c r="W53" i="59"/>
  <c r="N53" i="59"/>
  <c r="L53" i="59"/>
  <c r="F53" i="59"/>
  <c r="CI52" i="59"/>
  <c r="CJ52" i="59" s="1"/>
  <c r="BZ52" i="59"/>
  <c r="BY52" i="59"/>
  <c r="BX52" i="59"/>
  <c r="BW52" i="59"/>
  <c r="BP52" i="59"/>
  <c r="BM52" i="59"/>
  <c r="BL52" i="59"/>
  <c r="CE52" i="59" s="1"/>
  <c r="CF52" i="59" s="1"/>
  <c r="BG52" i="59"/>
  <c r="BF52" i="59"/>
  <c r="BE52" i="59"/>
  <c r="BD52" i="59"/>
  <c r="BC52" i="59"/>
  <c r="BB52" i="59"/>
  <c r="BA52" i="59"/>
  <c r="AZ52" i="59"/>
  <c r="AY52" i="59"/>
  <c r="AX52" i="59"/>
  <c r="CC52" i="59" s="1"/>
  <c r="CD52" i="59" s="1"/>
  <c r="AC52" i="59"/>
  <c r="AB52" i="59"/>
  <c r="AA52" i="59"/>
  <c r="Z52" i="59"/>
  <c r="Y52" i="59"/>
  <c r="X52" i="59"/>
  <c r="W52" i="59"/>
  <c r="CA52" i="59" s="1"/>
  <c r="N52" i="59"/>
  <c r="L52" i="59"/>
  <c r="F52" i="59"/>
  <c r="CJ51" i="59"/>
  <c r="CI51" i="59"/>
  <c r="CB51" i="59"/>
  <c r="BZ51" i="59"/>
  <c r="BY51" i="59"/>
  <c r="BX51" i="59"/>
  <c r="BP51" i="59"/>
  <c r="BO51" i="59"/>
  <c r="BW51" i="59" s="1"/>
  <c r="CG51" i="59" s="1"/>
  <c r="CH51" i="59" s="1"/>
  <c r="BM51" i="59"/>
  <c r="BL51" i="59"/>
  <c r="BI51" i="59"/>
  <c r="BG51" i="59"/>
  <c r="BF51" i="59"/>
  <c r="BE51" i="59"/>
  <c r="BD51" i="59"/>
  <c r="BC51" i="59"/>
  <c r="BB51" i="59"/>
  <c r="BA51" i="59"/>
  <c r="AZ51" i="59"/>
  <c r="AY51" i="59"/>
  <c r="AX51" i="59"/>
  <c r="AC51" i="59"/>
  <c r="AB51" i="59"/>
  <c r="AA51" i="59"/>
  <c r="Z51" i="59"/>
  <c r="Y51" i="59"/>
  <c r="X51" i="59"/>
  <c r="W51" i="59"/>
  <c r="CA51" i="59" s="1"/>
  <c r="N51" i="59"/>
  <c r="L51" i="59"/>
  <c r="F51" i="59"/>
  <c r="CJ50" i="59"/>
  <c r="CI50" i="59"/>
  <c r="BZ50" i="59"/>
  <c r="BY50" i="59"/>
  <c r="CG50" i="59" s="1"/>
  <c r="CH50" i="59" s="1"/>
  <c r="BX50" i="59"/>
  <c r="BW50" i="59"/>
  <c r="BP50" i="59"/>
  <c r="BM50" i="59"/>
  <c r="BL50" i="59"/>
  <c r="CE50" i="59" s="1"/>
  <c r="CF50" i="59" s="1"/>
  <c r="BI50" i="59"/>
  <c r="BG50" i="59"/>
  <c r="BF50" i="59"/>
  <c r="BE50" i="59"/>
  <c r="BD50" i="59"/>
  <c r="BC50" i="59"/>
  <c r="BB50" i="59"/>
  <c r="BA50" i="59"/>
  <c r="AZ50" i="59"/>
  <c r="AY50" i="59"/>
  <c r="AX50" i="59"/>
  <c r="CC50" i="59" s="1"/>
  <c r="AC50" i="59"/>
  <c r="AB50" i="59"/>
  <c r="AA50" i="59"/>
  <c r="Z50" i="59"/>
  <c r="Y50" i="59"/>
  <c r="CA50" i="59" s="1"/>
  <c r="CB50" i="59" s="1"/>
  <c r="X50" i="59"/>
  <c r="W50" i="59"/>
  <c r="N50" i="59"/>
  <c r="L50" i="59"/>
  <c r="F50" i="59"/>
  <c r="CI49" i="59"/>
  <c r="CJ49" i="59" s="1"/>
  <c r="CA49" i="59"/>
  <c r="BZ49" i="59"/>
  <c r="BY49" i="59"/>
  <c r="BX49" i="59"/>
  <c r="BW49" i="59"/>
  <c r="BP49" i="59"/>
  <c r="BM49" i="59"/>
  <c r="BI49" i="59"/>
  <c r="BL49" i="59" s="1"/>
  <c r="CE49" i="59" s="1"/>
  <c r="CF49" i="59" s="1"/>
  <c r="BG49" i="59"/>
  <c r="BF49" i="59"/>
  <c r="BE49" i="59"/>
  <c r="BD49" i="59"/>
  <c r="BC49" i="59"/>
  <c r="BB49" i="59"/>
  <c r="BA49" i="59"/>
  <c r="AZ49" i="59"/>
  <c r="AY49" i="59"/>
  <c r="CC49" i="59" s="1"/>
  <c r="AX49" i="59"/>
  <c r="AC49" i="59"/>
  <c r="AB49" i="59"/>
  <c r="AA49" i="59"/>
  <c r="Z49" i="59"/>
  <c r="Y49" i="59"/>
  <c r="X49" i="59"/>
  <c r="W49" i="59"/>
  <c r="L49" i="59"/>
  <c r="N49" i="59" s="1"/>
  <c r="F49" i="59"/>
  <c r="CJ48" i="59"/>
  <c r="CI48" i="59"/>
  <c r="CE48" i="59"/>
  <c r="CF48" i="59" s="1"/>
  <c r="BZ48" i="59"/>
  <c r="BY48" i="59"/>
  <c r="BX48" i="59"/>
  <c r="BW48" i="59"/>
  <c r="BP48" i="59"/>
  <c r="BM48" i="59"/>
  <c r="BL48" i="59"/>
  <c r="BI48" i="59"/>
  <c r="BG48" i="59"/>
  <c r="BF48" i="59"/>
  <c r="BE48" i="59"/>
  <c r="BD48" i="59"/>
  <c r="BC48" i="59"/>
  <c r="BB48" i="59"/>
  <c r="BA48" i="59"/>
  <c r="AZ48" i="59"/>
  <c r="AY48" i="59"/>
  <c r="AX48" i="59"/>
  <c r="CC48" i="59" s="1"/>
  <c r="AC48" i="59"/>
  <c r="AB48" i="59"/>
  <c r="AA48" i="59"/>
  <c r="Z48" i="59"/>
  <c r="Y48" i="59"/>
  <c r="X48" i="59"/>
  <c r="W48" i="59"/>
  <c r="CA48" i="59" s="1"/>
  <c r="N48" i="59"/>
  <c r="L48" i="59"/>
  <c r="F48" i="59"/>
  <c r="CI47" i="59"/>
  <c r="CJ47" i="59" s="1"/>
  <c r="CC47" i="59"/>
  <c r="CD47" i="59" s="1"/>
  <c r="BZ47" i="59"/>
  <c r="BY47" i="59"/>
  <c r="CG47" i="59" s="1"/>
  <c r="CH47" i="59" s="1"/>
  <c r="BX47" i="59"/>
  <c r="BW47" i="59"/>
  <c r="BP47" i="59"/>
  <c r="BM47" i="59"/>
  <c r="BI47" i="59"/>
  <c r="BL47" i="59" s="1"/>
  <c r="CE47" i="59" s="1"/>
  <c r="CF47" i="59" s="1"/>
  <c r="BG47" i="59"/>
  <c r="BF47" i="59"/>
  <c r="BE47" i="59"/>
  <c r="BD47" i="59"/>
  <c r="BC47" i="59"/>
  <c r="BB47" i="59"/>
  <c r="BA47" i="59"/>
  <c r="AZ47" i="59"/>
  <c r="AY47" i="59"/>
  <c r="AX47" i="59"/>
  <c r="AC47" i="59"/>
  <c r="AB47" i="59"/>
  <c r="AA47" i="59"/>
  <c r="Z47" i="59"/>
  <c r="Y47" i="59"/>
  <c r="X47" i="59"/>
  <c r="W47" i="59"/>
  <c r="CA47" i="59" s="1"/>
  <c r="N47" i="59"/>
  <c r="L47" i="59"/>
  <c r="F47" i="59"/>
  <c r="CJ46" i="59"/>
  <c r="CI46" i="59"/>
  <c r="BZ46" i="59"/>
  <c r="BY46" i="59"/>
  <c r="BX46" i="59"/>
  <c r="BW46" i="59"/>
  <c r="CG46" i="59" s="1"/>
  <c r="CH46" i="59" s="1"/>
  <c r="BP46" i="59"/>
  <c r="BM46" i="59"/>
  <c r="BL46" i="59"/>
  <c r="BI46" i="59"/>
  <c r="BG46" i="59"/>
  <c r="BF46" i="59"/>
  <c r="BE46" i="59"/>
  <c r="BD46" i="59"/>
  <c r="BC46" i="59"/>
  <c r="BB46" i="59"/>
  <c r="BA46" i="59"/>
  <c r="CC46" i="59" s="1"/>
  <c r="AZ46" i="59"/>
  <c r="AY46" i="59"/>
  <c r="AX46" i="59"/>
  <c r="AC46" i="59"/>
  <c r="AB46" i="59"/>
  <c r="AA46" i="59"/>
  <c r="Z46" i="59"/>
  <c r="Y46" i="59"/>
  <c r="X46" i="59"/>
  <c r="W46" i="59"/>
  <c r="CA46" i="59" s="1"/>
  <c r="L46" i="59"/>
  <c r="N46" i="59" s="1"/>
  <c r="F46" i="59"/>
  <c r="CI45" i="59"/>
  <c r="CJ45" i="59" s="1"/>
  <c r="BZ45" i="59"/>
  <c r="BY45" i="59"/>
  <c r="BX45" i="59"/>
  <c r="BW45" i="59"/>
  <c r="CG45" i="59" s="1"/>
  <c r="CH45" i="59" s="1"/>
  <c r="BP45" i="59"/>
  <c r="BM45" i="59"/>
  <c r="BL45" i="59"/>
  <c r="CE45" i="59" s="1"/>
  <c r="CF45" i="59" s="1"/>
  <c r="BG45" i="59"/>
  <c r="BF45" i="59"/>
  <c r="BE45" i="59"/>
  <c r="BD45" i="59"/>
  <c r="BC45" i="59"/>
  <c r="BB45" i="59"/>
  <c r="BA45" i="59"/>
  <c r="AZ45" i="59"/>
  <c r="AY45" i="59"/>
  <c r="AX45" i="59"/>
  <c r="AC45" i="59"/>
  <c r="AB45" i="59"/>
  <c r="AA45" i="59"/>
  <c r="Z45" i="59"/>
  <c r="Y45" i="59"/>
  <c r="X45" i="59"/>
  <c r="W45" i="59"/>
  <c r="CA45" i="59" s="1"/>
  <c r="L45" i="59"/>
  <c r="N45" i="59" s="1"/>
  <c r="F45" i="59"/>
  <c r="CJ44" i="59"/>
  <c r="CI44" i="59"/>
  <c r="CC44" i="59"/>
  <c r="BZ44" i="59"/>
  <c r="BY44" i="59"/>
  <c r="BX44" i="59"/>
  <c r="BO44" i="59"/>
  <c r="BM44" i="59"/>
  <c r="BI44" i="59"/>
  <c r="BL44" i="59" s="1"/>
  <c r="CE44" i="59" s="1"/>
  <c r="CF44" i="59" s="1"/>
  <c r="BG44" i="59"/>
  <c r="BF44" i="59"/>
  <c r="BE44" i="59"/>
  <c r="BD44" i="59"/>
  <c r="BC44" i="59"/>
  <c r="BB44" i="59"/>
  <c r="BA44" i="59"/>
  <c r="AZ44" i="59"/>
  <c r="AY44" i="59"/>
  <c r="AX44" i="59"/>
  <c r="AC44" i="59"/>
  <c r="AB44" i="59"/>
  <c r="AA44" i="59"/>
  <c r="Z44" i="59"/>
  <c r="Y44" i="59"/>
  <c r="X44" i="59"/>
  <c r="W44" i="59"/>
  <c r="CA44" i="59" s="1"/>
  <c r="N44" i="59"/>
  <c r="L44" i="59"/>
  <c r="F44" i="59"/>
  <c r="CJ43" i="59"/>
  <c r="CI43" i="59"/>
  <c r="BZ43" i="59"/>
  <c r="BY43" i="59"/>
  <c r="CG43" i="59" s="1"/>
  <c r="CH43" i="59" s="1"/>
  <c r="BX43" i="59"/>
  <c r="BW43" i="59"/>
  <c r="BP43" i="59"/>
  <c r="BM43" i="59"/>
  <c r="BL43" i="59"/>
  <c r="BG43" i="59"/>
  <c r="BF43" i="59"/>
  <c r="BE43" i="59"/>
  <c r="BD43" i="59"/>
  <c r="BC43" i="59"/>
  <c r="BB43" i="59"/>
  <c r="BA43" i="59"/>
  <c r="AZ43" i="59"/>
  <c r="AY43" i="59"/>
  <c r="AX43" i="59"/>
  <c r="AC43" i="59"/>
  <c r="AB43" i="59"/>
  <c r="AA43" i="59"/>
  <c r="Z43" i="59"/>
  <c r="Y43" i="59"/>
  <c r="X43" i="59"/>
  <c r="W43" i="59"/>
  <c r="L43" i="59"/>
  <c r="N43" i="59" s="1"/>
  <c r="F43" i="59"/>
  <c r="CI42" i="59"/>
  <c r="CJ42" i="59" s="1"/>
  <c r="BZ42" i="59"/>
  <c r="BY42" i="59"/>
  <c r="CG42" i="59" s="1"/>
  <c r="CH42" i="59" s="1"/>
  <c r="BX42" i="59"/>
  <c r="BW42" i="59"/>
  <c r="BP42" i="59"/>
  <c r="BM42" i="59"/>
  <c r="CE42" i="59" s="1"/>
  <c r="CF42" i="59" s="1"/>
  <c r="BL42" i="59"/>
  <c r="BG42" i="59"/>
  <c r="BF42" i="59"/>
  <c r="BE42" i="59"/>
  <c r="BD42" i="59"/>
  <c r="BC42" i="59"/>
  <c r="BB42" i="59"/>
  <c r="BA42" i="59"/>
  <c r="AZ42" i="59"/>
  <c r="AY42" i="59"/>
  <c r="AX42" i="59"/>
  <c r="AC42" i="59"/>
  <c r="AB42" i="59"/>
  <c r="AA42" i="59"/>
  <c r="Z42" i="59"/>
  <c r="Y42" i="59"/>
  <c r="X42" i="59"/>
  <c r="W42" i="59"/>
  <c r="L42" i="59"/>
  <c r="N42" i="59" s="1"/>
  <c r="F42" i="59"/>
  <c r="CJ41" i="59"/>
  <c r="CI41" i="59"/>
  <c r="BZ41" i="59"/>
  <c r="BY41" i="59"/>
  <c r="BX41" i="59"/>
  <c r="BW41" i="59"/>
  <c r="BP41" i="59"/>
  <c r="BM41" i="59"/>
  <c r="BL41" i="59"/>
  <c r="CE41" i="59" s="1"/>
  <c r="CF41" i="59" s="1"/>
  <c r="BG41" i="59"/>
  <c r="BF41" i="59"/>
  <c r="BE41" i="59"/>
  <c r="BD41" i="59"/>
  <c r="BC41" i="59"/>
  <c r="BB41" i="59"/>
  <c r="BA41" i="59"/>
  <c r="AZ41" i="59"/>
  <c r="AY41" i="59"/>
  <c r="CC41" i="59" s="1"/>
  <c r="AX41" i="59"/>
  <c r="AC41" i="59"/>
  <c r="AB41" i="59"/>
  <c r="AA41" i="59"/>
  <c r="Z41" i="59"/>
  <c r="Y41" i="59"/>
  <c r="X41" i="59"/>
  <c r="W41" i="59"/>
  <c r="CA41" i="59" s="1"/>
  <c r="N41" i="59"/>
  <c r="L41" i="59"/>
  <c r="F41" i="59"/>
  <c r="CI40" i="59"/>
  <c r="CJ40" i="59" s="1"/>
  <c r="BZ40" i="59"/>
  <c r="CG40" i="59" s="1"/>
  <c r="CH40" i="59" s="1"/>
  <c r="BY40" i="59"/>
  <c r="BX40" i="59"/>
  <c r="BW40" i="59"/>
  <c r="BP40" i="59"/>
  <c r="BM40" i="59"/>
  <c r="BL40" i="59"/>
  <c r="CE40" i="59" s="1"/>
  <c r="CF40" i="59" s="1"/>
  <c r="BG40" i="59"/>
  <c r="BF40" i="59"/>
  <c r="BE40" i="59"/>
  <c r="BD40" i="59"/>
  <c r="BC40" i="59"/>
  <c r="BB40" i="59"/>
  <c r="BA40" i="59"/>
  <c r="AZ40" i="59"/>
  <c r="AY40" i="59"/>
  <c r="AX40" i="59"/>
  <c r="CC40" i="59" s="1"/>
  <c r="AC40" i="59"/>
  <c r="AB40" i="59"/>
  <c r="AA40" i="59"/>
  <c r="Z40" i="59"/>
  <c r="Y40" i="59"/>
  <c r="X40" i="59"/>
  <c r="W40" i="59"/>
  <c r="CA40" i="59" s="1"/>
  <c r="N40" i="59"/>
  <c r="L40" i="59"/>
  <c r="F40" i="59"/>
  <c r="CJ39" i="59"/>
  <c r="CI39" i="59"/>
  <c r="CA39" i="59"/>
  <c r="CB39" i="59" s="1"/>
  <c r="BZ39" i="59"/>
  <c r="BY39" i="59"/>
  <c r="BX39" i="59"/>
  <c r="BW39" i="59"/>
  <c r="BP39" i="59"/>
  <c r="BM39" i="59"/>
  <c r="BI39" i="59"/>
  <c r="BL39" i="59" s="1"/>
  <c r="CE39" i="59" s="1"/>
  <c r="CF39" i="59" s="1"/>
  <c r="BG39" i="59"/>
  <c r="BF39" i="59"/>
  <c r="BE39" i="59"/>
  <c r="BD39" i="59"/>
  <c r="BC39" i="59"/>
  <c r="BB39" i="59"/>
  <c r="BA39" i="59"/>
  <c r="AZ39" i="59"/>
  <c r="AY39" i="59"/>
  <c r="AX39" i="59"/>
  <c r="AC39" i="59"/>
  <c r="AB39" i="59"/>
  <c r="AA39" i="59"/>
  <c r="Z39" i="59"/>
  <c r="Y39" i="59"/>
  <c r="X39" i="59"/>
  <c r="W39" i="59"/>
  <c r="L39" i="59"/>
  <c r="N39" i="59" s="1"/>
  <c r="F39" i="59"/>
  <c r="CI38" i="59"/>
  <c r="CJ38" i="59" s="1"/>
  <c r="CH38" i="59"/>
  <c r="CE38" i="59"/>
  <c r="CF38" i="59" s="1"/>
  <c r="BZ38" i="59"/>
  <c r="BY38" i="59"/>
  <c r="BX38" i="59"/>
  <c r="BW38" i="59"/>
  <c r="CG38" i="59" s="1"/>
  <c r="BP38" i="59"/>
  <c r="BM38" i="59"/>
  <c r="BL38" i="59"/>
  <c r="BG38" i="59"/>
  <c r="BF38" i="59"/>
  <c r="BE38" i="59"/>
  <c r="BD38" i="59"/>
  <c r="BC38" i="59"/>
  <c r="BB38" i="59"/>
  <c r="BA38" i="59"/>
  <c r="AZ38" i="59"/>
  <c r="AY38" i="59"/>
  <c r="AX38" i="59"/>
  <c r="AC38" i="59"/>
  <c r="AB38" i="59"/>
  <c r="AA38" i="59"/>
  <c r="Z38" i="59"/>
  <c r="Y38" i="59"/>
  <c r="X38" i="59"/>
  <c r="W38" i="59"/>
  <c r="CA38" i="59" s="1"/>
  <c r="N38" i="59"/>
  <c r="L38" i="59"/>
  <c r="F38" i="59"/>
  <c r="CJ37" i="59"/>
  <c r="CI37" i="59"/>
  <c r="CG37" i="59"/>
  <c r="CH37" i="59" s="1"/>
  <c r="BZ37" i="59"/>
  <c r="BY37" i="59"/>
  <c r="BX37" i="59"/>
  <c r="BW37" i="59"/>
  <c r="BP37" i="59"/>
  <c r="BM37" i="59"/>
  <c r="BL37" i="59"/>
  <c r="BI37" i="59"/>
  <c r="BG37" i="59"/>
  <c r="BF37" i="59"/>
  <c r="BE37" i="59"/>
  <c r="BD37" i="59"/>
  <c r="BC37" i="59"/>
  <c r="BB37" i="59"/>
  <c r="BA37" i="59"/>
  <c r="AZ37" i="59"/>
  <c r="AY37" i="59"/>
  <c r="AX37" i="59"/>
  <c r="CC37" i="59" s="1"/>
  <c r="AC37" i="59"/>
  <c r="AB37" i="59"/>
  <c r="AA37" i="59"/>
  <c r="Z37" i="59"/>
  <c r="Y37" i="59"/>
  <c r="X37" i="59"/>
  <c r="W37" i="59"/>
  <c r="L37" i="59"/>
  <c r="N37" i="59" s="1"/>
  <c r="F37" i="59"/>
  <c r="CJ36" i="59"/>
  <c r="CI36" i="59"/>
  <c r="BZ36" i="59"/>
  <c r="BY36" i="59"/>
  <c r="BX36" i="59"/>
  <c r="BW36" i="59"/>
  <c r="BP36" i="59"/>
  <c r="BM36" i="59"/>
  <c r="BL36" i="59"/>
  <c r="CE36" i="59" s="1"/>
  <c r="CF36" i="59" s="1"/>
  <c r="BG36" i="59"/>
  <c r="BF36" i="59"/>
  <c r="BE36" i="59"/>
  <c r="BD36" i="59"/>
  <c r="BC36" i="59"/>
  <c r="BB36" i="59"/>
  <c r="BA36" i="59"/>
  <c r="AZ36" i="59"/>
  <c r="AY36" i="59"/>
  <c r="AX36" i="59"/>
  <c r="AC36" i="59"/>
  <c r="AB36" i="59"/>
  <c r="AA36" i="59"/>
  <c r="Z36" i="59"/>
  <c r="Y36" i="59"/>
  <c r="X36" i="59"/>
  <c r="W36" i="59"/>
  <c r="N36" i="59"/>
  <c r="L36" i="59"/>
  <c r="F36" i="59"/>
  <c r="CI35" i="59"/>
  <c r="CJ35" i="59" s="1"/>
  <c r="BZ35" i="59"/>
  <c r="BY35" i="59"/>
  <c r="CG35" i="59" s="1"/>
  <c r="CH35" i="59" s="1"/>
  <c r="BX35" i="59"/>
  <c r="BW35" i="59"/>
  <c r="BP35" i="59"/>
  <c r="BM35" i="59"/>
  <c r="BL35" i="59"/>
  <c r="BG35" i="59"/>
  <c r="BF35" i="59"/>
  <c r="BE35" i="59"/>
  <c r="BD35" i="59"/>
  <c r="BC35" i="59"/>
  <c r="BB35" i="59"/>
  <c r="BA35" i="59"/>
  <c r="AZ35" i="59"/>
  <c r="AY35" i="59"/>
  <c r="AX35" i="59"/>
  <c r="CC35" i="59" s="1"/>
  <c r="AC35" i="59"/>
  <c r="AB35" i="59"/>
  <c r="AA35" i="59"/>
  <c r="Z35" i="59"/>
  <c r="Y35" i="59"/>
  <c r="X35" i="59"/>
  <c r="W35" i="59"/>
  <c r="L35" i="59"/>
  <c r="N35" i="59" s="1"/>
  <c r="F35" i="59"/>
  <c r="CJ34" i="59"/>
  <c r="CI34" i="59"/>
  <c r="BZ34" i="59"/>
  <c r="BY34" i="59"/>
  <c r="BX34" i="59"/>
  <c r="BW34" i="59"/>
  <c r="BP34" i="59"/>
  <c r="BM34" i="59"/>
  <c r="BL34" i="59"/>
  <c r="CE34" i="59" s="1"/>
  <c r="CF34" i="59" s="1"/>
  <c r="BG34" i="59"/>
  <c r="BF34" i="59"/>
  <c r="BE34" i="59"/>
  <c r="BD34" i="59"/>
  <c r="BC34" i="59"/>
  <c r="BB34" i="59"/>
  <c r="BA34" i="59"/>
  <c r="AZ34" i="59"/>
  <c r="AY34" i="59"/>
  <c r="AX34" i="59"/>
  <c r="CC34" i="59" s="1"/>
  <c r="AC34" i="59"/>
  <c r="AB34" i="59"/>
  <c r="AA34" i="59"/>
  <c r="Z34" i="59"/>
  <c r="Y34" i="59"/>
  <c r="X34" i="59"/>
  <c r="W34" i="59"/>
  <c r="CA34" i="59" s="1"/>
  <c r="L34" i="59"/>
  <c r="N34" i="59" s="1"/>
  <c r="F34" i="59"/>
  <c r="CJ33" i="59"/>
  <c r="CI33" i="59"/>
  <c r="BZ33" i="59"/>
  <c r="CG33" i="59" s="1"/>
  <c r="CH33" i="59" s="1"/>
  <c r="BY33" i="59"/>
  <c r="BX33" i="59"/>
  <c r="BW33" i="59"/>
  <c r="BP33" i="59"/>
  <c r="BM33" i="59"/>
  <c r="BL33" i="59"/>
  <c r="CE33" i="59" s="1"/>
  <c r="CF33" i="59" s="1"/>
  <c r="BI33" i="59"/>
  <c r="BG33" i="59"/>
  <c r="BF33" i="59"/>
  <c r="BE33" i="59"/>
  <c r="BD33" i="59"/>
  <c r="BC33" i="59"/>
  <c r="BB33" i="59"/>
  <c r="BA33" i="59"/>
  <c r="AZ33" i="59"/>
  <c r="AY33" i="59"/>
  <c r="CC33" i="59" s="1"/>
  <c r="AX33" i="59"/>
  <c r="AC33" i="59"/>
  <c r="AB33" i="59"/>
  <c r="AA33" i="59"/>
  <c r="Z33" i="59"/>
  <c r="Y33" i="59"/>
  <c r="X33" i="59"/>
  <c r="W33" i="59"/>
  <c r="CA33" i="59" s="1"/>
  <c r="N33" i="59"/>
  <c r="L33" i="59"/>
  <c r="F33" i="59"/>
  <c r="CJ32" i="59"/>
  <c r="CI32" i="59"/>
  <c r="BZ32" i="59"/>
  <c r="BY32" i="59"/>
  <c r="BX32" i="59"/>
  <c r="BO32" i="59"/>
  <c r="BM32" i="59"/>
  <c r="BL32" i="59"/>
  <c r="BG32" i="59"/>
  <c r="BF32" i="59"/>
  <c r="BE32" i="59"/>
  <c r="BD32" i="59"/>
  <c r="BC32" i="59"/>
  <c r="BB32" i="59"/>
  <c r="BA32" i="59"/>
  <c r="CC32" i="59" s="1"/>
  <c r="AZ32" i="59"/>
  <c r="AY32" i="59"/>
  <c r="AX32" i="59"/>
  <c r="AC32" i="59"/>
  <c r="AB32" i="59"/>
  <c r="AA32" i="59"/>
  <c r="Z32" i="59"/>
  <c r="Y32" i="59"/>
  <c r="CA32" i="59" s="1"/>
  <c r="X32" i="59"/>
  <c r="W32" i="59"/>
  <c r="L32" i="59"/>
  <c r="N32" i="59" s="1"/>
  <c r="F32" i="59"/>
  <c r="CI31" i="59"/>
  <c r="CJ31" i="59" s="1"/>
  <c r="CF31" i="59"/>
  <c r="CE31" i="59"/>
  <c r="BZ31" i="59"/>
  <c r="BY31" i="59"/>
  <c r="BX31" i="59"/>
  <c r="BW31" i="59"/>
  <c r="CG31" i="59" s="1"/>
  <c r="CH31" i="59" s="1"/>
  <c r="BP31" i="59"/>
  <c r="BM31" i="59"/>
  <c r="BL31" i="59"/>
  <c r="BG31" i="59"/>
  <c r="BF31" i="59"/>
  <c r="BE31" i="59"/>
  <c r="BD31" i="59"/>
  <c r="BC31" i="59"/>
  <c r="BB31" i="59"/>
  <c r="BA31" i="59"/>
  <c r="AZ31" i="59"/>
  <c r="AY31" i="59"/>
  <c r="AX31" i="59"/>
  <c r="AC31" i="59"/>
  <c r="AB31" i="59"/>
  <c r="AA31" i="59"/>
  <c r="Z31" i="59"/>
  <c r="Y31" i="59"/>
  <c r="X31" i="59"/>
  <c r="W31" i="59"/>
  <c r="CA31" i="59" s="1"/>
  <c r="N31" i="59"/>
  <c r="L31" i="59"/>
  <c r="F31" i="59"/>
  <c r="CI30" i="59"/>
  <c r="CJ30" i="59" s="1"/>
  <c r="CH30" i="59"/>
  <c r="BZ30" i="59"/>
  <c r="BY30" i="59"/>
  <c r="CG30" i="59" s="1"/>
  <c r="BX30" i="59"/>
  <c r="BW30" i="59"/>
  <c r="BP30" i="59"/>
  <c r="BM30" i="59"/>
  <c r="BL30" i="59"/>
  <c r="BG30" i="59"/>
  <c r="BF30" i="59"/>
  <c r="BE30" i="59"/>
  <c r="BD30" i="59"/>
  <c r="BC30" i="59"/>
  <c r="BB30" i="59"/>
  <c r="CC30" i="59" s="1"/>
  <c r="CD30" i="59" s="1"/>
  <c r="BA30" i="59"/>
  <c r="AZ30" i="59"/>
  <c r="AY30" i="59"/>
  <c r="AX30" i="59"/>
  <c r="AC30" i="59"/>
  <c r="AB30" i="59"/>
  <c r="AA30" i="59"/>
  <c r="Z30" i="59"/>
  <c r="Y30" i="59"/>
  <c r="X30" i="59"/>
  <c r="W30" i="59"/>
  <c r="L30" i="59"/>
  <c r="N30" i="59" s="1"/>
  <c r="F30" i="59"/>
  <c r="CJ29" i="59"/>
  <c r="CI29" i="59"/>
  <c r="BZ29" i="59"/>
  <c r="BY29" i="59"/>
  <c r="BX29" i="59"/>
  <c r="BW29" i="59"/>
  <c r="CG29" i="59" s="1"/>
  <c r="CH29" i="59" s="1"/>
  <c r="BP29" i="59"/>
  <c r="BO29" i="59"/>
  <c r="BM29" i="59"/>
  <c r="BL29" i="59"/>
  <c r="CE29" i="59" s="1"/>
  <c r="CF29" i="59" s="1"/>
  <c r="BG29" i="59"/>
  <c r="BF29" i="59"/>
  <c r="BE29" i="59"/>
  <c r="BD29" i="59"/>
  <c r="BC29" i="59"/>
  <c r="BB29" i="59"/>
  <c r="BA29" i="59"/>
  <c r="AZ29" i="59"/>
  <c r="AY29" i="59"/>
  <c r="AX29" i="59"/>
  <c r="AC29" i="59"/>
  <c r="AB29" i="59"/>
  <c r="AA29" i="59"/>
  <c r="Z29" i="59"/>
  <c r="Y29" i="59"/>
  <c r="CA29" i="59" s="1"/>
  <c r="X29" i="59"/>
  <c r="W29" i="59"/>
  <c r="L29" i="59"/>
  <c r="N29" i="59" s="1"/>
  <c r="F29" i="59"/>
  <c r="CI28" i="59"/>
  <c r="CJ28" i="59" s="1"/>
  <c r="BZ28" i="59"/>
  <c r="BY28" i="59"/>
  <c r="BX28" i="59"/>
  <c r="BW28" i="59"/>
  <c r="CG28" i="59" s="1"/>
  <c r="CH28" i="59" s="1"/>
  <c r="BP28" i="59"/>
  <c r="BM28" i="59"/>
  <c r="BI28" i="59"/>
  <c r="BL28" i="59" s="1"/>
  <c r="CE28" i="59" s="1"/>
  <c r="CF28" i="59" s="1"/>
  <c r="BG28" i="59"/>
  <c r="BF28" i="59"/>
  <c r="BE28" i="59"/>
  <c r="BD28" i="59"/>
  <c r="BC28" i="59"/>
  <c r="BB28" i="59"/>
  <c r="BA28" i="59"/>
  <c r="AZ28" i="59"/>
  <c r="AY28" i="59"/>
  <c r="AX28" i="59"/>
  <c r="AC28" i="59"/>
  <c r="AB28" i="59"/>
  <c r="AA28" i="59"/>
  <c r="Z28" i="59"/>
  <c r="Y28" i="59"/>
  <c r="X28" i="59"/>
  <c r="W28" i="59"/>
  <c r="L28" i="59"/>
  <c r="N28" i="59" s="1"/>
  <c r="F28" i="59"/>
  <c r="CJ27" i="59"/>
  <c r="CI27" i="59"/>
  <c r="BZ27" i="59"/>
  <c r="BY27" i="59"/>
  <c r="CG27" i="59" s="1"/>
  <c r="CH27" i="59" s="1"/>
  <c r="BX27" i="59"/>
  <c r="BW27" i="59"/>
  <c r="BP27" i="59"/>
  <c r="BM27" i="59"/>
  <c r="CE27" i="59" s="1"/>
  <c r="CF27" i="59" s="1"/>
  <c r="BL27" i="59"/>
  <c r="BG27" i="59"/>
  <c r="BF27" i="59"/>
  <c r="BE27" i="59"/>
  <c r="BD27" i="59"/>
  <c r="BC27" i="59"/>
  <c r="BB27" i="59"/>
  <c r="BA27" i="59"/>
  <c r="AZ27" i="59"/>
  <c r="AY27" i="59"/>
  <c r="AX27" i="59"/>
  <c r="CC27" i="59" s="1"/>
  <c r="AC27" i="59"/>
  <c r="AB27" i="59"/>
  <c r="AA27" i="59"/>
  <c r="Z27" i="59"/>
  <c r="Y27" i="59"/>
  <c r="X27" i="59"/>
  <c r="W27" i="59"/>
  <c r="L27" i="59"/>
  <c r="N27" i="59" s="1"/>
  <c r="F27" i="59"/>
  <c r="CJ26" i="59"/>
  <c r="CI26" i="59"/>
  <c r="BZ26" i="59"/>
  <c r="BY26" i="59"/>
  <c r="BX26" i="59"/>
  <c r="BW26" i="59"/>
  <c r="BO26" i="59"/>
  <c r="BP26" i="59" s="1"/>
  <c r="BM26" i="59"/>
  <c r="BL26" i="59"/>
  <c r="CE26" i="59" s="1"/>
  <c r="CF26" i="59" s="1"/>
  <c r="BG26" i="59"/>
  <c r="BF26" i="59"/>
  <c r="BE26" i="59"/>
  <c r="BD26" i="59"/>
  <c r="BC26" i="59"/>
  <c r="BB26" i="59"/>
  <c r="BA26" i="59"/>
  <c r="AZ26" i="59"/>
  <c r="AY26" i="59"/>
  <c r="CC26" i="59" s="1"/>
  <c r="AX26" i="59"/>
  <c r="AC26" i="59"/>
  <c r="AB26" i="59"/>
  <c r="AA26" i="59"/>
  <c r="Z26" i="59"/>
  <c r="Y26" i="59"/>
  <c r="X26" i="59"/>
  <c r="W26" i="59"/>
  <c r="CA26" i="59" s="1"/>
  <c r="L26" i="59"/>
  <c r="N26" i="59" s="1"/>
  <c r="F26" i="59"/>
  <c r="CI25" i="59"/>
  <c r="CJ25" i="59" s="1"/>
  <c r="CH25" i="59"/>
  <c r="BZ25" i="59"/>
  <c r="BY25" i="59"/>
  <c r="BX25" i="59"/>
  <c r="BW25" i="59"/>
  <c r="CG25" i="59" s="1"/>
  <c r="BP25" i="59"/>
  <c r="BM25" i="59"/>
  <c r="BL25" i="59"/>
  <c r="CE25" i="59" s="1"/>
  <c r="CF25" i="59" s="1"/>
  <c r="BG25" i="59"/>
  <c r="BF25" i="59"/>
  <c r="BE25" i="59"/>
  <c r="BD25" i="59"/>
  <c r="BC25" i="59"/>
  <c r="BB25" i="59"/>
  <c r="BA25" i="59"/>
  <c r="AZ25" i="59"/>
  <c r="AY25" i="59"/>
  <c r="AX25" i="59"/>
  <c r="AC25" i="59"/>
  <c r="AB25" i="59"/>
  <c r="AA25" i="59"/>
  <c r="Z25" i="59"/>
  <c r="Y25" i="59"/>
  <c r="X25" i="59"/>
  <c r="W25" i="59"/>
  <c r="CA25" i="59" s="1"/>
  <c r="L25" i="59"/>
  <c r="N25" i="59" s="1"/>
  <c r="F25" i="59"/>
  <c r="CI24" i="59"/>
  <c r="CJ24" i="59" s="1"/>
  <c r="CE24" i="59"/>
  <c r="CF24" i="59" s="1"/>
  <c r="BZ24" i="59"/>
  <c r="BY24" i="59"/>
  <c r="BX24" i="59"/>
  <c r="BW24" i="59"/>
  <c r="CG24" i="59" s="1"/>
  <c r="CH24" i="59" s="1"/>
  <c r="BP24" i="59"/>
  <c r="BO24" i="59"/>
  <c r="BM24" i="59"/>
  <c r="BL24" i="59"/>
  <c r="BG24" i="59"/>
  <c r="BF24" i="59"/>
  <c r="BE24" i="59"/>
  <c r="BD24" i="59"/>
  <c r="BC24" i="59"/>
  <c r="BB24" i="59"/>
  <c r="BA24" i="59"/>
  <c r="AZ24" i="59"/>
  <c r="AY24" i="59"/>
  <c r="AX24" i="59"/>
  <c r="CC24" i="59" s="1"/>
  <c r="AC24" i="59"/>
  <c r="AB24" i="59"/>
  <c r="AA24" i="59"/>
  <c r="Z24" i="59"/>
  <c r="Y24" i="59"/>
  <c r="X24" i="59"/>
  <c r="W24" i="59"/>
  <c r="L24" i="59"/>
  <c r="N24" i="59" s="1"/>
  <c r="F24" i="59"/>
  <c r="CJ23" i="59"/>
  <c r="CI23" i="59"/>
  <c r="CE23" i="59"/>
  <c r="CF23" i="59" s="1"/>
  <c r="BZ23" i="59"/>
  <c r="BY23" i="59"/>
  <c r="BX23" i="59"/>
  <c r="BO23" i="59"/>
  <c r="BW23" i="59" s="1"/>
  <c r="CG23" i="59" s="1"/>
  <c r="CH23" i="59" s="1"/>
  <c r="BM23" i="59"/>
  <c r="BL23" i="59"/>
  <c r="BG23" i="59"/>
  <c r="BF23" i="59"/>
  <c r="BE23" i="59"/>
  <c r="BD23" i="59"/>
  <c r="BC23" i="59"/>
  <c r="BB23" i="59"/>
  <c r="CC23" i="59" s="1"/>
  <c r="BA23" i="59"/>
  <c r="AZ23" i="59"/>
  <c r="AY23" i="59"/>
  <c r="AX23" i="59"/>
  <c r="AC23" i="59"/>
  <c r="AB23" i="59"/>
  <c r="AA23" i="59"/>
  <c r="Z23" i="59"/>
  <c r="Y23" i="59"/>
  <c r="X23" i="59"/>
  <c r="W23" i="59"/>
  <c r="L23" i="59"/>
  <c r="N23" i="59" s="1"/>
  <c r="F23" i="59"/>
  <c r="CJ22" i="59"/>
  <c r="CI22" i="59"/>
  <c r="CC22" i="59"/>
  <c r="BZ22" i="59"/>
  <c r="BY22" i="59"/>
  <c r="BX22" i="59"/>
  <c r="BO22" i="59"/>
  <c r="BM22" i="59"/>
  <c r="CE22" i="59" s="1"/>
  <c r="CF22" i="59" s="1"/>
  <c r="BL22" i="59"/>
  <c r="BG22" i="59"/>
  <c r="BF22" i="59"/>
  <c r="BE22" i="59"/>
  <c r="BD22" i="59"/>
  <c r="BC22" i="59"/>
  <c r="BB22" i="59"/>
  <c r="BA22" i="59"/>
  <c r="AZ22" i="59"/>
  <c r="AY22" i="59"/>
  <c r="AX22" i="59"/>
  <c r="AC22" i="59"/>
  <c r="AB22" i="59"/>
  <c r="AA22" i="59"/>
  <c r="Z22" i="59"/>
  <c r="Y22" i="59"/>
  <c r="X22" i="59"/>
  <c r="W22" i="59"/>
  <c r="CA22" i="59" s="1"/>
  <c r="N22" i="59"/>
  <c r="L22" i="59"/>
  <c r="F22" i="59"/>
  <c r="CJ21" i="59"/>
  <c r="CI21" i="59"/>
  <c r="BZ21" i="59"/>
  <c r="BY21" i="59"/>
  <c r="BX21" i="59"/>
  <c r="BO21" i="59"/>
  <c r="BW21" i="59" s="1"/>
  <c r="CG21" i="59" s="1"/>
  <c r="CH21" i="59" s="1"/>
  <c r="BM21" i="59"/>
  <c r="BL21" i="59"/>
  <c r="BI21" i="59"/>
  <c r="BG21" i="59"/>
  <c r="BF21" i="59"/>
  <c r="BE21" i="59"/>
  <c r="BD21" i="59"/>
  <c r="BC21" i="59"/>
  <c r="BB21" i="59"/>
  <c r="BA21" i="59"/>
  <c r="AZ21" i="59"/>
  <c r="AY21" i="59"/>
  <c r="AX21" i="59"/>
  <c r="AC21" i="59"/>
  <c r="AB21" i="59"/>
  <c r="AA21" i="59"/>
  <c r="Z21" i="59"/>
  <c r="CA21" i="59" s="1"/>
  <c r="Y21" i="59"/>
  <c r="X21" i="59"/>
  <c r="W21" i="59"/>
  <c r="N21" i="59"/>
  <c r="L21" i="59"/>
  <c r="F21" i="59"/>
  <c r="CI20" i="59"/>
  <c r="CJ20" i="59" s="1"/>
  <c r="BZ20" i="59"/>
  <c r="BY20" i="59"/>
  <c r="BX20" i="59"/>
  <c r="BW20" i="59"/>
  <c r="CG20" i="59" s="1"/>
  <c r="CH20" i="59" s="1"/>
  <c r="BP20" i="59"/>
  <c r="BM20" i="59"/>
  <c r="BL20" i="59"/>
  <c r="CE20" i="59" s="1"/>
  <c r="CF20" i="59" s="1"/>
  <c r="BI20" i="59"/>
  <c r="BG20" i="59"/>
  <c r="BF20" i="59"/>
  <c r="BE20" i="59"/>
  <c r="BD20" i="59"/>
  <c r="BC20" i="59"/>
  <c r="BB20" i="59"/>
  <c r="BA20" i="59"/>
  <c r="AZ20" i="59"/>
  <c r="AY20" i="59"/>
  <c r="AX20" i="59"/>
  <c r="AC20" i="59"/>
  <c r="AB20" i="59"/>
  <c r="AA20" i="59"/>
  <c r="Z20" i="59"/>
  <c r="Y20" i="59"/>
  <c r="CA20" i="59" s="1"/>
  <c r="X20" i="59"/>
  <c r="W20" i="59"/>
  <c r="L20" i="59"/>
  <c r="N20" i="59" s="1"/>
  <c r="F20" i="59"/>
  <c r="CI19" i="59"/>
  <c r="CJ19" i="59" s="1"/>
  <c r="BZ19" i="59"/>
  <c r="BY19" i="59"/>
  <c r="BX19" i="59"/>
  <c r="BW19" i="59"/>
  <c r="CG19" i="59" s="1"/>
  <c r="CH19" i="59" s="1"/>
  <c r="BP19" i="59"/>
  <c r="BM19" i="59"/>
  <c r="BI19" i="59"/>
  <c r="BL19" i="59" s="1"/>
  <c r="CE19" i="59" s="1"/>
  <c r="CF19" i="59" s="1"/>
  <c r="BG19" i="59"/>
  <c r="BF19" i="59"/>
  <c r="BE19" i="59"/>
  <c r="BD19" i="59"/>
  <c r="BC19" i="59"/>
  <c r="BB19" i="59"/>
  <c r="BA19" i="59"/>
  <c r="AZ19" i="59"/>
  <c r="AY19" i="59"/>
  <c r="CC19" i="59" s="1"/>
  <c r="AX19" i="59"/>
  <c r="AC19" i="59"/>
  <c r="AB19" i="59"/>
  <c r="AA19" i="59"/>
  <c r="Z19" i="59"/>
  <c r="Y19" i="59"/>
  <c r="X19" i="59"/>
  <c r="W19" i="59"/>
  <c r="CA19" i="59" s="1"/>
  <c r="L19" i="59"/>
  <c r="N19" i="59" s="1"/>
  <c r="F19" i="59"/>
  <c r="CI18" i="59"/>
  <c r="CJ18" i="59" s="1"/>
  <c r="BZ18" i="59"/>
  <c r="BY18" i="59"/>
  <c r="CG18" i="59" s="1"/>
  <c r="CH18" i="59" s="1"/>
  <c r="BX18" i="59"/>
  <c r="BW18" i="59"/>
  <c r="BP18" i="59"/>
  <c r="BM18" i="59"/>
  <c r="BL18" i="59"/>
  <c r="CE18" i="59" s="1"/>
  <c r="CF18" i="59" s="1"/>
  <c r="BG18" i="59"/>
  <c r="BF18" i="59"/>
  <c r="BE18" i="59"/>
  <c r="BD18" i="59"/>
  <c r="BC18" i="59"/>
  <c r="BB18" i="59"/>
  <c r="BA18" i="59"/>
  <c r="AZ18" i="59"/>
  <c r="AY18" i="59"/>
  <c r="AX18" i="59"/>
  <c r="AC18" i="59"/>
  <c r="AB18" i="59"/>
  <c r="AA18" i="59"/>
  <c r="Z18" i="59"/>
  <c r="Y18" i="59"/>
  <c r="X18" i="59"/>
  <c r="W18" i="59"/>
  <c r="CA18" i="59" s="1"/>
  <c r="L18" i="59"/>
  <c r="N18" i="59" s="1"/>
  <c r="F18" i="59"/>
  <c r="CJ17" i="59"/>
  <c r="CI17" i="59"/>
  <c r="CE17" i="59"/>
  <c r="CF17" i="59" s="1"/>
  <c r="BZ17" i="59"/>
  <c r="BY17" i="59"/>
  <c r="BX17" i="59"/>
  <c r="BW17" i="59"/>
  <c r="CG17" i="59" s="1"/>
  <c r="CH17" i="59" s="1"/>
  <c r="BO17" i="59"/>
  <c r="BP17" i="59" s="1"/>
  <c r="BM17" i="59"/>
  <c r="BI17" i="59"/>
  <c r="BL17" i="59" s="1"/>
  <c r="BG17" i="59"/>
  <c r="BF17" i="59"/>
  <c r="BE17" i="59"/>
  <c r="BD17" i="59"/>
  <c r="BC17" i="59"/>
  <c r="BB17" i="59"/>
  <c r="BA17" i="59"/>
  <c r="AZ17" i="59"/>
  <c r="AY17" i="59"/>
  <c r="AX17" i="59"/>
  <c r="CC17" i="59" s="1"/>
  <c r="CD17" i="59" s="1"/>
  <c r="AC17" i="59"/>
  <c r="AB17" i="59"/>
  <c r="AA17" i="59"/>
  <c r="Z17" i="59"/>
  <c r="Y17" i="59"/>
  <c r="X17" i="59"/>
  <c r="W17" i="59"/>
  <c r="CA17" i="59" s="1"/>
  <c r="N17" i="59"/>
  <c r="L17" i="59"/>
  <c r="F17" i="59"/>
  <c r="CJ16" i="59"/>
  <c r="CI16" i="59"/>
  <c r="CF16" i="59"/>
  <c r="CE16" i="59"/>
  <c r="BZ16" i="59"/>
  <c r="BY16" i="59"/>
  <c r="BX16" i="59"/>
  <c r="CG16" i="59" s="1"/>
  <c r="CH16" i="59" s="1"/>
  <c r="BW16" i="59"/>
  <c r="BP16" i="59"/>
  <c r="BM16" i="59"/>
  <c r="BL16" i="59"/>
  <c r="BG16" i="59"/>
  <c r="BF16" i="59"/>
  <c r="BE16" i="59"/>
  <c r="BD16" i="59"/>
  <c r="BC16" i="59"/>
  <c r="BB16" i="59"/>
  <c r="BA16" i="59"/>
  <c r="AZ16" i="59"/>
  <c r="AY16" i="59"/>
  <c r="AX16" i="59"/>
  <c r="AC16" i="59"/>
  <c r="AB16" i="59"/>
  <c r="AA16" i="59"/>
  <c r="Z16" i="59"/>
  <c r="Y16" i="59"/>
  <c r="X16" i="59"/>
  <c r="W16" i="59"/>
  <c r="L16" i="59"/>
  <c r="N16" i="59" s="1"/>
  <c r="F16" i="59"/>
  <c r="CI15" i="59"/>
  <c r="CJ15" i="59" s="1"/>
  <c r="BZ15" i="59"/>
  <c r="BY15" i="59"/>
  <c r="BX15" i="59"/>
  <c r="BW15" i="59"/>
  <c r="CG15" i="59" s="1"/>
  <c r="CH15" i="59" s="1"/>
  <c r="BP15" i="59"/>
  <c r="BM15" i="59"/>
  <c r="CE15" i="59" s="1"/>
  <c r="CF15" i="59" s="1"/>
  <c r="BI15" i="59"/>
  <c r="BL15" i="59" s="1"/>
  <c r="BG15" i="59"/>
  <c r="BF15" i="59"/>
  <c r="BE15" i="59"/>
  <c r="BD15" i="59"/>
  <c r="BC15" i="59"/>
  <c r="BB15" i="59"/>
  <c r="CC15" i="59" s="1"/>
  <c r="BA15" i="59"/>
  <c r="AZ15" i="59"/>
  <c r="AY15" i="59"/>
  <c r="AX15" i="59"/>
  <c r="AC15" i="59"/>
  <c r="AB15" i="59"/>
  <c r="AA15" i="59"/>
  <c r="Z15" i="59"/>
  <c r="Y15" i="59"/>
  <c r="X15" i="59"/>
  <c r="W15" i="59"/>
  <c r="L15" i="59"/>
  <c r="N15" i="59" s="1"/>
  <c r="F15" i="59"/>
  <c r="CJ14" i="59"/>
  <c r="CI14" i="59"/>
  <c r="BZ14" i="59"/>
  <c r="BY14" i="59"/>
  <c r="CG14" i="59" s="1"/>
  <c r="CH14" i="59" s="1"/>
  <c r="BX14" i="59"/>
  <c r="BW14" i="59"/>
  <c r="BP14" i="59"/>
  <c r="BM14" i="59"/>
  <c r="BL14" i="59"/>
  <c r="CE14" i="59" s="1"/>
  <c r="CF14" i="59" s="1"/>
  <c r="BG14" i="59"/>
  <c r="BF14" i="59"/>
  <c r="BE14" i="59"/>
  <c r="BD14" i="59"/>
  <c r="BC14" i="59"/>
  <c r="BB14" i="59"/>
  <c r="BA14" i="59"/>
  <c r="AZ14" i="59"/>
  <c r="CC14" i="59" s="1"/>
  <c r="AY14" i="59"/>
  <c r="AX14" i="59"/>
  <c r="AC14" i="59"/>
  <c r="AB14" i="59"/>
  <c r="AA14" i="59"/>
  <c r="Z14" i="59"/>
  <c r="Y14" i="59"/>
  <c r="X14" i="59"/>
  <c r="W14" i="59"/>
  <c r="CA14" i="59" s="1"/>
  <c r="L14" i="59"/>
  <c r="N14" i="59" s="1"/>
  <c r="F14" i="59"/>
  <c r="CI13" i="59"/>
  <c r="CJ13" i="59" s="1"/>
  <c r="BZ13" i="59"/>
  <c r="BY13" i="59"/>
  <c r="BX13" i="59"/>
  <c r="BW13" i="59"/>
  <c r="BP13" i="59"/>
  <c r="BM13" i="59"/>
  <c r="BL13" i="59"/>
  <c r="CE13" i="59" s="1"/>
  <c r="CF13" i="59" s="1"/>
  <c r="BI13" i="59"/>
  <c r="BG13" i="59"/>
  <c r="BF13" i="59"/>
  <c r="BE13" i="59"/>
  <c r="BD13" i="59"/>
  <c r="BC13" i="59"/>
  <c r="BB13" i="59"/>
  <c r="BA13" i="59"/>
  <c r="AZ13" i="59"/>
  <c r="AY13" i="59"/>
  <c r="AX13" i="59"/>
  <c r="AC13" i="59"/>
  <c r="AB13" i="59"/>
  <c r="AA13" i="59"/>
  <c r="Z13" i="59"/>
  <c r="Y13" i="59"/>
  <c r="CA13" i="59" s="1"/>
  <c r="X13" i="59"/>
  <c r="W13" i="59"/>
  <c r="N13" i="59"/>
  <c r="L13" i="59"/>
  <c r="F13" i="59"/>
  <c r="CI12" i="59"/>
  <c r="CJ12" i="59" s="1"/>
  <c r="BZ12" i="59"/>
  <c r="BY12" i="59"/>
  <c r="CG12" i="59" s="1"/>
  <c r="CH12" i="59" s="1"/>
  <c r="BX12" i="59"/>
  <c r="BW12" i="59"/>
  <c r="BP12" i="59"/>
  <c r="BM12" i="59"/>
  <c r="BL12" i="59"/>
  <c r="CE12" i="59" s="1"/>
  <c r="CF12" i="59" s="1"/>
  <c r="BG12" i="59"/>
  <c r="BF12" i="59"/>
  <c r="BE12" i="59"/>
  <c r="BD12" i="59"/>
  <c r="BC12" i="59"/>
  <c r="BB12" i="59"/>
  <c r="BA12" i="59"/>
  <c r="AZ12" i="59"/>
  <c r="AY12" i="59"/>
  <c r="AX12" i="59"/>
  <c r="CC12" i="59" s="1"/>
  <c r="CD12" i="59" s="1"/>
  <c r="AC12" i="59"/>
  <c r="AB12" i="59"/>
  <c r="AA12" i="59"/>
  <c r="Z12" i="59"/>
  <c r="Y12" i="59"/>
  <c r="X12" i="59"/>
  <c r="W12" i="59"/>
  <c r="CA12" i="59" s="1"/>
  <c r="N12" i="59"/>
  <c r="L12" i="59"/>
  <c r="F12" i="59"/>
  <c r="CJ11" i="59"/>
  <c r="CI11" i="59"/>
  <c r="CF11" i="59"/>
  <c r="CE11" i="59"/>
  <c r="BZ11" i="59"/>
  <c r="BY11" i="59"/>
  <c r="BX11" i="59"/>
  <c r="CG11" i="59" s="1"/>
  <c r="CH11" i="59" s="1"/>
  <c r="BW11" i="59"/>
  <c r="BO11" i="59"/>
  <c r="BP11" i="59" s="1"/>
  <c r="BM11" i="59"/>
  <c r="BL11" i="59"/>
  <c r="BG11" i="59"/>
  <c r="BF11" i="59"/>
  <c r="BE11" i="59"/>
  <c r="BD11" i="59"/>
  <c r="BC11" i="59"/>
  <c r="BB11" i="59"/>
  <c r="BA11" i="59"/>
  <c r="AZ11" i="59"/>
  <c r="AY11" i="59"/>
  <c r="AX11" i="59"/>
  <c r="AC11" i="59"/>
  <c r="AB11" i="59"/>
  <c r="AA11" i="59"/>
  <c r="Z11" i="59"/>
  <c r="Y11" i="59"/>
  <c r="X11" i="59"/>
  <c r="W11" i="59"/>
  <c r="L11" i="59"/>
  <c r="N11" i="59" s="1"/>
  <c r="F11" i="59"/>
  <c r="CI10" i="59"/>
  <c r="CJ10" i="59" s="1"/>
  <c r="CF10" i="59"/>
  <c r="CE10" i="59"/>
  <c r="BZ10" i="59"/>
  <c r="BY10" i="59"/>
  <c r="BX10" i="59"/>
  <c r="BW10" i="59"/>
  <c r="CG10" i="59" s="1"/>
  <c r="CH10" i="59" s="1"/>
  <c r="BP10" i="59"/>
  <c r="BM10" i="59"/>
  <c r="BL10" i="59"/>
  <c r="BG10" i="59"/>
  <c r="BF10" i="59"/>
  <c r="BE10" i="59"/>
  <c r="BD10" i="59"/>
  <c r="BC10" i="59"/>
  <c r="BB10" i="59"/>
  <c r="BA10" i="59"/>
  <c r="AZ10" i="59"/>
  <c r="AY10" i="59"/>
  <c r="AX10" i="59"/>
  <c r="CC10" i="59" s="1"/>
  <c r="CW10" i="59" s="1"/>
  <c r="CX10" i="59" s="1"/>
  <c r="AC10" i="59"/>
  <c r="AB10" i="59"/>
  <c r="AA10" i="59"/>
  <c r="Z10" i="59"/>
  <c r="Y10" i="59"/>
  <c r="X10" i="59"/>
  <c r="W10" i="59"/>
  <c r="L10" i="59"/>
  <c r="N10" i="59" s="1"/>
  <c r="F10" i="59"/>
  <c r="CJ9" i="59"/>
  <c r="CI9" i="59"/>
  <c r="BZ9" i="59"/>
  <c r="BY9" i="59"/>
  <c r="CG9" i="59" s="1"/>
  <c r="CH9" i="59" s="1"/>
  <c r="BX9" i="59"/>
  <c r="BW9" i="59"/>
  <c r="BP9" i="59"/>
  <c r="BM9" i="59"/>
  <c r="BL9" i="59"/>
  <c r="CE9" i="59" s="1"/>
  <c r="CF9" i="59" s="1"/>
  <c r="BG9" i="59"/>
  <c r="BF9" i="59"/>
  <c r="BE9" i="59"/>
  <c r="BD9" i="59"/>
  <c r="BC9" i="59"/>
  <c r="BB9" i="59"/>
  <c r="BA9" i="59"/>
  <c r="AZ9" i="59"/>
  <c r="CC9" i="59" s="1"/>
  <c r="AY9" i="59"/>
  <c r="AX9" i="59"/>
  <c r="AC9" i="59"/>
  <c r="AB9" i="59"/>
  <c r="AA9" i="59"/>
  <c r="Z9" i="59"/>
  <c r="Y9" i="59"/>
  <c r="X9" i="59"/>
  <c r="W9" i="59"/>
  <c r="CA9" i="59" s="1"/>
  <c r="L9" i="59"/>
  <c r="N9" i="59" s="1"/>
  <c r="F9" i="59"/>
  <c r="CJ8" i="59"/>
  <c r="CI8" i="59"/>
  <c r="BZ8" i="59"/>
  <c r="BY8" i="59"/>
  <c r="BX8" i="59"/>
  <c r="BW8" i="59"/>
  <c r="BO8" i="59"/>
  <c r="BP8" i="59" s="1"/>
  <c r="BM8" i="59"/>
  <c r="BL8" i="59"/>
  <c r="CE8" i="59" s="1"/>
  <c r="CF8" i="59" s="1"/>
  <c r="BG8" i="59"/>
  <c r="BF8" i="59"/>
  <c r="BE8" i="59"/>
  <c r="BD8" i="59"/>
  <c r="BC8" i="59"/>
  <c r="BB8" i="59"/>
  <c r="BA8" i="59"/>
  <c r="AZ8" i="59"/>
  <c r="AY8" i="59"/>
  <c r="AX8" i="59"/>
  <c r="AC8" i="59"/>
  <c r="AB8" i="59"/>
  <c r="AA8" i="59"/>
  <c r="Z8" i="59"/>
  <c r="Y8" i="59"/>
  <c r="X8" i="59"/>
  <c r="W8" i="59"/>
  <c r="CA8" i="59" s="1"/>
  <c r="L8" i="59"/>
  <c r="N8" i="59" s="1"/>
  <c r="F8" i="59"/>
  <c r="CI7" i="59"/>
  <c r="CJ7" i="59" s="1"/>
  <c r="CG7" i="59"/>
  <c r="CH7" i="59" s="1"/>
  <c r="BZ7" i="59"/>
  <c r="BY7" i="59"/>
  <c r="BX7" i="59"/>
  <c r="BW7" i="59"/>
  <c r="BP7" i="59"/>
  <c r="BM7" i="59"/>
  <c r="BL7" i="59"/>
  <c r="CE7" i="59" s="1"/>
  <c r="CF7" i="59" s="1"/>
  <c r="BG7" i="59"/>
  <c r="BF7" i="59"/>
  <c r="BE7" i="59"/>
  <c r="BD7" i="59"/>
  <c r="BC7" i="59"/>
  <c r="BB7" i="59"/>
  <c r="BA7" i="59"/>
  <c r="AZ7" i="59"/>
  <c r="AY7" i="59"/>
  <c r="AX7" i="59"/>
  <c r="AC7" i="59"/>
  <c r="AB7" i="59"/>
  <c r="AA7" i="59"/>
  <c r="Z7" i="59"/>
  <c r="Y7" i="59"/>
  <c r="X7" i="59"/>
  <c r="W7" i="59"/>
  <c r="CA7" i="59" s="1"/>
  <c r="L7" i="59"/>
  <c r="N7" i="59" s="1"/>
  <c r="F7" i="59"/>
  <c r="CJ6" i="59"/>
  <c r="CI6" i="59"/>
  <c r="BZ6" i="59"/>
  <c r="BY6" i="59"/>
  <c r="CG6" i="59" s="1"/>
  <c r="CH6" i="59" s="1"/>
  <c r="BX6" i="59"/>
  <c r="BW6" i="59"/>
  <c r="BP6" i="59"/>
  <c r="BM6" i="59"/>
  <c r="BL6" i="59"/>
  <c r="CE6" i="59" s="1"/>
  <c r="CF6" i="59" s="1"/>
  <c r="BG6" i="59"/>
  <c r="BF6" i="59"/>
  <c r="BE6" i="59"/>
  <c r="BD6" i="59"/>
  <c r="BC6" i="59"/>
  <c r="BB6" i="59"/>
  <c r="BA6" i="59"/>
  <c r="AZ6" i="59"/>
  <c r="AY6" i="59"/>
  <c r="AX6" i="59"/>
  <c r="AC6" i="59"/>
  <c r="AB6" i="59"/>
  <c r="AA6" i="59"/>
  <c r="Z6" i="59"/>
  <c r="Y6" i="59"/>
  <c r="X6" i="59"/>
  <c r="W6" i="59"/>
  <c r="L6" i="59"/>
  <c r="N6" i="59" s="1"/>
  <c r="F6" i="59"/>
  <c r="CI5" i="59"/>
  <c r="CJ5" i="59" s="1"/>
  <c r="BZ5" i="59"/>
  <c r="BY5" i="59"/>
  <c r="BX5" i="59"/>
  <c r="BW5" i="59"/>
  <c r="BP5" i="59"/>
  <c r="BM5" i="59"/>
  <c r="CE5" i="59" s="1"/>
  <c r="CF5" i="59" s="1"/>
  <c r="BL5" i="59"/>
  <c r="BG5" i="59"/>
  <c r="BF5" i="59"/>
  <c r="BE5" i="59"/>
  <c r="BD5" i="59"/>
  <c r="BC5" i="59"/>
  <c r="BB5" i="59"/>
  <c r="BA5" i="59"/>
  <c r="AZ5" i="59"/>
  <c r="AY5" i="59"/>
  <c r="AX5" i="59"/>
  <c r="CC5" i="59" s="1"/>
  <c r="AC5" i="59"/>
  <c r="AB5" i="59"/>
  <c r="AA5" i="59"/>
  <c r="Z5" i="59"/>
  <c r="Y5" i="59"/>
  <c r="X5" i="59"/>
  <c r="W5" i="59"/>
  <c r="N5" i="59"/>
  <c r="L5" i="59"/>
  <c r="F5" i="59"/>
  <c r="CI4" i="59"/>
  <c r="CJ4" i="59" s="1"/>
  <c r="BZ4" i="59"/>
  <c r="BY4" i="59"/>
  <c r="BX4" i="59"/>
  <c r="BW4" i="59"/>
  <c r="CG4" i="59" s="1"/>
  <c r="CH4" i="59" s="1"/>
  <c r="BP4" i="59"/>
  <c r="BM4" i="59"/>
  <c r="BL4" i="59"/>
  <c r="CE4" i="59" s="1"/>
  <c r="CF4" i="59" s="1"/>
  <c r="BG4" i="59"/>
  <c r="BF4" i="59"/>
  <c r="BE4" i="59"/>
  <c r="BD4" i="59"/>
  <c r="BC4" i="59"/>
  <c r="BB4" i="59"/>
  <c r="BA4" i="59"/>
  <c r="AZ4" i="59"/>
  <c r="AY4" i="59"/>
  <c r="CC4" i="59" s="1"/>
  <c r="AX4" i="59"/>
  <c r="AC4" i="59"/>
  <c r="AB4" i="59"/>
  <c r="AA4" i="59"/>
  <c r="Z4" i="59"/>
  <c r="Y4" i="59"/>
  <c r="X4" i="59"/>
  <c r="W4" i="59"/>
  <c r="CA4" i="59" s="1"/>
  <c r="N4" i="59"/>
  <c r="L4" i="59"/>
  <c r="F4" i="59"/>
  <c r="CI3" i="59"/>
  <c r="CJ3" i="59" s="1"/>
  <c r="CG3" i="59"/>
  <c r="CH3" i="59" s="1"/>
  <c r="BZ3" i="59"/>
  <c r="BY3" i="59"/>
  <c r="BX3" i="59"/>
  <c r="BW3" i="59"/>
  <c r="BP3" i="59"/>
  <c r="BM3" i="59"/>
  <c r="BL3" i="59"/>
  <c r="CE3" i="59" s="1"/>
  <c r="CF3" i="59" s="1"/>
  <c r="BG3" i="59"/>
  <c r="BF3" i="59"/>
  <c r="BE3" i="59"/>
  <c r="BD3" i="59"/>
  <c r="BC3" i="59"/>
  <c r="BB3" i="59"/>
  <c r="BA3" i="59"/>
  <c r="AZ3" i="59"/>
  <c r="AY3" i="59"/>
  <c r="AX3" i="59"/>
  <c r="AC3" i="59"/>
  <c r="AB3" i="59"/>
  <c r="AA3" i="59"/>
  <c r="Z3" i="59"/>
  <c r="Y3" i="59"/>
  <c r="X3" i="59"/>
  <c r="W3" i="59"/>
  <c r="CA3" i="59" s="1"/>
  <c r="L3" i="59"/>
  <c r="N3" i="59" s="1"/>
  <c r="F3" i="59"/>
  <c r="N109" i="57"/>
  <c r="J119" i="2"/>
  <c r="BJ114" i="2"/>
  <c r="BK110" i="2"/>
  <c r="CW102" i="59" l="1"/>
  <c r="CT47" i="59"/>
  <c r="CW47" i="59"/>
  <c r="CX47" i="59" s="1"/>
  <c r="CK9" i="59"/>
  <c r="CL9" i="59" s="1"/>
  <c r="CT14" i="59"/>
  <c r="CV14" i="59" s="1"/>
  <c r="CW15" i="59"/>
  <c r="CX15" i="59" s="1"/>
  <c r="CD15" i="59"/>
  <c r="CM9" i="59"/>
  <c r="CW9" i="59"/>
  <c r="CX9" i="59" s="1"/>
  <c r="CD9" i="59"/>
  <c r="CW14" i="59"/>
  <c r="CX14" i="59" s="1"/>
  <c r="CD14" i="59"/>
  <c r="CB21" i="59"/>
  <c r="CB55" i="59"/>
  <c r="CW23" i="59"/>
  <c r="CX23" i="59" s="1"/>
  <c r="CD23" i="59"/>
  <c r="CW33" i="59"/>
  <c r="CX33" i="59" s="1"/>
  <c r="CD33" i="59"/>
  <c r="CB38" i="59"/>
  <c r="CB3" i="59"/>
  <c r="CB7" i="59"/>
  <c r="CN12" i="59"/>
  <c r="CO12" i="59" s="1"/>
  <c r="CT12" i="59"/>
  <c r="CK12" i="59"/>
  <c r="CB12" i="59"/>
  <c r="CB20" i="59"/>
  <c r="CB8" i="59"/>
  <c r="CB26" i="59"/>
  <c r="CW40" i="59"/>
  <c r="CX40" i="59" s="1"/>
  <c r="CD40" i="59"/>
  <c r="CT4" i="59"/>
  <c r="CN4" i="59"/>
  <c r="CO4" i="59" s="1"/>
  <c r="CK4" i="59"/>
  <c r="CB4" i="59"/>
  <c r="CW4" i="59"/>
  <c r="CX4" i="59" s="1"/>
  <c r="CD4" i="59"/>
  <c r="CW5" i="59"/>
  <c r="CX5" i="59" s="1"/>
  <c r="CD5" i="59"/>
  <c r="CB13" i="59"/>
  <c r="CN19" i="59"/>
  <c r="CO19" i="59" s="1"/>
  <c r="CT19" i="59"/>
  <c r="CB19" i="59"/>
  <c r="CK19" i="59"/>
  <c r="CB14" i="59"/>
  <c r="CW19" i="59"/>
  <c r="CX19" i="59" s="1"/>
  <c r="CD19" i="59"/>
  <c r="CN22" i="59"/>
  <c r="CO22" i="59" s="1"/>
  <c r="CB25" i="59"/>
  <c r="CD32" i="59"/>
  <c r="CW32" i="59"/>
  <c r="CX32" i="59" s="1"/>
  <c r="CD37" i="59"/>
  <c r="CT17" i="59"/>
  <c r="CK17" i="59"/>
  <c r="CB17" i="59"/>
  <c r="CD49" i="59"/>
  <c r="CW49" i="59"/>
  <c r="CA5" i="59"/>
  <c r="CA6" i="59"/>
  <c r="CC7" i="59"/>
  <c r="CN7" i="59" s="1"/>
  <c r="CO7" i="59" s="1"/>
  <c r="CA10" i="59"/>
  <c r="CD10" i="59"/>
  <c r="CC13" i="59"/>
  <c r="CC16" i="59"/>
  <c r="CC20" i="59"/>
  <c r="CA23" i="59"/>
  <c r="CA24" i="59"/>
  <c r="CW30" i="59"/>
  <c r="CX30" i="59" s="1"/>
  <c r="CC42" i="59"/>
  <c r="CN14" i="59"/>
  <c r="CO14" i="59" s="1"/>
  <c r="CW22" i="59"/>
  <c r="CX22" i="59" s="1"/>
  <c r="CD22" i="59"/>
  <c r="CB32" i="59"/>
  <c r="CC6" i="59"/>
  <c r="CB45" i="59"/>
  <c r="CK49" i="59"/>
  <c r="CB49" i="59"/>
  <c r="CB56" i="59"/>
  <c r="CG8" i="59"/>
  <c r="CH8" i="59" s="1"/>
  <c r="CA16" i="59"/>
  <c r="CW17" i="59"/>
  <c r="CX17" i="59" s="1"/>
  <c r="BP22" i="59"/>
  <c r="BW22" i="59"/>
  <c r="CG22" i="59" s="1"/>
  <c r="CH22" i="59" s="1"/>
  <c r="CK22" i="59"/>
  <c r="CB29" i="59"/>
  <c r="CD35" i="59"/>
  <c r="CA36" i="59"/>
  <c r="CB53" i="59"/>
  <c r="CD44" i="59"/>
  <c r="CW44" i="59"/>
  <c r="CX44" i="59" s="1"/>
  <c r="CN63" i="59"/>
  <c r="CO63" i="59" s="1"/>
  <c r="CK63" i="59"/>
  <c r="CB63" i="59"/>
  <c r="CT63" i="59"/>
  <c r="CD80" i="59"/>
  <c r="CK14" i="59"/>
  <c r="CB41" i="59"/>
  <c r="CK44" i="59"/>
  <c r="CC11" i="59"/>
  <c r="CA15" i="59"/>
  <c r="CC18" i="59"/>
  <c r="CT18" i="59" s="1"/>
  <c r="BP23" i="59"/>
  <c r="CD26" i="59"/>
  <c r="CW26" i="59"/>
  <c r="CX26" i="59" s="1"/>
  <c r="CN33" i="59"/>
  <c r="CO33" i="59" s="1"/>
  <c r="CB33" i="59"/>
  <c r="CK33" i="59"/>
  <c r="CT33" i="59"/>
  <c r="CK34" i="59"/>
  <c r="CB34" i="59"/>
  <c r="CB40" i="59"/>
  <c r="CN40" i="59"/>
  <c r="CO40" i="59" s="1"/>
  <c r="CK40" i="59"/>
  <c r="CT40" i="59"/>
  <c r="CB46" i="59"/>
  <c r="CV47" i="59"/>
  <c r="CU47" i="59"/>
  <c r="DA47" i="59" s="1"/>
  <c r="CD50" i="59"/>
  <c r="CW50" i="59"/>
  <c r="CX50" i="59" s="1"/>
  <c r="CB54" i="59"/>
  <c r="CM61" i="59"/>
  <c r="CL61" i="59"/>
  <c r="CN9" i="59"/>
  <c r="CO9" i="59" s="1"/>
  <c r="CB9" i="59"/>
  <c r="CW12" i="59"/>
  <c r="CX12" i="59" s="1"/>
  <c r="CW27" i="59"/>
  <c r="CX27" i="59" s="1"/>
  <c r="CD27" i="59"/>
  <c r="CA28" i="59"/>
  <c r="CT75" i="59"/>
  <c r="CK75" i="59"/>
  <c r="CB75" i="59"/>
  <c r="CN75" i="59"/>
  <c r="CO75" i="59" s="1"/>
  <c r="CF75" i="59"/>
  <c r="CW75" i="59"/>
  <c r="CX75" i="59" s="1"/>
  <c r="CT9" i="59"/>
  <c r="CW24" i="59"/>
  <c r="CX24" i="59" s="1"/>
  <c r="CW34" i="59"/>
  <c r="CX34" i="59" s="1"/>
  <c r="CD34" i="59"/>
  <c r="CG5" i="59"/>
  <c r="CH5" i="59" s="1"/>
  <c r="CC8" i="59"/>
  <c r="CT8" i="59" s="1"/>
  <c r="CC3" i="59"/>
  <c r="CT3" i="59" s="1"/>
  <c r="CA11" i="59"/>
  <c r="CG13" i="59"/>
  <c r="CH13" i="59" s="1"/>
  <c r="CN17" i="59"/>
  <c r="CO17" i="59" s="1"/>
  <c r="CK18" i="59"/>
  <c r="CB18" i="59"/>
  <c r="CC21" i="59"/>
  <c r="CK21" i="59" s="1"/>
  <c r="CE21" i="59"/>
  <c r="CF21" i="59" s="1"/>
  <c r="CB22" i="59"/>
  <c r="CD24" i="59"/>
  <c r="CB31" i="59"/>
  <c r="CE32" i="59"/>
  <c r="CF32" i="59" s="1"/>
  <c r="CG36" i="59"/>
  <c r="CH36" i="59" s="1"/>
  <c r="BW32" i="59"/>
  <c r="CG32" i="59" s="1"/>
  <c r="CH32" i="59" s="1"/>
  <c r="BP32" i="59"/>
  <c r="CD41" i="59"/>
  <c r="CW41" i="59"/>
  <c r="CX41" i="59" s="1"/>
  <c r="BP21" i="59"/>
  <c r="CA27" i="59"/>
  <c r="CA35" i="59"/>
  <c r="CC36" i="59"/>
  <c r="CA42" i="59"/>
  <c r="CW46" i="59"/>
  <c r="CX46" i="59" s="1"/>
  <c r="CD46" i="59"/>
  <c r="CB47" i="59"/>
  <c r="CN47" i="59"/>
  <c r="CO47" i="59" s="1"/>
  <c r="CN64" i="59"/>
  <c r="CO64" i="59" s="1"/>
  <c r="CK64" i="59"/>
  <c r="CB64" i="59"/>
  <c r="CT64" i="59"/>
  <c r="CN65" i="59"/>
  <c r="CO65" i="59" s="1"/>
  <c r="CB65" i="59"/>
  <c r="CT65" i="59"/>
  <c r="CB67" i="59"/>
  <c r="CB69" i="59"/>
  <c r="CN95" i="59"/>
  <c r="CO95" i="59" s="1"/>
  <c r="CT95" i="59"/>
  <c r="CB95" i="59"/>
  <c r="CK95" i="59"/>
  <c r="CW95" i="59"/>
  <c r="CX95" i="59" s="1"/>
  <c r="CD95" i="59"/>
  <c r="CC25" i="59"/>
  <c r="CN25" i="59" s="1"/>
  <c r="CO25" i="59" s="1"/>
  <c r="CC29" i="59"/>
  <c r="CN29" i="59" s="1"/>
  <c r="CO29" i="59" s="1"/>
  <c r="CC28" i="59"/>
  <c r="CE35" i="59"/>
  <c r="CF35" i="59" s="1"/>
  <c r="CG39" i="59"/>
  <c r="CH39" i="59" s="1"/>
  <c r="BW44" i="59"/>
  <c r="CG44" i="59" s="1"/>
  <c r="CH44" i="59" s="1"/>
  <c r="BP44" i="59"/>
  <c r="CW48" i="59"/>
  <c r="CX48" i="59" s="1"/>
  <c r="CD48" i="59"/>
  <c r="CG49" i="59"/>
  <c r="CH49" i="59" s="1"/>
  <c r="CB59" i="59"/>
  <c r="CW72" i="59"/>
  <c r="CX72" i="59" s="1"/>
  <c r="CD72" i="59"/>
  <c r="BW72" i="59"/>
  <c r="CG72" i="59" s="1"/>
  <c r="CH72" i="59" s="1"/>
  <c r="BP72" i="59"/>
  <c r="CK90" i="59"/>
  <c r="CB90" i="59"/>
  <c r="CD90" i="59"/>
  <c r="CC31" i="59"/>
  <c r="CB52" i="59"/>
  <c r="CT52" i="59"/>
  <c r="CC54" i="59"/>
  <c r="CN54" i="59" s="1"/>
  <c r="CO54" i="59" s="1"/>
  <c r="CE30" i="59"/>
  <c r="CF30" i="59" s="1"/>
  <c r="CG34" i="59"/>
  <c r="CC39" i="59"/>
  <c r="CT39" i="59" s="1"/>
  <c r="CG41" i="59"/>
  <c r="CK47" i="59"/>
  <c r="CG26" i="59"/>
  <c r="CH26" i="59" s="1"/>
  <c r="CA30" i="59"/>
  <c r="CC43" i="59"/>
  <c r="CB57" i="59"/>
  <c r="CA37" i="59"/>
  <c r="CE37" i="59"/>
  <c r="CF37" i="59" s="1"/>
  <c r="CC38" i="59"/>
  <c r="CN38" i="59" s="1"/>
  <c r="CO38" i="59" s="1"/>
  <c r="CE43" i="59"/>
  <c r="CF43" i="59" s="1"/>
  <c r="CT76" i="59"/>
  <c r="CK76" i="59"/>
  <c r="CB76" i="59"/>
  <c r="CN76" i="59"/>
  <c r="CO76" i="59" s="1"/>
  <c r="CC45" i="59"/>
  <c r="CT45" i="59" s="1"/>
  <c r="CE46" i="59"/>
  <c r="CF46" i="59" s="1"/>
  <c r="CE51" i="59"/>
  <c r="CF51" i="59" s="1"/>
  <c r="CW61" i="59"/>
  <c r="CX61" i="59" s="1"/>
  <c r="CC85" i="59"/>
  <c r="CA88" i="59"/>
  <c r="CG48" i="59"/>
  <c r="CH48" i="59" s="1"/>
  <c r="CT50" i="59"/>
  <c r="CK50" i="59"/>
  <c r="CG52" i="59"/>
  <c r="CH52" i="59" s="1"/>
  <c r="CC53" i="59"/>
  <c r="CK53" i="59" s="1"/>
  <c r="CC78" i="59"/>
  <c r="CW79" i="59"/>
  <c r="CX79" i="59" s="1"/>
  <c r="CD79" i="59"/>
  <c r="CA72" i="59"/>
  <c r="CB81" i="59"/>
  <c r="CK81" i="59"/>
  <c r="CT81" i="59"/>
  <c r="CN81" i="59"/>
  <c r="CO81" i="59" s="1"/>
  <c r="CW81" i="59"/>
  <c r="CX81" i="59" s="1"/>
  <c r="CD81" i="59"/>
  <c r="CW99" i="59"/>
  <c r="CD99" i="59"/>
  <c r="CG55" i="59"/>
  <c r="CH55" i="59" s="1"/>
  <c r="CC58" i="59"/>
  <c r="CT58" i="59" s="1"/>
  <c r="CC67" i="59"/>
  <c r="CT67" i="59" s="1"/>
  <c r="CB79" i="59"/>
  <c r="CK79" i="59"/>
  <c r="CN44" i="59"/>
  <c r="CO44" i="59" s="1"/>
  <c r="CT44" i="59"/>
  <c r="CB44" i="59"/>
  <c r="CK48" i="59"/>
  <c r="CB48" i="59"/>
  <c r="CW52" i="59"/>
  <c r="CX52" i="59" s="1"/>
  <c r="CC55" i="59"/>
  <c r="CB58" i="59"/>
  <c r="CN61" i="59"/>
  <c r="CO61" i="59" s="1"/>
  <c r="CT61" i="59"/>
  <c r="CB61" i="59"/>
  <c r="CB62" i="59"/>
  <c r="CW63" i="59"/>
  <c r="CX63" i="59" s="1"/>
  <c r="CW65" i="59"/>
  <c r="CX65" i="59" s="1"/>
  <c r="CD65" i="59"/>
  <c r="CB77" i="59"/>
  <c r="CA43" i="59"/>
  <c r="CT48" i="59"/>
  <c r="CN50" i="59"/>
  <c r="CO50" i="59" s="1"/>
  <c r="CC51" i="59"/>
  <c r="CB60" i="59"/>
  <c r="CD63" i="59"/>
  <c r="CB66" i="59"/>
  <c r="CW74" i="59"/>
  <c r="CX74" i="59" s="1"/>
  <c r="CD74" i="59"/>
  <c r="CD76" i="59"/>
  <c r="CW76" i="59"/>
  <c r="CX76" i="59" s="1"/>
  <c r="CE80" i="59"/>
  <c r="CF80" i="59" s="1"/>
  <c r="CF96" i="59"/>
  <c r="CT96" i="59"/>
  <c r="CN103" i="59"/>
  <c r="CO103" i="59" s="1"/>
  <c r="CT103" i="59"/>
  <c r="CK103" i="59"/>
  <c r="CB103" i="59"/>
  <c r="CC62" i="59"/>
  <c r="CW66" i="59"/>
  <c r="CX66" i="59" s="1"/>
  <c r="CC68" i="59"/>
  <c r="CC71" i="59"/>
  <c r="CN80" i="59"/>
  <c r="CO80" i="59" s="1"/>
  <c r="CB80" i="59"/>
  <c r="CC82" i="59"/>
  <c r="CK82" i="59" s="1"/>
  <c r="CA85" i="59"/>
  <c r="CG60" i="59"/>
  <c r="CH60" i="59" s="1"/>
  <c r="CD66" i="59"/>
  <c r="CG67" i="59"/>
  <c r="CH67" i="59" s="1"/>
  <c r="CA68" i="59"/>
  <c r="CC69" i="59"/>
  <c r="CK69" i="59" s="1"/>
  <c r="BW79" i="59"/>
  <c r="CG79" i="59" s="1"/>
  <c r="CH79" i="59" s="1"/>
  <c r="BP79" i="59"/>
  <c r="CW104" i="59"/>
  <c r="CD104" i="59"/>
  <c r="CC56" i="59"/>
  <c r="CN56" i="59" s="1"/>
  <c r="CO56" i="59" s="1"/>
  <c r="CC60" i="59"/>
  <c r="CK60" i="59" s="1"/>
  <c r="CG66" i="59"/>
  <c r="CC77" i="59"/>
  <c r="CK77" i="59" s="1"/>
  <c r="CN99" i="59"/>
  <c r="CO99" i="59" s="1"/>
  <c r="CT99" i="59"/>
  <c r="CK99" i="59"/>
  <c r="CB99" i="59"/>
  <c r="CK100" i="59"/>
  <c r="CB100" i="59"/>
  <c r="CW103" i="59"/>
  <c r="CD103" i="59"/>
  <c r="CC59" i="59"/>
  <c r="CK59" i="59" s="1"/>
  <c r="CG62" i="59"/>
  <c r="CH62" i="59" s="1"/>
  <c r="CW64" i="59"/>
  <c r="CX64" i="59" s="1"/>
  <c r="CC70" i="59"/>
  <c r="CC73" i="59"/>
  <c r="CA78" i="59"/>
  <c r="CD100" i="59"/>
  <c r="CC57" i="59"/>
  <c r="CN57" i="59" s="1"/>
  <c r="CO57" i="59" s="1"/>
  <c r="CD64" i="59"/>
  <c r="CG65" i="59"/>
  <c r="CH65" i="59" s="1"/>
  <c r="CE78" i="59"/>
  <c r="CF78" i="59" s="1"/>
  <c r="CA71" i="59"/>
  <c r="CB82" i="59"/>
  <c r="CB84" i="59"/>
  <c r="CN86" i="59"/>
  <c r="CO86" i="59" s="1"/>
  <c r="CT86" i="59"/>
  <c r="CB86" i="59"/>
  <c r="CW86" i="59"/>
  <c r="CX86" i="59" s="1"/>
  <c r="CD86" i="59"/>
  <c r="CW91" i="59"/>
  <c r="CE100" i="59"/>
  <c r="CF100" i="59" s="1"/>
  <c r="CA101" i="59"/>
  <c r="CG71" i="59"/>
  <c r="CH71" i="59" s="1"/>
  <c r="CA73" i="59"/>
  <c r="CB89" i="59"/>
  <c r="CC92" i="59"/>
  <c r="CC93" i="59"/>
  <c r="CB94" i="59"/>
  <c r="CB98" i="59"/>
  <c r="CE101" i="59"/>
  <c r="CF101" i="59" s="1"/>
  <c r="CN102" i="59"/>
  <c r="CO102" i="59" s="1"/>
  <c r="CT102" i="59"/>
  <c r="CK102" i="59"/>
  <c r="CB102" i="59"/>
  <c r="CE69" i="59"/>
  <c r="CF69" i="59" s="1"/>
  <c r="CC83" i="59"/>
  <c r="CG83" i="59"/>
  <c r="CH83" i="59" s="1"/>
  <c r="CK86" i="59"/>
  <c r="CA70" i="59"/>
  <c r="CA74" i="59"/>
  <c r="CA83" i="59"/>
  <c r="CC87" i="59"/>
  <c r="CG78" i="59"/>
  <c r="CH78" i="59" s="1"/>
  <c r="CE85" i="59"/>
  <c r="CF85" i="59" s="1"/>
  <c r="CB96" i="59"/>
  <c r="CN96" i="59"/>
  <c r="CO96" i="59" s="1"/>
  <c r="CK96" i="59"/>
  <c r="CW96" i="59"/>
  <c r="CX96" i="59" s="1"/>
  <c r="CD96" i="59"/>
  <c r="CE90" i="59"/>
  <c r="CF90" i="59" s="1"/>
  <c r="CB93" i="59"/>
  <c r="CC98" i="59"/>
  <c r="CK98" i="59" s="1"/>
  <c r="CC84" i="59"/>
  <c r="CT84" i="59" s="1"/>
  <c r="BW85" i="59"/>
  <c r="CG85" i="59" s="1"/>
  <c r="CH85" i="59" s="1"/>
  <c r="BP85" i="59"/>
  <c r="CC89" i="59"/>
  <c r="CK89" i="59" s="1"/>
  <c r="CA92" i="59"/>
  <c r="BP77" i="59"/>
  <c r="CC97" i="59"/>
  <c r="CC88" i="59"/>
  <c r="CC94" i="59"/>
  <c r="CK94" i="59" s="1"/>
  <c r="CA97" i="59"/>
  <c r="CA87" i="59"/>
  <c r="CA91" i="59"/>
  <c r="CC101" i="59"/>
  <c r="CA104" i="59"/>
  <c r="BP102" i="59"/>
  <c r="BP5" i="2"/>
  <c r="BP12" i="2"/>
  <c r="BP10" i="2"/>
  <c r="BP9" i="2"/>
  <c r="BP22" i="2"/>
  <c r="BP36" i="2"/>
  <c r="BP29" i="2"/>
  <c r="BP27" i="2"/>
  <c r="BP31" i="2"/>
  <c r="BP33" i="2"/>
  <c r="BP20" i="2"/>
  <c r="BP35" i="2"/>
  <c r="BP34" i="2"/>
  <c r="BP23" i="2"/>
  <c r="BP3" i="2"/>
  <c r="BP6" i="2"/>
  <c r="BP25" i="2"/>
  <c r="BP21" i="2"/>
  <c r="BP32" i="2"/>
  <c r="BP30" i="2"/>
  <c r="BP28" i="2"/>
  <c r="BP39" i="2"/>
  <c r="BP24" i="2"/>
  <c r="BP13" i="2"/>
  <c r="BP4" i="2"/>
  <c r="BP40" i="2"/>
  <c r="BP37" i="2"/>
  <c r="BP18" i="2"/>
  <c r="BP26" i="2"/>
  <c r="BP8" i="2"/>
  <c r="BP17" i="2"/>
  <c r="BP15" i="2"/>
  <c r="BP7" i="2"/>
  <c r="BP16" i="2"/>
  <c r="BP19" i="2"/>
  <c r="BP11" i="2"/>
  <c r="BP41" i="2"/>
  <c r="BP42" i="2"/>
  <c r="BP38" i="2"/>
  <c r="BP46" i="2"/>
  <c r="BP45" i="2"/>
  <c r="BP47" i="2"/>
  <c r="BP43" i="2"/>
  <c r="BP44" i="2"/>
  <c r="BP61" i="2"/>
  <c r="BP62" i="2"/>
  <c r="BP48" i="2"/>
  <c r="BP70" i="2"/>
  <c r="BP73" i="2"/>
  <c r="BP56" i="2"/>
  <c r="BP79" i="2"/>
  <c r="BP63" i="2"/>
  <c r="BP76" i="2"/>
  <c r="BP55" i="2"/>
  <c r="BP67" i="2"/>
  <c r="BP50" i="2"/>
  <c r="BP75" i="2"/>
  <c r="BP81" i="2"/>
  <c r="BP74" i="2"/>
  <c r="BP54" i="2"/>
  <c r="BP69" i="2"/>
  <c r="BP53" i="2"/>
  <c r="BP51" i="2"/>
  <c r="BP72" i="2"/>
  <c r="BP68" i="2"/>
  <c r="BP60" i="2"/>
  <c r="BP65" i="2"/>
  <c r="BP49" i="2"/>
  <c r="BP66" i="2"/>
  <c r="BP52" i="2"/>
  <c r="BP71" i="2"/>
  <c r="BP58" i="2"/>
  <c r="BP64" i="2"/>
  <c r="BP78" i="2"/>
  <c r="BP59" i="2"/>
  <c r="BP57" i="2"/>
  <c r="BP77" i="2"/>
  <c r="BP80" i="2"/>
  <c r="BP82" i="2"/>
  <c r="BP84" i="2"/>
  <c r="BP86" i="2"/>
  <c r="BP87" i="2"/>
  <c r="BP89" i="2"/>
  <c r="BP95" i="2"/>
  <c r="BP85" i="2"/>
  <c r="BP88" i="2"/>
  <c r="BP96" i="2"/>
  <c r="BP83" i="2"/>
  <c r="BP93" i="2"/>
  <c r="BP97" i="2"/>
  <c r="BP101" i="2"/>
  <c r="BP92" i="2"/>
  <c r="BP98" i="2"/>
  <c r="BP100" i="2"/>
  <c r="BP90" i="2"/>
  <c r="BP94" i="2"/>
  <c r="BP102" i="2"/>
  <c r="BP99" i="2"/>
  <c r="BP103" i="2"/>
  <c r="BP91" i="2"/>
  <c r="BP104" i="2"/>
  <c r="BP14" i="2"/>
  <c r="C58" i="3"/>
  <c r="CI5" i="2"/>
  <c r="C66" i="3"/>
  <c r="CI96" i="2"/>
  <c r="CI93" i="2"/>
  <c r="CI97" i="2"/>
  <c r="CI98" i="2"/>
  <c r="BZ42" i="2"/>
  <c r="BZ14" i="2"/>
  <c r="BZ5" i="2"/>
  <c r="BZ12" i="2"/>
  <c r="BZ10" i="2"/>
  <c r="BZ9" i="2"/>
  <c r="BZ22" i="2"/>
  <c r="BZ36" i="2"/>
  <c r="BZ29" i="2"/>
  <c r="BZ27" i="2"/>
  <c r="BZ31" i="2"/>
  <c r="BZ33" i="2"/>
  <c r="BZ20" i="2"/>
  <c r="BZ35" i="2"/>
  <c r="BZ34" i="2"/>
  <c r="BZ23" i="2"/>
  <c r="BZ38" i="2"/>
  <c r="BZ46" i="2"/>
  <c r="BZ45" i="2"/>
  <c r="BZ3" i="2"/>
  <c r="BZ6" i="2"/>
  <c r="BZ25" i="2"/>
  <c r="BZ21" i="2"/>
  <c r="BZ32" i="2"/>
  <c r="BZ30" i="2"/>
  <c r="BZ28" i="2"/>
  <c r="BZ39" i="2"/>
  <c r="BZ24" i="2"/>
  <c r="BZ47" i="2"/>
  <c r="BZ13" i="2"/>
  <c r="BZ43" i="2"/>
  <c r="BZ4" i="2"/>
  <c r="BZ40" i="2"/>
  <c r="BZ37" i="2"/>
  <c r="BZ18" i="2"/>
  <c r="BZ26" i="2"/>
  <c r="BZ8" i="2"/>
  <c r="BZ17" i="2"/>
  <c r="BZ15" i="2"/>
  <c r="BZ7" i="2"/>
  <c r="BZ16" i="2"/>
  <c r="BZ19" i="2"/>
  <c r="BZ11" i="2"/>
  <c r="BZ44" i="2"/>
  <c r="BZ83" i="2"/>
  <c r="BZ84" i="2"/>
  <c r="BZ61" i="2"/>
  <c r="BZ73" i="2"/>
  <c r="BZ56" i="2"/>
  <c r="BZ79" i="2"/>
  <c r="BZ76" i="2"/>
  <c r="BZ48" i="2"/>
  <c r="BZ63" i="2"/>
  <c r="BZ62" i="2"/>
  <c r="BZ55" i="2"/>
  <c r="BZ67" i="2"/>
  <c r="BZ50" i="2"/>
  <c r="BZ75" i="2"/>
  <c r="BZ81" i="2"/>
  <c r="BZ74" i="2"/>
  <c r="BZ54" i="2"/>
  <c r="BZ69" i="2"/>
  <c r="BZ53" i="2"/>
  <c r="BZ51" i="2"/>
  <c r="BZ72" i="2"/>
  <c r="BZ68" i="2"/>
  <c r="BZ60" i="2"/>
  <c r="BZ65" i="2"/>
  <c r="BZ70" i="2"/>
  <c r="BZ49" i="2"/>
  <c r="BZ66" i="2"/>
  <c r="BZ52" i="2"/>
  <c r="BZ71" i="2"/>
  <c r="BZ58" i="2"/>
  <c r="BZ64" i="2"/>
  <c r="BZ78" i="2"/>
  <c r="BZ59" i="2"/>
  <c r="BZ57" i="2"/>
  <c r="BZ77" i="2"/>
  <c r="BZ82" i="2"/>
  <c r="BZ80" i="2"/>
  <c r="BZ87" i="2"/>
  <c r="BZ95" i="2"/>
  <c r="BZ96" i="2"/>
  <c r="BZ86" i="2"/>
  <c r="BZ89" i="2"/>
  <c r="BZ85" i="2"/>
  <c r="BZ93" i="2"/>
  <c r="BZ97" i="2"/>
  <c r="BZ101" i="2"/>
  <c r="BZ88" i="2"/>
  <c r="BZ92" i="2"/>
  <c r="BZ98" i="2"/>
  <c r="BZ100" i="2"/>
  <c r="BZ90" i="2"/>
  <c r="BZ94" i="2"/>
  <c r="BZ102" i="2"/>
  <c r="BZ99" i="2"/>
  <c r="BZ103" i="2"/>
  <c r="BZ91" i="2"/>
  <c r="BZ104" i="2"/>
  <c r="BY42" i="2"/>
  <c r="BY14" i="2"/>
  <c r="BY5" i="2"/>
  <c r="BY12" i="2"/>
  <c r="BY10" i="2"/>
  <c r="BY9" i="2"/>
  <c r="BY22" i="2"/>
  <c r="BY36" i="2"/>
  <c r="BY29" i="2"/>
  <c r="BY27" i="2"/>
  <c r="BY31" i="2"/>
  <c r="BY33" i="2"/>
  <c r="BY20" i="2"/>
  <c r="BY35" i="2"/>
  <c r="BY34" i="2"/>
  <c r="BY23" i="2"/>
  <c r="BY38" i="2"/>
  <c r="BY46" i="2"/>
  <c r="BY45" i="2"/>
  <c r="BY3" i="2"/>
  <c r="BY6" i="2"/>
  <c r="BY25" i="2"/>
  <c r="BY21" i="2"/>
  <c r="BY32" i="2"/>
  <c r="BY30" i="2"/>
  <c r="BY28" i="2"/>
  <c r="BY39" i="2"/>
  <c r="BY24" i="2"/>
  <c r="BY47" i="2"/>
  <c r="BY13" i="2"/>
  <c r="BY43" i="2"/>
  <c r="BY4" i="2"/>
  <c r="BY40" i="2"/>
  <c r="BY37" i="2"/>
  <c r="BY18" i="2"/>
  <c r="BY26" i="2"/>
  <c r="BY8" i="2"/>
  <c r="BY17" i="2"/>
  <c r="BY15" i="2"/>
  <c r="BY7" i="2"/>
  <c r="BY16" i="2"/>
  <c r="BY19" i="2"/>
  <c r="BY11" i="2"/>
  <c r="BY44" i="2"/>
  <c r="BY83" i="2"/>
  <c r="BY84" i="2"/>
  <c r="BY61" i="2"/>
  <c r="BY73" i="2"/>
  <c r="BY56" i="2"/>
  <c r="BY79" i="2"/>
  <c r="BY76" i="2"/>
  <c r="BY48" i="2"/>
  <c r="BY63" i="2"/>
  <c r="BY62" i="2"/>
  <c r="BY55" i="2"/>
  <c r="BY67" i="2"/>
  <c r="BY50" i="2"/>
  <c r="BY75" i="2"/>
  <c r="BY81" i="2"/>
  <c r="BY74" i="2"/>
  <c r="BY54" i="2"/>
  <c r="BY69" i="2"/>
  <c r="BY53" i="2"/>
  <c r="BY51" i="2"/>
  <c r="BY72" i="2"/>
  <c r="BY68" i="2"/>
  <c r="BY60" i="2"/>
  <c r="BY65" i="2"/>
  <c r="BY70" i="2"/>
  <c r="BY49" i="2"/>
  <c r="BY66" i="2"/>
  <c r="BY52" i="2"/>
  <c r="BY71" i="2"/>
  <c r="BY58" i="2"/>
  <c r="BY64" i="2"/>
  <c r="BY78" i="2"/>
  <c r="BY59" i="2"/>
  <c r="BY57" i="2"/>
  <c r="BY77" i="2"/>
  <c r="BY82" i="2"/>
  <c r="BY80" i="2"/>
  <c r="BY87" i="2"/>
  <c r="BY95" i="2"/>
  <c r="BY96" i="2"/>
  <c r="BY86" i="2"/>
  <c r="BY89" i="2"/>
  <c r="BY85" i="2"/>
  <c r="BY93" i="2"/>
  <c r="BY97" i="2"/>
  <c r="BY101" i="2"/>
  <c r="BY88" i="2"/>
  <c r="BY92" i="2"/>
  <c r="BY98" i="2"/>
  <c r="BY100" i="2"/>
  <c r="BY90" i="2"/>
  <c r="BY94" i="2"/>
  <c r="BY102" i="2"/>
  <c r="BY99" i="2"/>
  <c r="BY103" i="2"/>
  <c r="BY91" i="2"/>
  <c r="BY104" i="2"/>
  <c r="BX42" i="2"/>
  <c r="BX14" i="2"/>
  <c r="BX5" i="2"/>
  <c r="BX12" i="2"/>
  <c r="BX10" i="2"/>
  <c r="BX9" i="2"/>
  <c r="BX22" i="2"/>
  <c r="BX36" i="2"/>
  <c r="BX29" i="2"/>
  <c r="BX27" i="2"/>
  <c r="BX31" i="2"/>
  <c r="BX33" i="2"/>
  <c r="BX20" i="2"/>
  <c r="BX35" i="2"/>
  <c r="BX34" i="2"/>
  <c r="BX23" i="2"/>
  <c r="BX38" i="2"/>
  <c r="BX46" i="2"/>
  <c r="BX45" i="2"/>
  <c r="BX3" i="2"/>
  <c r="BX6" i="2"/>
  <c r="BX25" i="2"/>
  <c r="BX21" i="2"/>
  <c r="BX32" i="2"/>
  <c r="BX30" i="2"/>
  <c r="BX28" i="2"/>
  <c r="BX39" i="2"/>
  <c r="BX24" i="2"/>
  <c r="BX47" i="2"/>
  <c r="BX13" i="2"/>
  <c r="BX43" i="2"/>
  <c r="BX4" i="2"/>
  <c r="BX40" i="2"/>
  <c r="BX37" i="2"/>
  <c r="BX18" i="2"/>
  <c r="BX26" i="2"/>
  <c r="BX8" i="2"/>
  <c r="BX17" i="2"/>
  <c r="BX15" i="2"/>
  <c r="BX7" i="2"/>
  <c r="BX16" i="2"/>
  <c r="BX19" i="2"/>
  <c r="BX11" i="2"/>
  <c r="BX44" i="2"/>
  <c r="BX83" i="2"/>
  <c r="BX84" i="2"/>
  <c r="BX61" i="2"/>
  <c r="BX73" i="2"/>
  <c r="BX56" i="2"/>
  <c r="BX79" i="2"/>
  <c r="BX76" i="2"/>
  <c r="BX48" i="2"/>
  <c r="BX63" i="2"/>
  <c r="BX62" i="2"/>
  <c r="BX55" i="2"/>
  <c r="BX67" i="2"/>
  <c r="BX50" i="2"/>
  <c r="BX75" i="2"/>
  <c r="BX81" i="2"/>
  <c r="BX74" i="2"/>
  <c r="BX54" i="2"/>
  <c r="BX69" i="2"/>
  <c r="BX53" i="2"/>
  <c r="BX51" i="2"/>
  <c r="BX72" i="2"/>
  <c r="BX68" i="2"/>
  <c r="BX60" i="2"/>
  <c r="BX65" i="2"/>
  <c r="BX70" i="2"/>
  <c r="BX49" i="2"/>
  <c r="BX66" i="2"/>
  <c r="BX52" i="2"/>
  <c r="BX71" i="2"/>
  <c r="BX58" i="2"/>
  <c r="BX64" i="2"/>
  <c r="BX78" i="2"/>
  <c r="BX59" i="2"/>
  <c r="BX57" i="2"/>
  <c r="BX77" i="2"/>
  <c r="BX82" i="2"/>
  <c r="BX80" i="2"/>
  <c r="BX87" i="2"/>
  <c r="BX95" i="2"/>
  <c r="BX96" i="2"/>
  <c r="BX86" i="2"/>
  <c r="BX89" i="2"/>
  <c r="BX85" i="2"/>
  <c r="BX93" i="2"/>
  <c r="BX97" i="2"/>
  <c r="BX101" i="2"/>
  <c r="BX88" i="2"/>
  <c r="BX92" i="2"/>
  <c r="BX98" i="2"/>
  <c r="BX100" i="2"/>
  <c r="BX90" i="2"/>
  <c r="BX94" i="2"/>
  <c r="BX102" i="2"/>
  <c r="BX99" i="2"/>
  <c r="BX103" i="2"/>
  <c r="BX91" i="2"/>
  <c r="BX104" i="2"/>
  <c r="AX42" i="2"/>
  <c r="AX14" i="2"/>
  <c r="AX5" i="2"/>
  <c r="AX12" i="2"/>
  <c r="AX10" i="2"/>
  <c r="AX9" i="2"/>
  <c r="AX22" i="2"/>
  <c r="AX36" i="2"/>
  <c r="AX29" i="2"/>
  <c r="AX27" i="2"/>
  <c r="AX31" i="2"/>
  <c r="AX33" i="2"/>
  <c r="AX20" i="2"/>
  <c r="AX35" i="2"/>
  <c r="AX34" i="2"/>
  <c r="AX23" i="2"/>
  <c r="AX38" i="2"/>
  <c r="AX46" i="2"/>
  <c r="AX45" i="2"/>
  <c r="AX3" i="2"/>
  <c r="AX6" i="2"/>
  <c r="AX25" i="2"/>
  <c r="AX21" i="2"/>
  <c r="AX32" i="2"/>
  <c r="AX30" i="2"/>
  <c r="AX28" i="2"/>
  <c r="AX39" i="2"/>
  <c r="AX24" i="2"/>
  <c r="AX47" i="2"/>
  <c r="AX13" i="2"/>
  <c r="AX43" i="2"/>
  <c r="AX4" i="2"/>
  <c r="AX40" i="2"/>
  <c r="AX37" i="2"/>
  <c r="AX18" i="2"/>
  <c r="AX26" i="2"/>
  <c r="AX8" i="2"/>
  <c r="AX17" i="2"/>
  <c r="AX15" i="2"/>
  <c r="AX7" i="2"/>
  <c r="AX16" i="2"/>
  <c r="AX19" i="2"/>
  <c r="AX11" i="2"/>
  <c r="AX44" i="2"/>
  <c r="AX83" i="2"/>
  <c r="AX84" i="2"/>
  <c r="AX61" i="2"/>
  <c r="AX73" i="2"/>
  <c r="AX56" i="2"/>
  <c r="AX79" i="2"/>
  <c r="AX76" i="2"/>
  <c r="AX48" i="2"/>
  <c r="AX63" i="2"/>
  <c r="AX62" i="2"/>
  <c r="AX55" i="2"/>
  <c r="AX67" i="2"/>
  <c r="AX50" i="2"/>
  <c r="AX75" i="2"/>
  <c r="AX81" i="2"/>
  <c r="AX74" i="2"/>
  <c r="AX54" i="2"/>
  <c r="AX69" i="2"/>
  <c r="AX53" i="2"/>
  <c r="AX51" i="2"/>
  <c r="AX72" i="2"/>
  <c r="AX68" i="2"/>
  <c r="AX60" i="2"/>
  <c r="AX65" i="2"/>
  <c r="AX70" i="2"/>
  <c r="AX49" i="2"/>
  <c r="AX66" i="2"/>
  <c r="AX52" i="2"/>
  <c r="AX71" i="2"/>
  <c r="AX58" i="2"/>
  <c r="AX64" i="2"/>
  <c r="AX78" i="2"/>
  <c r="AX59" i="2"/>
  <c r="AX57" i="2"/>
  <c r="AX77" i="2"/>
  <c r="AX82" i="2"/>
  <c r="AX80" i="2"/>
  <c r="AX87" i="2"/>
  <c r="AX95" i="2"/>
  <c r="AX96" i="2"/>
  <c r="AX86" i="2"/>
  <c r="AX89" i="2"/>
  <c r="AX85" i="2"/>
  <c r="AX93" i="2"/>
  <c r="AX97" i="2"/>
  <c r="AX101" i="2"/>
  <c r="AX88" i="2"/>
  <c r="AX92" i="2"/>
  <c r="AX98" i="2"/>
  <c r="AX100" i="2"/>
  <c r="AX90" i="2"/>
  <c r="AX94" i="2"/>
  <c r="AX102" i="2"/>
  <c r="AX99" i="2"/>
  <c r="AX103" i="2"/>
  <c r="AX91" i="2"/>
  <c r="AX104" i="2"/>
  <c r="CI41" i="2"/>
  <c r="CI42" i="2"/>
  <c r="CI14" i="2"/>
  <c r="CI12" i="2"/>
  <c r="CI10" i="2"/>
  <c r="CI9" i="2"/>
  <c r="CI22" i="2"/>
  <c r="CI36" i="2"/>
  <c r="CI29" i="2"/>
  <c r="CI27" i="2"/>
  <c r="CI31" i="2"/>
  <c r="CI33" i="2"/>
  <c r="CI20" i="2"/>
  <c r="CI35" i="2"/>
  <c r="CI34" i="2"/>
  <c r="CI23" i="2"/>
  <c r="CI38" i="2"/>
  <c r="CI46" i="2"/>
  <c r="CI45" i="2"/>
  <c r="CI3" i="2"/>
  <c r="CI6" i="2"/>
  <c r="CI25" i="2"/>
  <c r="CI21" i="2"/>
  <c r="CI32" i="2"/>
  <c r="CI30" i="2"/>
  <c r="CI28" i="2"/>
  <c r="CI39" i="2"/>
  <c r="CI24" i="2"/>
  <c r="CI47" i="2"/>
  <c r="CI13" i="2"/>
  <c r="CI43" i="2"/>
  <c r="CI4" i="2"/>
  <c r="CI40" i="2"/>
  <c r="CI37" i="2"/>
  <c r="CI18" i="2"/>
  <c r="CI26" i="2"/>
  <c r="CI8" i="2"/>
  <c r="CI17" i="2"/>
  <c r="CI15" i="2"/>
  <c r="CI7" i="2"/>
  <c r="CI16" i="2"/>
  <c r="CI19" i="2"/>
  <c r="CI11" i="2"/>
  <c r="CI44" i="2"/>
  <c r="CI83" i="2"/>
  <c r="CI84" i="2"/>
  <c r="CI61" i="2"/>
  <c r="CI73" i="2"/>
  <c r="CI56" i="2"/>
  <c r="CI79" i="2"/>
  <c r="CI76" i="2"/>
  <c r="CI48" i="2"/>
  <c r="CI63" i="2"/>
  <c r="CI62" i="2"/>
  <c r="CI55" i="2"/>
  <c r="CI67" i="2"/>
  <c r="CI50" i="2"/>
  <c r="CI75" i="2"/>
  <c r="CI81" i="2"/>
  <c r="CI74" i="2"/>
  <c r="CI54" i="2"/>
  <c r="CI69" i="2"/>
  <c r="CI53" i="2"/>
  <c r="CI51" i="2"/>
  <c r="CI72" i="2"/>
  <c r="CI68" i="2"/>
  <c r="CI60" i="2"/>
  <c r="CI65" i="2"/>
  <c r="CI70" i="2"/>
  <c r="CI49" i="2"/>
  <c r="CI66" i="2"/>
  <c r="CI52" i="2"/>
  <c r="CI71" i="2"/>
  <c r="CI58" i="2"/>
  <c r="CI64" i="2"/>
  <c r="CI78" i="2"/>
  <c r="CI59" i="2"/>
  <c r="CI57" i="2"/>
  <c r="CI77" i="2"/>
  <c r="CI82" i="2"/>
  <c r="CI80" i="2"/>
  <c r="CI87" i="2"/>
  <c r="CI95" i="2"/>
  <c r="CI86" i="2"/>
  <c r="CI89" i="2"/>
  <c r="CI85" i="2"/>
  <c r="CI101" i="2"/>
  <c r="CI88" i="2"/>
  <c r="CI92" i="2"/>
  <c r="CI100" i="2"/>
  <c r="CI90" i="2"/>
  <c r="CI94" i="2"/>
  <c r="CI102" i="2"/>
  <c r="CI99" i="2"/>
  <c r="CI103" i="2"/>
  <c r="CI91" i="2"/>
  <c r="CI104" i="2"/>
  <c r="BH108" i="2"/>
  <c r="N3" i="33"/>
  <c r="CT21" i="59" l="1"/>
  <c r="CN21" i="59"/>
  <c r="CO21" i="59" s="1"/>
  <c r="CY14" i="59"/>
  <c r="CZ14" i="59" s="1"/>
  <c r="CN84" i="59"/>
  <c r="CO84" i="59" s="1"/>
  <c r="CN98" i="59"/>
  <c r="CO98" i="59" s="1"/>
  <c r="CT25" i="59"/>
  <c r="CV25" i="59" s="1"/>
  <c r="CK56" i="59"/>
  <c r="CL56" i="59" s="1"/>
  <c r="CU14" i="59"/>
  <c r="DA14" i="59" s="1"/>
  <c r="CT7" i="59"/>
  <c r="CV7" i="59" s="1"/>
  <c r="CT69" i="59"/>
  <c r="CU69" i="59" s="1"/>
  <c r="DA69" i="59" s="1"/>
  <c r="CT77" i="59"/>
  <c r="CX99" i="59"/>
  <c r="CX102" i="59"/>
  <c r="CN69" i="59"/>
  <c r="CO69" i="59" s="1"/>
  <c r="CN82" i="59"/>
  <c r="CO82" i="59" s="1"/>
  <c r="CN77" i="59"/>
  <c r="CO77" i="59" s="1"/>
  <c r="CN58" i="59"/>
  <c r="CO58" i="59" s="1"/>
  <c r="CK54" i="59"/>
  <c r="CK3" i="59"/>
  <c r="CN45" i="59"/>
  <c r="CO45" i="59" s="1"/>
  <c r="CN3" i="59"/>
  <c r="CO3" i="59" s="1"/>
  <c r="CM89" i="59"/>
  <c r="CL89" i="59"/>
  <c r="CL60" i="59"/>
  <c r="CM60" i="59"/>
  <c r="CV3" i="59"/>
  <c r="CU3" i="59"/>
  <c r="DA3" i="59" s="1"/>
  <c r="CV67" i="59"/>
  <c r="CU67" i="59"/>
  <c r="DA67" i="59" s="1"/>
  <c r="CM53" i="59"/>
  <c r="CL53" i="59"/>
  <c r="CM21" i="59"/>
  <c r="CL21" i="59"/>
  <c r="CV18" i="59"/>
  <c r="CU18" i="59"/>
  <c r="DA18" i="59" s="1"/>
  <c r="CL82" i="59"/>
  <c r="CM82" i="59"/>
  <c r="CV45" i="59"/>
  <c r="CU45" i="59"/>
  <c r="DA45" i="59" s="1"/>
  <c r="CM69" i="59"/>
  <c r="CL69" i="59"/>
  <c r="CV58" i="59"/>
  <c r="CU58" i="59"/>
  <c r="DA58" i="59" s="1"/>
  <c r="CD97" i="59"/>
  <c r="CW97" i="59"/>
  <c r="CX97" i="59" s="1"/>
  <c r="CT68" i="59"/>
  <c r="CK68" i="59"/>
  <c r="CB68" i="59"/>
  <c r="CN68" i="59"/>
  <c r="CO68" i="59" s="1"/>
  <c r="CV69" i="59"/>
  <c r="CV39" i="59"/>
  <c r="CU39" i="59"/>
  <c r="DA39" i="59" s="1"/>
  <c r="CM40" i="59"/>
  <c r="CL40" i="59"/>
  <c r="CN53" i="59"/>
  <c r="CO53" i="59" s="1"/>
  <c r="CD6" i="59"/>
  <c r="CW6" i="59"/>
  <c r="CX6" i="59" s="1"/>
  <c r="CQ9" i="59"/>
  <c r="CW101" i="59"/>
  <c r="CD101" i="59"/>
  <c r="CW92" i="59"/>
  <c r="CD92" i="59"/>
  <c r="CV96" i="59"/>
  <c r="CY96" i="59" s="1"/>
  <c r="CZ96" i="59" s="1"/>
  <c r="CU96" i="59"/>
  <c r="DA96" i="59" s="1"/>
  <c r="CB91" i="59"/>
  <c r="CN91" i="59"/>
  <c r="CO91" i="59" s="1"/>
  <c r="CT91" i="59"/>
  <c r="CK91" i="59"/>
  <c r="CK62" i="59"/>
  <c r="CB72" i="59"/>
  <c r="CK72" i="59"/>
  <c r="CN72" i="59"/>
  <c r="CO72" i="59" s="1"/>
  <c r="CT72" i="59"/>
  <c r="CH41" i="59"/>
  <c r="CN41" i="59"/>
  <c r="CO41" i="59" s="1"/>
  <c r="CK83" i="59"/>
  <c r="CB83" i="59"/>
  <c r="CT83" i="59"/>
  <c r="CN83" i="59"/>
  <c r="CO83" i="59" s="1"/>
  <c r="CD57" i="59"/>
  <c r="CW57" i="59"/>
  <c r="CX57" i="59" s="1"/>
  <c r="CM99" i="59"/>
  <c r="CL99" i="59"/>
  <c r="CN85" i="59"/>
  <c r="CO85" i="59" s="1"/>
  <c r="CT85" i="59"/>
  <c r="CK85" i="59"/>
  <c r="CB85" i="59"/>
  <c r="CW62" i="59"/>
  <c r="CX62" i="59" s="1"/>
  <c r="CD62" i="59"/>
  <c r="CT62" i="59"/>
  <c r="CN62" i="59"/>
  <c r="CO62" i="59" s="1"/>
  <c r="CW55" i="59"/>
  <c r="CX55" i="59" s="1"/>
  <c r="CD55" i="59"/>
  <c r="CM79" i="59"/>
  <c r="CL79" i="59"/>
  <c r="CW39" i="59"/>
  <c r="CX39" i="59" s="1"/>
  <c r="CD39" i="59"/>
  <c r="CD31" i="59"/>
  <c r="CW31" i="59"/>
  <c r="CX31" i="59" s="1"/>
  <c r="CN27" i="59"/>
  <c r="CO27" i="59" s="1"/>
  <c r="CB27" i="59"/>
  <c r="CT27" i="59"/>
  <c r="CK27" i="59"/>
  <c r="CV9" i="59"/>
  <c r="CU9" i="59"/>
  <c r="DA9" i="59" s="1"/>
  <c r="CL34" i="59"/>
  <c r="CM34" i="59"/>
  <c r="CT32" i="59"/>
  <c r="CW20" i="59"/>
  <c r="CX20" i="59" s="1"/>
  <c r="CD20" i="59"/>
  <c r="CW37" i="59"/>
  <c r="CX37" i="59" s="1"/>
  <c r="CK26" i="59"/>
  <c r="CK38" i="59"/>
  <c r="CT97" i="59"/>
  <c r="CK97" i="59"/>
  <c r="CB97" i="59"/>
  <c r="CN97" i="59"/>
  <c r="CO97" i="59" s="1"/>
  <c r="CM94" i="59"/>
  <c r="CL94" i="59"/>
  <c r="CD94" i="59"/>
  <c r="CW94" i="59"/>
  <c r="CD84" i="59"/>
  <c r="CW84" i="59"/>
  <c r="CX84" i="59" s="1"/>
  <c r="CM96" i="59"/>
  <c r="CL96" i="59"/>
  <c r="CN70" i="59"/>
  <c r="CO70" i="59" s="1"/>
  <c r="CB70" i="59"/>
  <c r="CT70" i="59"/>
  <c r="CK70" i="59"/>
  <c r="CT94" i="59"/>
  <c r="CB73" i="59"/>
  <c r="CT73" i="59"/>
  <c r="CN73" i="59"/>
  <c r="CO73" i="59" s="1"/>
  <c r="CK73" i="59"/>
  <c r="CV86" i="59"/>
  <c r="CY86" i="59" s="1"/>
  <c r="CZ86" i="59" s="1"/>
  <c r="CU86" i="59"/>
  <c r="DA86" i="59" s="1"/>
  <c r="CW100" i="59"/>
  <c r="CX103" i="59"/>
  <c r="CK80" i="59"/>
  <c r="CM103" i="59"/>
  <c r="CL103" i="59"/>
  <c r="CT60" i="59"/>
  <c r="CV61" i="59"/>
  <c r="CY61" i="59" s="1"/>
  <c r="CZ61" i="59" s="1"/>
  <c r="CU61" i="59"/>
  <c r="DA61" i="59" s="1"/>
  <c r="CN48" i="59"/>
  <c r="CO48" i="59" s="1"/>
  <c r="CT79" i="59"/>
  <c r="CD85" i="59"/>
  <c r="CW85" i="59"/>
  <c r="CX85" i="59" s="1"/>
  <c r="CU76" i="59"/>
  <c r="DA76" i="59" s="1"/>
  <c r="CV76" i="59"/>
  <c r="CY76" i="59" s="1"/>
  <c r="CZ76" i="59" s="1"/>
  <c r="CT57" i="59"/>
  <c r="CW90" i="59"/>
  <c r="CW29" i="59"/>
  <c r="CX29" i="59" s="1"/>
  <c r="CD29" i="59"/>
  <c r="CK31" i="59"/>
  <c r="CN39" i="59"/>
  <c r="CO39" i="59" s="1"/>
  <c r="CT46" i="59"/>
  <c r="CV33" i="59"/>
  <c r="CY33" i="59" s="1"/>
  <c r="CZ33" i="59" s="1"/>
  <c r="CU33" i="59"/>
  <c r="DA33" i="59" s="1"/>
  <c r="CB15" i="59"/>
  <c r="CN15" i="59"/>
  <c r="CO15" i="59" s="1"/>
  <c r="CT15" i="59"/>
  <c r="CK15" i="59"/>
  <c r="CK29" i="59"/>
  <c r="CT49" i="59"/>
  <c r="CW13" i="59"/>
  <c r="CX13" i="59" s="1"/>
  <c r="CD13" i="59"/>
  <c r="CK45" i="59"/>
  <c r="CT13" i="59"/>
  <c r="CD93" i="59"/>
  <c r="CW93" i="59"/>
  <c r="CX93" i="59" s="1"/>
  <c r="CW73" i="59"/>
  <c r="CX73" i="59" s="1"/>
  <c r="CD73" i="59"/>
  <c r="CV81" i="59"/>
  <c r="CU81" i="59"/>
  <c r="DA81" i="59" s="1"/>
  <c r="CB30" i="59"/>
  <c r="CN30" i="59"/>
  <c r="CO30" i="59" s="1"/>
  <c r="CT30" i="59"/>
  <c r="CK30" i="59"/>
  <c r="CM90" i="59"/>
  <c r="CL90" i="59"/>
  <c r="CM44" i="59"/>
  <c r="CL44" i="59"/>
  <c r="CV12" i="59"/>
  <c r="CU12" i="59"/>
  <c r="DA12" i="59" s="1"/>
  <c r="CV21" i="59"/>
  <c r="CU21" i="59"/>
  <c r="DA21" i="59" s="1"/>
  <c r="CD83" i="59"/>
  <c r="CW83" i="59"/>
  <c r="CX83" i="59" s="1"/>
  <c r="CW70" i="59"/>
  <c r="CX70" i="59" s="1"/>
  <c r="CD70" i="59"/>
  <c r="CW71" i="59"/>
  <c r="CX71" i="59" s="1"/>
  <c r="CD71" i="59"/>
  <c r="CD89" i="59"/>
  <c r="CW89" i="59"/>
  <c r="CX89" i="59" s="1"/>
  <c r="CD87" i="59"/>
  <c r="CW87" i="59"/>
  <c r="CX87" i="59" s="1"/>
  <c r="CU84" i="59"/>
  <c r="DA84" i="59" s="1"/>
  <c r="CV84" i="59"/>
  <c r="CU50" i="59"/>
  <c r="DA50" i="59" s="1"/>
  <c r="CV50" i="59"/>
  <c r="CY50" i="59" s="1"/>
  <c r="CZ50" i="59" s="1"/>
  <c r="CN52" i="59"/>
  <c r="CO52" i="59" s="1"/>
  <c r="CN51" i="59"/>
  <c r="CO51" i="59" s="1"/>
  <c r="CB87" i="59"/>
  <c r="CN87" i="59"/>
  <c r="CO87" i="59" s="1"/>
  <c r="CK87" i="59"/>
  <c r="CT87" i="59"/>
  <c r="CM102" i="59"/>
  <c r="CL102" i="59"/>
  <c r="CT89" i="59"/>
  <c r="CD59" i="59"/>
  <c r="CW59" i="59"/>
  <c r="CX59" i="59" s="1"/>
  <c r="CM77" i="59"/>
  <c r="CP77" i="59" s="1"/>
  <c r="CL77" i="59"/>
  <c r="CK51" i="59"/>
  <c r="CV95" i="59"/>
  <c r="CY95" i="59" s="1"/>
  <c r="CZ95" i="59" s="1"/>
  <c r="CU95" i="59"/>
  <c r="DA95" i="59" s="1"/>
  <c r="CN31" i="59"/>
  <c r="CO31" i="59" s="1"/>
  <c r="CW8" i="59"/>
  <c r="CX8" i="59" s="1"/>
  <c r="CD8" i="59"/>
  <c r="CK46" i="59"/>
  <c r="CM14" i="59"/>
  <c r="CL14" i="59"/>
  <c r="CT20" i="59"/>
  <c r="CK55" i="59"/>
  <c r="CB74" i="59"/>
  <c r="CK74" i="59"/>
  <c r="CT74" i="59"/>
  <c r="CN74" i="59"/>
  <c r="CO74" i="59" s="1"/>
  <c r="CV102" i="59"/>
  <c r="CU102" i="59"/>
  <c r="DA102" i="59" s="1"/>
  <c r="CN89" i="59"/>
  <c r="CO89" i="59" s="1"/>
  <c r="CV99" i="59"/>
  <c r="CU99" i="59"/>
  <c r="DA99" i="59" s="1"/>
  <c r="CD82" i="59"/>
  <c r="CW82" i="59"/>
  <c r="CV77" i="59"/>
  <c r="CU77" i="59"/>
  <c r="DA77" i="59" s="1"/>
  <c r="CT88" i="59"/>
  <c r="CK88" i="59"/>
  <c r="CB88" i="59"/>
  <c r="CN88" i="59"/>
  <c r="CO88" i="59" s="1"/>
  <c r="CM76" i="59"/>
  <c r="CL76" i="59"/>
  <c r="CK57" i="59"/>
  <c r="CH34" i="59"/>
  <c r="CN34" i="59"/>
  <c r="CO34" i="59" s="1"/>
  <c r="CT51" i="59"/>
  <c r="CW28" i="59"/>
  <c r="CX28" i="59" s="1"/>
  <c r="CD28" i="59"/>
  <c r="CV65" i="59"/>
  <c r="CY65" i="59" s="1"/>
  <c r="CZ65" i="59" s="1"/>
  <c r="CU65" i="59"/>
  <c r="DA65" i="59" s="1"/>
  <c r="CM18" i="59"/>
  <c r="CL18" i="59"/>
  <c r="CM54" i="59"/>
  <c r="CL54" i="59"/>
  <c r="CN46" i="59"/>
  <c r="CO46" i="59" s="1"/>
  <c r="CT34" i="59"/>
  <c r="CD18" i="59"/>
  <c r="CW18" i="59"/>
  <c r="CX18" i="59" s="1"/>
  <c r="CT80" i="59"/>
  <c r="CT16" i="59"/>
  <c r="CK16" i="59"/>
  <c r="CB16" i="59"/>
  <c r="CN16" i="59"/>
  <c r="CO16" i="59" s="1"/>
  <c r="CL49" i="59"/>
  <c r="CM49" i="59"/>
  <c r="CD16" i="59"/>
  <c r="CW16" i="59"/>
  <c r="CX16" i="59" s="1"/>
  <c r="CK13" i="59"/>
  <c r="CM4" i="59"/>
  <c r="CP4" i="59" s="1"/>
  <c r="CL4" i="59"/>
  <c r="CT26" i="59"/>
  <c r="CN20" i="59"/>
  <c r="CO20" i="59" s="1"/>
  <c r="CT55" i="59"/>
  <c r="CD88" i="59"/>
  <c r="CW88" i="59"/>
  <c r="CX88" i="59" s="1"/>
  <c r="CD98" i="59"/>
  <c r="CW98" i="59"/>
  <c r="CM86" i="59"/>
  <c r="CP86" i="59" s="1"/>
  <c r="CL86" i="59"/>
  <c r="CN94" i="59"/>
  <c r="CO94" i="59" s="1"/>
  <c r="CT82" i="59"/>
  <c r="CN78" i="59"/>
  <c r="CO78" i="59" s="1"/>
  <c r="CT78" i="59"/>
  <c r="CB78" i="59"/>
  <c r="CK78" i="59"/>
  <c r="CD77" i="59"/>
  <c r="CW77" i="59"/>
  <c r="CX77" i="59" s="1"/>
  <c r="CW69" i="59"/>
  <c r="CX69" i="59" s="1"/>
  <c r="CD69" i="59"/>
  <c r="CV103" i="59"/>
  <c r="CU103" i="59"/>
  <c r="DA103" i="59" s="1"/>
  <c r="CD51" i="59"/>
  <c r="CW51" i="59"/>
  <c r="CX51" i="59" s="1"/>
  <c r="CN79" i="59"/>
  <c r="CO79" i="59" s="1"/>
  <c r="CW78" i="59"/>
  <c r="CX78" i="59" s="1"/>
  <c r="CD78" i="59"/>
  <c r="CD43" i="59"/>
  <c r="CW43" i="59"/>
  <c r="CX43" i="59" s="1"/>
  <c r="CW54" i="59"/>
  <c r="CX54" i="59" s="1"/>
  <c r="CD54" i="59"/>
  <c r="CN59" i="59"/>
  <c r="CO59" i="59" s="1"/>
  <c r="CD25" i="59"/>
  <c r="CW25" i="59"/>
  <c r="CX25" i="59" s="1"/>
  <c r="CK65" i="59"/>
  <c r="CT31" i="59"/>
  <c r="CN18" i="59"/>
  <c r="CO18" i="59" s="1"/>
  <c r="CK39" i="59"/>
  <c r="CV40" i="59"/>
  <c r="CY40" i="59" s="1"/>
  <c r="CZ40" i="59" s="1"/>
  <c r="CU40" i="59"/>
  <c r="DA40" i="59" s="1"/>
  <c r="CM33" i="59"/>
  <c r="CL33" i="59"/>
  <c r="CD11" i="59"/>
  <c r="CW11" i="59"/>
  <c r="CX11" i="59" s="1"/>
  <c r="CW80" i="59"/>
  <c r="CX80" i="59" s="1"/>
  <c r="CT29" i="59"/>
  <c r="CN13" i="59"/>
  <c r="CO13" i="59" s="1"/>
  <c r="CU4" i="59"/>
  <c r="DA4" i="59" s="1"/>
  <c r="CV4" i="59"/>
  <c r="CK8" i="59"/>
  <c r="CM12" i="59"/>
  <c r="CL12" i="59"/>
  <c r="CB71" i="59"/>
  <c r="CN71" i="59"/>
  <c r="CO71" i="59" s="1"/>
  <c r="CK71" i="59"/>
  <c r="CT71" i="59"/>
  <c r="CH66" i="59"/>
  <c r="CT66" i="59"/>
  <c r="CW67" i="59"/>
  <c r="CX67" i="59" s="1"/>
  <c r="CD67" i="59"/>
  <c r="CN67" i="59"/>
  <c r="CO67" i="59" s="1"/>
  <c r="CW38" i="59"/>
  <c r="CX38" i="59" s="1"/>
  <c r="CD38" i="59"/>
  <c r="CV63" i="59"/>
  <c r="CY63" i="59" s="1"/>
  <c r="CZ63" i="59" s="1"/>
  <c r="CU63" i="59"/>
  <c r="DA63" i="59" s="1"/>
  <c r="CW42" i="59"/>
  <c r="CX42" i="59" s="1"/>
  <c r="CD42" i="59"/>
  <c r="CM19" i="59"/>
  <c r="CL19" i="59"/>
  <c r="CV8" i="59"/>
  <c r="CY8" i="59" s="1"/>
  <c r="CZ8" i="59" s="1"/>
  <c r="CU8" i="59"/>
  <c r="DA8" i="59" s="1"/>
  <c r="CM3" i="59"/>
  <c r="CP3" i="59" s="1"/>
  <c r="CL3" i="59"/>
  <c r="CK93" i="59"/>
  <c r="CM98" i="59"/>
  <c r="CL98" i="59"/>
  <c r="CT100" i="59"/>
  <c r="CD60" i="59"/>
  <c r="CW60" i="59"/>
  <c r="CX60" i="59" s="1"/>
  <c r="CN60" i="59"/>
  <c r="CO60" i="59" s="1"/>
  <c r="CK66" i="59"/>
  <c r="CV48" i="59"/>
  <c r="CU48" i="59"/>
  <c r="DA48" i="59" s="1"/>
  <c r="CD58" i="59"/>
  <c r="CW58" i="59"/>
  <c r="CX58" i="59" s="1"/>
  <c r="CL81" i="59"/>
  <c r="CM81" i="59"/>
  <c r="CT90" i="59"/>
  <c r="CL59" i="59"/>
  <c r="CM59" i="59"/>
  <c r="CP59" i="59" s="1"/>
  <c r="CV64" i="59"/>
  <c r="CU64" i="59"/>
  <c r="DA64" i="59" s="1"/>
  <c r="CT42" i="59"/>
  <c r="CK42" i="59"/>
  <c r="CB42" i="59"/>
  <c r="CN42" i="59"/>
  <c r="CO42" i="59" s="1"/>
  <c r="CL75" i="59"/>
  <c r="CM75" i="59"/>
  <c r="CP75" i="59" s="1"/>
  <c r="CQ61" i="59"/>
  <c r="CT36" i="59"/>
  <c r="CK36" i="59"/>
  <c r="CB36" i="59"/>
  <c r="CN36" i="59"/>
  <c r="CO36" i="59" s="1"/>
  <c r="CL22" i="59"/>
  <c r="CM22" i="59"/>
  <c r="CK32" i="59"/>
  <c r="CD7" i="59"/>
  <c r="CW7" i="59"/>
  <c r="CX7" i="59" s="1"/>
  <c r="CN8" i="59"/>
  <c r="CO8" i="59" s="1"/>
  <c r="CP9" i="59"/>
  <c r="CR9" i="59" s="1"/>
  <c r="CS9" i="59" s="1"/>
  <c r="CN93" i="59"/>
  <c r="CO93" i="59" s="1"/>
  <c r="CB92" i="59"/>
  <c r="CN92" i="59"/>
  <c r="CO92" i="59" s="1"/>
  <c r="CT92" i="59"/>
  <c r="CK92" i="59"/>
  <c r="CT93" i="59"/>
  <c r="CT98" i="59"/>
  <c r="CX91" i="59"/>
  <c r="CK84" i="59"/>
  <c r="CN100" i="59"/>
  <c r="CO100" i="59" s="1"/>
  <c r="CD56" i="59"/>
  <c r="CW56" i="59"/>
  <c r="CX56" i="59" s="1"/>
  <c r="CW68" i="59"/>
  <c r="CX68" i="59" s="1"/>
  <c r="CD68" i="59"/>
  <c r="CN66" i="59"/>
  <c r="CO66" i="59" s="1"/>
  <c r="CN43" i="59"/>
  <c r="CO43" i="59" s="1"/>
  <c r="CT43" i="59"/>
  <c r="CB43" i="59"/>
  <c r="CK43" i="59"/>
  <c r="CK58" i="59"/>
  <c r="CV44" i="59"/>
  <c r="CU44" i="59"/>
  <c r="DA44" i="59" s="1"/>
  <c r="CM50" i="59"/>
  <c r="CL50" i="59"/>
  <c r="CW45" i="59"/>
  <c r="CX45" i="59" s="1"/>
  <c r="CD45" i="59"/>
  <c r="CT37" i="59"/>
  <c r="CB37" i="59"/>
  <c r="CN37" i="59"/>
  <c r="CO37" i="59" s="1"/>
  <c r="CK37" i="59"/>
  <c r="CM47" i="59"/>
  <c r="CP47" i="59" s="1"/>
  <c r="CL47" i="59"/>
  <c r="CK52" i="59"/>
  <c r="CN90" i="59"/>
  <c r="CO90" i="59" s="1"/>
  <c r="CT59" i="59"/>
  <c r="CM95" i="59"/>
  <c r="CP95" i="59" s="1"/>
  <c r="CL95" i="59"/>
  <c r="CK67" i="59"/>
  <c r="CD36" i="59"/>
  <c r="CW36" i="59"/>
  <c r="CX36" i="59" s="1"/>
  <c r="CT11" i="59"/>
  <c r="CK11" i="59"/>
  <c r="CB11" i="59"/>
  <c r="CN11" i="59"/>
  <c r="CO11" i="59" s="1"/>
  <c r="CV75" i="59"/>
  <c r="CU75" i="59"/>
  <c r="DA75" i="59" s="1"/>
  <c r="CP61" i="59"/>
  <c r="CR61" i="59" s="1"/>
  <c r="CS61" i="59" s="1"/>
  <c r="CY47" i="59"/>
  <c r="CZ47" i="59" s="1"/>
  <c r="CK41" i="59"/>
  <c r="CM63" i="59"/>
  <c r="CP63" i="59" s="1"/>
  <c r="CL63" i="59"/>
  <c r="CT56" i="59"/>
  <c r="CK24" i="59"/>
  <c r="CB24" i="59"/>
  <c r="CN24" i="59"/>
  <c r="CO24" i="59" s="1"/>
  <c r="CT24" i="59"/>
  <c r="CT6" i="59"/>
  <c r="CK6" i="59"/>
  <c r="CB6" i="59"/>
  <c r="CN6" i="59"/>
  <c r="CO6" i="59" s="1"/>
  <c r="CL17" i="59"/>
  <c r="CM17" i="59"/>
  <c r="CK25" i="59"/>
  <c r="CV19" i="59"/>
  <c r="CU19" i="59"/>
  <c r="DA19" i="59" s="1"/>
  <c r="CN26" i="59"/>
  <c r="CO26" i="59" s="1"/>
  <c r="CT38" i="59"/>
  <c r="CN55" i="59"/>
  <c r="CO55" i="59" s="1"/>
  <c r="CB104" i="59"/>
  <c r="CN104" i="59"/>
  <c r="CO104" i="59" s="1"/>
  <c r="CT104" i="59"/>
  <c r="CK104" i="59"/>
  <c r="CN101" i="59"/>
  <c r="CO101" i="59" s="1"/>
  <c r="CT101" i="59"/>
  <c r="CK101" i="59"/>
  <c r="CB101" i="59"/>
  <c r="CM100" i="59"/>
  <c r="CL100" i="59"/>
  <c r="CM48" i="59"/>
  <c r="CL48" i="59"/>
  <c r="CW53" i="59"/>
  <c r="CX53" i="59" s="1"/>
  <c r="CD53" i="59"/>
  <c r="CT53" i="59"/>
  <c r="CV52" i="59"/>
  <c r="CU52" i="59"/>
  <c r="DA52" i="59" s="1"/>
  <c r="CK10" i="59"/>
  <c r="CB10" i="59"/>
  <c r="CT10" i="59"/>
  <c r="CN10" i="59"/>
  <c r="CO10" i="59" s="1"/>
  <c r="CM64" i="59"/>
  <c r="CP64" i="59" s="1"/>
  <c r="CL64" i="59"/>
  <c r="CB35" i="59"/>
  <c r="CN35" i="59"/>
  <c r="CO35" i="59" s="1"/>
  <c r="CT35" i="59"/>
  <c r="CK35" i="59"/>
  <c r="CW21" i="59"/>
  <c r="CX21" i="59" s="1"/>
  <c r="CD21" i="59"/>
  <c r="CW3" i="59"/>
  <c r="CX3" i="59" s="1"/>
  <c r="CD3" i="59"/>
  <c r="CN28" i="59"/>
  <c r="CO28" i="59" s="1"/>
  <c r="CK28" i="59"/>
  <c r="CB28" i="59"/>
  <c r="CT28" i="59"/>
  <c r="CT54" i="59"/>
  <c r="CT41" i="59"/>
  <c r="CW35" i="59"/>
  <c r="CX35" i="59" s="1"/>
  <c r="CN49" i="59"/>
  <c r="CO49" i="59" s="1"/>
  <c r="CN32" i="59"/>
  <c r="CO32" i="59" s="1"/>
  <c r="CB23" i="59"/>
  <c r="CN23" i="59"/>
  <c r="CO23" i="59" s="1"/>
  <c r="CK23" i="59"/>
  <c r="CT23" i="59"/>
  <c r="CB5" i="59"/>
  <c r="CN5" i="59"/>
  <c r="CO5" i="59" s="1"/>
  <c r="CK5" i="59"/>
  <c r="CT5" i="59"/>
  <c r="CU17" i="59"/>
  <c r="DA17" i="59" s="1"/>
  <c r="CV17" i="59"/>
  <c r="CT22" i="59"/>
  <c r="CK20" i="59"/>
  <c r="CK7" i="59"/>
  <c r="L41" i="2"/>
  <c r="N41" i="2" s="1"/>
  <c r="L4" i="2"/>
  <c r="N4" i="2" s="1"/>
  <c r="L42" i="2"/>
  <c r="N42" i="2" s="1"/>
  <c r="L14" i="2"/>
  <c r="N14" i="2" s="1"/>
  <c r="L15" i="2"/>
  <c r="N15" i="2" s="1"/>
  <c r="L3" i="2"/>
  <c r="N3" i="2" s="1"/>
  <c r="L5" i="2"/>
  <c r="N5" i="2" s="1"/>
  <c r="L12" i="2"/>
  <c r="N12" i="2" s="1"/>
  <c r="L17" i="2"/>
  <c r="N17" i="2" s="1"/>
  <c r="L10" i="2"/>
  <c r="N10" i="2" s="1"/>
  <c r="L9" i="2"/>
  <c r="N9" i="2" s="1"/>
  <c r="L13" i="2"/>
  <c r="N13" i="2" s="1"/>
  <c r="L6" i="2"/>
  <c r="N6" i="2" s="1"/>
  <c r="L22" i="2"/>
  <c r="N22" i="2" s="1"/>
  <c r="L26" i="2"/>
  <c r="N26" i="2" s="1"/>
  <c r="L36" i="2"/>
  <c r="N36" i="2" s="1"/>
  <c r="L25" i="2"/>
  <c r="N25" i="2" s="1"/>
  <c r="L7" i="2"/>
  <c r="N7" i="2" s="1"/>
  <c r="L21" i="2"/>
  <c r="N21" i="2" s="1"/>
  <c r="L29" i="2"/>
  <c r="N29" i="2" s="1"/>
  <c r="L27" i="2"/>
  <c r="N27" i="2" s="1"/>
  <c r="L31" i="2"/>
  <c r="N31" i="2" s="1"/>
  <c r="L32" i="2"/>
  <c r="N32" i="2" s="1"/>
  <c r="L30" i="2"/>
  <c r="N30" i="2" s="1"/>
  <c r="L33" i="2"/>
  <c r="N33" i="2" s="1"/>
  <c r="L20" i="2"/>
  <c r="N20" i="2" s="1"/>
  <c r="L28" i="2"/>
  <c r="N28" i="2" s="1"/>
  <c r="L35" i="2"/>
  <c r="N35" i="2" s="1"/>
  <c r="L34" i="2"/>
  <c r="N34" i="2" s="1"/>
  <c r="L19" i="2"/>
  <c r="N19" i="2" s="1"/>
  <c r="L23" i="2"/>
  <c r="N23" i="2" s="1"/>
  <c r="L18" i="2"/>
  <c r="N18" i="2" s="1"/>
  <c r="L16" i="2"/>
  <c r="N16" i="2" s="1"/>
  <c r="L39" i="2"/>
  <c r="N39" i="2" s="1"/>
  <c r="L24" i="2"/>
  <c r="N24" i="2" s="1"/>
  <c r="L47" i="2"/>
  <c r="N47" i="2" s="1"/>
  <c r="L43" i="2"/>
  <c r="N43" i="2" s="1"/>
  <c r="L8" i="2"/>
  <c r="N8" i="2" s="1"/>
  <c r="L40" i="2"/>
  <c r="N40" i="2" s="1"/>
  <c r="L44" i="2"/>
  <c r="N44" i="2" s="1"/>
  <c r="L38" i="2"/>
  <c r="N38" i="2" s="1"/>
  <c r="L46" i="2"/>
  <c r="N46" i="2" s="1"/>
  <c r="L45" i="2"/>
  <c r="N45" i="2" s="1"/>
  <c r="L37" i="2"/>
  <c r="N37" i="2" s="1"/>
  <c r="L11" i="2"/>
  <c r="N11" i="2" s="1"/>
  <c r="L83" i="2"/>
  <c r="N83" i="2" s="1"/>
  <c r="L84" i="2"/>
  <c r="N84" i="2" s="1"/>
  <c r="L61" i="2"/>
  <c r="N61" i="2" s="1"/>
  <c r="L73" i="2"/>
  <c r="L56" i="2"/>
  <c r="N56" i="2" s="1"/>
  <c r="L79" i="2"/>
  <c r="N79" i="2" s="1"/>
  <c r="L76" i="2"/>
  <c r="N76" i="2" s="1"/>
  <c r="L48" i="2"/>
  <c r="N48" i="2" s="1"/>
  <c r="L63" i="2"/>
  <c r="N63" i="2" s="1"/>
  <c r="L62" i="2"/>
  <c r="N62" i="2" s="1"/>
  <c r="L55" i="2"/>
  <c r="N55" i="2" s="1"/>
  <c r="L67" i="2"/>
  <c r="N67" i="2" s="1"/>
  <c r="L50" i="2"/>
  <c r="N50" i="2" s="1"/>
  <c r="L75" i="2"/>
  <c r="N75" i="2" s="1"/>
  <c r="L81" i="2"/>
  <c r="N81" i="2" s="1"/>
  <c r="L74" i="2"/>
  <c r="N74" i="2" s="1"/>
  <c r="L54" i="2"/>
  <c r="N54" i="2" s="1"/>
  <c r="L69" i="2"/>
  <c r="N69" i="2" s="1"/>
  <c r="L53" i="2"/>
  <c r="N53" i="2" s="1"/>
  <c r="L51" i="2"/>
  <c r="N51" i="2" s="1"/>
  <c r="L72" i="2"/>
  <c r="N72" i="2" s="1"/>
  <c r="L68" i="2"/>
  <c r="N68" i="2" s="1"/>
  <c r="L60" i="2"/>
  <c r="N60" i="2" s="1"/>
  <c r="L65" i="2"/>
  <c r="N65" i="2" s="1"/>
  <c r="L70" i="2"/>
  <c r="N70" i="2" s="1"/>
  <c r="L49" i="2"/>
  <c r="N49" i="2" s="1"/>
  <c r="L66" i="2"/>
  <c r="N66" i="2" s="1"/>
  <c r="L52" i="2"/>
  <c r="N52" i="2" s="1"/>
  <c r="L71" i="2"/>
  <c r="N71" i="2" s="1"/>
  <c r="L58" i="2"/>
  <c r="N58" i="2" s="1"/>
  <c r="L64" i="2"/>
  <c r="N64" i="2" s="1"/>
  <c r="L78" i="2"/>
  <c r="N78" i="2" s="1"/>
  <c r="L59" i="2"/>
  <c r="N59" i="2" s="1"/>
  <c r="L57" i="2"/>
  <c r="N57" i="2" s="1"/>
  <c r="L77" i="2"/>
  <c r="N77" i="2" s="1"/>
  <c r="L82" i="2"/>
  <c r="N82" i="2" s="1"/>
  <c r="L80" i="2"/>
  <c r="N80" i="2" s="1"/>
  <c r="L87" i="2"/>
  <c r="N87" i="2" s="1"/>
  <c r="L95" i="2"/>
  <c r="N95" i="2" s="1"/>
  <c r="L96" i="2"/>
  <c r="N96" i="2" s="1"/>
  <c r="L86" i="2"/>
  <c r="N86" i="2" s="1"/>
  <c r="L89" i="2"/>
  <c r="N89" i="2" s="1"/>
  <c r="L85" i="2"/>
  <c r="N85" i="2" s="1"/>
  <c r="L93" i="2"/>
  <c r="N93" i="2" s="1"/>
  <c r="L97" i="2"/>
  <c r="N97" i="2" s="1"/>
  <c r="L101" i="2"/>
  <c r="N101" i="2" s="1"/>
  <c r="L88" i="2"/>
  <c r="N88" i="2" s="1"/>
  <c r="L92" i="2"/>
  <c r="N92" i="2" s="1"/>
  <c r="L98" i="2"/>
  <c r="N98" i="2" s="1"/>
  <c r="L100" i="2"/>
  <c r="N100" i="2" s="1"/>
  <c r="L90" i="2"/>
  <c r="N90" i="2" s="1"/>
  <c r="L94" i="2"/>
  <c r="N94" i="2" s="1"/>
  <c r="L102" i="2"/>
  <c r="N102" i="2" s="1"/>
  <c r="L99" i="2"/>
  <c r="N99" i="2" s="1"/>
  <c r="L103" i="2"/>
  <c r="N103" i="2" s="1"/>
  <c r="L91" i="2"/>
  <c r="N91" i="2" s="1"/>
  <c r="L104" i="2"/>
  <c r="N104" i="2" s="1"/>
  <c r="BE41" i="2"/>
  <c r="BE4" i="2"/>
  <c r="BE8" i="2"/>
  <c r="BE42" i="2"/>
  <c r="BE14" i="2"/>
  <c r="BE15" i="2"/>
  <c r="BE3" i="2"/>
  <c r="BE5" i="2"/>
  <c r="BE12" i="2"/>
  <c r="BE17" i="2"/>
  <c r="BE10" i="2"/>
  <c r="BE9" i="2"/>
  <c r="BE13" i="2"/>
  <c r="BE6" i="2"/>
  <c r="BE22" i="2"/>
  <c r="BE26" i="2"/>
  <c r="BE36" i="2"/>
  <c r="BE25" i="2"/>
  <c r="BE7" i="2"/>
  <c r="BE21" i="2"/>
  <c r="BE29" i="2"/>
  <c r="BE27" i="2"/>
  <c r="BE31" i="2"/>
  <c r="BE32" i="2"/>
  <c r="BE30" i="2"/>
  <c r="BE33" i="2"/>
  <c r="BE20" i="2"/>
  <c r="BE28" i="2"/>
  <c r="BE35" i="2"/>
  <c r="BE34" i="2"/>
  <c r="BE19" i="2"/>
  <c r="BE23" i="2"/>
  <c r="BE18" i="2"/>
  <c r="BE16" i="2"/>
  <c r="BE40" i="2"/>
  <c r="BE39" i="2"/>
  <c r="BE24" i="2"/>
  <c r="BE44" i="2"/>
  <c r="BE47" i="2"/>
  <c r="BE43" i="2"/>
  <c r="BE38" i="2"/>
  <c r="BE46" i="2"/>
  <c r="BE45" i="2"/>
  <c r="BE37" i="2"/>
  <c r="BE11" i="2"/>
  <c r="BE83" i="2"/>
  <c r="BE84" i="2"/>
  <c r="BE61" i="2"/>
  <c r="BE73" i="2"/>
  <c r="BE56" i="2"/>
  <c r="BE79" i="2"/>
  <c r="BE76" i="2"/>
  <c r="BE48" i="2"/>
  <c r="BE63" i="2"/>
  <c r="BE62" i="2"/>
  <c r="BE55" i="2"/>
  <c r="BE67" i="2"/>
  <c r="BE50" i="2"/>
  <c r="BE75" i="2"/>
  <c r="BE81" i="2"/>
  <c r="BE74" i="2"/>
  <c r="BE54" i="2"/>
  <c r="BE69" i="2"/>
  <c r="BE53" i="2"/>
  <c r="BE51" i="2"/>
  <c r="BE72" i="2"/>
  <c r="BE68" i="2"/>
  <c r="BE60" i="2"/>
  <c r="BE65" i="2"/>
  <c r="BE70" i="2"/>
  <c r="BE49" i="2"/>
  <c r="BE66" i="2"/>
  <c r="BE52" i="2"/>
  <c r="BE71" i="2"/>
  <c r="BE58" i="2"/>
  <c r="BE64" i="2"/>
  <c r="BE78" i="2"/>
  <c r="BE59" i="2"/>
  <c r="BE57" i="2"/>
  <c r="BE77" i="2"/>
  <c r="BE82" i="2"/>
  <c r="BE80" i="2"/>
  <c r="BE87" i="2"/>
  <c r="BE95" i="2"/>
  <c r="BE96" i="2"/>
  <c r="BE86" i="2"/>
  <c r="BE89" i="2"/>
  <c r="BE93" i="2"/>
  <c r="BE85" i="2"/>
  <c r="BE97" i="2"/>
  <c r="BE101" i="2"/>
  <c r="BE88" i="2"/>
  <c r="BE92" i="2"/>
  <c r="BE98" i="2"/>
  <c r="BE100" i="2"/>
  <c r="BE90" i="2"/>
  <c r="BE94" i="2"/>
  <c r="BE102" i="2"/>
  <c r="BE99" i="2"/>
  <c r="BE103" i="2"/>
  <c r="BE91" i="2"/>
  <c r="BE104" i="2"/>
  <c r="BH111" i="2"/>
  <c r="BH112" i="2" s="1"/>
  <c r="CX98" i="59" l="1"/>
  <c r="CP40" i="59"/>
  <c r="CP82" i="59"/>
  <c r="CM56" i="59"/>
  <c r="CP56" i="59" s="1"/>
  <c r="CX82" i="59"/>
  <c r="CY58" i="59"/>
  <c r="CZ58" i="59" s="1"/>
  <c r="CY18" i="59"/>
  <c r="CZ18" i="59" s="1"/>
  <c r="CY45" i="59"/>
  <c r="CZ45" i="59" s="1"/>
  <c r="CP54" i="59"/>
  <c r="CU25" i="59"/>
  <c r="DA25" i="59" s="1"/>
  <c r="CX49" i="59"/>
  <c r="CP53" i="59"/>
  <c r="CY103" i="59"/>
  <c r="CZ103" i="59" s="1"/>
  <c r="CP14" i="59"/>
  <c r="CY9" i="59"/>
  <c r="CZ9" i="59" s="1"/>
  <c r="CU7" i="59"/>
  <c r="DA7" i="59" s="1"/>
  <c r="CY21" i="59"/>
  <c r="CZ21" i="59" s="1"/>
  <c r="CP90" i="59"/>
  <c r="CP103" i="59"/>
  <c r="CP96" i="59"/>
  <c r="CR96" i="59" s="1"/>
  <c r="CS96" i="59" s="1"/>
  <c r="CP34" i="59"/>
  <c r="CR34" i="59" s="1"/>
  <c r="CS34" i="59" s="1"/>
  <c r="CP48" i="59"/>
  <c r="CP81" i="59"/>
  <c r="CY64" i="59"/>
  <c r="CZ64" i="59" s="1"/>
  <c r="CP98" i="59"/>
  <c r="CR98" i="59" s="1"/>
  <c r="CS98" i="59" s="1"/>
  <c r="CP12" i="59"/>
  <c r="CP44" i="59"/>
  <c r="CY99" i="59"/>
  <c r="CZ99" i="59" s="1"/>
  <c r="CP89" i="59"/>
  <c r="CP22" i="59"/>
  <c r="CX101" i="59"/>
  <c r="CY39" i="59"/>
  <c r="CZ39" i="59" s="1"/>
  <c r="CY52" i="59"/>
  <c r="CZ52" i="59" s="1"/>
  <c r="CP50" i="59"/>
  <c r="CY17" i="59"/>
  <c r="CZ17" i="59" s="1"/>
  <c r="CP17" i="59"/>
  <c r="CR17" i="59" s="1"/>
  <c r="CS17" i="59" s="1"/>
  <c r="CY84" i="59"/>
  <c r="CZ84" i="59" s="1"/>
  <c r="CY69" i="59"/>
  <c r="CZ69" i="59" s="1"/>
  <c r="CV28" i="59"/>
  <c r="CY28" i="59" s="1"/>
  <c r="CZ28" i="59" s="1"/>
  <c r="CU28" i="59"/>
  <c r="DA28" i="59" s="1"/>
  <c r="CV104" i="59"/>
  <c r="CU104" i="59"/>
  <c r="DA104" i="59" s="1"/>
  <c r="CV90" i="59"/>
  <c r="CU90" i="59"/>
  <c r="DA90" i="59" s="1"/>
  <c r="CQ100" i="59"/>
  <c r="CM13" i="59"/>
  <c r="CP13" i="59" s="1"/>
  <c r="CL13" i="59"/>
  <c r="CM30" i="59"/>
  <c r="CP30" i="59" s="1"/>
  <c r="CL30" i="59"/>
  <c r="CQ99" i="59"/>
  <c r="CM28" i="59"/>
  <c r="CP28" i="59" s="1"/>
  <c r="CL28" i="59"/>
  <c r="CP100" i="59"/>
  <c r="CR100" i="59" s="1"/>
  <c r="CS100" i="59" s="1"/>
  <c r="CQ17" i="59"/>
  <c r="CM24" i="59"/>
  <c r="CP24" i="59" s="1"/>
  <c r="CL24" i="59"/>
  <c r="CY75" i="59"/>
  <c r="CZ75" i="59" s="1"/>
  <c r="CR95" i="59"/>
  <c r="CS95" i="59" s="1"/>
  <c r="CQ95" i="59"/>
  <c r="CY44" i="59"/>
  <c r="CZ44" i="59" s="1"/>
  <c r="CM92" i="59"/>
  <c r="CL92" i="59"/>
  <c r="CL36" i="59"/>
  <c r="CM36" i="59"/>
  <c r="CL42" i="59"/>
  <c r="CM42" i="59"/>
  <c r="CP42" i="59" s="1"/>
  <c r="CR81" i="59"/>
  <c r="CS81" i="59" s="1"/>
  <c r="CQ81" i="59"/>
  <c r="CV29" i="59"/>
  <c r="CU29" i="59"/>
  <c r="DA29" i="59" s="1"/>
  <c r="CL39" i="59"/>
  <c r="CM39" i="59"/>
  <c r="CP39" i="59" s="1"/>
  <c r="CV78" i="59"/>
  <c r="CU78" i="59"/>
  <c r="DA78" i="59" s="1"/>
  <c r="CV80" i="59"/>
  <c r="CU80" i="59"/>
  <c r="DA80" i="59" s="1"/>
  <c r="CP18" i="59"/>
  <c r="CL57" i="59"/>
  <c r="CM57" i="59"/>
  <c r="CY77" i="59"/>
  <c r="CZ77" i="59" s="1"/>
  <c r="CQ14" i="59"/>
  <c r="CR14" i="59"/>
  <c r="CS14" i="59" s="1"/>
  <c r="CM51" i="59"/>
  <c r="CP51" i="59" s="1"/>
  <c r="CL51" i="59"/>
  <c r="CP102" i="59"/>
  <c r="CY12" i="59"/>
  <c r="CZ12" i="59" s="1"/>
  <c r="CV30" i="59"/>
  <c r="CU30" i="59"/>
  <c r="DA30" i="59" s="1"/>
  <c r="CV15" i="59"/>
  <c r="CU15" i="59"/>
  <c r="DA15" i="59" s="1"/>
  <c r="CV79" i="59"/>
  <c r="CU79" i="59"/>
  <c r="DA79" i="59" s="1"/>
  <c r="CV94" i="59"/>
  <c r="CU94" i="59"/>
  <c r="DA94" i="59" s="1"/>
  <c r="CV97" i="59"/>
  <c r="CY97" i="59" s="1"/>
  <c r="CZ97" i="59" s="1"/>
  <c r="CU97" i="59"/>
  <c r="DA97" i="59" s="1"/>
  <c r="CQ34" i="59"/>
  <c r="CV62" i="59"/>
  <c r="CU62" i="59"/>
  <c r="DA62" i="59" s="1"/>
  <c r="CP99" i="59"/>
  <c r="CR99" i="59" s="1"/>
  <c r="CS99" i="59" s="1"/>
  <c r="CR82" i="59"/>
  <c r="CS82" i="59" s="1"/>
  <c r="CQ82" i="59"/>
  <c r="CY67" i="59"/>
  <c r="CZ67" i="59" s="1"/>
  <c r="CM10" i="59"/>
  <c r="CL10" i="59"/>
  <c r="CM37" i="59"/>
  <c r="CP37" i="59" s="1"/>
  <c r="CL37" i="59"/>
  <c r="CV20" i="59"/>
  <c r="CU20" i="59"/>
  <c r="DA20" i="59" s="1"/>
  <c r="CM80" i="59"/>
  <c r="CL80" i="59"/>
  <c r="CV91" i="59"/>
  <c r="CU91" i="59"/>
  <c r="DA91" i="59" s="1"/>
  <c r="CV92" i="59"/>
  <c r="CU92" i="59"/>
  <c r="DA92" i="59" s="1"/>
  <c r="CV100" i="59"/>
  <c r="CU100" i="59"/>
  <c r="DA100" i="59" s="1"/>
  <c r="CQ19" i="59"/>
  <c r="CQ76" i="59"/>
  <c r="CU74" i="59"/>
  <c r="DA74" i="59" s="1"/>
  <c r="CV74" i="59"/>
  <c r="CR77" i="59"/>
  <c r="CS77" i="59" s="1"/>
  <c r="CQ77" i="59"/>
  <c r="CV87" i="59"/>
  <c r="CY87" i="59" s="1"/>
  <c r="CZ87" i="59" s="1"/>
  <c r="CU87" i="59"/>
  <c r="DA87" i="59" s="1"/>
  <c r="CU13" i="59"/>
  <c r="DA13" i="59" s="1"/>
  <c r="CV13" i="59"/>
  <c r="CY13" i="59" s="1"/>
  <c r="CZ13" i="59" s="1"/>
  <c r="CX100" i="59"/>
  <c r="CM70" i="59"/>
  <c r="CP70" i="59" s="1"/>
  <c r="CL70" i="59"/>
  <c r="CX94" i="59"/>
  <c r="CL38" i="59"/>
  <c r="CM38" i="59"/>
  <c r="CV72" i="59"/>
  <c r="CU72" i="59"/>
  <c r="DA72" i="59" s="1"/>
  <c r="CM35" i="59"/>
  <c r="CL35" i="59"/>
  <c r="CM25" i="59"/>
  <c r="CL25" i="59"/>
  <c r="CV98" i="59"/>
  <c r="CU98" i="59"/>
  <c r="DA98" i="59" s="1"/>
  <c r="CV71" i="59"/>
  <c r="CU71" i="59"/>
  <c r="DA71" i="59" s="1"/>
  <c r="CM67" i="59"/>
  <c r="CL67" i="59"/>
  <c r="CV93" i="59"/>
  <c r="CY93" i="59" s="1"/>
  <c r="CZ93" i="59" s="1"/>
  <c r="CU93" i="59"/>
  <c r="DA93" i="59" s="1"/>
  <c r="CV16" i="59"/>
  <c r="CY16" i="59" s="1"/>
  <c r="CZ16" i="59" s="1"/>
  <c r="CU16" i="59"/>
  <c r="DA16" i="59" s="1"/>
  <c r="CY102" i="59"/>
  <c r="CZ102" i="59" s="1"/>
  <c r="CL31" i="59"/>
  <c r="CM31" i="59"/>
  <c r="CP31" i="59" s="1"/>
  <c r="CV5" i="59"/>
  <c r="CU5" i="59"/>
  <c r="DA5" i="59" s="1"/>
  <c r="CV56" i="59"/>
  <c r="CU56" i="59"/>
  <c r="DA56" i="59" s="1"/>
  <c r="CL58" i="59"/>
  <c r="CM58" i="59"/>
  <c r="CP58" i="59" s="1"/>
  <c r="CM32" i="59"/>
  <c r="CL32" i="59"/>
  <c r="CV36" i="59"/>
  <c r="CU36" i="59"/>
  <c r="DA36" i="59" s="1"/>
  <c r="CU42" i="59"/>
  <c r="DA42" i="59" s="1"/>
  <c r="CV42" i="59"/>
  <c r="CM5" i="59"/>
  <c r="CL5" i="59"/>
  <c r="CR64" i="59"/>
  <c r="CS64" i="59" s="1"/>
  <c r="CQ64" i="59"/>
  <c r="CV53" i="59"/>
  <c r="CU53" i="59"/>
  <c r="DA53" i="59" s="1"/>
  <c r="CM101" i="59"/>
  <c r="CL101" i="59"/>
  <c r="CV38" i="59"/>
  <c r="CU38" i="59"/>
  <c r="DA38" i="59" s="1"/>
  <c r="CR63" i="59"/>
  <c r="CS63" i="59" s="1"/>
  <c r="CQ63" i="59"/>
  <c r="CV59" i="59"/>
  <c r="CY59" i="59" s="1"/>
  <c r="CZ59" i="59" s="1"/>
  <c r="CU59" i="59"/>
  <c r="DA59" i="59" s="1"/>
  <c r="CU37" i="59"/>
  <c r="DA37" i="59" s="1"/>
  <c r="CV37" i="59"/>
  <c r="CY37" i="59" s="1"/>
  <c r="CZ37" i="59" s="1"/>
  <c r="CM43" i="59"/>
  <c r="CP43" i="59" s="1"/>
  <c r="CL43" i="59"/>
  <c r="CQ98" i="59"/>
  <c r="CP19" i="59"/>
  <c r="CR19" i="59" s="1"/>
  <c r="CS19" i="59" s="1"/>
  <c r="CR12" i="59"/>
  <c r="CS12" i="59" s="1"/>
  <c r="CQ12" i="59"/>
  <c r="CV31" i="59"/>
  <c r="CU31" i="59"/>
  <c r="DA31" i="59" s="1"/>
  <c r="CV82" i="59"/>
  <c r="CY82" i="59" s="1"/>
  <c r="CZ82" i="59" s="1"/>
  <c r="CU82" i="59"/>
  <c r="DA82" i="59" s="1"/>
  <c r="CU55" i="59"/>
  <c r="DA55" i="59" s="1"/>
  <c r="CV55" i="59"/>
  <c r="CP49" i="59"/>
  <c r="CR49" i="59" s="1"/>
  <c r="CS49" i="59" s="1"/>
  <c r="CP76" i="59"/>
  <c r="CR76" i="59" s="1"/>
  <c r="CS76" i="59" s="1"/>
  <c r="CM74" i="59"/>
  <c r="CP74" i="59" s="1"/>
  <c r="CL74" i="59"/>
  <c r="CM46" i="59"/>
  <c r="CL46" i="59"/>
  <c r="CM87" i="59"/>
  <c r="CP87" i="59" s="1"/>
  <c r="CL87" i="59"/>
  <c r="CY25" i="59"/>
  <c r="CZ25" i="59" s="1"/>
  <c r="CL45" i="59"/>
  <c r="CM45" i="59"/>
  <c r="CX90" i="59"/>
  <c r="CV70" i="59"/>
  <c r="CU70" i="59"/>
  <c r="DA70" i="59" s="1"/>
  <c r="CL26" i="59"/>
  <c r="CM26" i="59"/>
  <c r="CY3" i="59"/>
  <c r="CZ3" i="59" s="1"/>
  <c r="CL11" i="59"/>
  <c r="CM11" i="59"/>
  <c r="CR56" i="59"/>
  <c r="CS56" i="59" s="1"/>
  <c r="CQ56" i="59"/>
  <c r="CM65" i="59"/>
  <c r="CP65" i="59" s="1"/>
  <c r="CL65" i="59"/>
  <c r="CQ49" i="59"/>
  <c r="CV34" i="59"/>
  <c r="CY34" i="59" s="1"/>
  <c r="CZ34" i="59" s="1"/>
  <c r="CU34" i="59"/>
  <c r="DA34" i="59" s="1"/>
  <c r="CX104" i="59"/>
  <c r="CR44" i="59"/>
  <c r="CS44" i="59" s="1"/>
  <c r="CQ44" i="59"/>
  <c r="CV57" i="59"/>
  <c r="CY57" i="59" s="1"/>
  <c r="CZ57" i="59" s="1"/>
  <c r="CU57" i="59"/>
  <c r="DA57" i="59" s="1"/>
  <c r="CQ94" i="59"/>
  <c r="CM27" i="59"/>
  <c r="CL27" i="59"/>
  <c r="CQ79" i="59"/>
  <c r="CM72" i="59"/>
  <c r="CL72" i="59"/>
  <c r="CQ69" i="59"/>
  <c r="CQ21" i="59"/>
  <c r="CP60" i="59"/>
  <c r="CR60" i="59" s="1"/>
  <c r="CS60" i="59" s="1"/>
  <c r="CV22" i="59"/>
  <c r="CU22" i="59"/>
  <c r="DA22" i="59" s="1"/>
  <c r="CM78" i="59"/>
  <c r="CP78" i="59" s="1"/>
  <c r="CL78" i="59"/>
  <c r="CL16" i="59"/>
  <c r="CM16" i="59"/>
  <c r="CP16" i="59" s="1"/>
  <c r="CQ18" i="59"/>
  <c r="CR18" i="59"/>
  <c r="CS18" i="59" s="1"/>
  <c r="CR102" i="59"/>
  <c r="CS102" i="59" s="1"/>
  <c r="CQ102" i="59"/>
  <c r="CL97" i="59"/>
  <c r="CM97" i="59"/>
  <c r="CV101" i="59"/>
  <c r="CU101" i="59"/>
  <c r="DA101" i="59" s="1"/>
  <c r="CL6" i="59"/>
  <c r="CM6" i="59"/>
  <c r="CM7" i="59"/>
  <c r="CP7" i="59" s="1"/>
  <c r="CL7" i="59"/>
  <c r="CV41" i="59"/>
  <c r="CY41" i="59" s="1"/>
  <c r="CZ41" i="59" s="1"/>
  <c r="CU41" i="59"/>
  <c r="DA41" i="59" s="1"/>
  <c r="CV6" i="59"/>
  <c r="CU6" i="59"/>
  <c r="DA6" i="59" s="1"/>
  <c r="CL41" i="59"/>
  <c r="CM41" i="59"/>
  <c r="CP41" i="59" s="1"/>
  <c r="CU11" i="59"/>
  <c r="DA11" i="59" s="1"/>
  <c r="CV11" i="59"/>
  <c r="CY11" i="59" s="1"/>
  <c r="CZ11" i="59" s="1"/>
  <c r="CM52" i="59"/>
  <c r="CP52" i="59" s="1"/>
  <c r="CL52" i="59"/>
  <c r="CV43" i="59"/>
  <c r="CU43" i="59"/>
  <c r="DA43" i="59" s="1"/>
  <c r="CM84" i="59"/>
  <c r="CL84" i="59"/>
  <c r="CY48" i="59"/>
  <c r="CZ48" i="59" s="1"/>
  <c r="CL93" i="59"/>
  <c r="CM93" i="59"/>
  <c r="CV66" i="59"/>
  <c r="CU66" i="59"/>
  <c r="DA66" i="59" s="1"/>
  <c r="CM8" i="59"/>
  <c r="CL8" i="59"/>
  <c r="CQ33" i="59"/>
  <c r="CR86" i="59"/>
  <c r="CS86" i="59" s="1"/>
  <c r="CQ86" i="59"/>
  <c r="CV26" i="59"/>
  <c r="CU26" i="59"/>
  <c r="DA26" i="59" s="1"/>
  <c r="CM55" i="59"/>
  <c r="CL55" i="59"/>
  <c r="CY81" i="59"/>
  <c r="CZ81" i="59" s="1"/>
  <c r="CV60" i="59"/>
  <c r="CU60" i="59"/>
  <c r="DA60" i="59" s="1"/>
  <c r="CL73" i="59"/>
  <c r="CM73" i="59"/>
  <c r="CP94" i="59"/>
  <c r="CR94" i="59" s="1"/>
  <c r="CS94" i="59" s="1"/>
  <c r="CV27" i="59"/>
  <c r="CU27" i="59"/>
  <c r="DA27" i="59" s="1"/>
  <c r="CP79" i="59"/>
  <c r="CR79" i="59" s="1"/>
  <c r="CS79" i="59" s="1"/>
  <c r="CM85" i="59"/>
  <c r="CP85" i="59" s="1"/>
  <c r="CL85" i="59"/>
  <c r="CV83" i="59"/>
  <c r="CY83" i="59" s="1"/>
  <c r="CZ83" i="59" s="1"/>
  <c r="CU83" i="59"/>
  <c r="DA83" i="59" s="1"/>
  <c r="CP69" i="59"/>
  <c r="CR69" i="59" s="1"/>
  <c r="CS69" i="59" s="1"/>
  <c r="CP21" i="59"/>
  <c r="CR21" i="59" s="1"/>
  <c r="CS21" i="59" s="1"/>
  <c r="CQ60" i="59"/>
  <c r="CV35" i="59"/>
  <c r="CY35" i="59" s="1"/>
  <c r="CZ35" i="59" s="1"/>
  <c r="CU35" i="59"/>
  <c r="DA35" i="59" s="1"/>
  <c r="CM71" i="59"/>
  <c r="CL71" i="59"/>
  <c r="CM15" i="59"/>
  <c r="CL15" i="59"/>
  <c r="CM20" i="59"/>
  <c r="CL20" i="59"/>
  <c r="CV23" i="59"/>
  <c r="CY23" i="59" s="1"/>
  <c r="CZ23" i="59" s="1"/>
  <c r="CU23" i="59"/>
  <c r="DA23" i="59" s="1"/>
  <c r="CV54" i="59"/>
  <c r="CU54" i="59"/>
  <c r="DA54" i="59" s="1"/>
  <c r="CV10" i="59"/>
  <c r="CU10" i="59"/>
  <c r="DA10" i="59" s="1"/>
  <c r="CR48" i="59"/>
  <c r="CS48" i="59" s="1"/>
  <c r="CQ48" i="59"/>
  <c r="CM104" i="59"/>
  <c r="CL104" i="59"/>
  <c r="CY19" i="59"/>
  <c r="CZ19" i="59" s="1"/>
  <c r="CV24" i="59"/>
  <c r="CY24" i="59" s="1"/>
  <c r="CZ24" i="59" s="1"/>
  <c r="CU24" i="59"/>
  <c r="DA24" i="59" s="1"/>
  <c r="CR47" i="59"/>
  <c r="CS47" i="59" s="1"/>
  <c r="CQ47" i="59"/>
  <c r="CQ50" i="59"/>
  <c r="CR50" i="59"/>
  <c r="CS50" i="59" s="1"/>
  <c r="CQ22" i="59"/>
  <c r="CR22" i="59"/>
  <c r="CS22" i="59" s="1"/>
  <c r="CR75" i="59"/>
  <c r="CS75" i="59" s="1"/>
  <c r="CQ75" i="59"/>
  <c r="CR59" i="59"/>
  <c r="CS59" i="59" s="1"/>
  <c r="CQ59" i="59"/>
  <c r="CM66" i="59"/>
  <c r="CP66" i="59" s="1"/>
  <c r="CL66" i="59"/>
  <c r="CR3" i="59"/>
  <c r="CS3" i="59" s="1"/>
  <c r="CQ3" i="59"/>
  <c r="CY4" i="59"/>
  <c r="CZ4" i="59" s="1"/>
  <c r="CP33" i="59"/>
  <c r="CR33" i="59" s="1"/>
  <c r="CS33" i="59" s="1"/>
  <c r="CR4" i="59"/>
  <c r="CS4" i="59" s="1"/>
  <c r="CQ4" i="59"/>
  <c r="CR54" i="59"/>
  <c r="CS54" i="59" s="1"/>
  <c r="CQ54" i="59"/>
  <c r="CU51" i="59"/>
  <c r="DA51" i="59" s="1"/>
  <c r="CV51" i="59"/>
  <c r="CL88" i="59"/>
  <c r="CM88" i="59"/>
  <c r="CQ90" i="59"/>
  <c r="CR90" i="59"/>
  <c r="CS90" i="59" s="1"/>
  <c r="CU49" i="59"/>
  <c r="DA49" i="59" s="1"/>
  <c r="CV49" i="59"/>
  <c r="CU46" i="59"/>
  <c r="DA46" i="59" s="1"/>
  <c r="CV46" i="59"/>
  <c r="CQ103" i="59"/>
  <c r="CR103" i="59"/>
  <c r="CS103" i="59" s="1"/>
  <c r="CQ96" i="59"/>
  <c r="CV85" i="59"/>
  <c r="CU85" i="59"/>
  <c r="DA85" i="59" s="1"/>
  <c r="CM62" i="59"/>
  <c r="CP62" i="59" s="1"/>
  <c r="CL62" i="59"/>
  <c r="CX92" i="59"/>
  <c r="CR40" i="59"/>
  <c r="CS40" i="59" s="1"/>
  <c r="CQ40" i="59"/>
  <c r="CM68" i="59"/>
  <c r="CL68" i="59"/>
  <c r="CR53" i="59"/>
  <c r="CS53" i="59" s="1"/>
  <c r="CQ53" i="59"/>
  <c r="CR89" i="59"/>
  <c r="CS89" i="59" s="1"/>
  <c r="CQ89" i="59"/>
  <c r="CM23" i="59"/>
  <c r="CL23" i="59"/>
  <c r="CU88" i="59"/>
  <c r="DA88" i="59" s="1"/>
  <c r="CV88" i="59"/>
  <c r="CV89" i="59"/>
  <c r="CY89" i="59" s="1"/>
  <c r="CZ89" i="59" s="1"/>
  <c r="CU89" i="59"/>
  <c r="DA89" i="59" s="1"/>
  <c r="CL29" i="59"/>
  <c r="CM29" i="59"/>
  <c r="CV73" i="59"/>
  <c r="CY73" i="59" s="1"/>
  <c r="CZ73" i="59" s="1"/>
  <c r="CU73" i="59"/>
  <c r="DA73" i="59" s="1"/>
  <c r="CU32" i="59"/>
  <c r="DA32" i="59" s="1"/>
  <c r="CV32" i="59"/>
  <c r="CM83" i="59"/>
  <c r="CL83" i="59"/>
  <c r="CM91" i="59"/>
  <c r="CL91" i="59"/>
  <c r="CU68" i="59"/>
  <c r="DA68" i="59" s="1"/>
  <c r="CV68" i="59"/>
  <c r="N73" i="2"/>
  <c r="W24" i="33"/>
  <c r="X24" i="33" s="1"/>
  <c r="Y24" i="33" s="1"/>
  <c r="W21" i="33"/>
  <c r="X21" i="33" s="1"/>
  <c r="Y21" i="33" s="1"/>
  <c r="W20" i="33"/>
  <c r="X20" i="33" s="1"/>
  <c r="Y20" i="33" s="1"/>
  <c r="Z20" i="33" s="1"/>
  <c r="BI108" i="2"/>
  <c r="BO44" i="2"/>
  <c r="BZ41" i="2"/>
  <c r="BO77" i="2"/>
  <c r="BO73" i="2"/>
  <c r="L4" i="33"/>
  <c r="N4" i="33" s="1"/>
  <c r="O4" i="33" s="1"/>
  <c r="O3" i="33"/>
  <c r="M3" i="33"/>
  <c r="CY98" i="59" l="1"/>
  <c r="CZ98" i="59" s="1"/>
  <c r="CP55" i="59"/>
  <c r="CY70" i="59"/>
  <c r="CZ70" i="59" s="1"/>
  <c r="CP46" i="59"/>
  <c r="CP80" i="59"/>
  <c r="CY7" i="59"/>
  <c r="CZ7" i="59" s="1"/>
  <c r="CP8" i="59"/>
  <c r="CY54" i="59"/>
  <c r="CZ54" i="59" s="1"/>
  <c r="CP71" i="59"/>
  <c r="CR71" i="59" s="1"/>
  <c r="CS71" i="59" s="1"/>
  <c r="CY27" i="59"/>
  <c r="CZ27" i="59" s="1"/>
  <c r="CP6" i="59"/>
  <c r="CY104" i="59"/>
  <c r="CZ104" i="59" s="1"/>
  <c r="CP67" i="59"/>
  <c r="CY91" i="59"/>
  <c r="CZ91" i="59" s="1"/>
  <c r="CP10" i="59"/>
  <c r="CP72" i="59"/>
  <c r="CP11" i="59"/>
  <c r="CP45" i="59"/>
  <c r="CY42" i="59"/>
  <c r="CZ42" i="59" s="1"/>
  <c r="CY32" i="59"/>
  <c r="CZ32" i="59" s="1"/>
  <c r="CY88" i="59"/>
  <c r="CZ88" i="59" s="1"/>
  <c r="CY85" i="59"/>
  <c r="CZ85" i="59" s="1"/>
  <c r="CY92" i="59"/>
  <c r="CZ92" i="59" s="1"/>
  <c r="CY62" i="59"/>
  <c r="CZ62" i="59" s="1"/>
  <c r="CY79" i="59"/>
  <c r="CZ79" i="59" s="1"/>
  <c r="CY80" i="59"/>
  <c r="CZ80" i="59" s="1"/>
  <c r="CP35" i="59"/>
  <c r="CR35" i="59" s="1"/>
  <c r="CS35" i="59" s="1"/>
  <c r="CY68" i="59"/>
  <c r="CZ68" i="59" s="1"/>
  <c r="CY15" i="59"/>
  <c r="CZ15" i="59" s="1"/>
  <c r="CY78" i="59"/>
  <c r="CZ78" i="59" s="1"/>
  <c r="CP88" i="59"/>
  <c r="CY71" i="59"/>
  <c r="CZ71" i="59" s="1"/>
  <c r="CY72" i="59"/>
  <c r="CZ72" i="59" s="1"/>
  <c r="CP36" i="59"/>
  <c r="CR36" i="59" s="1"/>
  <c r="CS36" i="59" s="1"/>
  <c r="CP38" i="59"/>
  <c r="CR38" i="59" s="1"/>
  <c r="CS38" i="59" s="1"/>
  <c r="CP91" i="59"/>
  <c r="CP27" i="59"/>
  <c r="CQ104" i="59"/>
  <c r="CQ26" i="59"/>
  <c r="CR28" i="59"/>
  <c r="CS28" i="59" s="1"/>
  <c r="CQ28" i="59"/>
  <c r="CP83" i="59"/>
  <c r="CR83" i="59" s="1"/>
  <c r="CS83" i="59" s="1"/>
  <c r="CY49" i="59"/>
  <c r="CZ49" i="59" s="1"/>
  <c r="CR66" i="59"/>
  <c r="CS66" i="59" s="1"/>
  <c r="CQ66" i="59"/>
  <c r="CP104" i="59"/>
  <c r="CR104" i="59" s="1"/>
  <c r="CS104" i="59" s="1"/>
  <c r="CY60" i="59"/>
  <c r="CZ60" i="59" s="1"/>
  <c r="CY22" i="59"/>
  <c r="CZ22" i="59" s="1"/>
  <c r="CQ46" i="59"/>
  <c r="CR46" i="59"/>
  <c r="CS46" i="59" s="1"/>
  <c r="CP32" i="59"/>
  <c r="CR32" i="59" s="1"/>
  <c r="CS32" i="59" s="1"/>
  <c r="CR31" i="59"/>
  <c r="CS31" i="59" s="1"/>
  <c r="CQ31" i="59"/>
  <c r="CQ10" i="59"/>
  <c r="CR10" i="59"/>
  <c r="CS10" i="59" s="1"/>
  <c r="CQ83" i="59"/>
  <c r="CQ68" i="59"/>
  <c r="CP68" i="59"/>
  <c r="CR68" i="59" s="1"/>
  <c r="CS68" i="59" s="1"/>
  <c r="CP20" i="59"/>
  <c r="CR55" i="59"/>
  <c r="CS55" i="59" s="1"/>
  <c r="CQ55" i="59"/>
  <c r="CR8" i="59"/>
  <c r="CS8" i="59" s="1"/>
  <c r="CQ8" i="59"/>
  <c r="CP84" i="59"/>
  <c r="CR84" i="59" s="1"/>
  <c r="CS84" i="59" s="1"/>
  <c r="CQ41" i="59"/>
  <c r="CR41" i="59"/>
  <c r="CS41" i="59" s="1"/>
  <c r="CQ6" i="59"/>
  <c r="CR6" i="59"/>
  <c r="CS6" i="59" s="1"/>
  <c r="CR27" i="59"/>
  <c r="CS27" i="59" s="1"/>
  <c r="CQ27" i="59"/>
  <c r="CR74" i="59"/>
  <c r="CS74" i="59" s="1"/>
  <c r="CQ74" i="59"/>
  <c r="CY38" i="59"/>
  <c r="CZ38" i="59" s="1"/>
  <c r="CP5" i="59"/>
  <c r="CR5" i="59" s="1"/>
  <c r="CS5" i="59" s="1"/>
  <c r="CR58" i="59"/>
  <c r="CS58" i="59" s="1"/>
  <c r="CQ58" i="59"/>
  <c r="CR80" i="59"/>
  <c r="CS80" i="59" s="1"/>
  <c r="CQ80" i="59"/>
  <c r="CQ24" i="59"/>
  <c r="CR24" i="59"/>
  <c r="CS24" i="59" s="1"/>
  <c r="CY90" i="59"/>
  <c r="CZ90" i="59" s="1"/>
  <c r="CR85" i="59"/>
  <c r="CS85" i="59" s="1"/>
  <c r="CQ85" i="59"/>
  <c r="CR7" i="59"/>
  <c r="CS7" i="59" s="1"/>
  <c r="CQ7" i="59"/>
  <c r="CR65" i="59"/>
  <c r="CS65" i="59" s="1"/>
  <c r="CQ65" i="59"/>
  <c r="CQ32" i="59"/>
  <c r="CQ5" i="59"/>
  <c r="CR42" i="59"/>
  <c r="CS42" i="59" s="1"/>
  <c r="CQ42" i="59"/>
  <c r="CQ15" i="59"/>
  <c r="CY31" i="59"/>
  <c r="CZ31" i="59" s="1"/>
  <c r="CQ101" i="59"/>
  <c r="CQ38" i="59"/>
  <c r="CY30" i="59"/>
  <c r="CZ30" i="59" s="1"/>
  <c r="CP57" i="59"/>
  <c r="CR57" i="59" s="1"/>
  <c r="CS57" i="59" s="1"/>
  <c r="CQ39" i="59"/>
  <c r="CR39" i="59"/>
  <c r="CS39" i="59" s="1"/>
  <c r="CQ36" i="59"/>
  <c r="CR30" i="59"/>
  <c r="CS30" i="59" s="1"/>
  <c r="CQ30" i="59"/>
  <c r="CY10" i="59"/>
  <c r="CZ10" i="59" s="1"/>
  <c r="CP15" i="59"/>
  <c r="CR15" i="59" s="1"/>
  <c r="CS15" i="59" s="1"/>
  <c r="CY43" i="59"/>
  <c r="CZ43" i="59" s="1"/>
  <c r="CY6" i="59"/>
  <c r="CZ6" i="59" s="1"/>
  <c r="CY101" i="59"/>
  <c r="CZ101" i="59" s="1"/>
  <c r="CR16" i="59"/>
  <c r="CS16" i="59" s="1"/>
  <c r="CQ16" i="59"/>
  <c r="CR11" i="59"/>
  <c r="CS11" i="59" s="1"/>
  <c r="CQ11" i="59"/>
  <c r="CR45" i="59"/>
  <c r="CS45" i="59" s="1"/>
  <c r="CQ45" i="59"/>
  <c r="CP101" i="59"/>
  <c r="CR101" i="59" s="1"/>
  <c r="CS101" i="59" s="1"/>
  <c r="CY56" i="59"/>
  <c r="CZ56" i="59" s="1"/>
  <c r="CQ25" i="59"/>
  <c r="CQ57" i="59"/>
  <c r="CQ92" i="59"/>
  <c r="CQ93" i="59"/>
  <c r="CQ23" i="59"/>
  <c r="CP23" i="59"/>
  <c r="CR23" i="59" s="1"/>
  <c r="CS23" i="59" s="1"/>
  <c r="CR91" i="59"/>
  <c r="CS91" i="59" s="1"/>
  <c r="CQ91" i="59"/>
  <c r="CP29" i="59"/>
  <c r="CR29" i="59" s="1"/>
  <c r="CS29" i="59" s="1"/>
  <c r="CR88" i="59"/>
  <c r="CS88" i="59" s="1"/>
  <c r="CQ88" i="59"/>
  <c r="CQ71" i="59"/>
  <c r="CP73" i="59"/>
  <c r="CR73" i="59" s="1"/>
  <c r="CS73" i="59" s="1"/>
  <c r="CY26" i="59"/>
  <c r="CZ26" i="59" s="1"/>
  <c r="CY66" i="59"/>
  <c r="CZ66" i="59" s="1"/>
  <c r="CR52" i="59"/>
  <c r="CS52" i="59" s="1"/>
  <c r="CQ52" i="59"/>
  <c r="CP97" i="59"/>
  <c r="CR97" i="59" s="1"/>
  <c r="CS97" i="59" s="1"/>
  <c r="CR78" i="59"/>
  <c r="CS78" i="59" s="1"/>
  <c r="CQ78" i="59"/>
  <c r="CP25" i="59"/>
  <c r="CR25" i="59" s="1"/>
  <c r="CS25" i="59" s="1"/>
  <c r="CQ70" i="59"/>
  <c r="CR70" i="59"/>
  <c r="CS70" i="59" s="1"/>
  <c r="CY100" i="59"/>
  <c r="CZ100" i="59" s="1"/>
  <c r="CY20" i="59"/>
  <c r="CZ20" i="59" s="1"/>
  <c r="CY94" i="59"/>
  <c r="CZ94" i="59" s="1"/>
  <c r="CY29" i="59"/>
  <c r="CZ29" i="59" s="1"/>
  <c r="CP92" i="59"/>
  <c r="CR92" i="59" s="1"/>
  <c r="CS92" i="59" s="1"/>
  <c r="CQ13" i="59"/>
  <c r="CR13" i="59"/>
  <c r="CS13" i="59" s="1"/>
  <c r="CR20" i="59"/>
  <c r="CS20" i="59" s="1"/>
  <c r="CQ20" i="59"/>
  <c r="CQ84" i="59"/>
  <c r="CR43" i="59"/>
  <c r="CS43" i="59" s="1"/>
  <c r="CQ43" i="59"/>
  <c r="CQ29" i="59"/>
  <c r="CR62" i="59"/>
  <c r="CS62" i="59" s="1"/>
  <c r="CQ62" i="59"/>
  <c r="CY46" i="59"/>
  <c r="CZ46" i="59" s="1"/>
  <c r="CY51" i="59"/>
  <c r="CZ51" i="59" s="1"/>
  <c r="CQ73" i="59"/>
  <c r="CP93" i="59"/>
  <c r="CR93" i="59" s="1"/>
  <c r="CS93" i="59" s="1"/>
  <c r="CQ97" i="59"/>
  <c r="CR72" i="59"/>
  <c r="CS72" i="59" s="1"/>
  <c r="CQ72" i="59"/>
  <c r="CP26" i="59"/>
  <c r="CR26" i="59" s="1"/>
  <c r="CS26" i="59" s="1"/>
  <c r="CR87" i="59"/>
  <c r="CS87" i="59" s="1"/>
  <c r="CQ87" i="59"/>
  <c r="CY55" i="59"/>
  <c r="CZ55" i="59" s="1"/>
  <c r="CY53" i="59"/>
  <c r="CZ53" i="59" s="1"/>
  <c r="CY36" i="59"/>
  <c r="CZ36" i="59" s="1"/>
  <c r="CY5" i="59"/>
  <c r="CZ5" i="59" s="1"/>
  <c r="CR67" i="59"/>
  <c r="CS67" i="59" s="1"/>
  <c r="CQ67" i="59"/>
  <c r="CQ35" i="59"/>
  <c r="CY74" i="59"/>
  <c r="CZ74" i="59" s="1"/>
  <c r="CQ37" i="59"/>
  <c r="CR37" i="59"/>
  <c r="CS37" i="59" s="1"/>
  <c r="CQ51" i="59"/>
  <c r="CR51" i="59"/>
  <c r="CS51" i="59" s="1"/>
  <c r="P3" i="33"/>
  <c r="Q3" i="33" s="1"/>
  <c r="L5" i="33"/>
  <c r="M4" i="33"/>
  <c r="P4" i="33" s="1"/>
  <c r="Q4" i="33" s="1"/>
  <c r="L6" i="33" l="1"/>
  <c r="M5" i="33"/>
  <c r="N5" i="33"/>
  <c r="O5" i="33" s="1"/>
  <c r="M6" i="33" l="1"/>
  <c r="L7" i="33"/>
  <c r="N6" i="33"/>
  <c r="O6" i="33" s="1"/>
  <c r="P5" i="33"/>
  <c r="Q5" i="33" s="1"/>
  <c r="N7" i="33" l="1"/>
  <c r="O7" i="33" s="1"/>
  <c r="M7" i="33"/>
  <c r="L8" i="33"/>
  <c r="P6" i="33"/>
  <c r="Q6" i="33" s="1"/>
  <c r="P7" i="33" l="1"/>
  <c r="Q7" i="33" s="1"/>
  <c r="L9" i="33"/>
  <c r="N8" i="33"/>
  <c r="O8" i="33" s="1"/>
  <c r="M8" i="33"/>
  <c r="P8" i="33" l="1"/>
  <c r="Q8" i="33" s="1"/>
  <c r="N9" i="33"/>
  <c r="O9" i="33" s="1"/>
  <c r="M9" i="33"/>
  <c r="L10" i="33"/>
  <c r="L11" i="33" l="1"/>
  <c r="N10" i="33"/>
  <c r="O10" i="33" s="1"/>
  <c r="M10" i="33"/>
  <c r="P9" i="33"/>
  <c r="Q9" i="33" s="1"/>
  <c r="P10" i="33" l="1"/>
  <c r="Q10" i="33" s="1"/>
  <c r="L12" i="33"/>
  <c r="N11" i="33"/>
  <c r="O11" i="33" s="1"/>
  <c r="M11" i="33"/>
  <c r="N12" i="33" l="1"/>
  <c r="O12" i="33" s="1"/>
  <c r="M12" i="33"/>
  <c r="L13" i="33"/>
  <c r="P11" i="33"/>
  <c r="Q11" i="33" s="1"/>
  <c r="P12" i="33" l="1"/>
  <c r="Q12" i="33" s="1"/>
  <c r="L14" i="33"/>
  <c r="M13" i="33"/>
  <c r="N13" i="33"/>
  <c r="O13" i="33" s="1"/>
  <c r="P13" i="33" l="1"/>
  <c r="Q13" i="33" s="1"/>
  <c r="M14" i="33"/>
  <c r="L15" i="33"/>
  <c r="N15" i="33" s="1"/>
  <c r="N14" i="33"/>
  <c r="O14" i="33" s="1"/>
  <c r="O15" i="33" l="1"/>
  <c r="M15" i="33"/>
  <c r="L16" i="33"/>
  <c r="P14" i="33"/>
  <c r="Q14" i="33" s="1"/>
  <c r="P15" i="33" l="1"/>
  <c r="Q15" i="33" s="1"/>
  <c r="M16" i="33"/>
  <c r="N16" i="33"/>
  <c r="O16" i="33" s="1"/>
  <c r="L17" i="33"/>
  <c r="P16" i="33" l="1"/>
  <c r="Q16" i="33" s="1"/>
  <c r="N17" i="33"/>
  <c r="O17" i="33" s="1"/>
  <c r="M17" i="33"/>
  <c r="L18" i="33"/>
  <c r="L19" i="33" l="1"/>
  <c r="M18" i="33"/>
  <c r="N18" i="33"/>
  <c r="O18" i="33" s="1"/>
  <c r="P17" i="33"/>
  <c r="Q17" i="33" s="1"/>
  <c r="P18" i="33" l="1"/>
  <c r="Q18" i="33" s="1"/>
  <c r="L20" i="33"/>
  <c r="N19" i="33"/>
  <c r="O19" i="33" s="1"/>
  <c r="M19" i="33"/>
  <c r="P19" i="33" l="1"/>
  <c r="Q19" i="33" s="1"/>
  <c r="N20" i="33"/>
  <c r="O20" i="33" s="1"/>
  <c r="M20" i="33"/>
  <c r="L21" i="33"/>
  <c r="L22" i="33" l="1"/>
  <c r="M21" i="33"/>
  <c r="N21" i="33"/>
  <c r="O21" i="33" s="1"/>
  <c r="P20" i="33"/>
  <c r="Q20" i="33" s="1"/>
  <c r="P21" i="33" l="1"/>
  <c r="Q21" i="33" s="1"/>
  <c r="M22" i="33"/>
  <c r="L23" i="33"/>
  <c r="N22" i="33"/>
  <c r="O22" i="33" s="1"/>
  <c r="P22" i="33" l="1"/>
  <c r="Q22" i="33" s="1"/>
  <c r="N23" i="33"/>
  <c r="O23" i="33" s="1"/>
  <c r="M23" i="33"/>
  <c r="P23" i="33" l="1"/>
  <c r="Q23" i="33" s="1"/>
  <c r="CJ11" i="2"/>
  <c r="CJ4" i="2"/>
  <c r="CJ38" i="2"/>
  <c r="CJ46" i="2"/>
  <c r="CJ45" i="2"/>
  <c r="CJ43" i="2"/>
  <c r="CJ41" i="2"/>
  <c r="CJ8" i="2"/>
  <c r="CJ47" i="2"/>
  <c r="CJ42" i="2"/>
  <c r="CJ15" i="2"/>
  <c r="CJ14" i="2"/>
  <c r="CJ3" i="2"/>
  <c r="CJ5" i="2"/>
  <c r="CJ12" i="2"/>
  <c r="CJ10" i="2"/>
  <c r="CJ9" i="2"/>
  <c r="CJ13" i="2"/>
  <c r="CJ6" i="2"/>
  <c r="CJ22" i="2"/>
  <c r="CJ83" i="2"/>
  <c r="CJ36" i="2"/>
  <c r="CJ25" i="2"/>
  <c r="CJ17" i="2"/>
  <c r="CJ21" i="2"/>
  <c r="CJ26" i="2"/>
  <c r="CJ7" i="2"/>
  <c r="CJ19" i="2"/>
  <c r="CJ16" i="2"/>
  <c r="CJ29" i="2"/>
  <c r="CJ27" i="2"/>
  <c r="CJ37" i="2"/>
  <c r="CJ101" i="2"/>
  <c r="CJ79" i="2"/>
  <c r="CJ76" i="2"/>
  <c r="CJ84" i="2"/>
  <c r="CJ31" i="2"/>
  <c r="CJ32" i="2"/>
  <c r="CJ80" i="2"/>
  <c r="CJ30" i="2"/>
  <c r="CJ98" i="2"/>
  <c r="CJ33" i="2"/>
  <c r="CJ20" i="2"/>
  <c r="CJ100" i="2"/>
  <c r="CJ73" i="2"/>
  <c r="CJ28" i="2"/>
  <c r="CJ35" i="2"/>
  <c r="CJ90" i="2"/>
  <c r="CJ94" i="2"/>
  <c r="CJ48" i="2"/>
  <c r="CJ63" i="2"/>
  <c r="CJ67" i="2"/>
  <c r="CJ102" i="2"/>
  <c r="CJ18" i="2"/>
  <c r="CJ59" i="2"/>
  <c r="CJ50" i="2"/>
  <c r="CJ75" i="2"/>
  <c r="CJ74" i="2"/>
  <c r="CJ55" i="2"/>
  <c r="CJ54" i="2"/>
  <c r="CJ69" i="2"/>
  <c r="CJ44" i="2"/>
  <c r="CJ51" i="2"/>
  <c r="CJ81" i="2"/>
  <c r="CJ99" i="2"/>
  <c r="CJ103" i="2"/>
  <c r="CJ72" i="2"/>
  <c r="CJ91" i="2"/>
  <c r="CJ88" i="2"/>
  <c r="CJ104" i="2"/>
  <c r="CJ34" i="2"/>
  <c r="CJ97" i="2"/>
  <c r="CJ95" i="2"/>
  <c r="CJ23" i="2"/>
  <c r="CJ40" i="2"/>
  <c r="CJ68" i="2"/>
  <c r="CJ60" i="2"/>
  <c r="CJ70" i="2"/>
  <c r="CJ96" i="2"/>
  <c r="CJ77" i="2"/>
  <c r="CJ66" i="2"/>
  <c r="CJ53" i="2"/>
  <c r="CJ65" i="2"/>
  <c r="CJ82" i="2"/>
  <c r="CJ87" i="2"/>
  <c r="CJ49" i="2"/>
  <c r="CJ56" i="2"/>
  <c r="CJ52" i="2"/>
  <c r="CJ57" i="2"/>
  <c r="CJ71" i="2"/>
  <c r="CJ58" i="2"/>
  <c r="CJ39" i="2"/>
  <c r="CJ64" i="2"/>
  <c r="CJ78" i="2"/>
  <c r="CJ61" i="2"/>
  <c r="CJ24" i="2"/>
  <c r="CJ86" i="2"/>
  <c r="CJ89" i="2"/>
  <c r="CJ93" i="2"/>
  <c r="CJ92" i="2"/>
  <c r="CJ85" i="2"/>
  <c r="CJ62" i="2"/>
  <c r="AA5" i="4" l="1"/>
  <c r="Z5" i="4"/>
  <c r="J50" i="3" l="1"/>
  <c r="G5" i="3"/>
  <c r="H5" i="3" s="1"/>
  <c r="D4" i="3" s="1"/>
  <c r="O50" i="3"/>
  <c r="H50" i="3"/>
  <c r="C50" i="3"/>
  <c r="D58" i="3" l="1"/>
  <c r="D66" i="3"/>
  <c r="K50" i="3"/>
  <c r="F4" i="3"/>
  <c r="H66" i="3"/>
  <c r="H58" i="3"/>
  <c r="D59" i="3" l="1"/>
  <c r="E59" i="3"/>
  <c r="F66" i="3"/>
  <c r="M50" i="3"/>
  <c r="N51" i="3" s="1"/>
  <c r="F50" i="3"/>
  <c r="D50" i="3"/>
  <c r="D51" i="3" s="1"/>
  <c r="E51" i="3" l="1"/>
  <c r="G51" i="3"/>
  <c r="F51" i="3"/>
  <c r="L51" i="3"/>
  <c r="K51" i="3"/>
  <c r="M51" i="3"/>
  <c r="V11" i="4"/>
  <c r="F58" i="3" l="1"/>
  <c r="BW104" i="2"/>
  <c r="BM104" i="2"/>
  <c r="BL104" i="2"/>
  <c r="BG104" i="2"/>
  <c r="BF104" i="2"/>
  <c r="BD104" i="2"/>
  <c r="BC104" i="2"/>
  <c r="BB104" i="2"/>
  <c r="BA104" i="2"/>
  <c r="AZ104" i="2"/>
  <c r="AY104" i="2"/>
  <c r="AC104" i="2"/>
  <c r="AB104" i="2"/>
  <c r="AA104" i="2"/>
  <c r="Z104" i="2"/>
  <c r="Y104" i="2"/>
  <c r="X104" i="2"/>
  <c r="W104" i="2"/>
  <c r="F104" i="2"/>
  <c r="BW98" i="2"/>
  <c r="BM98" i="2"/>
  <c r="BL98" i="2"/>
  <c r="BG98" i="2"/>
  <c r="BF98" i="2"/>
  <c r="BD98" i="2"/>
  <c r="BC98" i="2"/>
  <c r="BB98" i="2"/>
  <c r="BA98" i="2"/>
  <c r="AZ98" i="2"/>
  <c r="AY98" i="2"/>
  <c r="AC98" i="2"/>
  <c r="AB98" i="2"/>
  <c r="AA98" i="2"/>
  <c r="Z98" i="2"/>
  <c r="Y98" i="2"/>
  <c r="X98" i="2"/>
  <c r="W98" i="2"/>
  <c r="F98" i="2"/>
  <c r="BW103" i="2"/>
  <c r="BM103" i="2"/>
  <c r="BL103" i="2"/>
  <c r="BG103" i="2"/>
  <c r="BF103" i="2"/>
  <c r="BD103" i="2"/>
  <c r="BC103" i="2"/>
  <c r="BB103" i="2"/>
  <c r="BA103" i="2"/>
  <c r="AZ103" i="2"/>
  <c r="AY103" i="2"/>
  <c r="AC103" i="2"/>
  <c r="AB103" i="2"/>
  <c r="AA103" i="2"/>
  <c r="Z103" i="2"/>
  <c r="Y103" i="2"/>
  <c r="X103" i="2"/>
  <c r="W103" i="2"/>
  <c r="F103" i="2"/>
  <c r="BW37" i="2"/>
  <c r="BM37" i="2"/>
  <c r="BI37" i="2"/>
  <c r="BL37" i="2" s="1"/>
  <c r="BG37" i="2"/>
  <c r="BF37" i="2"/>
  <c r="BD37" i="2"/>
  <c r="BC37" i="2"/>
  <c r="BB37" i="2"/>
  <c r="BA37" i="2"/>
  <c r="AZ37" i="2"/>
  <c r="AY37" i="2"/>
  <c r="AC37" i="2"/>
  <c r="AB37" i="2"/>
  <c r="AA37" i="2"/>
  <c r="Z37" i="2"/>
  <c r="Y37" i="2"/>
  <c r="X37" i="2"/>
  <c r="W37" i="2"/>
  <c r="F37" i="2"/>
  <c r="BW70" i="2"/>
  <c r="BM70" i="2"/>
  <c r="BL70" i="2"/>
  <c r="BG70" i="2"/>
  <c r="BF70" i="2"/>
  <c r="BD70" i="2"/>
  <c r="BC70" i="2"/>
  <c r="BB70" i="2"/>
  <c r="BA70" i="2"/>
  <c r="AZ70" i="2"/>
  <c r="AY70" i="2"/>
  <c r="AC70" i="2"/>
  <c r="AB70" i="2"/>
  <c r="AA70" i="2"/>
  <c r="Z70" i="2"/>
  <c r="Y70" i="2"/>
  <c r="X70" i="2"/>
  <c r="W70" i="2"/>
  <c r="F70" i="2"/>
  <c r="BW69" i="2"/>
  <c r="BM69" i="2"/>
  <c r="BL69" i="2"/>
  <c r="BG69" i="2"/>
  <c r="BF69" i="2"/>
  <c r="BD69" i="2"/>
  <c r="BC69" i="2"/>
  <c r="BB69" i="2"/>
  <c r="BA69" i="2"/>
  <c r="AZ69" i="2"/>
  <c r="AY69" i="2"/>
  <c r="AC69" i="2"/>
  <c r="AB69" i="2"/>
  <c r="AA69" i="2"/>
  <c r="Z69" i="2"/>
  <c r="Y69" i="2"/>
  <c r="X69" i="2"/>
  <c r="W69" i="2"/>
  <c r="F69" i="2"/>
  <c r="BO82" i="2"/>
  <c r="BW82" i="2" s="1"/>
  <c r="BM82" i="2"/>
  <c r="BI82" i="2"/>
  <c r="BL82" i="2" s="1"/>
  <c r="BG82" i="2"/>
  <c r="BF82" i="2"/>
  <c r="BD82" i="2"/>
  <c r="BC82" i="2"/>
  <c r="BB82" i="2"/>
  <c r="BA82" i="2"/>
  <c r="AZ82" i="2"/>
  <c r="AY82" i="2"/>
  <c r="AC82" i="2"/>
  <c r="AB82" i="2"/>
  <c r="AA82" i="2"/>
  <c r="Z82" i="2"/>
  <c r="Y82" i="2"/>
  <c r="X82" i="2"/>
  <c r="W82" i="2"/>
  <c r="F82" i="2"/>
  <c r="BW50" i="2"/>
  <c r="BM50" i="2"/>
  <c r="BI50" i="2"/>
  <c r="BL50" i="2" s="1"/>
  <c r="BG50" i="2"/>
  <c r="BF50" i="2"/>
  <c r="BD50" i="2"/>
  <c r="BC50" i="2"/>
  <c r="BB50" i="2"/>
  <c r="BA50" i="2"/>
  <c r="AZ50" i="2"/>
  <c r="AY50" i="2"/>
  <c r="AC50" i="2"/>
  <c r="AB50" i="2"/>
  <c r="AA50" i="2"/>
  <c r="Z50" i="2"/>
  <c r="Y50" i="2"/>
  <c r="X50" i="2"/>
  <c r="W50" i="2"/>
  <c r="F50" i="2"/>
  <c r="BW52" i="2"/>
  <c r="BM52" i="2"/>
  <c r="BL52" i="2"/>
  <c r="BG52" i="2"/>
  <c r="BF52" i="2"/>
  <c r="BD52" i="2"/>
  <c r="BC52" i="2"/>
  <c r="BB52" i="2"/>
  <c r="BA52" i="2"/>
  <c r="AZ52" i="2"/>
  <c r="AY52" i="2"/>
  <c r="AC52" i="2"/>
  <c r="AB52" i="2"/>
  <c r="AA52" i="2"/>
  <c r="Z52" i="2"/>
  <c r="Y52" i="2"/>
  <c r="X52" i="2"/>
  <c r="W52" i="2"/>
  <c r="F52" i="2"/>
  <c r="BO11" i="2"/>
  <c r="BW11" i="2" s="1"/>
  <c r="BM11" i="2"/>
  <c r="BL11" i="2"/>
  <c r="BG11" i="2"/>
  <c r="BF11" i="2"/>
  <c r="BD11" i="2"/>
  <c r="BC11" i="2"/>
  <c r="BB11" i="2"/>
  <c r="BA11" i="2"/>
  <c r="AZ11" i="2"/>
  <c r="AY11" i="2"/>
  <c r="AC11" i="2"/>
  <c r="AB11" i="2"/>
  <c r="AA11" i="2"/>
  <c r="Z11" i="2"/>
  <c r="Y11" i="2"/>
  <c r="X11" i="2"/>
  <c r="W11" i="2"/>
  <c r="F11" i="2"/>
  <c r="BO54" i="2"/>
  <c r="BW54" i="2" s="1"/>
  <c r="BM54" i="2"/>
  <c r="BI54" i="2"/>
  <c r="BL54" i="2" s="1"/>
  <c r="BG54" i="2"/>
  <c r="BF54" i="2"/>
  <c r="BD54" i="2"/>
  <c r="BC54" i="2"/>
  <c r="BB54" i="2"/>
  <c r="BA54" i="2"/>
  <c r="AZ54" i="2"/>
  <c r="AY54" i="2"/>
  <c r="AC54" i="2"/>
  <c r="AB54" i="2"/>
  <c r="AA54" i="2"/>
  <c r="Z54" i="2"/>
  <c r="Y54" i="2"/>
  <c r="X54" i="2"/>
  <c r="W54" i="2"/>
  <c r="F54" i="2"/>
  <c r="BO51" i="2"/>
  <c r="BW51" i="2" s="1"/>
  <c r="BM51" i="2"/>
  <c r="BI51" i="2"/>
  <c r="BL51" i="2" s="1"/>
  <c r="BG51" i="2"/>
  <c r="BF51" i="2"/>
  <c r="BD51" i="2"/>
  <c r="BC51" i="2"/>
  <c r="BB51" i="2"/>
  <c r="BA51" i="2"/>
  <c r="AZ51" i="2"/>
  <c r="AY51" i="2"/>
  <c r="AC51" i="2"/>
  <c r="AB51" i="2"/>
  <c r="AA51" i="2"/>
  <c r="Z51" i="2"/>
  <c r="Y51" i="2"/>
  <c r="X51" i="2"/>
  <c r="W51" i="2"/>
  <c r="F51" i="2"/>
  <c r="BW40" i="2"/>
  <c r="BM40" i="2"/>
  <c r="BL40" i="2"/>
  <c r="BG40" i="2"/>
  <c r="BF40" i="2"/>
  <c r="BD40" i="2"/>
  <c r="BC40" i="2"/>
  <c r="BB40" i="2"/>
  <c r="BA40" i="2"/>
  <c r="AZ40" i="2"/>
  <c r="AY40" i="2"/>
  <c r="AC40" i="2"/>
  <c r="AB40" i="2"/>
  <c r="AA40" i="2"/>
  <c r="Z40" i="2"/>
  <c r="Y40" i="2"/>
  <c r="X40" i="2"/>
  <c r="W40" i="2"/>
  <c r="F40" i="2"/>
  <c r="BO72" i="2"/>
  <c r="BW72" i="2" s="1"/>
  <c r="BM72" i="2"/>
  <c r="BI72" i="2"/>
  <c r="BL72" i="2" s="1"/>
  <c r="BG72" i="2"/>
  <c r="BF72" i="2"/>
  <c r="BD72" i="2"/>
  <c r="BC72" i="2"/>
  <c r="BB72" i="2"/>
  <c r="BA72" i="2"/>
  <c r="AZ72" i="2"/>
  <c r="AY72" i="2"/>
  <c r="AC72" i="2"/>
  <c r="AB72" i="2"/>
  <c r="AA72" i="2"/>
  <c r="Z72" i="2"/>
  <c r="Y72" i="2"/>
  <c r="X72" i="2"/>
  <c r="W72" i="2"/>
  <c r="F72" i="2"/>
  <c r="BW61" i="2"/>
  <c r="BM61" i="2"/>
  <c r="BL61" i="2"/>
  <c r="BG61" i="2"/>
  <c r="BF61" i="2"/>
  <c r="BD61" i="2"/>
  <c r="BC61" i="2"/>
  <c r="BB61" i="2"/>
  <c r="BA61" i="2"/>
  <c r="AZ61" i="2"/>
  <c r="AY61" i="2"/>
  <c r="AC61" i="2"/>
  <c r="AB61" i="2"/>
  <c r="AA61" i="2"/>
  <c r="Z61" i="2"/>
  <c r="Y61" i="2"/>
  <c r="X61" i="2"/>
  <c r="W61" i="2"/>
  <c r="F61" i="2"/>
  <c r="BW68" i="2"/>
  <c r="BM68" i="2"/>
  <c r="BI68" i="2"/>
  <c r="BL68" i="2" s="1"/>
  <c r="BG68" i="2"/>
  <c r="BF68" i="2"/>
  <c r="BD68" i="2"/>
  <c r="BC68" i="2"/>
  <c r="BB68" i="2"/>
  <c r="BA68" i="2"/>
  <c r="AZ68" i="2"/>
  <c r="AY68" i="2"/>
  <c r="AC68" i="2"/>
  <c r="AB68" i="2"/>
  <c r="AA68" i="2"/>
  <c r="Z68" i="2"/>
  <c r="Y68" i="2"/>
  <c r="X68" i="2"/>
  <c r="W68" i="2"/>
  <c r="F68" i="2"/>
  <c r="BW84" i="2"/>
  <c r="BM84" i="2"/>
  <c r="BL84" i="2"/>
  <c r="BG84" i="2"/>
  <c r="BF84" i="2"/>
  <c r="BD84" i="2"/>
  <c r="BC84" i="2"/>
  <c r="BB84" i="2"/>
  <c r="BA84" i="2"/>
  <c r="AZ84" i="2"/>
  <c r="AY84" i="2"/>
  <c r="AC84" i="2"/>
  <c r="AB84" i="2"/>
  <c r="AA84" i="2"/>
  <c r="Z84" i="2"/>
  <c r="Y84" i="2"/>
  <c r="X84" i="2"/>
  <c r="W84" i="2"/>
  <c r="F84" i="2"/>
  <c r="BO74" i="2"/>
  <c r="BW74" i="2" s="1"/>
  <c r="BM74" i="2"/>
  <c r="BI74" i="2"/>
  <c r="BL74" i="2" s="1"/>
  <c r="BG74" i="2"/>
  <c r="BF74" i="2"/>
  <c r="BD74" i="2"/>
  <c r="BC74" i="2"/>
  <c r="BB74" i="2"/>
  <c r="BA74" i="2"/>
  <c r="AZ74" i="2"/>
  <c r="AY74" i="2"/>
  <c r="AC74" i="2"/>
  <c r="AB74" i="2"/>
  <c r="AA74" i="2"/>
  <c r="Z74" i="2"/>
  <c r="Y74" i="2"/>
  <c r="X74" i="2"/>
  <c r="W74" i="2"/>
  <c r="F74" i="2"/>
  <c r="BO60" i="2"/>
  <c r="BW60" i="2" s="1"/>
  <c r="BM60" i="2"/>
  <c r="BI60" i="2"/>
  <c r="BL60" i="2" s="1"/>
  <c r="BG60" i="2"/>
  <c r="BF60" i="2"/>
  <c r="BD60" i="2"/>
  <c r="BC60" i="2"/>
  <c r="BB60" i="2"/>
  <c r="BA60" i="2"/>
  <c r="AZ60" i="2"/>
  <c r="AY60" i="2"/>
  <c r="AC60" i="2"/>
  <c r="AB60" i="2"/>
  <c r="AA60" i="2"/>
  <c r="Z60" i="2"/>
  <c r="Y60" i="2"/>
  <c r="X60" i="2"/>
  <c r="W60" i="2"/>
  <c r="F60" i="2"/>
  <c r="BW62" i="2"/>
  <c r="BM62" i="2"/>
  <c r="BI62" i="2"/>
  <c r="BL62" i="2" s="1"/>
  <c r="BG62" i="2"/>
  <c r="BF62" i="2"/>
  <c r="BD62" i="2"/>
  <c r="BC62" i="2"/>
  <c r="BB62" i="2"/>
  <c r="BA62" i="2"/>
  <c r="AZ62" i="2"/>
  <c r="AY62" i="2"/>
  <c r="AC62" i="2"/>
  <c r="AB62" i="2"/>
  <c r="AA62" i="2"/>
  <c r="Z62" i="2"/>
  <c r="Y62" i="2"/>
  <c r="X62" i="2"/>
  <c r="W62" i="2"/>
  <c r="F62" i="2"/>
  <c r="BW9" i="2"/>
  <c r="BM9" i="2"/>
  <c r="BL9" i="2"/>
  <c r="BG9" i="2"/>
  <c r="BF9" i="2"/>
  <c r="BD9" i="2"/>
  <c r="BC9" i="2"/>
  <c r="BB9" i="2"/>
  <c r="BA9" i="2"/>
  <c r="AZ9" i="2"/>
  <c r="AY9" i="2"/>
  <c r="AC9" i="2"/>
  <c r="AB9" i="2"/>
  <c r="AA9" i="2"/>
  <c r="Z9" i="2"/>
  <c r="Y9" i="2"/>
  <c r="X9" i="2"/>
  <c r="W9" i="2"/>
  <c r="F9" i="2"/>
  <c r="BW10" i="2"/>
  <c r="BM10" i="2"/>
  <c r="BL10" i="2"/>
  <c r="BG10" i="2"/>
  <c r="BF10" i="2"/>
  <c r="BD10" i="2"/>
  <c r="BC10" i="2"/>
  <c r="BB10" i="2"/>
  <c r="BA10" i="2"/>
  <c r="AZ10" i="2"/>
  <c r="AY10" i="2"/>
  <c r="AC10" i="2"/>
  <c r="AB10" i="2"/>
  <c r="AA10" i="2"/>
  <c r="Z10" i="2"/>
  <c r="Y10" i="2"/>
  <c r="X10" i="2"/>
  <c r="W10" i="2"/>
  <c r="F10" i="2"/>
  <c r="BW44" i="2"/>
  <c r="BM44" i="2"/>
  <c r="BI44" i="2"/>
  <c r="BL44" i="2" s="1"/>
  <c r="BG44" i="2"/>
  <c r="BF44" i="2"/>
  <c r="BD44" i="2"/>
  <c r="BC44" i="2"/>
  <c r="BB44" i="2"/>
  <c r="BA44" i="2"/>
  <c r="AZ44" i="2"/>
  <c r="AY44" i="2"/>
  <c r="AC44" i="2"/>
  <c r="AB44" i="2"/>
  <c r="AA44" i="2"/>
  <c r="Z44" i="2"/>
  <c r="Y44" i="2"/>
  <c r="X44" i="2"/>
  <c r="W44" i="2"/>
  <c r="F44" i="2"/>
  <c r="BW16" i="2"/>
  <c r="BM16" i="2"/>
  <c r="BL16" i="2"/>
  <c r="BG16" i="2"/>
  <c r="BF16" i="2"/>
  <c r="BD16" i="2"/>
  <c r="BC16" i="2"/>
  <c r="BB16" i="2"/>
  <c r="BA16" i="2"/>
  <c r="AZ16" i="2"/>
  <c r="AY16" i="2"/>
  <c r="AC16" i="2"/>
  <c r="AB16" i="2"/>
  <c r="AA16" i="2"/>
  <c r="Z16" i="2"/>
  <c r="Y16" i="2"/>
  <c r="X16" i="2"/>
  <c r="W16" i="2"/>
  <c r="F16" i="2"/>
  <c r="BW46" i="2"/>
  <c r="BM46" i="2"/>
  <c r="BI46" i="2"/>
  <c r="BL46" i="2" s="1"/>
  <c r="BG46" i="2"/>
  <c r="BF46" i="2"/>
  <c r="BD46" i="2"/>
  <c r="BC46" i="2"/>
  <c r="BB46" i="2"/>
  <c r="BA46" i="2"/>
  <c r="AZ46" i="2"/>
  <c r="AY46" i="2"/>
  <c r="AC46" i="2"/>
  <c r="AB46" i="2"/>
  <c r="AA46" i="2"/>
  <c r="Z46" i="2"/>
  <c r="Y46" i="2"/>
  <c r="X46" i="2"/>
  <c r="W46" i="2"/>
  <c r="F46" i="2"/>
  <c r="BW7" i="2"/>
  <c r="BM7" i="2"/>
  <c r="BL7" i="2"/>
  <c r="BG7" i="2"/>
  <c r="BF7" i="2"/>
  <c r="BD7" i="2"/>
  <c r="BC7" i="2"/>
  <c r="BB7" i="2"/>
  <c r="BA7" i="2"/>
  <c r="AZ7" i="2"/>
  <c r="AY7" i="2"/>
  <c r="AC7" i="2"/>
  <c r="AB7" i="2"/>
  <c r="AA7" i="2"/>
  <c r="Z7" i="2"/>
  <c r="Y7" i="2"/>
  <c r="X7" i="2"/>
  <c r="W7" i="2"/>
  <c r="F7" i="2"/>
  <c r="BW18" i="2"/>
  <c r="BM18" i="2"/>
  <c r="BL18" i="2"/>
  <c r="BG18" i="2"/>
  <c r="BF18" i="2"/>
  <c r="BD18" i="2"/>
  <c r="BC18" i="2"/>
  <c r="BB18" i="2"/>
  <c r="BA18" i="2"/>
  <c r="AZ18" i="2"/>
  <c r="AY18" i="2"/>
  <c r="AC18" i="2"/>
  <c r="AB18" i="2"/>
  <c r="AA18" i="2"/>
  <c r="Z18" i="2"/>
  <c r="Y18" i="2"/>
  <c r="X18" i="2"/>
  <c r="W18" i="2"/>
  <c r="F18" i="2"/>
  <c r="BW27" i="2"/>
  <c r="BM27" i="2"/>
  <c r="BL27" i="2"/>
  <c r="BG27" i="2"/>
  <c r="BF27" i="2"/>
  <c r="BD27" i="2"/>
  <c r="BC27" i="2"/>
  <c r="BB27" i="2"/>
  <c r="BA27" i="2"/>
  <c r="AZ27" i="2"/>
  <c r="AY27" i="2"/>
  <c r="AC27" i="2"/>
  <c r="AB27" i="2"/>
  <c r="AA27" i="2"/>
  <c r="Z27" i="2"/>
  <c r="Y27" i="2"/>
  <c r="X27" i="2"/>
  <c r="W27" i="2"/>
  <c r="F27" i="2"/>
  <c r="BW38" i="2"/>
  <c r="BM38" i="2"/>
  <c r="BL38" i="2"/>
  <c r="BG38" i="2"/>
  <c r="BF38" i="2"/>
  <c r="BD38" i="2"/>
  <c r="BC38" i="2"/>
  <c r="BB38" i="2"/>
  <c r="BA38" i="2"/>
  <c r="AZ38" i="2"/>
  <c r="AY38" i="2"/>
  <c r="AC38" i="2"/>
  <c r="AB38" i="2"/>
  <c r="AA38" i="2"/>
  <c r="Z38" i="2"/>
  <c r="Y38" i="2"/>
  <c r="X38" i="2"/>
  <c r="W38" i="2"/>
  <c r="F38" i="2"/>
  <c r="BW42" i="2"/>
  <c r="BM42" i="2"/>
  <c r="BL42" i="2"/>
  <c r="BG42" i="2"/>
  <c r="BF42" i="2"/>
  <c r="BD42" i="2"/>
  <c r="BC42" i="2"/>
  <c r="BB42" i="2"/>
  <c r="BA42" i="2"/>
  <c r="AZ42" i="2"/>
  <c r="AY42" i="2"/>
  <c r="AC42" i="2"/>
  <c r="AB42" i="2"/>
  <c r="AA42" i="2"/>
  <c r="Z42" i="2"/>
  <c r="Y42" i="2"/>
  <c r="X42" i="2"/>
  <c r="W42" i="2"/>
  <c r="F42" i="2"/>
  <c r="BW45" i="2"/>
  <c r="BM45" i="2"/>
  <c r="BL45" i="2"/>
  <c r="BG45" i="2"/>
  <c r="BF45" i="2"/>
  <c r="BD45" i="2"/>
  <c r="BC45" i="2"/>
  <c r="BB45" i="2"/>
  <c r="BA45" i="2"/>
  <c r="AZ45" i="2"/>
  <c r="AY45" i="2"/>
  <c r="AC45" i="2"/>
  <c r="AB45" i="2"/>
  <c r="AA45" i="2"/>
  <c r="Z45" i="2"/>
  <c r="Y45" i="2"/>
  <c r="X45" i="2"/>
  <c r="W45" i="2"/>
  <c r="F45" i="2"/>
  <c r="BY41" i="2"/>
  <c r="BX41" i="2"/>
  <c r="BW41" i="2"/>
  <c r="BM41" i="2"/>
  <c r="BL41" i="2"/>
  <c r="BG41" i="2"/>
  <c r="BF41" i="2"/>
  <c r="BD41" i="2"/>
  <c r="BC41" i="2"/>
  <c r="BB41" i="2"/>
  <c r="BA41" i="2"/>
  <c r="AZ41" i="2"/>
  <c r="AY41" i="2"/>
  <c r="AX41" i="2"/>
  <c r="AC41" i="2"/>
  <c r="AB41" i="2"/>
  <c r="AA41" i="2"/>
  <c r="Z41" i="2"/>
  <c r="Y41" i="2"/>
  <c r="X41" i="2"/>
  <c r="W41" i="2"/>
  <c r="F41" i="2"/>
  <c r="BW34" i="2"/>
  <c r="BM34" i="2"/>
  <c r="BL34" i="2"/>
  <c r="BG34" i="2"/>
  <c r="BF34" i="2"/>
  <c r="BD34" i="2"/>
  <c r="BC34" i="2"/>
  <c r="BB34" i="2"/>
  <c r="BA34" i="2"/>
  <c r="AZ34" i="2"/>
  <c r="AY34" i="2"/>
  <c r="AC34" i="2"/>
  <c r="AB34" i="2"/>
  <c r="AA34" i="2"/>
  <c r="Z34" i="2"/>
  <c r="Y34" i="2"/>
  <c r="X34" i="2"/>
  <c r="W34" i="2"/>
  <c r="F34" i="2"/>
  <c r="BW33" i="2"/>
  <c r="BM33" i="2"/>
  <c r="BI33" i="2"/>
  <c r="BL33" i="2" s="1"/>
  <c r="BG33" i="2"/>
  <c r="BF33" i="2"/>
  <c r="BD33" i="2"/>
  <c r="BC33" i="2"/>
  <c r="BB33" i="2"/>
  <c r="BA33" i="2"/>
  <c r="AZ33" i="2"/>
  <c r="AY33" i="2"/>
  <c r="AC33" i="2"/>
  <c r="AB33" i="2"/>
  <c r="AA33" i="2"/>
  <c r="Z33" i="2"/>
  <c r="Y33" i="2"/>
  <c r="X33" i="2"/>
  <c r="W33" i="2"/>
  <c r="F33" i="2"/>
  <c r="BW14" i="2"/>
  <c r="BM14" i="2"/>
  <c r="BL14" i="2"/>
  <c r="BG14" i="2"/>
  <c r="BF14" i="2"/>
  <c r="BD14" i="2"/>
  <c r="BC14" i="2"/>
  <c r="BB14" i="2"/>
  <c r="BA14" i="2"/>
  <c r="AZ14" i="2"/>
  <c r="AY14" i="2"/>
  <c r="AC14" i="2"/>
  <c r="AB14" i="2"/>
  <c r="AA14" i="2"/>
  <c r="Z14" i="2"/>
  <c r="Y14" i="2"/>
  <c r="X14" i="2"/>
  <c r="W14" i="2"/>
  <c r="F14" i="2"/>
  <c r="BW81" i="2"/>
  <c r="BM81" i="2"/>
  <c r="BL81" i="2"/>
  <c r="BG81" i="2"/>
  <c r="BF81" i="2"/>
  <c r="BD81" i="2"/>
  <c r="BC81" i="2"/>
  <c r="BB81" i="2"/>
  <c r="BA81" i="2"/>
  <c r="AZ81" i="2"/>
  <c r="AY81" i="2"/>
  <c r="AC81" i="2"/>
  <c r="AB81" i="2"/>
  <c r="AA81" i="2"/>
  <c r="Z81" i="2"/>
  <c r="Y81" i="2"/>
  <c r="X81" i="2"/>
  <c r="W81" i="2"/>
  <c r="F81" i="2"/>
  <c r="BW5" i="2"/>
  <c r="BM5" i="2"/>
  <c r="BL5" i="2"/>
  <c r="BG5" i="2"/>
  <c r="BF5" i="2"/>
  <c r="BD5" i="2"/>
  <c r="BC5" i="2"/>
  <c r="BB5" i="2"/>
  <c r="BA5" i="2"/>
  <c r="AZ5" i="2"/>
  <c r="AY5" i="2"/>
  <c r="AC5" i="2"/>
  <c r="AB5" i="2"/>
  <c r="AA5" i="2"/>
  <c r="Z5" i="2"/>
  <c r="Y5" i="2"/>
  <c r="X5" i="2"/>
  <c r="W5" i="2"/>
  <c r="F5" i="2"/>
  <c r="BO23" i="2"/>
  <c r="BW23" i="2" s="1"/>
  <c r="BM23" i="2"/>
  <c r="BL23" i="2"/>
  <c r="BG23" i="2"/>
  <c r="BF23" i="2"/>
  <c r="BD23" i="2"/>
  <c r="BC23" i="2"/>
  <c r="BB23" i="2"/>
  <c r="BA23" i="2"/>
  <c r="AZ23" i="2"/>
  <c r="AY23" i="2"/>
  <c r="AC23" i="2"/>
  <c r="AB23" i="2"/>
  <c r="AA23" i="2"/>
  <c r="Z23" i="2"/>
  <c r="Y23" i="2"/>
  <c r="X23" i="2"/>
  <c r="W23" i="2"/>
  <c r="F23" i="2"/>
  <c r="BW31" i="2"/>
  <c r="BM31" i="2"/>
  <c r="BL31" i="2"/>
  <c r="BG31" i="2"/>
  <c r="BF31" i="2"/>
  <c r="BD31" i="2"/>
  <c r="BC31" i="2"/>
  <c r="BB31" i="2"/>
  <c r="BA31" i="2"/>
  <c r="AZ31" i="2"/>
  <c r="AY31" i="2"/>
  <c r="AC31" i="2"/>
  <c r="AB31" i="2"/>
  <c r="AA31" i="2"/>
  <c r="Z31" i="2"/>
  <c r="Y31" i="2"/>
  <c r="X31" i="2"/>
  <c r="W31" i="2"/>
  <c r="F31" i="2"/>
  <c r="BW35" i="2"/>
  <c r="BM35" i="2"/>
  <c r="BL35" i="2"/>
  <c r="BG35" i="2"/>
  <c r="BF35" i="2"/>
  <c r="BD35" i="2"/>
  <c r="BC35" i="2"/>
  <c r="BB35" i="2"/>
  <c r="BA35" i="2"/>
  <c r="AZ35" i="2"/>
  <c r="AY35" i="2"/>
  <c r="AC35" i="2"/>
  <c r="AB35" i="2"/>
  <c r="AA35" i="2"/>
  <c r="Z35" i="2"/>
  <c r="Y35" i="2"/>
  <c r="X35" i="2"/>
  <c r="W35" i="2"/>
  <c r="F35" i="2"/>
  <c r="BW20" i="2"/>
  <c r="BM20" i="2"/>
  <c r="BI20" i="2"/>
  <c r="BL20" i="2" s="1"/>
  <c r="BG20" i="2"/>
  <c r="BF20" i="2"/>
  <c r="BD20" i="2"/>
  <c r="BC20" i="2"/>
  <c r="BB20" i="2"/>
  <c r="BA20" i="2"/>
  <c r="AZ20" i="2"/>
  <c r="AY20" i="2"/>
  <c r="AC20" i="2"/>
  <c r="AB20" i="2"/>
  <c r="AA20" i="2"/>
  <c r="Z20" i="2"/>
  <c r="Y20" i="2"/>
  <c r="X20" i="2"/>
  <c r="W20" i="2"/>
  <c r="F20" i="2"/>
  <c r="BW6" i="2"/>
  <c r="BM6" i="2"/>
  <c r="BL6" i="2"/>
  <c r="BG6" i="2"/>
  <c r="BF6" i="2"/>
  <c r="BD6" i="2"/>
  <c r="BC6" i="2"/>
  <c r="BB6" i="2"/>
  <c r="BA6" i="2"/>
  <c r="AZ6" i="2"/>
  <c r="AY6" i="2"/>
  <c r="AC6" i="2"/>
  <c r="AB6" i="2"/>
  <c r="AA6" i="2"/>
  <c r="Z6" i="2"/>
  <c r="Y6" i="2"/>
  <c r="X6" i="2"/>
  <c r="W6" i="2"/>
  <c r="F6" i="2"/>
  <c r="BW73" i="2"/>
  <c r="BM73" i="2"/>
  <c r="BI73" i="2"/>
  <c r="BL73" i="2" s="1"/>
  <c r="BG73" i="2"/>
  <c r="BF73" i="2"/>
  <c r="BD73" i="2"/>
  <c r="BC73" i="2"/>
  <c r="BB73" i="2"/>
  <c r="BA73" i="2"/>
  <c r="AZ73" i="2"/>
  <c r="AY73" i="2"/>
  <c r="AC73" i="2"/>
  <c r="AB73" i="2"/>
  <c r="AA73" i="2"/>
  <c r="Z73" i="2"/>
  <c r="Y73" i="2"/>
  <c r="X73" i="2"/>
  <c r="W73" i="2"/>
  <c r="F73" i="2"/>
  <c r="BW90" i="2"/>
  <c r="BM90" i="2"/>
  <c r="BL90" i="2"/>
  <c r="BG90" i="2"/>
  <c r="BF90" i="2"/>
  <c r="BD90" i="2"/>
  <c r="BC90" i="2"/>
  <c r="BB90" i="2"/>
  <c r="BA90" i="2"/>
  <c r="AZ90" i="2"/>
  <c r="AY90" i="2"/>
  <c r="AC90" i="2"/>
  <c r="AB90" i="2"/>
  <c r="AA90" i="2"/>
  <c r="Z90" i="2"/>
  <c r="Y90" i="2"/>
  <c r="X90" i="2"/>
  <c r="W90" i="2"/>
  <c r="F90" i="2"/>
  <c r="BW88" i="2"/>
  <c r="BM88" i="2"/>
  <c r="BL88" i="2"/>
  <c r="BG88" i="2"/>
  <c r="BF88" i="2"/>
  <c r="BD88" i="2"/>
  <c r="BC88" i="2"/>
  <c r="BB88" i="2"/>
  <c r="BA88" i="2"/>
  <c r="AZ88" i="2"/>
  <c r="AY88" i="2"/>
  <c r="AC88" i="2"/>
  <c r="AB88" i="2"/>
  <c r="AA88" i="2"/>
  <c r="Z88" i="2"/>
  <c r="Y88" i="2"/>
  <c r="X88" i="2"/>
  <c r="W88" i="2"/>
  <c r="F88" i="2"/>
  <c r="BW80" i="2"/>
  <c r="BM80" i="2"/>
  <c r="BI80" i="2"/>
  <c r="BL80" i="2" s="1"/>
  <c r="BG80" i="2"/>
  <c r="BF80" i="2"/>
  <c r="BD80" i="2"/>
  <c r="BC80" i="2"/>
  <c r="BB80" i="2"/>
  <c r="BA80" i="2"/>
  <c r="AZ80" i="2"/>
  <c r="AY80" i="2"/>
  <c r="AC80" i="2"/>
  <c r="AB80" i="2"/>
  <c r="AA80" i="2"/>
  <c r="Z80" i="2"/>
  <c r="Y80" i="2"/>
  <c r="X80" i="2"/>
  <c r="W80" i="2"/>
  <c r="F80" i="2"/>
  <c r="BO29" i="2"/>
  <c r="BW29" i="2" s="1"/>
  <c r="BM29" i="2"/>
  <c r="BL29" i="2"/>
  <c r="BG29" i="2"/>
  <c r="BF29" i="2"/>
  <c r="BD29" i="2"/>
  <c r="BC29" i="2"/>
  <c r="BB29" i="2"/>
  <c r="BA29" i="2"/>
  <c r="AZ29" i="2"/>
  <c r="AY29" i="2"/>
  <c r="AC29" i="2"/>
  <c r="AB29" i="2"/>
  <c r="AA29" i="2"/>
  <c r="Z29" i="2"/>
  <c r="Y29" i="2"/>
  <c r="X29" i="2"/>
  <c r="W29" i="2"/>
  <c r="F29" i="2"/>
  <c r="BW12" i="2"/>
  <c r="BM12" i="2"/>
  <c r="BL12" i="2"/>
  <c r="BG12" i="2"/>
  <c r="BF12" i="2"/>
  <c r="BD12" i="2"/>
  <c r="BC12" i="2"/>
  <c r="BB12" i="2"/>
  <c r="BA12" i="2"/>
  <c r="AZ12" i="2"/>
  <c r="AY12" i="2"/>
  <c r="AC12" i="2"/>
  <c r="AB12" i="2"/>
  <c r="AA12" i="2"/>
  <c r="Z12" i="2"/>
  <c r="Y12" i="2"/>
  <c r="X12" i="2"/>
  <c r="W12" i="2"/>
  <c r="F12" i="2"/>
  <c r="BO59" i="2"/>
  <c r="BW59" i="2" s="1"/>
  <c r="BM59" i="2"/>
  <c r="BI59" i="2"/>
  <c r="BL59" i="2" s="1"/>
  <c r="BG59" i="2"/>
  <c r="BF59" i="2"/>
  <c r="BD59" i="2"/>
  <c r="BC59" i="2"/>
  <c r="BB59" i="2"/>
  <c r="BA59" i="2"/>
  <c r="AZ59" i="2"/>
  <c r="AY59" i="2"/>
  <c r="AC59" i="2"/>
  <c r="AB59" i="2"/>
  <c r="AA59" i="2"/>
  <c r="Z59" i="2"/>
  <c r="Y59" i="2"/>
  <c r="X59" i="2"/>
  <c r="W59" i="2"/>
  <c r="F59" i="2"/>
  <c r="BW97" i="2"/>
  <c r="BM97" i="2"/>
  <c r="BL97" i="2"/>
  <c r="BG97" i="2"/>
  <c r="BF97" i="2"/>
  <c r="BD97" i="2"/>
  <c r="BC97" i="2"/>
  <c r="BB97" i="2"/>
  <c r="BA97" i="2"/>
  <c r="AZ97" i="2"/>
  <c r="AY97" i="2"/>
  <c r="AC97" i="2"/>
  <c r="AB97" i="2"/>
  <c r="AA97" i="2"/>
  <c r="Z97" i="2"/>
  <c r="Y97" i="2"/>
  <c r="X97" i="2"/>
  <c r="W97" i="2"/>
  <c r="F97" i="2"/>
  <c r="BW36" i="2"/>
  <c r="BM36" i="2"/>
  <c r="BL36" i="2"/>
  <c r="BG36" i="2"/>
  <c r="BF36" i="2"/>
  <c r="BD36" i="2"/>
  <c r="BC36" i="2"/>
  <c r="BB36" i="2"/>
  <c r="BA36" i="2"/>
  <c r="AZ36" i="2"/>
  <c r="AY36" i="2"/>
  <c r="AC36" i="2"/>
  <c r="AB36" i="2"/>
  <c r="AA36" i="2"/>
  <c r="Z36" i="2"/>
  <c r="Y36" i="2"/>
  <c r="X36" i="2"/>
  <c r="W36" i="2"/>
  <c r="F36" i="2"/>
  <c r="BO55" i="2"/>
  <c r="BW55" i="2" s="1"/>
  <c r="BM55" i="2"/>
  <c r="BI55" i="2"/>
  <c r="BL55" i="2" s="1"/>
  <c r="BG55" i="2"/>
  <c r="BF55" i="2"/>
  <c r="BD55" i="2"/>
  <c r="BC55" i="2"/>
  <c r="BB55" i="2"/>
  <c r="BA55" i="2"/>
  <c r="AZ55" i="2"/>
  <c r="AY55" i="2"/>
  <c r="AC55" i="2"/>
  <c r="AB55" i="2"/>
  <c r="AA55" i="2"/>
  <c r="Z55" i="2"/>
  <c r="Y55" i="2"/>
  <c r="X55" i="2"/>
  <c r="W55" i="2"/>
  <c r="F55" i="2"/>
  <c r="BO57" i="2"/>
  <c r="BW57" i="2" s="1"/>
  <c r="BM57" i="2"/>
  <c r="BI57" i="2"/>
  <c r="BL57" i="2" s="1"/>
  <c r="BG57" i="2"/>
  <c r="BF57" i="2"/>
  <c r="BD57" i="2"/>
  <c r="BC57" i="2"/>
  <c r="BB57" i="2"/>
  <c r="BA57" i="2"/>
  <c r="AZ57" i="2"/>
  <c r="AY57" i="2"/>
  <c r="AC57" i="2"/>
  <c r="AB57" i="2"/>
  <c r="AA57" i="2"/>
  <c r="Z57" i="2"/>
  <c r="Y57" i="2"/>
  <c r="X57" i="2"/>
  <c r="W57" i="2"/>
  <c r="F57" i="2"/>
  <c r="BO79" i="2"/>
  <c r="BW79" i="2" s="1"/>
  <c r="BM79" i="2"/>
  <c r="BI79" i="2"/>
  <c r="BL79" i="2" s="1"/>
  <c r="BG79" i="2"/>
  <c r="BF79" i="2"/>
  <c r="BD79" i="2"/>
  <c r="BC79" i="2"/>
  <c r="BB79" i="2"/>
  <c r="BA79" i="2"/>
  <c r="AZ79" i="2"/>
  <c r="AY79" i="2"/>
  <c r="AC79" i="2"/>
  <c r="AB79" i="2"/>
  <c r="AA79" i="2"/>
  <c r="Z79" i="2"/>
  <c r="Y79" i="2"/>
  <c r="X79" i="2"/>
  <c r="W79" i="2"/>
  <c r="F79" i="2"/>
  <c r="BO58" i="2"/>
  <c r="BW58" i="2" s="1"/>
  <c r="BM58" i="2"/>
  <c r="BI58" i="2"/>
  <c r="BL58" i="2" s="1"/>
  <c r="BG58" i="2"/>
  <c r="BF58" i="2"/>
  <c r="BD58" i="2"/>
  <c r="BC58" i="2"/>
  <c r="BB58" i="2"/>
  <c r="BA58" i="2"/>
  <c r="AZ58" i="2"/>
  <c r="AY58" i="2"/>
  <c r="AC58" i="2"/>
  <c r="AB58" i="2"/>
  <c r="AA58" i="2"/>
  <c r="Z58" i="2"/>
  <c r="Y58" i="2"/>
  <c r="X58" i="2"/>
  <c r="W58" i="2"/>
  <c r="F58" i="2"/>
  <c r="BO63" i="2"/>
  <c r="BW63" i="2" s="1"/>
  <c r="BM63" i="2"/>
  <c r="BI63" i="2"/>
  <c r="BL63" i="2" s="1"/>
  <c r="BG63" i="2"/>
  <c r="BF63" i="2"/>
  <c r="BD63" i="2"/>
  <c r="BC63" i="2"/>
  <c r="BB63" i="2"/>
  <c r="BA63" i="2"/>
  <c r="AZ63" i="2"/>
  <c r="AY63" i="2"/>
  <c r="AC63" i="2"/>
  <c r="AB63" i="2"/>
  <c r="AA63" i="2"/>
  <c r="Z63" i="2"/>
  <c r="Y63" i="2"/>
  <c r="X63" i="2"/>
  <c r="W63" i="2"/>
  <c r="F63" i="2"/>
  <c r="BO22" i="2"/>
  <c r="BW22" i="2" s="1"/>
  <c r="BM22" i="2"/>
  <c r="BL22" i="2"/>
  <c r="BG22" i="2"/>
  <c r="BF22" i="2"/>
  <c r="BD22" i="2"/>
  <c r="BC22" i="2"/>
  <c r="BB22" i="2"/>
  <c r="BA22" i="2"/>
  <c r="AZ22" i="2"/>
  <c r="AY22" i="2"/>
  <c r="AC22" i="2"/>
  <c r="AB22" i="2"/>
  <c r="AA22" i="2"/>
  <c r="Z22" i="2"/>
  <c r="Y22" i="2"/>
  <c r="X22" i="2"/>
  <c r="W22" i="2"/>
  <c r="F22" i="2"/>
  <c r="BW99" i="2"/>
  <c r="BM99" i="2"/>
  <c r="BL99" i="2"/>
  <c r="BG99" i="2"/>
  <c r="BF99" i="2"/>
  <c r="BD99" i="2"/>
  <c r="BC99" i="2"/>
  <c r="BB99" i="2"/>
  <c r="BA99" i="2"/>
  <c r="AZ99" i="2"/>
  <c r="AY99" i="2"/>
  <c r="AC99" i="2"/>
  <c r="AB99" i="2"/>
  <c r="AA99" i="2"/>
  <c r="Z99" i="2"/>
  <c r="Y99" i="2"/>
  <c r="X99" i="2"/>
  <c r="W99" i="2"/>
  <c r="F99" i="2"/>
  <c r="BW91" i="2"/>
  <c r="BM91" i="2"/>
  <c r="BL91" i="2"/>
  <c r="BG91" i="2"/>
  <c r="BF91" i="2"/>
  <c r="BD91" i="2"/>
  <c r="BC91" i="2"/>
  <c r="BB91" i="2"/>
  <c r="BA91" i="2"/>
  <c r="AZ91" i="2"/>
  <c r="AY91" i="2"/>
  <c r="AC91" i="2"/>
  <c r="AB91" i="2"/>
  <c r="AA91" i="2"/>
  <c r="Z91" i="2"/>
  <c r="Y91" i="2"/>
  <c r="X91" i="2"/>
  <c r="W91" i="2"/>
  <c r="F91" i="2"/>
  <c r="BW48" i="2"/>
  <c r="BM48" i="2"/>
  <c r="BI48" i="2"/>
  <c r="BL48" i="2" s="1"/>
  <c r="BG48" i="2"/>
  <c r="BF48" i="2"/>
  <c r="BD48" i="2"/>
  <c r="BC48" i="2"/>
  <c r="BB48" i="2"/>
  <c r="BA48" i="2"/>
  <c r="AZ48" i="2"/>
  <c r="AY48" i="2"/>
  <c r="AC48" i="2"/>
  <c r="AB48" i="2"/>
  <c r="AA48" i="2"/>
  <c r="Z48" i="2"/>
  <c r="Y48" i="2"/>
  <c r="X48" i="2"/>
  <c r="W48" i="2"/>
  <c r="F48" i="2"/>
  <c r="BO64" i="2"/>
  <c r="BW64" i="2" s="1"/>
  <c r="BM64" i="2"/>
  <c r="BI64" i="2"/>
  <c r="BL64" i="2" s="1"/>
  <c r="BG64" i="2"/>
  <c r="BF64" i="2"/>
  <c r="BD64" i="2"/>
  <c r="BC64" i="2"/>
  <c r="BB64" i="2"/>
  <c r="BA64" i="2"/>
  <c r="AZ64" i="2"/>
  <c r="AY64" i="2"/>
  <c r="AC64" i="2"/>
  <c r="AB64" i="2"/>
  <c r="AA64" i="2"/>
  <c r="Z64" i="2"/>
  <c r="Y64" i="2"/>
  <c r="X64" i="2"/>
  <c r="W64" i="2"/>
  <c r="F64" i="2"/>
  <c r="BW4" i="2"/>
  <c r="BM4" i="2"/>
  <c r="BL4" i="2"/>
  <c r="BG4" i="2"/>
  <c r="BF4" i="2"/>
  <c r="BD4" i="2"/>
  <c r="BC4" i="2"/>
  <c r="BB4" i="2"/>
  <c r="BA4" i="2"/>
  <c r="AZ4" i="2"/>
  <c r="AY4" i="2"/>
  <c r="AC4" i="2"/>
  <c r="AB4" i="2"/>
  <c r="AA4" i="2"/>
  <c r="Z4" i="2"/>
  <c r="Y4" i="2"/>
  <c r="X4" i="2"/>
  <c r="W4" i="2"/>
  <c r="F4" i="2"/>
  <c r="BO8" i="2"/>
  <c r="BW8" i="2" s="1"/>
  <c r="BM8" i="2"/>
  <c r="BL8" i="2"/>
  <c r="BG8" i="2"/>
  <c r="BF8" i="2"/>
  <c r="BD8" i="2"/>
  <c r="BC8" i="2"/>
  <c r="BB8" i="2"/>
  <c r="BA8" i="2"/>
  <c r="AZ8" i="2"/>
  <c r="AY8" i="2"/>
  <c r="AC8" i="2"/>
  <c r="AB8" i="2"/>
  <c r="AA8" i="2"/>
  <c r="Z8" i="2"/>
  <c r="Y8" i="2"/>
  <c r="X8" i="2"/>
  <c r="W8" i="2"/>
  <c r="F8" i="2"/>
  <c r="BO26" i="2"/>
  <c r="BW26" i="2" s="1"/>
  <c r="BM26" i="2"/>
  <c r="BL26" i="2"/>
  <c r="BG26" i="2"/>
  <c r="BF26" i="2"/>
  <c r="BD26" i="2"/>
  <c r="BC26" i="2"/>
  <c r="BB26" i="2"/>
  <c r="BA26" i="2"/>
  <c r="AZ26" i="2"/>
  <c r="AY26" i="2"/>
  <c r="AC26" i="2"/>
  <c r="AB26" i="2"/>
  <c r="AA26" i="2"/>
  <c r="Z26" i="2"/>
  <c r="Y26" i="2"/>
  <c r="X26" i="2"/>
  <c r="W26" i="2"/>
  <c r="F26" i="2"/>
  <c r="BW94" i="2"/>
  <c r="BM94" i="2"/>
  <c r="BL94" i="2"/>
  <c r="BG94" i="2"/>
  <c r="BF94" i="2"/>
  <c r="BD94" i="2"/>
  <c r="BC94" i="2"/>
  <c r="BB94" i="2"/>
  <c r="BA94" i="2"/>
  <c r="AZ94" i="2"/>
  <c r="AY94" i="2"/>
  <c r="AC94" i="2"/>
  <c r="AB94" i="2"/>
  <c r="AA94" i="2"/>
  <c r="Z94" i="2"/>
  <c r="Y94" i="2"/>
  <c r="X94" i="2"/>
  <c r="W94" i="2"/>
  <c r="F94" i="2"/>
  <c r="BW95" i="2"/>
  <c r="BM95" i="2"/>
  <c r="BL95" i="2"/>
  <c r="BG95" i="2"/>
  <c r="BF95" i="2"/>
  <c r="BD95" i="2"/>
  <c r="BC95" i="2"/>
  <c r="BB95" i="2"/>
  <c r="BA95" i="2"/>
  <c r="AZ95" i="2"/>
  <c r="AY95" i="2"/>
  <c r="AC95" i="2"/>
  <c r="AB95" i="2"/>
  <c r="AA95" i="2"/>
  <c r="Z95" i="2"/>
  <c r="Y95" i="2"/>
  <c r="X95" i="2"/>
  <c r="W95" i="2"/>
  <c r="F95" i="2"/>
  <c r="BW92" i="2"/>
  <c r="BK92" i="2"/>
  <c r="BM92" i="2" s="1"/>
  <c r="BI92" i="2"/>
  <c r="BL92" i="2" s="1"/>
  <c r="BG92" i="2"/>
  <c r="BF92" i="2"/>
  <c r="BD92" i="2"/>
  <c r="BC92" i="2"/>
  <c r="BB92" i="2"/>
  <c r="BA92" i="2"/>
  <c r="AZ92" i="2"/>
  <c r="AY92" i="2"/>
  <c r="AC92" i="2"/>
  <c r="AB92" i="2"/>
  <c r="AA92" i="2"/>
  <c r="Z92" i="2"/>
  <c r="Y92" i="2"/>
  <c r="X92" i="2"/>
  <c r="W92" i="2"/>
  <c r="F92" i="2"/>
  <c r="BW49" i="2"/>
  <c r="BM49" i="2"/>
  <c r="BI49" i="2"/>
  <c r="BL49" i="2" s="1"/>
  <c r="BG49" i="2"/>
  <c r="BF49" i="2"/>
  <c r="BD49" i="2"/>
  <c r="BC49" i="2"/>
  <c r="BB49" i="2"/>
  <c r="BA49" i="2"/>
  <c r="AZ49" i="2"/>
  <c r="AY49" i="2"/>
  <c r="AC49" i="2"/>
  <c r="AB49" i="2"/>
  <c r="AA49" i="2"/>
  <c r="Z49" i="2"/>
  <c r="Y49" i="2"/>
  <c r="X49" i="2"/>
  <c r="W49" i="2"/>
  <c r="F49" i="2"/>
  <c r="BW89" i="2"/>
  <c r="BM89" i="2"/>
  <c r="BL89" i="2"/>
  <c r="BG89" i="2"/>
  <c r="BF89" i="2"/>
  <c r="BD89" i="2"/>
  <c r="BC89" i="2"/>
  <c r="BB89" i="2"/>
  <c r="BA89" i="2"/>
  <c r="AZ89" i="2"/>
  <c r="AY89" i="2"/>
  <c r="AC89" i="2"/>
  <c r="AB89" i="2"/>
  <c r="AA89" i="2"/>
  <c r="Z89" i="2"/>
  <c r="Y89" i="2"/>
  <c r="X89" i="2"/>
  <c r="W89" i="2"/>
  <c r="F89" i="2"/>
  <c r="BW76" i="2"/>
  <c r="BM76" i="2"/>
  <c r="BI76" i="2"/>
  <c r="BL76" i="2" s="1"/>
  <c r="BG76" i="2"/>
  <c r="BF76" i="2"/>
  <c r="BD76" i="2"/>
  <c r="BC76" i="2"/>
  <c r="BB76" i="2"/>
  <c r="BA76" i="2"/>
  <c r="AZ76" i="2"/>
  <c r="AY76" i="2"/>
  <c r="AC76" i="2"/>
  <c r="AB76" i="2"/>
  <c r="AA76" i="2"/>
  <c r="Z76" i="2"/>
  <c r="Y76" i="2"/>
  <c r="X76" i="2"/>
  <c r="W76" i="2"/>
  <c r="F76" i="2"/>
  <c r="BW93" i="2"/>
  <c r="BM93" i="2"/>
  <c r="BL93" i="2"/>
  <c r="BG93" i="2"/>
  <c r="BF93" i="2"/>
  <c r="BD93" i="2"/>
  <c r="BC93" i="2"/>
  <c r="BB93" i="2"/>
  <c r="BA93" i="2"/>
  <c r="AZ93" i="2"/>
  <c r="AY93" i="2"/>
  <c r="AC93" i="2"/>
  <c r="AB93" i="2"/>
  <c r="AA93" i="2"/>
  <c r="Z93" i="2"/>
  <c r="Y93" i="2"/>
  <c r="X93" i="2"/>
  <c r="W93" i="2"/>
  <c r="F93" i="2"/>
  <c r="BO83" i="2"/>
  <c r="BW83" i="2" s="1"/>
  <c r="BK83" i="2"/>
  <c r="BM83" i="2" s="1"/>
  <c r="BI83" i="2"/>
  <c r="BL83" i="2" s="1"/>
  <c r="BG83" i="2"/>
  <c r="BF83" i="2"/>
  <c r="BD83" i="2"/>
  <c r="BC83" i="2"/>
  <c r="BB83" i="2"/>
  <c r="BA83" i="2"/>
  <c r="AZ83" i="2"/>
  <c r="AY83" i="2"/>
  <c r="AC83" i="2"/>
  <c r="AB83" i="2"/>
  <c r="AA83" i="2"/>
  <c r="Z83" i="2"/>
  <c r="Y83" i="2"/>
  <c r="X83" i="2"/>
  <c r="W83" i="2"/>
  <c r="F83" i="2"/>
  <c r="BW96" i="2"/>
  <c r="BM96" i="2"/>
  <c r="BL96" i="2"/>
  <c r="BG96" i="2"/>
  <c r="BF96" i="2"/>
  <c r="BD96" i="2"/>
  <c r="BC96" i="2"/>
  <c r="BB96" i="2"/>
  <c r="BA96" i="2"/>
  <c r="AZ96" i="2"/>
  <c r="AY96" i="2"/>
  <c r="AC96" i="2"/>
  <c r="AB96" i="2"/>
  <c r="AA96" i="2"/>
  <c r="Z96" i="2"/>
  <c r="Y96" i="2"/>
  <c r="X96" i="2"/>
  <c r="W96" i="2"/>
  <c r="F96" i="2"/>
  <c r="BW87" i="2"/>
  <c r="BM87" i="2"/>
  <c r="BL87" i="2"/>
  <c r="BG87" i="2"/>
  <c r="BF87" i="2"/>
  <c r="BD87" i="2"/>
  <c r="BC87" i="2"/>
  <c r="BB87" i="2"/>
  <c r="BA87" i="2"/>
  <c r="AZ87" i="2"/>
  <c r="AY87" i="2"/>
  <c r="AC87" i="2"/>
  <c r="AB87" i="2"/>
  <c r="AA87" i="2"/>
  <c r="Z87" i="2"/>
  <c r="Y87" i="2"/>
  <c r="X87" i="2"/>
  <c r="W87" i="2"/>
  <c r="F87" i="2"/>
  <c r="BW78" i="2"/>
  <c r="BM78" i="2"/>
  <c r="BI78" i="2"/>
  <c r="BL78" i="2" s="1"/>
  <c r="BG78" i="2"/>
  <c r="BF78" i="2"/>
  <c r="BD78" i="2"/>
  <c r="BC78" i="2"/>
  <c r="BB78" i="2"/>
  <c r="BA78" i="2"/>
  <c r="AZ78" i="2"/>
  <c r="AY78" i="2"/>
  <c r="AC78" i="2"/>
  <c r="AB78" i="2"/>
  <c r="AA78" i="2"/>
  <c r="Z78" i="2"/>
  <c r="Y78" i="2"/>
  <c r="X78" i="2"/>
  <c r="W78" i="2"/>
  <c r="F78" i="2"/>
  <c r="BW77" i="2"/>
  <c r="BM77" i="2"/>
  <c r="BL77" i="2"/>
  <c r="BG77" i="2"/>
  <c r="BF77" i="2"/>
  <c r="BD77" i="2"/>
  <c r="BC77" i="2"/>
  <c r="BB77" i="2"/>
  <c r="BA77" i="2"/>
  <c r="AZ77" i="2"/>
  <c r="AY77" i="2"/>
  <c r="AC77" i="2"/>
  <c r="AB77" i="2"/>
  <c r="AA77" i="2"/>
  <c r="Z77" i="2"/>
  <c r="Y77" i="2"/>
  <c r="X77" i="2"/>
  <c r="W77" i="2"/>
  <c r="F77" i="2"/>
  <c r="BW19" i="2"/>
  <c r="BM19" i="2"/>
  <c r="BI19" i="2"/>
  <c r="BL19" i="2" s="1"/>
  <c r="BG19" i="2"/>
  <c r="BF19" i="2"/>
  <c r="BD19" i="2"/>
  <c r="BC19" i="2"/>
  <c r="BB19" i="2"/>
  <c r="BA19" i="2"/>
  <c r="AZ19" i="2"/>
  <c r="AY19" i="2"/>
  <c r="AC19" i="2"/>
  <c r="AB19" i="2"/>
  <c r="AA19" i="2"/>
  <c r="Z19" i="2"/>
  <c r="Y19" i="2"/>
  <c r="X19" i="2"/>
  <c r="W19" i="2"/>
  <c r="F19" i="2"/>
  <c r="BW15" i="2"/>
  <c r="BM15" i="2"/>
  <c r="BI15" i="2"/>
  <c r="BL15" i="2" s="1"/>
  <c r="BG15" i="2"/>
  <c r="BF15" i="2"/>
  <c r="BD15" i="2"/>
  <c r="BC15" i="2"/>
  <c r="BB15" i="2"/>
  <c r="BA15" i="2"/>
  <c r="AZ15" i="2"/>
  <c r="AY15" i="2"/>
  <c r="AC15" i="2"/>
  <c r="AB15" i="2"/>
  <c r="AA15" i="2"/>
  <c r="Z15" i="2"/>
  <c r="Y15" i="2"/>
  <c r="X15" i="2"/>
  <c r="W15" i="2"/>
  <c r="F15" i="2"/>
  <c r="BO85" i="2"/>
  <c r="BW85" i="2" s="1"/>
  <c r="BM85" i="2"/>
  <c r="BL85" i="2"/>
  <c r="BG85" i="2"/>
  <c r="BF85" i="2"/>
  <c r="BD85" i="2"/>
  <c r="BC85" i="2"/>
  <c r="BB85" i="2"/>
  <c r="BA85" i="2"/>
  <c r="AZ85" i="2"/>
  <c r="AY85" i="2"/>
  <c r="AC85" i="2"/>
  <c r="AB85" i="2"/>
  <c r="AA85" i="2"/>
  <c r="Z85" i="2"/>
  <c r="Y85" i="2"/>
  <c r="X85" i="2"/>
  <c r="W85" i="2"/>
  <c r="F85" i="2"/>
  <c r="BO17" i="2"/>
  <c r="BW17" i="2" s="1"/>
  <c r="BM17" i="2"/>
  <c r="BI17" i="2"/>
  <c r="BL17" i="2" s="1"/>
  <c r="BG17" i="2"/>
  <c r="BF17" i="2"/>
  <c r="BD17" i="2"/>
  <c r="BC17" i="2"/>
  <c r="BB17" i="2"/>
  <c r="BA17" i="2"/>
  <c r="AZ17" i="2"/>
  <c r="AY17" i="2"/>
  <c r="AC17" i="2"/>
  <c r="AB17" i="2"/>
  <c r="AA17" i="2"/>
  <c r="Z17" i="2"/>
  <c r="Y17" i="2"/>
  <c r="X17" i="2"/>
  <c r="W17" i="2"/>
  <c r="F17" i="2"/>
  <c r="BW13" i="2"/>
  <c r="BM13" i="2"/>
  <c r="BI13" i="2"/>
  <c r="BL13" i="2" s="1"/>
  <c r="BG13" i="2"/>
  <c r="BF13" i="2"/>
  <c r="BD13" i="2"/>
  <c r="BC13" i="2"/>
  <c r="BB13" i="2"/>
  <c r="BA13" i="2"/>
  <c r="AZ13" i="2"/>
  <c r="AY13" i="2"/>
  <c r="AC13" i="2"/>
  <c r="AB13" i="2"/>
  <c r="AA13" i="2"/>
  <c r="Z13" i="2"/>
  <c r="Y13" i="2"/>
  <c r="X13" i="2"/>
  <c r="W13" i="2"/>
  <c r="F13" i="2"/>
  <c r="BW39" i="2"/>
  <c r="BM39" i="2"/>
  <c r="BI39" i="2"/>
  <c r="BL39" i="2" s="1"/>
  <c r="BG39" i="2"/>
  <c r="BF39" i="2"/>
  <c r="BD39" i="2"/>
  <c r="BC39" i="2"/>
  <c r="BB39" i="2"/>
  <c r="BA39" i="2"/>
  <c r="AZ39" i="2"/>
  <c r="AY39" i="2"/>
  <c r="AC39" i="2"/>
  <c r="AB39" i="2"/>
  <c r="AA39" i="2"/>
  <c r="Z39" i="2"/>
  <c r="Y39" i="2"/>
  <c r="X39" i="2"/>
  <c r="W39" i="2"/>
  <c r="F39" i="2"/>
  <c r="BW71" i="2"/>
  <c r="BM71" i="2"/>
  <c r="BI71" i="2"/>
  <c r="BL71" i="2" s="1"/>
  <c r="BG71" i="2"/>
  <c r="BF71" i="2"/>
  <c r="BD71" i="2"/>
  <c r="BC71" i="2"/>
  <c r="BB71" i="2"/>
  <c r="BA71" i="2"/>
  <c r="AZ71" i="2"/>
  <c r="AY71" i="2"/>
  <c r="AC71" i="2"/>
  <c r="AB71" i="2"/>
  <c r="AA71" i="2"/>
  <c r="Z71" i="2"/>
  <c r="Y71" i="2"/>
  <c r="X71" i="2"/>
  <c r="W71" i="2"/>
  <c r="F71" i="2"/>
  <c r="BW100" i="2"/>
  <c r="BK100" i="2"/>
  <c r="BM100" i="2" s="1"/>
  <c r="BI100" i="2"/>
  <c r="BL100" i="2" s="1"/>
  <c r="BG100" i="2"/>
  <c r="BF100" i="2"/>
  <c r="BD100" i="2"/>
  <c r="BC100" i="2"/>
  <c r="BB100" i="2"/>
  <c r="BA100" i="2"/>
  <c r="AZ100" i="2"/>
  <c r="AY100" i="2"/>
  <c r="AC100" i="2"/>
  <c r="AB100" i="2"/>
  <c r="AA100" i="2"/>
  <c r="Z100" i="2"/>
  <c r="Y100" i="2"/>
  <c r="X100" i="2"/>
  <c r="W100" i="2"/>
  <c r="F100" i="2"/>
  <c r="BO102" i="2"/>
  <c r="BW102" i="2" s="1"/>
  <c r="BK102" i="2"/>
  <c r="BM102" i="2" s="1"/>
  <c r="BI102" i="2"/>
  <c r="BL102" i="2" s="1"/>
  <c r="BG102" i="2"/>
  <c r="BF102" i="2"/>
  <c r="BD102" i="2"/>
  <c r="BC102" i="2"/>
  <c r="BB102" i="2"/>
  <c r="BA102" i="2"/>
  <c r="AZ102" i="2"/>
  <c r="AY102" i="2"/>
  <c r="AC102" i="2"/>
  <c r="AB102" i="2"/>
  <c r="AA102" i="2"/>
  <c r="Z102" i="2"/>
  <c r="Y102" i="2"/>
  <c r="X102" i="2"/>
  <c r="W102" i="2"/>
  <c r="F102" i="2"/>
  <c r="BO101" i="2"/>
  <c r="BW101" i="2" s="1"/>
  <c r="BK101" i="2"/>
  <c r="BM101" i="2" s="1"/>
  <c r="BI101" i="2"/>
  <c r="BL101" i="2" s="1"/>
  <c r="BG101" i="2"/>
  <c r="BF101" i="2"/>
  <c r="BD101" i="2"/>
  <c r="BC101" i="2"/>
  <c r="BB101" i="2"/>
  <c r="BA101" i="2"/>
  <c r="AZ101" i="2"/>
  <c r="AY101" i="2"/>
  <c r="AC101" i="2"/>
  <c r="AB101" i="2"/>
  <c r="AA101" i="2"/>
  <c r="Z101" i="2"/>
  <c r="Y101" i="2"/>
  <c r="X101" i="2"/>
  <c r="W101" i="2"/>
  <c r="F101" i="2"/>
  <c r="BO65" i="2"/>
  <c r="BW65" i="2" s="1"/>
  <c r="BM65" i="2"/>
  <c r="BI65" i="2"/>
  <c r="BL65" i="2" s="1"/>
  <c r="BG65" i="2"/>
  <c r="BF65" i="2"/>
  <c r="BD65" i="2"/>
  <c r="BC65" i="2"/>
  <c r="BB65" i="2"/>
  <c r="BA65" i="2"/>
  <c r="AZ65" i="2"/>
  <c r="AY65" i="2"/>
  <c r="AC65" i="2"/>
  <c r="AB65" i="2"/>
  <c r="AA65" i="2"/>
  <c r="Z65" i="2"/>
  <c r="Y65" i="2"/>
  <c r="X65" i="2"/>
  <c r="W65" i="2"/>
  <c r="F65" i="2"/>
  <c r="BW86" i="2"/>
  <c r="BM86" i="2"/>
  <c r="BL86" i="2"/>
  <c r="BG86" i="2"/>
  <c r="BF86" i="2"/>
  <c r="BD86" i="2"/>
  <c r="BC86" i="2"/>
  <c r="BB86" i="2"/>
  <c r="BA86" i="2"/>
  <c r="AZ86" i="2"/>
  <c r="AY86" i="2"/>
  <c r="AC86" i="2"/>
  <c r="AB86" i="2"/>
  <c r="AA86" i="2"/>
  <c r="Z86" i="2"/>
  <c r="Y86" i="2"/>
  <c r="X86" i="2"/>
  <c r="W86" i="2"/>
  <c r="F86" i="2"/>
  <c r="BO53" i="2"/>
  <c r="BW53" i="2" s="1"/>
  <c r="BM53" i="2"/>
  <c r="BI53" i="2"/>
  <c r="BL53" i="2" s="1"/>
  <c r="BG53" i="2"/>
  <c r="BF53" i="2"/>
  <c r="BD53" i="2"/>
  <c r="BC53" i="2"/>
  <c r="BB53" i="2"/>
  <c r="BA53" i="2"/>
  <c r="AZ53" i="2"/>
  <c r="AY53" i="2"/>
  <c r="AC53" i="2"/>
  <c r="AB53" i="2"/>
  <c r="AA53" i="2"/>
  <c r="Z53" i="2"/>
  <c r="Y53" i="2"/>
  <c r="X53" i="2"/>
  <c r="W53" i="2"/>
  <c r="F53" i="2"/>
  <c r="BO56" i="2"/>
  <c r="BW56" i="2" s="1"/>
  <c r="BM56" i="2"/>
  <c r="BI56" i="2"/>
  <c r="BL56" i="2" s="1"/>
  <c r="BG56" i="2"/>
  <c r="BF56" i="2"/>
  <c r="BD56" i="2"/>
  <c r="BC56" i="2"/>
  <c r="BB56" i="2"/>
  <c r="BA56" i="2"/>
  <c r="AZ56" i="2"/>
  <c r="AY56" i="2"/>
  <c r="AC56" i="2"/>
  <c r="AB56" i="2"/>
  <c r="AA56" i="2"/>
  <c r="Z56" i="2"/>
  <c r="Y56" i="2"/>
  <c r="X56" i="2"/>
  <c r="W56" i="2"/>
  <c r="F56" i="2"/>
  <c r="BW47" i="2"/>
  <c r="BM47" i="2"/>
  <c r="BI47" i="2"/>
  <c r="BL47" i="2" s="1"/>
  <c r="BG47" i="2"/>
  <c r="BF47" i="2"/>
  <c r="BD47" i="2"/>
  <c r="BC47" i="2"/>
  <c r="BB47" i="2"/>
  <c r="BA47" i="2"/>
  <c r="AZ47" i="2"/>
  <c r="AY47" i="2"/>
  <c r="AC47" i="2"/>
  <c r="AB47" i="2"/>
  <c r="AA47" i="2"/>
  <c r="Z47" i="2"/>
  <c r="Y47" i="2"/>
  <c r="X47" i="2"/>
  <c r="W47" i="2"/>
  <c r="F47" i="2"/>
  <c r="BO24" i="2"/>
  <c r="BW24" i="2" s="1"/>
  <c r="BM24" i="2"/>
  <c r="BL24" i="2"/>
  <c r="BG24" i="2"/>
  <c r="BF24" i="2"/>
  <c r="BD24" i="2"/>
  <c r="BC24" i="2"/>
  <c r="BB24" i="2"/>
  <c r="BA24" i="2"/>
  <c r="AZ24" i="2"/>
  <c r="AY24" i="2"/>
  <c r="AC24" i="2"/>
  <c r="AB24" i="2"/>
  <c r="AA24" i="2"/>
  <c r="Z24" i="2"/>
  <c r="Y24" i="2"/>
  <c r="X24" i="2"/>
  <c r="W24" i="2"/>
  <c r="F24" i="2"/>
  <c r="BO67" i="2"/>
  <c r="BW67" i="2" s="1"/>
  <c r="BM67" i="2"/>
  <c r="BI67" i="2"/>
  <c r="BL67" i="2" s="1"/>
  <c r="BG67" i="2"/>
  <c r="BF67" i="2"/>
  <c r="BD67" i="2"/>
  <c r="BC67" i="2"/>
  <c r="BB67" i="2"/>
  <c r="BA67" i="2"/>
  <c r="AZ67" i="2"/>
  <c r="AY67" i="2"/>
  <c r="AC67" i="2"/>
  <c r="AB67" i="2"/>
  <c r="AA67" i="2"/>
  <c r="Z67" i="2"/>
  <c r="Y67" i="2"/>
  <c r="X67" i="2"/>
  <c r="W67" i="2"/>
  <c r="F67" i="2"/>
  <c r="BW75" i="2"/>
  <c r="BM75" i="2"/>
  <c r="BL75" i="2"/>
  <c r="BG75" i="2"/>
  <c r="BF75" i="2"/>
  <c r="BD75" i="2"/>
  <c r="BC75" i="2"/>
  <c r="BB75" i="2"/>
  <c r="BA75" i="2"/>
  <c r="AZ75" i="2"/>
  <c r="AY75" i="2"/>
  <c r="AC75" i="2"/>
  <c r="AB75" i="2"/>
  <c r="AA75" i="2"/>
  <c r="Z75" i="2"/>
  <c r="Y75" i="2"/>
  <c r="X75" i="2"/>
  <c r="W75" i="2"/>
  <c r="F75" i="2"/>
  <c r="BW43" i="2"/>
  <c r="BM43" i="2"/>
  <c r="BL43" i="2"/>
  <c r="BG43" i="2"/>
  <c r="BF43" i="2"/>
  <c r="BD43" i="2"/>
  <c r="BC43" i="2"/>
  <c r="BB43" i="2"/>
  <c r="BA43" i="2"/>
  <c r="AZ43" i="2"/>
  <c r="AY43" i="2"/>
  <c r="AC43" i="2"/>
  <c r="AB43" i="2"/>
  <c r="AA43" i="2"/>
  <c r="Z43" i="2"/>
  <c r="Y43" i="2"/>
  <c r="X43" i="2"/>
  <c r="W43" i="2"/>
  <c r="F43" i="2"/>
  <c r="BW3" i="2"/>
  <c r="BM3" i="2"/>
  <c r="BL3" i="2"/>
  <c r="BG3" i="2"/>
  <c r="BF3" i="2"/>
  <c r="BD3" i="2"/>
  <c r="BC3" i="2"/>
  <c r="BB3" i="2"/>
  <c r="BA3" i="2"/>
  <c r="AZ3" i="2"/>
  <c r="AY3" i="2"/>
  <c r="AC3" i="2"/>
  <c r="AB3" i="2"/>
  <c r="AA3" i="2"/>
  <c r="Z3" i="2"/>
  <c r="Y3" i="2"/>
  <c r="X3" i="2"/>
  <c r="W3" i="2"/>
  <c r="F3" i="2"/>
  <c r="BO32" i="2"/>
  <c r="BW32" i="2" s="1"/>
  <c r="BM32" i="2"/>
  <c r="BL32" i="2"/>
  <c r="BG32" i="2"/>
  <c r="BF32" i="2"/>
  <c r="BD32" i="2"/>
  <c r="BC32" i="2"/>
  <c r="BB32" i="2"/>
  <c r="BA32" i="2"/>
  <c r="AZ32" i="2"/>
  <c r="AY32" i="2"/>
  <c r="AC32" i="2"/>
  <c r="AB32" i="2"/>
  <c r="AA32" i="2"/>
  <c r="Z32" i="2"/>
  <c r="Y32" i="2"/>
  <c r="X32" i="2"/>
  <c r="W32" i="2"/>
  <c r="F32" i="2"/>
  <c r="BW28" i="2"/>
  <c r="BM28" i="2"/>
  <c r="BI28" i="2"/>
  <c r="BL28" i="2" s="1"/>
  <c r="BG28" i="2"/>
  <c r="BF28" i="2"/>
  <c r="BD28" i="2"/>
  <c r="BC28" i="2"/>
  <c r="BB28" i="2"/>
  <c r="BA28" i="2"/>
  <c r="AZ28" i="2"/>
  <c r="AY28" i="2"/>
  <c r="AC28" i="2"/>
  <c r="AB28" i="2"/>
  <c r="AA28" i="2"/>
  <c r="Z28" i="2"/>
  <c r="Y28" i="2"/>
  <c r="X28" i="2"/>
  <c r="W28" i="2"/>
  <c r="F28" i="2"/>
  <c r="BW25" i="2"/>
  <c r="BM25" i="2"/>
  <c r="BL25" i="2"/>
  <c r="BG25" i="2"/>
  <c r="BF25" i="2"/>
  <c r="BD25" i="2"/>
  <c r="BC25" i="2"/>
  <c r="BB25" i="2"/>
  <c r="BA25" i="2"/>
  <c r="AZ25" i="2"/>
  <c r="AY25" i="2"/>
  <c r="AC25" i="2"/>
  <c r="AB25" i="2"/>
  <c r="AA25" i="2"/>
  <c r="Z25" i="2"/>
  <c r="Y25" i="2"/>
  <c r="X25" i="2"/>
  <c r="W25" i="2"/>
  <c r="F25" i="2"/>
  <c r="BO66" i="2"/>
  <c r="BW66" i="2" s="1"/>
  <c r="BM66" i="2"/>
  <c r="BI66" i="2"/>
  <c r="BL66" i="2" s="1"/>
  <c r="BG66" i="2"/>
  <c r="BF66" i="2"/>
  <c r="BD66" i="2"/>
  <c r="BC66" i="2"/>
  <c r="BB66" i="2"/>
  <c r="BA66" i="2"/>
  <c r="AZ66" i="2"/>
  <c r="AY66" i="2"/>
  <c r="AC66" i="2"/>
  <c r="AB66" i="2"/>
  <c r="AA66" i="2"/>
  <c r="Z66" i="2"/>
  <c r="Y66" i="2"/>
  <c r="X66" i="2"/>
  <c r="W66" i="2"/>
  <c r="F66" i="2"/>
  <c r="BW30" i="2"/>
  <c r="BM30" i="2"/>
  <c r="BL30" i="2"/>
  <c r="BG30" i="2"/>
  <c r="BF30" i="2"/>
  <c r="BD30" i="2"/>
  <c r="BC30" i="2"/>
  <c r="BB30" i="2"/>
  <c r="BA30" i="2"/>
  <c r="AZ30" i="2"/>
  <c r="AY30" i="2"/>
  <c r="AC30" i="2"/>
  <c r="AB30" i="2"/>
  <c r="AA30" i="2"/>
  <c r="Z30" i="2"/>
  <c r="Y30" i="2"/>
  <c r="X30" i="2"/>
  <c r="W30" i="2"/>
  <c r="F30" i="2"/>
  <c r="BO21" i="2"/>
  <c r="BW21" i="2" s="1"/>
  <c r="BM21" i="2"/>
  <c r="BI21" i="2"/>
  <c r="BL21" i="2" s="1"/>
  <c r="BG21" i="2"/>
  <c r="BF21" i="2"/>
  <c r="BD21" i="2"/>
  <c r="BC21" i="2"/>
  <c r="BB21" i="2"/>
  <c r="BA21" i="2"/>
  <c r="AZ21" i="2"/>
  <c r="AY21" i="2"/>
  <c r="AC21" i="2"/>
  <c r="AB21" i="2"/>
  <c r="AA21" i="2"/>
  <c r="Z21" i="2"/>
  <c r="Y21" i="2"/>
  <c r="X21" i="2"/>
  <c r="W21" i="2"/>
  <c r="F21" i="2"/>
  <c r="G59" i="3" l="1"/>
  <c r="F59" i="3"/>
  <c r="B17" i="52"/>
  <c r="B26" i="52"/>
  <c r="B63" i="52"/>
  <c r="B12" i="52"/>
  <c r="B35" i="52"/>
  <c r="B41" i="52"/>
  <c r="B46" i="52"/>
  <c r="B84" i="52"/>
  <c r="B52" i="52"/>
  <c r="B104" i="52"/>
  <c r="B3" i="52"/>
  <c r="B86" i="52"/>
  <c r="B83" i="52"/>
  <c r="B67" i="52"/>
  <c r="B102" i="52"/>
  <c r="B19" i="52"/>
  <c r="B89" i="52"/>
  <c r="B64" i="52"/>
  <c r="B57" i="52"/>
  <c r="B88" i="52"/>
  <c r="B5" i="52"/>
  <c r="B42" i="52"/>
  <c r="B10" i="52"/>
  <c r="B72" i="52"/>
  <c r="B69" i="52"/>
  <c r="B30" i="52"/>
  <c r="B28" i="52"/>
  <c r="B56" i="52"/>
  <c r="B39" i="52"/>
  <c r="B87" i="52"/>
  <c r="B95" i="52"/>
  <c r="B99" i="52"/>
  <c r="B97" i="52"/>
  <c r="B6" i="52"/>
  <c r="B33" i="52"/>
  <c r="B18" i="52"/>
  <c r="B60" i="52"/>
  <c r="B54" i="52"/>
  <c r="B103" i="52"/>
  <c r="B43" i="52"/>
  <c r="B65" i="52"/>
  <c r="B85" i="52"/>
  <c r="B93" i="52"/>
  <c r="B8" i="52"/>
  <c r="B58" i="52"/>
  <c r="B29" i="52"/>
  <c r="B31" i="52"/>
  <c r="B16" i="52"/>
  <c r="B68" i="52"/>
  <c r="B50" i="52"/>
  <c r="B66" i="52"/>
  <c r="B24" i="52"/>
  <c r="B100" i="52"/>
  <c r="B77" i="52"/>
  <c r="B49" i="52"/>
  <c r="B48" i="52"/>
  <c r="B55" i="52"/>
  <c r="B90" i="52"/>
  <c r="B81" i="52"/>
  <c r="B38" i="52"/>
  <c r="B9" i="52"/>
  <c r="B40" i="52"/>
  <c r="B70" i="52"/>
  <c r="B32" i="52"/>
  <c r="B53" i="52"/>
  <c r="B13" i="52"/>
  <c r="B96" i="52"/>
  <c r="B94" i="52"/>
  <c r="B22" i="52"/>
  <c r="B59" i="52"/>
  <c r="B20" i="52"/>
  <c r="B34" i="52"/>
  <c r="B7" i="52"/>
  <c r="B74" i="52"/>
  <c r="B11" i="52"/>
  <c r="B98" i="52"/>
  <c r="B75" i="52"/>
  <c r="B101" i="52"/>
  <c r="B15" i="52"/>
  <c r="B76" i="52"/>
  <c r="B4" i="52"/>
  <c r="B79" i="52"/>
  <c r="B80" i="52"/>
  <c r="B23" i="52"/>
  <c r="B45" i="52"/>
  <c r="B44" i="52"/>
  <c r="B61" i="52"/>
  <c r="B82" i="52"/>
  <c r="B21" i="52"/>
  <c r="B25" i="52"/>
  <c r="B47" i="52"/>
  <c r="B71" i="52"/>
  <c r="B78" i="52"/>
  <c r="B92" i="52"/>
  <c r="B91" i="52"/>
  <c r="B36" i="52"/>
  <c r="B73" i="52"/>
  <c r="B14" i="52"/>
  <c r="B27" i="52"/>
  <c r="B62" i="52"/>
  <c r="B51" i="52"/>
  <c r="B37" i="52"/>
  <c r="CC57" i="2"/>
  <c r="CW57" i="2" s="1"/>
  <c r="CA30" i="2"/>
  <c r="CA67" i="2"/>
  <c r="CA102" i="2"/>
  <c r="CC39" i="2"/>
  <c r="CW39" i="2" s="1"/>
  <c r="CA19" i="2"/>
  <c r="CC87" i="2"/>
  <c r="CW87" i="2" s="1"/>
  <c r="CC93" i="2"/>
  <c r="CW93" i="2" s="1"/>
  <c r="CA89" i="2"/>
  <c r="CC95" i="2"/>
  <c r="CW95" i="2" s="1"/>
  <c r="CA64" i="2"/>
  <c r="CA57" i="2"/>
  <c r="CA88" i="2"/>
  <c r="CC6" i="2"/>
  <c r="CW6" i="2" s="1"/>
  <c r="CA5" i="2"/>
  <c r="CC33" i="2"/>
  <c r="CW33" i="2" s="1"/>
  <c r="CA42" i="2"/>
  <c r="CC18" i="2"/>
  <c r="CW18" i="2" s="1"/>
  <c r="CA10" i="2"/>
  <c r="CC60" i="2"/>
  <c r="CW60" i="2" s="1"/>
  <c r="CA72" i="2"/>
  <c r="CC54" i="2"/>
  <c r="CW54" i="2" s="1"/>
  <c r="CA69" i="2"/>
  <c r="CA99" i="2"/>
  <c r="CA97" i="2"/>
  <c r="CA103" i="2"/>
  <c r="CC28" i="2"/>
  <c r="CW28" i="2" s="1"/>
  <c r="CA93" i="2"/>
  <c r="CC56" i="2"/>
  <c r="CW56" i="2" s="1"/>
  <c r="CC38" i="2"/>
  <c r="CW38" i="2" s="1"/>
  <c r="CC90" i="2"/>
  <c r="CW90" i="2" s="1"/>
  <c r="CC101" i="2"/>
  <c r="CW101" i="2" s="1"/>
  <c r="CA100" i="2"/>
  <c r="CA90" i="2"/>
  <c r="CC94" i="2"/>
  <c r="CW94" i="2" s="1"/>
  <c r="CA96" i="2"/>
  <c r="CC92" i="2"/>
  <c r="CW92" i="2" s="1"/>
  <c r="CA94" i="2"/>
  <c r="CC91" i="2"/>
  <c r="CW91" i="2" s="1"/>
  <c r="CA98" i="2"/>
  <c r="CC96" i="2"/>
  <c r="CW96" i="2" s="1"/>
  <c r="CC98" i="2"/>
  <c r="CW98" i="2" s="1"/>
  <c r="CA101" i="2"/>
  <c r="CC104" i="2"/>
  <c r="CW104" i="2" s="1"/>
  <c r="CC100" i="2"/>
  <c r="CW100" i="2" s="1"/>
  <c r="CA92" i="2"/>
  <c r="CA91" i="2"/>
  <c r="CC88" i="2"/>
  <c r="CW88" i="2" s="1"/>
  <c r="CC102" i="2"/>
  <c r="CW102" i="2" s="1"/>
  <c r="CC99" i="2"/>
  <c r="CW99" i="2" s="1"/>
  <c r="CC97" i="2"/>
  <c r="CW97" i="2" s="1"/>
  <c r="CA84" i="2"/>
  <c r="CC103" i="2"/>
  <c r="CW103" i="2" s="1"/>
  <c r="CA104" i="2"/>
  <c r="CA28" i="2"/>
  <c r="CC43" i="2"/>
  <c r="CW43" i="2" s="1"/>
  <c r="CA56" i="2"/>
  <c r="CC65" i="2"/>
  <c r="CW65" i="2" s="1"/>
  <c r="CA39" i="2"/>
  <c r="CC85" i="2"/>
  <c r="CW85" i="2" s="1"/>
  <c r="CA87" i="2"/>
  <c r="CA95" i="2"/>
  <c r="CC8" i="2"/>
  <c r="CW8" i="2" s="1"/>
  <c r="CC58" i="2"/>
  <c r="CW58" i="2" s="1"/>
  <c r="CC29" i="2"/>
  <c r="CW29" i="2" s="1"/>
  <c r="CA6" i="2"/>
  <c r="CC31" i="2"/>
  <c r="CW31" i="2" s="1"/>
  <c r="CA33" i="2"/>
  <c r="CA18" i="2"/>
  <c r="CC16" i="2"/>
  <c r="CW16" i="2" s="1"/>
  <c r="CA60" i="2"/>
  <c r="CC68" i="2"/>
  <c r="CW68" i="2" s="1"/>
  <c r="CA54" i="2"/>
  <c r="CC50" i="2"/>
  <c r="CW50" i="2" s="1"/>
  <c r="CC66" i="2"/>
  <c r="CW66" i="2" s="1"/>
  <c r="CA43" i="2"/>
  <c r="CC24" i="2"/>
  <c r="CW24" i="2" s="1"/>
  <c r="CA65" i="2"/>
  <c r="CA85" i="2"/>
  <c r="CC77" i="2"/>
  <c r="CW77" i="2" s="1"/>
  <c r="CC49" i="2"/>
  <c r="CW49" i="2" s="1"/>
  <c r="CA8" i="2"/>
  <c r="CC48" i="2"/>
  <c r="CW48" i="2" s="1"/>
  <c r="CA58" i="2"/>
  <c r="CC55" i="2"/>
  <c r="CW55" i="2" s="1"/>
  <c r="CA29" i="2"/>
  <c r="CA31" i="2"/>
  <c r="CC81" i="2"/>
  <c r="CW81" i="2" s="1"/>
  <c r="CA16" i="2"/>
  <c r="CC9" i="2"/>
  <c r="CW9" i="2" s="1"/>
  <c r="CA68" i="2"/>
  <c r="CC40" i="2"/>
  <c r="CW40" i="2" s="1"/>
  <c r="CA50" i="2"/>
  <c r="CC70" i="2"/>
  <c r="CW70" i="2" s="1"/>
  <c r="CA66" i="2"/>
  <c r="CC32" i="2"/>
  <c r="CW32" i="2" s="1"/>
  <c r="CA24" i="2"/>
  <c r="CC53" i="2"/>
  <c r="CW53" i="2" s="1"/>
  <c r="CC13" i="2"/>
  <c r="CW13" i="2" s="1"/>
  <c r="CA77" i="2"/>
  <c r="CA49" i="2"/>
  <c r="CA48" i="2"/>
  <c r="CC22" i="2"/>
  <c r="CW22" i="2" s="1"/>
  <c r="CA55" i="2"/>
  <c r="CC59" i="2"/>
  <c r="CW59" i="2" s="1"/>
  <c r="CC20" i="2"/>
  <c r="CW20" i="2" s="1"/>
  <c r="CA81" i="2"/>
  <c r="CC34" i="2"/>
  <c r="CW34" i="2" s="1"/>
  <c r="CA38" i="2"/>
  <c r="CC7" i="2"/>
  <c r="CW7" i="2" s="1"/>
  <c r="CA9" i="2"/>
  <c r="CC74" i="2"/>
  <c r="CW74" i="2" s="1"/>
  <c r="CA40" i="2"/>
  <c r="CC11" i="2"/>
  <c r="CW11" i="2" s="1"/>
  <c r="CA70" i="2"/>
  <c r="CC21" i="2"/>
  <c r="CW21" i="2" s="1"/>
  <c r="CA32" i="2"/>
  <c r="CC75" i="2"/>
  <c r="CW75" i="2" s="1"/>
  <c r="CA53" i="2"/>
  <c r="CA13" i="2"/>
  <c r="CC15" i="2"/>
  <c r="CW15" i="2" s="1"/>
  <c r="CC76" i="2"/>
  <c r="CW76" i="2" s="1"/>
  <c r="CC4" i="2"/>
  <c r="CW4" i="2" s="1"/>
  <c r="CA22" i="2"/>
  <c r="CC79" i="2"/>
  <c r="CW79" i="2" s="1"/>
  <c r="CA59" i="2"/>
  <c r="CC80" i="2"/>
  <c r="CW80" i="2" s="1"/>
  <c r="CA20" i="2"/>
  <c r="CC23" i="2"/>
  <c r="CW23" i="2" s="1"/>
  <c r="CA34" i="2"/>
  <c r="CC45" i="2"/>
  <c r="CW45" i="2" s="1"/>
  <c r="CA7" i="2"/>
  <c r="CC44" i="2"/>
  <c r="CW44" i="2" s="1"/>
  <c r="CA74" i="2"/>
  <c r="CC61" i="2"/>
  <c r="CW61" i="2" s="1"/>
  <c r="CA11" i="2"/>
  <c r="CC82" i="2"/>
  <c r="CW82" i="2" s="1"/>
  <c r="CA21" i="2"/>
  <c r="CC25" i="2"/>
  <c r="CW25" i="2" s="1"/>
  <c r="CA75" i="2"/>
  <c r="CC47" i="2"/>
  <c r="CW47" i="2" s="1"/>
  <c r="CC71" i="2"/>
  <c r="CW71" i="2" s="1"/>
  <c r="CA15" i="2"/>
  <c r="CC78" i="2"/>
  <c r="CW78" i="2" s="1"/>
  <c r="CA76" i="2"/>
  <c r="CA4" i="2"/>
  <c r="CA79" i="2"/>
  <c r="CC36" i="2"/>
  <c r="CW36" i="2" s="1"/>
  <c r="CA80" i="2"/>
  <c r="CC73" i="2"/>
  <c r="CW73" i="2" s="1"/>
  <c r="CA23" i="2"/>
  <c r="CC14" i="2"/>
  <c r="CW14" i="2" s="1"/>
  <c r="CA45" i="2"/>
  <c r="CC27" i="2"/>
  <c r="CW27" i="2" s="1"/>
  <c r="CA44" i="2"/>
  <c r="CC62" i="2"/>
  <c r="CW62" i="2" s="1"/>
  <c r="CA61" i="2"/>
  <c r="CC51" i="2"/>
  <c r="CW51" i="2" s="1"/>
  <c r="CA82" i="2"/>
  <c r="CC37" i="2"/>
  <c r="CW37" i="2" s="1"/>
  <c r="CA25" i="2"/>
  <c r="CC3" i="2"/>
  <c r="CW3" i="2" s="1"/>
  <c r="CA47" i="2"/>
  <c r="CC86" i="2"/>
  <c r="CW86" i="2" s="1"/>
  <c r="CA71" i="2"/>
  <c r="CC17" i="2"/>
  <c r="CW17" i="2" s="1"/>
  <c r="CA78" i="2"/>
  <c r="CC83" i="2"/>
  <c r="CW83" i="2" s="1"/>
  <c r="CC26" i="2"/>
  <c r="CW26" i="2" s="1"/>
  <c r="CC63" i="2"/>
  <c r="CW63" i="2" s="1"/>
  <c r="CA36" i="2"/>
  <c r="CC12" i="2"/>
  <c r="CW12" i="2" s="1"/>
  <c r="CA73" i="2"/>
  <c r="CC35" i="2"/>
  <c r="CW35" i="2" s="1"/>
  <c r="CA14" i="2"/>
  <c r="CA27" i="2"/>
  <c r="CC46" i="2"/>
  <c r="CW46" i="2" s="1"/>
  <c r="CA62" i="2"/>
  <c r="CC84" i="2"/>
  <c r="CW84" i="2" s="1"/>
  <c r="CA51" i="2"/>
  <c r="CC52" i="2"/>
  <c r="CW52" i="2" s="1"/>
  <c r="CA37" i="2"/>
  <c r="CC30" i="2"/>
  <c r="CW30" i="2" s="1"/>
  <c r="CA3" i="2"/>
  <c r="CC67" i="2"/>
  <c r="CW67" i="2" s="1"/>
  <c r="CA86" i="2"/>
  <c r="CA17" i="2"/>
  <c r="CC19" i="2"/>
  <c r="CW19" i="2" s="1"/>
  <c r="CA83" i="2"/>
  <c r="CC89" i="2"/>
  <c r="CW89" i="2" s="1"/>
  <c r="CA26" i="2"/>
  <c r="CC64" i="2"/>
  <c r="CW64" i="2" s="1"/>
  <c r="CA63" i="2"/>
  <c r="CA12" i="2"/>
  <c r="CA35" i="2"/>
  <c r="CC5" i="2"/>
  <c r="CW5" i="2" s="1"/>
  <c r="CC42" i="2"/>
  <c r="CW42" i="2" s="1"/>
  <c r="CA46" i="2"/>
  <c r="CC10" i="2"/>
  <c r="CW10" i="2" s="1"/>
  <c r="CC72" i="2"/>
  <c r="CW72" i="2" s="1"/>
  <c r="CA52" i="2"/>
  <c r="CC69" i="2"/>
  <c r="CW69" i="2" s="1"/>
  <c r="CA41" i="2"/>
  <c r="CE39" i="2"/>
  <c r="CF39" i="2" s="1"/>
  <c r="CE91" i="2"/>
  <c r="CF91" i="2" s="1"/>
  <c r="CE36" i="2"/>
  <c r="CF36" i="2" s="1"/>
  <c r="CE29" i="2"/>
  <c r="CF29" i="2" s="1"/>
  <c r="CE73" i="2"/>
  <c r="CF73" i="2" s="1"/>
  <c r="CE31" i="2"/>
  <c r="CF31" i="2" s="1"/>
  <c r="CE14" i="2"/>
  <c r="CF14" i="2" s="1"/>
  <c r="CE45" i="2"/>
  <c r="CF45" i="2" s="1"/>
  <c r="CE18" i="2"/>
  <c r="CF18" i="2" s="1"/>
  <c r="CE44" i="2"/>
  <c r="CF44" i="2" s="1"/>
  <c r="CE60" i="2"/>
  <c r="CF60" i="2" s="1"/>
  <c r="CE54" i="2"/>
  <c r="CF54" i="2" s="1"/>
  <c r="CE30" i="2"/>
  <c r="CF30" i="2" s="1"/>
  <c r="CE32" i="2"/>
  <c r="CF32" i="2" s="1"/>
  <c r="CE67" i="2"/>
  <c r="CF67" i="2" s="1"/>
  <c r="CE53" i="2"/>
  <c r="CF53" i="2" s="1"/>
  <c r="CE102" i="2"/>
  <c r="CF102" i="2" s="1"/>
  <c r="CE13" i="2"/>
  <c r="CF13" i="2" s="1"/>
  <c r="CE19" i="2"/>
  <c r="CF19" i="2" s="1"/>
  <c r="CE96" i="2"/>
  <c r="CF96" i="2" s="1"/>
  <c r="CE95" i="2"/>
  <c r="CF95" i="2" s="1"/>
  <c r="CE4" i="2"/>
  <c r="CF4" i="2" s="1"/>
  <c r="CE99" i="2"/>
  <c r="CF99" i="2" s="1"/>
  <c r="CE79" i="2"/>
  <c r="CF79" i="2" s="1"/>
  <c r="CE97" i="2"/>
  <c r="CF97" i="2" s="1"/>
  <c r="CE80" i="2"/>
  <c r="CF80" i="2" s="1"/>
  <c r="CE6" i="2"/>
  <c r="CF6" i="2" s="1"/>
  <c r="CE23" i="2"/>
  <c r="CF23" i="2" s="1"/>
  <c r="CE33" i="2"/>
  <c r="CF33" i="2" s="1"/>
  <c r="CE42" i="2"/>
  <c r="CF42" i="2" s="1"/>
  <c r="CE7" i="2"/>
  <c r="CF7" i="2" s="1"/>
  <c r="CE10" i="2"/>
  <c r="CF10" i="2" s="1"/>
  <c r="CE11" i="2"/>
  <c r="CF11" i="2" s="1"/>
  <c r="CE61" i="2"/>
  <c r="CF61" i="2" s="1"/>
  <c r="CE24" i="2"/>
  <c r="CF24" i="2" s="1"/>
  <c r="CE89" i="2"/>
  <c r="CF89" i="2" s="1"/>
  <c r="CE64" i="2"/>
  <c r="CF64" i="2" s="1"/>
  <c r="CE57" i="2"/>
  <c r="CF57" i="2" s="1"/>
  <c r="CE38" i="2"/>
  <c r="CF38" i="2" s="1"/>
  <c r="CE43" i="2"/>
  <c r="CF43" i="2" s="1"/>
  <c r="CE81" i="2"/>
  <c r="CF81" i="2" s="1"/>
  <c r="CE25" i="2"/>
  <c r="CF25" i="2" s="1"/>
  <c r="CE47" i="2"/>
  <c r="CF47" i="2" s="1"/>
  <c r="CE65" i="2"/>
  <c r="CF65" i="2" s="1"/>
  <c r="CE71" i="2"/>
  <c r="CF71" i="2" s="1"/>
  <c r="CE85" i="2"/>
  <c r="CF85" i="2" s="1"/>
  <c r="CE78" i="2"/>
  <c r="CF78" i="2" s="1"/>
  <c r="CE93" i="2"/>
  <c r="CF93" i="2" s="1"/>
  <c r="CE49" i="2"/>
  <c r="CF49" i="2" s="1"/>
  <c r="CE26" i="2"/>
  <c r="CF26" i="2" s="1"/>
  <c r="CE48" i="2"/>
  <c r="CF48" i="2" s="1"/>
  <c r="CE63" i="2"/>
  <c r="CF63" i="2" s="1"/>
  <c r="CE55" i="2"/>
  <c r="CF55" i="2" s="1"/>
  <c r="CE12" i="2"/>
  <c r="CF12" i="2" s="1"/>
  <c r="CE90" i="2"/>
  <c r="CF90" i="2" s="1"/>
  <c r="CE35" i="2"/>
  <c r="CF35" i="2" s="1"/>
  <c r="CE41" i="2"/>
  <c r="CF41" i="2" s="1"/>
  <c r="CE27" i="2"/>
  <c r="CF27" i="2" s="1"/>
  <c r="CE16" i="2"/>
  <c r="CF16" i="2" s="1"/>
  <c r="CE62" i="2"/>
  <c r="CF62" i="2" s="1"/>
  <c r="CE68" i="2"/>
  <c r="CF68" i="2" s="1"/>
  <c r="CE51" i="2"/>
  <c r="CF51" i="2" s="1"/>
  <c r="CE50" i="2"/>
  <c r="CF50" i="2" s="1"/>
  <c r="CE37" i="2"/>
  <c r="CF37" i="2" s="1"/>
  <c r="CE21" i="2"/>
  <c r="CF21" i="2" s="1"/>
  <c r="CE28" i="2"/>
  <c r="CF28" i="2" s="1"/>
  <c r="CE75" i="2"/>
  <c r="CF75" i="2" s="1"/>
  <c r="CE56" i="2"/>
  <c r="CF56" i="2" s="1"/>
  <c r="CE101" i="2"/>
  <c r="CF101" i="2" s="1"/>
  <c r="CE15" i="2"/>
  <c r="CF15" i="2" s="1"/>
  <c r="CE87" i="2"/>
  <c r="CF87" i="2" s="1"/>
  <c r="CE76" i="2"/>
  <c r="CF76" i="2" s="1"/>
  <c r="CE92" i="2"/>
  <c r="CF92" i="2" s="1"/>
  <c r="CE8" i="2"/>
  <c r="CF8" i="2" s="1"/>
  <c r="CE58" i="2"/>
  <c r="CF58" i="2" s="1"/>
  <c r="CE82" i="2"/>
  <c r="CF82" i="2" s="1"/>
  <c r="CE103" i="2"/>
  <c r="CF103" i="2" s="1"/>
  <c r="CE74" i="2"/>
  <c r="CF74" i="2" s="1"/>
  <c r="CE72" i="2"/>
  <c r="CF72" i="2" s="1"/>
  <c r="CE69" i="2"/>
  <c r="CF69" i="2" s="1"/>
  <c r="CE98" i="2"/>
  <c r="CF98" i="2" s="1"/>
  <c r="CE66" i="2"/>
  <c r="CF66" i="2" s="1"/>
  <c r="CE3" i="2"/>
  <c r="CF3" i="2" s="1"/>
  <c r="CE86" i="2"/>
  <c r="CF86" i="2" s="1"/>
  <c r="CE100" i="2"/>
  <c r="CF100" i="2" s="1"/>
  <c r="CE17" i="2"/>
  <c r="CF17" i="2" s="1"/>
  <c r="CE77" i="2"/>
  <c r="CF77" i="2" s="1"/>
  <c r="CE83" i="2"/>
  <c r="CF83" i="2" s="1"/>
  <c r="CE94" i="2"/>
  <c r="CF94" i="2" s="1"/>
  <c r="CE22" i="2"/>
  <c r="CF22" i="2" s="1"/>
  <c r="CE59" i="2"/>
  <c r="CF59" i="2" s="1"/>
  <c r="CE88" i="2"/>
  <c r="CF88" i="2" s="1"/>
  <c r="CE20" i="2"/>
  <c r="CF20" i="2" s="1"/>
  <c r="CE5" i="2"/>
  <c r="CF5" i="2" s="1"/>
  <c r="CE34" i="2"/>
  <c r="CF34" i="2" s="1"/>
  <c r="CE46" i="2"/>
  <c r="CF46" i="2" s="1"/>
  <c r="CE9" i="2"/>
  <c r="CF9" i="2" s="1"/>
  <c r="CE84" i="2"/>
  <c r="CF84" i="2" s="1"/>
  <c r="CE40" i="2"/>
  <c r="CF40" i="2" s="1"/>
  <c r="CE52" i="2"/>
  <c r="CF52" i="2" s="1"/>
  <c r="CE70" i="2"/>
  <c r="CF70" i="2" s="1"/>
  <c r="CE104" i="2"/>
  <c r="CF104" i="2" s="1"/>
  <c r="CG84" i="2"/>
  <c r="CH84" i="2" s="1"/>
  <c r="CG79" i="2"/>
  <c r="CH79" i="2" s="1"/>
  <c r="CG91" i="2"/>
  <c r="CH91" i="2" s="1"/>
  <c r="CG38" i="2"/>
  <c r="CH38" i="2" s="1"/>
  <c r="CG31" i="2"/>
  <c r="CH31" i="2" s="1"/>
  <c r="CG33" i="2"/>
  <c r="CH33" i="2" s="1"/>
  <c r="CG6" i="2"/>
  <c r="CH6" i="2" s="1"/>
  <c r="CG28" i="2"/>
  <c r="CH28" i="2" s="1"/>
  <c r="CG63" i="2"/>
  <c r="CH63" i="2" s="1"/>
  <c r="CG54" i="2"/>
  <c r="CH54" i="2" s="1"/>
  <c r="CG92" i="2"/>
  <c r="CH92" i="2" s="1"/>
  <c r="CG96" i="2"/>
  <c r="CH96" i="2" s="1"/>
  <c r="CG93" i="2"/>
  <c r="CH93" i="2" s="1"/>
  <c r="CG73" i="2"/>
  <c r="CH73" i="2" s="1"/>
  <c r="CG3" i="2"/>
  <c r="CH3" i="2" s="1"/>
  <c r="CG99" i="2"/>
  <c r="CH99" i="2" s="1"/>
  <c r="CG80" i="2"/>
  <c r="CH80" i="2" s="1"/>
  <c r="CG82" i="2"/>
  <c r="CH82" i="2" s="1"/>
  <c r="CG75" i="2"/>
  <c r="CH75" i="2" s="1"/>
  <c r="CG19" i="2"/>
  <c r="CH19" i="2" s="1"/>
  <c r="CG95" i="2"/>
  <c r="CH95" i="2" s="1"/>
  <c r="CG12" i="2"/>
  <c r="CH12" i="2" s="1"/>
  <c r="CG18" i="2"/>
  <c r="CH18" i="2" s="1"/>
  <c r="CG98" i="2"/>
  <c r="CH98" i="2" s="1"/>
  <c r="CG57" i="2"/>
  <c r="CH57" i="2" s="1"/>
  <c r="CG42" i="2"/>
  <c r="CH42" i="2" s="1"/>
  <c r="CG62" i="2"/>
  <c r="CH62" i="2" s="1"/>
  <c r="CG74" i="2"/>
  <c r="CH74" i="2" s="1"/>
  <c r="CG69" i="2"/>
  <c r="CH69" i="2" s="1"/>
  <c r="CG9" i="2"/>
  <c r="CH9" i="2" s="1"/>
  <c r="CG68" i="2"/>
  <c r="CH68" i="2" s="1"/>
  <c r="CG72" i="2"/>
  <c r="CH72" i="2" s="1"/>
  <c r="CG21" i="2"/>
  <c r="CH21" i="2" s="1"/>
  <c r="CG85" i="2"/>
  <c r="CH85" i="2" s="1"/>
  <c r="CG49" i="2"/>
  <c r="CH49" i="2" s="1"/>
  <c r="CG94" i="2"/>
  <c r="CH94" i="2" s="1"/>
  <c r="CG20" i="2"/>
  <c r="CH20" i="2" s="1"/>
  <c r="CG14" i="2"/>
  <c r="CH14" i="2" s="1"/>
  <c r="CG34" i="2"/>
  <c r="CH34" i="2" s="1"/>
  <c r="CG46" i="2"/>
  <c r="CH46" i="2" s="1"/>
  <c r="CG50" i="2"/>
  <c r="CH50" i="2" s="1"/>
  <c r="CG66" i="2"/>
  <c r="CH66" i="2" s="1"/>
  <c r="CG47" i="2"/>
  <c r="CH47" i="2" s="1"/>
  <c r="CG86" i="2"/>
  <c r="CH86" i="2" s="1"/>
  <c r="CG90" i="2"/>
  <c r="CH90" i="2" s="1"/>
  <c r="CG44" i="2"/>
  <c r="CH44" i="2" s="1"/>
  <c r="CG60" i="2"/>
  <c r="CH60" i="2" s="1"/>
  <c r="CG37" i="2"/>
  <c r="CH37" i="2" s="1"/>
  <c r="CG43" i="2"/>
  <c r="CH43" i="2" s="1"/>
  <c r="CG67" i="2"/>
  <c r="CH67" i="2" s="1"/>
  <c r="CG71" i="2"/>
  <c r="CH71" i="2" s="1"/>
  <c r="CG15" i="2"/>
  <c r="CH15" i="2" s="1"/>
  <c r="CG76" i="2"/>
  <c r="CH76" i="2" s="1"/>
  <c r="CG55" i="2"/>
  <c r="CH55" i="2" s="1"/>
  <c r="CG81" i="2"/>
  <c r="CH81" i="2" s="1"/>
  <c r="CG16" i="2"/>
  <c r="CH16" i="2" s="1"/>
  <c r="CG103" i="2"/>
  <c r="CH103" i="2" s="1"/>
  <c r="CG104" i="2"/>
  <c r="CH104" i="2" s="1"/>
  <c r="CG23" i="2"/>
  <c r="CH23" i="2" s="1"/>
  <c r="CG61" i="2"/>
  <c r="CH61" i="2" s="1"/>
  <c r="CG25" i="2"/>
  <c r="CH25" i="2" s="1"/>
  <c r="CG53" i="2"/>
  <c r="CH53" i="2" s="1"/>
  <c r="CG102" i="2"/>
  <c r="CH102" i="2" s="1"/>
  <c r="CG26" i="2"/>
  <c r="CH26" i="2" s="1"/>
  <c r="CG29" i="2"/>
  <c r="CH29" i="2" s="1"/>
  <c r="CG24" i="2"/>
  <c r="CH24" i="2" s="1"/>
  <c r="CG13" i="2"/>
  <c r="CH13" i="2" s="1"/>
  <c r="CG17" i="2"/>
  <c r="CH17" i="2" s="1"/>
  <c r="CG83" i="2"/>
  <c r="CH83" i="2" s="1"/>
  <c r="CG35" i="2"/>
  <c r="CH35" i="2" s="1"/>
  <c r="CG7" i="2"/>
  <c r="CH7" i="2" s="1"/>
  <c r="CG40" i="2"/>
  <c r="CH40" i="2" s="1"/>
  <c r="CG52" i="2"/>
  <c r="CH52" i="2" s="1"/>
  <c r="CG32" i="2"/>
  <c r="CH32" i="2" s="1"/>
  <c r="CG100" i="2"/>
  <c r="CH100" i="2" s="1"/>
  <c r="CG89" i="2"/>
  <c r="CH89" i="2" s="1"/>
  <c r="CG88" i="2"/>
  <c r="CH88" i="2" s="1"/>
  <c r="CG56" i="2"/>
  <c r="CH56" i="2" s="1"/>
  <c r="CG101" i="2"/>
  <c r="CH101" i="2" s="1"/>
  <c r="CG39" i="2"/>
  <c r="CH39" i="2" s="1"/>
  <c r="CG65" i="2"/>
  <c r="CH65" i="2" s="1"/>
  <c r="CG87" i="2"/>
  <c r="CH87" i="2" s="1"/>
  <c r="CG30" i="2"/>
  <c r="CH30" i="2" s="1"/>
  <c r="CG77" i="2"/>
  <c r="CH77" i="2" s="1"/>
  <c r="CG78" i="2"/>
  <c r="CH78" i="2" s="1"/>
  <c r="CG41" i="2"/>
  <c r="CH41" i="2" s="1"/>
  <c r="CG48" i="2"/>
  <c r="CH48" i="2" s="1"/>
  <c r="CG22" i="2"/>
  <c r="CH22" i="2" s="1"/>
  <c r="CG4" i="2"/>
  <c r="CH4" i="2" s="1"/>
  <c r="CG64" i="2"/>
  <c r="CH64" i="2" s="1"/>
  <c r="CG58" i="2"/>
  <c r="CH58" i="2" s="1"/>
  <c r="CG36" i="2"/>
  <c r="CH36" i="2" s="1"/>
  <c r="CG59" i="2"/>
  <c r="CH59" i="2" s="1"/>
  <c r="CG8" i="2"/>
  <c r="CH8" i="2" s="1"/>
  <c r="CG97" i="2"/>
  <c r="CH97" i="2" s="1"/>
  <c r="CC41" i="2"/>
  <c r="CW41" i="2" s="1"/>
  <c r="CG45" i="2"/>
  <c r="CH45" i="2" s="1"/>
  <c r="CG5" i="2"/>
  <c r="CH5" i="2" s="1"/>
  <c r="CG51" i="2"/>
  <c r="CH51" i="2" s="1"/>
  <c r="CG70" i="2"/>
  <c r="CH70" i="2" s="1"/>
  <c r="CG10" i="2"/>
  <c r="CH10" i="2" s="1"/>
  <c r="CG11" i="2"/>
  <c r="CH11" i="2" s="1"/>
  <c r="CG27" i="2"/>
  <c r="CH27" i="2" s="1"/>
  <c r="CX63" i="2" l="1"/>
  <c r="CX3" i="2"/>
  <c r="CX27" i="2"/>
  <c r="CX23" i="2"/>
  <c r="CX15" i="2"/>
  <c r="CX36" i="2"/>
  <c r="CX30" i="2"/>
  <c r="CX35" i="2"/>
  <c r="CX71" i="2"/>
  <c r="CX16" i="2"/>
  <c r="CX6" i="2"/>
  <c r="CX22" i="2"/>
  <c r="CX52" i="2"/>
  <c r="CX47" i="2"/>
  <c r="CX24" i="2"/>
  <c r="CX39" i="2"/>
  <c r="CX12" i="2"/>
  <c r="CX62" i="2"/>
  <c r="CX21" i="2"/>
  <c r="CX40" i="2"/>
  <c r="CX25" i="2"/>
  <c r="CX45" i="2"/>
  <c r="CX4" i="2"/>
  <c r="CX13" i="2"/>
  <c r="CX31" i="2"/>
  <c r="CX28" i="2"/>
  <c r="CD41" i="2"/>
  <c r="CT46" i="2"/>
  <c r="CV46" i="2" s="1"/>
  <c r="CT37" i="2"/>
  <c r="CV37" i="2" s="1"/>
  <c r="CT74" i="2"/>
  <c r="CV74" i="2" s="1"/>
  <c r="CT59" i="2"/>
  <c r="CV59" i="2" s="1"/>
  <c r="CT29" i="2"/>
  <c r="CU29" i="2" s="1"/>
  <c r="DA29" i="2" s="1"/>
  <c r="CT65" i="2"/>
  <c r="CV65" i="2" s="1"/>
  <c r="CT104" i="2"/>
  <c r="CV104" i="2" s="1"/>
  <c r="CT92" i="2"/>
  <c r="CV92" i="2" s="1"/>
  <c r="CT94" i="2"/>
  <c r="CV94" i="2" s="1"/>
  <c r="CT19" i="2"/>
  <c r="CU19" i="2" s="1"/>
  <c r="DA19" i="2" s="1"/>
  <c r="CT83" i="2"/>
  <c r="CU83" i="2" s="1"/>
  <c r="DA83" i="2" s="1"/>
  <c r="CT61" i="2"/>
  <c r="CV61" i="2" s="1"/>
  <c r="CT80" i="2"/>
  <c r="CU80" i="2" s="1"/>
  <c r="DA80" i="2" s="1"/>
  <c r="CT32" i="2"/>
  <c r="CV32" i="2" s="1"/>
  <c r="CT50" i="2"/>
  <c r="CU50" i="2" s="1"/>
  <c r="DA50" i="2" s="1"/>
  <c r="CT87" i="2"/>
  <c r="CU87" i="2" s="1"/>
  <c r="DA87" i="2" s="1"/>
  <c r="CT72" i="2"/>
  <c r="CU72" i="2" s="1"/>
  <c r="DA72" i="2" s="1"/>
  <c r="CT4" i="2"/>
  <c r="CU4" i="2" s="1"/>
  <c r="DA4" i="2" s="1"/>
  <c r="CT12" i="2"/>
  <c r="CT3" i="2"/>
  <c r="CT27" i="2"/>
  <c r="CT11" i="2"/>
  <c r="CT20" i="2"/>
  <c r="CT13" i="2"/>
  <c r="CT55" i="2"/>
  <c r="CT98" i="2"/>
  <c r="CT99" i="2"/>
  <c r="CT86" i="2"/>
  <c r="CT26" i="2"/>
  <c r="CT14" i="2"/>
  <c r="CT78" i="2"/>
  <c r="CT82" i="2"/>
  <c r="CT23" i="2"/>
  <c r="CT15" i="2"/>
  <c r="CT53" i="2"/>
  <c r="CT9" i="2"/>
  <c r="CT66" i="2"/>
  <c r="CT31" i="2"/>
  <c r="CT85" i="2"/>
  <c r="CT60" i="2"/>
  <c r="CT28" i="2"/>
  <c r="CT91" i="2"/>
  <c r="CT69" i="2"/>
  <c r="CT5" i="2"/>
  <c r="CT38" i="2"/>
  <c r="CT51" i="2"/>
  <c r="CT75" i="2"/>
  <c r="CT7" i="2"/>
  <c r="CT22" i="2"/>
  <c r="CT77" i="2"/>
  <c r="CT58" i="2"/>
  <c r="CT43" i="2"/>
  <c r="CT33" i="2"/>
  <c r="CT84" i="2"/>
  <c r="CT96" i="2"/>
  <c r="CT93" i="2"/>
  <c r="CT57" i="2"/>
  <c r="CT102" i="2"/>
  <c r="CT95" i="2"/>
  <c r="CT49" i="2"/>
  <c r="CT18" i="2"/>
  <c r="CT88" i="2"/>
  <c r="CT35" i="2"/>
  <c r="CT17" i="2"/>
  <c r="CT36" i="2"/>
  <c r="CT47" i="2"/>
  <c r="CT44" i="2"/>
  <c r="CT79" i="2"/>
  <c r="CT70" i="2"/>
  <c r="CT81" i="2"/>
  <c r="CT68" i="2"/>
  <c r="CT39" i="2"/>
  <c r="CT101" i="2"/>
  <c r="CT10" i="2"/>
  <c r="CT64" i="2"/>
  <c r="CT67" i="2"/>
  <c r="CT48" i="2"/>
  <c r="CT71" i="2"/>
  <c r="CT62" i="2"/>
  <c r="CT34" i="2"/>
  <c r="CT8" i="2"/>
  <c r="CT6" i="2"/>
  <c r="CT90" i="2"/>
  <c r="CT103" i="2"/>
  <c r="CT30" i="2"/>
  <c r="CT73" i="2"/>
  <c r="CT21" i="2"/>
  <c r="CT41" i="2"/>
  <c r="CT52" i="2"/>
  <c r="CT63" i="2"/>
  <c r="CT25" i="2"/>
  <c r="CT45" i="2"/>
  <c r="CT76" i="2"/>
  <c r="CT40" i="2"/>
  <c r="CT24" i="2"/>
  <c r="CT16" i="2"/>
  <c r="CT54" i="2"/>
  <c r="CT56" i="2"/>
  <c r="CT100" i="2"/>
  <c r="CT97" i="2"/>
  <c r="CT42" i="2"/>
  <c r="CT89" i="2"/>
  <c r="CX11" i="2"/>
  <c r="CX20" i="2"/>
  <c r="CX26" i="2"/>
  <c r="CX53" i="2"/>
  <c r="CX9" i="2"/>
  <c r="CX60" i="2"/>
  <c r="CX37" i="2"/>
  <c r="CX48" i="2"/>
  <c r="CX29" i="2"/>
  <c r="CX19" i="2"/>
  <c r="CX61" i="2"/>
  <c r="CX32" i="2"/>
  <c r="CX18" i="2"/>
  <c r="CX72" i="2"/>
  <c r="CX5" i="2"/>
  <c r="CX51" i="2"/>
  <c r="CX7" i="2"/>
  <c r="CX77" i="2"/>
  <c r="CX43" i="2"/>
  <c r="CX33" i="2"/>
  <c r="CX17" i="2"/>
  <c r="CX68" i="2"/>
  <c r="CX10" i="2"/>
  <c r="CX64" i="2"/>
  <c r="CX67" i="2"/>
  <c r="CX34" i="2"/>
  <c r="CX8" i="2"/>
  <c r="CX14" i="2"/>
  <c r="CX41" i="2"/>
  <c r="CX56" i="2"/>
  <c r="CX42" i="2"/>
  <c r="CK87" i="2"/>
  <c r="CN62" i="2"/>
  <c r="CN61" i="2"/>
  <c r="CK62" i="2"/>
  <c r="CK28" i="2"/>
  <c r="CK5" i="2"/>
  <c r="CK18" i="2"/>
  <c r="CK3" i="2"/>
  <c r="CK32" i="2"/>
  <c r="CK44" i="2"/>
  <c r="CK92" i="2"/>
  <c r="CK22" i="2"/>
  <c r="CK79" i="2"/>
  <c r="CK52" i="2"/>
  <c r="CK86" i="2"/>
  <c r="CK40" i="2"/>
  <c r="CK11" i="2"/>
  <c r="CK89" i="2"/>
  <c r="CK73" i="2"/>
  <c r="CK75" i="2"/>
  <c r="CK102" i="2"/>
  <c r="CK45" i="2"/>
  <c r="CK49" i="2"/>
  <c r="CK63" i="2"/>
  <c r="CK53" i="2"/>
  <c r="CK93" i="2"/>
  <c r="CK77" i="2"/>
  <c r="CK51" i="2"/>
  <c r="CK91" i="2"/>
  <c r="CK27" i="2"/>
  <c r="CK97" i="2"/>
  <c r="CK94" i="2"/>
  <c r="CK9" i="2"/>
  <c r="CK69" i="2"/>
  <c r="CK54" i="2"/>
  <c r="CK46" i="2"/>
  <c r="CK88" i="2"/>
  <c r="CK98" i="2"/>
  <c r="CK96" i="2"/>
  <c r="CK71" i="2"/>
  <c r="CK56" i="2"/>
  <c r="CK30" i="2"/>
  <c r="CK70" i="2"/>
  <c r="CK95" i="2"/>
  <c r="CK8" i="2"/>
  <c r="CK66" i="2"/>
  <c r="CK39" i="2"/>
  <c r="CK101" i="2"/>
  <c r="CK65" i="2"/>
  <c r="CK37" i="2"/>
  <c r="CK42" i="2"/>
  <c r="CK29" i="2"/>
  <c r="CK16" i="2"/>
  <c r="CK68" i="2"/>
  <c r="CK76" i="2"/>
  <c r="CK59" i="2"/>
  <c r="CK7" i="2"/>
  <c r="CK12" i="2"/>
  <c r="CK26" i="2"/>
  <c r="CK21" i="2"/>
  <c r="CK50" i="2"/>
  <c r="CK55" i="2"/>
  <c r="CK4" i="2"/>
  <c r="CK64" i="2"/>
  <c r="CK33" i="2"/>
  <c r="CK60" i="2"/>
  <c r="CK84" i="2"/>
  <c r="CK74" i="2"/>
  <c r="CK20" i="2"/>
  <c r="CK80" i="2"/>
  <c r="CK14" i="2"/>
  <c r="CK104" i="2"/>
  <c r="CK103" i="2"/>
  <c r="CK57" i="2"/>
  <c r="CK99" i="2"/>
  <c r="CK43" i="2"/>
  <c r="CK24" i="2"/>
  <c r="CK72" i="2"/>
  <c r="CK10" i="2"/>
  <c r="CK31" i="2"/>
  <c r="CK81" i="2"/>
  <c r="CK36" i="2"/>
  <c r="CK38" i="2"/>
  <c r="CK19" i="2"/>
  <c r="CK61" i="2"/>
  <c r="CK34" i="2"/>
  <c r="CK90" i="2"/>
  <c r="CK48" i="2"/>
  <c r="CK85" i="2"/>
  <c r="CK17" i="2"/>
  <c r="CK78" i="2"/>
  <c r="CK67" i="2"/>
  <c r="CK23" i="2"/>
  <c r="CK15" i="2"/>
  <c r="CK35" i="2"/>
  <c r="CK83" i="2"/>
  <c r="CK41" i="2"/>
  <c r="CM41" i="2" s="1"/>
  <c r="CK100" i="2"/>
  <c r="CK13" i="2"/>
  <c r="CK58" i="2"/>
  <c r="CK25" i="2"/>
  <c r="CK82" i="2"/>
  <c r="CK6" i="2"/>
  <c r="CK47" i="2"/>
  <c r="CD18" i="2"/>
  <c r="CN18" i="2"/>
  <c r="CD5" i="2"/>
  <c r="CN5" i="2"/>
  <c r="CD50" i="2"/>
  <c r="CN50" i="2"/>
  <c r="CD55" i="2"/>
  <c r="CN55" i="2"/>
  <c r="CD99" i="2"/>
  <c r="CN99" i="2"/>
  <c r="CD77" i="2"/>
  <c r="CN77" i="2"/>
  <c r="CD85" i="2"/>
  <c r="CN85" i="2"/>
  <c r="CD26" i="2"/>
  <c r="CN26" i="2"/>
  <c r="CD66" i="2"/>
  <c r="CN66" i="2"/>
  <c r="CX66" i="2" s="1"/>
  <c r="CD65" i="2"/>
  <c r="CN65" i="2"/>
  <c r="CD94" i="2"/>
  <c r="CN94" i="2"/>
  <c r="CD23" i="2"/>
  <c r="CN23" i="2"/>
  <c r="CD73" i="2"/>
  <c r="CN73" i="2"/>
  <c r="CD40" i="2"/>
  <c r="CN40" i="2"/>
  <c r="CD59" i="2"/>
  <c r="CN59" i="2"/>
  <c r="CD80" i="2"/>
  <c r="CN80" i="2"/>
  <c r="CX80" i="2" s="1"/>
  <c r="CD27" i="2"/>
  <c r="CN27" i="2"/>
  <c r="CD48" i="2"/>
  <c r="CN48" i="2"/>
  <c r="CD30" i="2"/>
  <c r="CN30" i="2"/>
  <c r="CD58" i="2"/>
  <c r="CN58" i="2"/>
  <c r="CD51" i="2"/>
  <c r="CN51" i="2"/>
  <c r="CD54" i="2"/>
  <c r="CN54" i="2"/>
  <c r="CD52" i="2"/>
  <c r="CN52" i="2"/>
  <c r="CD103" i="2"/>
  <c r="CN103" i="2"/>
  <c r="CD100" i="2"/>
  <c r="CN100" i="2"/>
  <c r="CD92" i="2"/>
  <c r="CN92" i="2"/>
  <c r="CD61" i="2"/>
  <c r="CD34" i="2"/>
  <c r="CN34" i="2"/>
  <c r="CD86" i="2"/>
  <c r="CN86" i="2"/>
  <c r="CD17" i="2"/>
  <c r="CN17" i="2"/>
  <c r="CD47" i="2"/>
  <c r="CN47" i="2"/>
  <c r="CD102" i="2"/>
  <c r="CN102" i="2"/>
  <c r="CD49" i="2"/>
  <c r="CN49" i="2"/>
  <c r="CX49" i="2" s="1"/>
  <c r="CD37" i="2"/>
  <c r="CN37" i="2"/>
  <c r="CD29" i="2"/>
  <c r="CN29" i="2"/>
  <c r="CD60" i="2"/>
  <c r="CN60" i="2"/>
  <c r="CD22" i="2"/>
  <c r="CN22" i="2"/>
  <c r="CD91" i="2"/>
  <c r="CN91" i="2"/>
  <c r="CD83" i="2"/>
  <c r="CN83" i="2"/>
  <c r="CD97" i="2"/>
  <c r="CN97" i="2"/>
  <c r="CD71" i="2"/>
  <c r="CN71" i="2"/>
  <c r="CD101" i="2"/>
  <c r="CN101" i="2"/>
  <c r="CD7" i="2"/>
  <c r="CN7" i="2"/>
  <c r="CD90" i="2"/>
  <c r="CN90" i="2"/>
  <c r="CD89" i="2"/>
  <c r="CN89" i="2"/>
  <c r="CD56" i="2"/>
  <c r="CN56" i="2"/>
  <c r="CD24" i="2"/>
  <c r="CN24" i="2"/>
  <c r="CD69" i="2"/>
  <c r="CN69" i="2"/>
  <c r="CX69" i="2" s="1"/>
  <c r="CD42" i="2"/>
  <c r="CN42" i="2"/>
  <c r="CD10" i="2"/>
  <c r="CN10" i="2"/>
  <c r="CD16" i="2"/>
  <c r="CN16" i="2"/>
  <c r="CD75" i="2"/>
  <c r="CN75" i="2"/>
  <c r="CX75" i="2" s="1"/>
  <c r="CD68" i="2"/>
  <c r="CN68" i="2"/>
  <c r="CD11" i="2"/>
  <c r="CN11" i="2"/>
  <c r="CD104" i="2"/>
  <c r="CN104" i="2"/>
  <c r="CD46" i="2"/>
  <c r="CN46" i="2"/>
  <c r="CX46" i="2" s="1"/>
  <c r="CD44" i="2"/>
  <c r="CN44" i="2"/>
  <c r="CD88" i="2"/>
  <c r="CN88" i="2"/>
  <c r="CD39" i="2"/>
  <c r="CN39" i="2"/>
  <c r="CD43" i="2"/>
  <c r="CN43" i="2"/>
  <c r="CD67" i="2"/>
  <c r="CN67" i="2"/>
  <c r="CD62" i="2"/>
  <c r="CD96" i="2"/>
  <c r="CN96" i="2"/>
  <c r="CD72" i="2"/>
  <c r="CN72" i="2"/>
  <c r="CD70" i="2"/>
  <c r="CN70" i="2"/>
  <c r="CD84" i="2"/>
  <c r="CN84" i="2"/>
  <c r="CD57" i="2"/>
  <c r="CN57" i="2"/>
  <c r="CD45" i="2"/>
  <c r="CN45" i="2"/>
  <c r="CD32" i="2"/>
  <c r="CN32" i="2"/>
  <c r="CD78" i="2"/>
  <c r="CN78" i="2"/>
  <c r="CD9" i="2"/>
  <c r="CN9" i="2"/>
  <c r="CD19" i="2"/>
  <c r="CN19" i="2"/>
  <c r="CD25" i="2"/>
  <c r="CN25" i="2"/>
  <c r="CD31" i="2"/>
  <c r="CN31" i="2"/>
  <c r="CD74" i="2"/>
  <c r="CN74" i="2"/>
  <c r="CX74" i="2" s="1"/>
  <c r="CD20" i="2"/>
  <c r="CN20" i="2"/>
  <c r="CD95" i="2"/>
  <c r="CN95" i="2"/>
  <c r="CD38" i="2"/>
  <c r="CN38" i="2"/>
  <c r="CD14" i="2"/>
  <c r="CN14" i="2"/>
  <c r="CN41" i="2"/>
  <c r="CD12" i="2"/>
  <c r="CN12" i="2"/>
  <c r="CD63" i="2"/>
  <c r="CN63" i="2"/>
  <c r="CD4" i="2"/>
  <c r="CN4" i="2"/>
  <c r="CD8" i="2"/>
  <c r="CN8" i="2"/>
  <c r="CD13" i="2"/>
  <c r="CN13" i="2"/>
  <c r="CD53" i="2"/>
  <c r="CN53" i="2"/>
  <c r="CD33" i="2"/>
  <c r="CN33" i="2"/>
  <c r="CD79" i="2"/>
  <c r="CN79" i="2"/>
  <c r="CD35" i="2"/>
  <c r="CN35" i="2"/>
  <c r="CD81" i="2"/>
  <c r="CN81" i="2"/>
  <c r="CD36" i="2"/>
  <c r="CN36" i="2"/>
  <c r="CD87" i="2"/>
  <c r="CN87" i="2"/>
  <c r="CD64" i="2"/>
  <c r="CN64" i="2"/>
  <c r="CD3" i="2"/>
  <c r="CN3" i="2"/>
  <c r="CD98" i="2"/>
  <c r="CN98" i="2"/>
  <c r="CD28" i="2"/>
  <c r="CN28" i="2"/>
  <c r="CD93" i="2"/>
  <c r="CN93" i="2"/>
  <c r="CD21" i="2"/>
  <c r="CN21" i="2"/>
  <c r="CD15" i="2"/>
  <c r="CN15" i="2"/>
  <c r="CD82" i="2"/>
  <c r="CN82" i="2"/>
  <c r="CD6" i="2"/>
  <c r="CN6" i="2"/>
  <c r="CD76" i="2"/>
  <c r="CN76" i="2"/>
  <c r="CB60" i="2"/>
  <c r="CB45" i="2"/>
  <c r="CB101" i="2"/>
  <c r="CB57" i="2"/>
  <c r="CB53" i="2"/>
  <c r="CB17" i="2"/>
  <c r="CB93" i="2"/>
  <c r="CB49" i="2"/>
  <c r="CB11" i="2"/>
  <c r="CB64" i="2"/>
  <c r="CB98" i="2"/>
  <c r="CB41" i="2"/>
  <c r="CB33" i="2"/>
  <c r="CB90" i="2"/>
  <c r="CB80" i="2"/>
  <c r="CB87" i="2"/>
  <c r="CB24" i="2"/>
  <c r="CB89" i="2"/>
  <c r="CB3" i="2"/>
  <c r="CB95" i="2"/>
  <c r="CB103" i="2"/>
  <c r="CB47" i="2"/>
  <c r="CB39" i="2"/>
  <c r="CB68" i="2"/>
  <c r="CB58" i="2"/>
  <c r="CB9" i="2"/>
  <c r="CB34" i="2"/>
  <c r="CB38" i="2"/>
  <c r="CB28" i="2"/>
  <c r="CB96" i="2"/>
  <c r="CB29" i="2"/>
  <c r="CB82" i="2"/>
  <c r="CB67" i="2"/>
  <c r="CB65" i="2"/>
  <c r="CB88" i="2"/>
  <c r="CB104" i="2"/>
  <c r="CB50" i="2"/>
  <c r="CB70" i="2"/>
  <c r="CB26" i="2"/>
  <c r="CB25" i="2"/>
  <c r="CB14" i="2"/>
  <c r="CB12" i="2"/>
  <c r="CB71" i="2"/>
  <c r="CB10" i="2"/>
  <c r="CB19" i="2"/>
  <c r="CB30" i="2"/>
  <c r="CB78" i="2"/>
  <c r="CB40" i="2"/>
  <c r="CB69" i="2"/>
  <c r="CB66" i="2"/>
  <c r="CB55" i="2"/>
  <c r="CB83" i="2"/>
  <c r="CB75" i="2"/>
  <c r="CB43" i="2"/>
  <c r="CB27" i="2"/>
  <c r="CB42" i="2"/>
  <c r="CB77" i="2"/>
  <c r="CB63" i="2"/>
  <c r="CB62" i="2"/>
  <c r="CB46" i="2"/>
  <c r="CB5" i="2"/>
  <c r="CB8" i="2"/>
  <c r="CB100" i="2"/>
  <c r="CB52" i="2"/>
  <c r="CB21" i="2"/>
  <c r="CB35" i="2"/>
  <c r="CB22" i="2"/>
  <c r="CB36" i="2"/>
  <c r="CB18" i="2"/>
  <c r="CB23" i="2"/>
  <c r="CB20" i="2"/>
  <c r="CB37" i="2"/>
  <c r="CB16" i="2"/>
  <c r="CB85" i="2"/>
  <c r="CB76" i="2"/>
  <c r="CB44" i="2"/>
  <c r="CB61" i="2"/>
  <c r="CB31" i="2"/>
  <c r="CB91" i="2"/>
  <c r="CB99" i="2"/>
  <c r="CB86" i="2"/>
  <c r="CB79" i="2"/>
  <c r="CB102" i="2"/>
  <c r="CB73" i="2"/>
  <c r="CB13" i="2"/>
  <c r="CB84" i="2"/>
  <c r="CB72" i="2"/>
  <c r="CB15" i="2"/>
  <c r="CB81" i="2"/>
  <c r="CB74" i="2"/>
  <c r="CB6" i="2"/>
  <c r="CB97" i="2"/>
  <c r="CB94" i="2"/>
  <c r="CB4" i="2"/>
  <c r="CB92" i="2"/>
  <c r="CB51" i="2"/>
  <c r="CB48" i="2"/>
  <c r="CB7" i="2"/>
  <c r="CB54" i="2"/>
  <c r="CB32" i="2"/>
  <c r="CB59" i="2"/>
  <c r="CB56" i="2"/>
  <c r="CX70" i="2" l="1"/>
  <c r="CX50" i="2"/>
  <c r="CX87" i="2"/>
  <c r="CX65" i="2"/>
  <c r="CY65" i="2" s="1"/>
  <c r="CX54" i="2"/>
  <c r="CX79" i="2"/>
  <c r="CX38" i="2"/>
  <c r="CX85" i="2"/>
  <c r="CX59" i="2"/>
  <c r="CY59" i="2" s="1"/>
  <c r="CX73" i="2"/>
  <c r="CX55" i="2"/>
  <c r="CX76" i="2"/>
  <c r="CX58" i="2"/>
  <c r="CX86" i="2"/>
  <c r="CX81" i="2"/>
  <c r="CX88" i="2"/>
  <c r="CX44" i="2"/>
  <c r="CX89" i="2"/>
  <c r="CX57" i="2"/>
  <c r="CX78" i="2"/>
  <c r="CV4" i="2"/>
  <c r="CY4" i="2" s="1"/>
  <c r="CZ4" i="2" s="1"/>
  <c r="CU46" i="2"/>
  <c r="DA46" i="2" s="1"/>
  <c r="CV72" i="2"/>
  <c r="CY72" i="2" s="1"/>
  <c r="CU94" i="2"/>
  <c r="CU74" i="2"/>
  <c r="CV83" i="2"/>
  <c r="CV19" i="2"/>
  <c r="CY19" i="2" s="1"/>
  <c r="CV50" i="2"/>
  <c r="CY50" i="2" s="1"/>
  <c r="CV80" i="2"/>
  <c r="CY80" i="2" s="1"/>
  <c r="CV29" i="2"/>
  <c r="CY29" i="2" s="1"/>
  <c r="CU104" i="2"/>
  <c r="CU37" i="2"/>
  <c r="CU32" i="2"/>
  <c r="CU65" i="2"/>
  <c r="DA65" i="2" s="1"/>
  <c r="CU61" i="2"/>
  <c r="CU59" i="2"/>
  <c r="DA59" i="2" s="1"/>
  <c r="CX95" i="2"/>
  <c r="CX103" i="2"/>
  <c r="CX93" i="2"/>
  <c r="CX90" i="2"/>
  <c r="CX97" i="2"/>
  <c r="CX102" i="2"/>
  <c r="CX82" i="2"/>
  <c r="CU92" i="2"/>
  <c r="DA92" i="2" s="1"/>
  <c r="CV87" i="2"/>
  <c r="CY87" i="2" s="1"/>
  <c r="CX96" i="2"/>
  <c r="CX99" i="2"/>
  <c r="CX98" i="2"/>
  <c r="CX101" i="2"/>
  <c r="CU97" i="2"/>
  <c r="DA97" i="2" s="1"/>
  <c r="CV97" i="2"/>
  <c r="CV49" i="2"/>
  <c r="CU49" i="2"/>
  <c r="DA49" i="2" s="1"/>
  <c r="CV98" i="2"/>
  <c r="CU98" i="2"/>
  <c r="DA98" i="2" s="1"/>
  <c r="CV53" i="2"/>
  <c r="CU53" i="2"/>
  <c r="DA53" i="2" s="1"/>
  <c r="CV89" i="2"/>
  <c r="CY89" i="2" s="1"/>
  <c r="CU89" i="2"/>
  <c r="DA89" i="2" s="1"/>
  <c r="CV40" i="2"/>
  <c r="CU40" i="2"/>
  <c r="DA40" i="2" s="1"/>
  <c r="CV73" i="2"/>
  <c r="CU73" i="2"/>
  <c r="DA73" i="2" s="1"/>
  <c r="CV6" i="2"/>
  <c r="CU6" i="2"/>
  <c r="DA6" i="2" s="1"/>
  <c r="CU81" i="2"/>
  <c r="DA81" i="2" s="1"/>
  <c r="CV81" i="2"/>
  <c r="CU88" i="2"/>
  <c r="DA88" i="2" s="1"/>
  <c r="CV88" i="2"/>
  <c r="CV102" i="2"/>
  <c r="CU102" i="2"/>
  <c r="DA102" i="2" s="1"/>
  <c r="CV77" i="2"/>
  <c r="CU77" i="2"/>
  <c r="DA77" i="2" s="1"/>
  <c r="CV31" i="2"/>
  <c r="CU31" i="2"/>
  <c r="DA31" i="2" s="1"/>
  <c r="CU14" i="2"/>
  <c r="DA14" i="2" s="1"/>
  <c r="CV14" i="2"/>
  <c r="CV3" i="2"/>
  <c r="CU3" i="2"/>
  <c r="DA3" i="2" s="1"/>
  <c r="CU79" i="2"/>
  <c r="DA79" i="2" s="1"/>
  <c r="CV79" i="2"/>
  <c r="CV96" i="2"/>
  <c r="CU96" i="2"/>
  <c r="DA96" i="2" s="1"/>
  <c r="CV69" i="2"/>
  <c r="CU69" i="2"/>
  <c r="DA69" i="2" s="1"/>
  <c r="CV42" i="2"/>
  <c r="CU42" i="2"/>
  <c r="DA42" i="2" s="1"/>
  <c r="CV76" i="2"/>
  <c r="CU76" i="2"/>
  <c r="DA76" i="2" s="1"/>
  <c r="CV8" i="2"/>
  <c r="CY8" i="2" s="1"/>
  <c r="CU8" i="2"/>
  <c r="DA8" i="2" s="1"/>
  <c r="CV48" i="2"/>
  <c r="CU48" i="2"/>
  <c r="DA48" i="2" s="1"/>
  <c r="CV70" i="2"/>
  <c r="CU70" i="2"/>
  <c r="DA70" i="2" s="1"/>
  <c r="CU18" i="2"/>
  <c r="DA18" i="2" s="1"/>
  <c r="CV18" i="2"/>
  <c r="CV57" i="2"/>
  <c r="CU57" i="2"/>
  <c r="DA57" i="2" s="1"/>
  <c r="CV22" i="2"/>
  <c r="CU22" i="2"/>
  <c r="DA22" i="2" s="1"/>
  <c r="CV66" i="2"/>
  <c r="CU66" i="2"/>
  <c r="DA66" i="2" s="1"/>
  <c r="CV26" i="2"/>
  <c r="CU26" i="2"/>
  <c r="DA26" i="2" s="1"/>
  <c r="CU99" i="2"/>
  <c r="DA99" i="2" s="1"/>
  <c r="CV99" i="2"/>
  <c r="CV12" i="2"/>
  <c r="CU12" i="2"/>
  <c r="DA12" i="2" s="1"/>
  <c r="CV34" i="2"/>
  <c r="CU34" i="2"/>
  <c r="DA34" i="2" s="1"/>
  <c r="CV93" i="2"/>
  <c r="CU93" i="2"/>
  <c r="DA93" i="2" s="1"/>
  <c r="CV9" i="2"/>
  <c r="CU9" i="2"/>
  <c r="DA9" i="2" s="1"/>
  <c r="CV25" i="2"/>
  <c r="CU25" i="2"/>
  <c r="DA25" i="2" s="1"/>
  <c r="CU64" i="2"/>
  <c r="DA64" i="2" s="1"/>
  <c r="CV64" i="2"/>
  <c r="CU75" i="2"/>
  <c r="DA75" i="2" s="1"/>
  <c r="CV75" i="2"/>
  <c r="CV55" i="2"/>
  <c r="CU55" i="2"/>
  <c r="DA55" i="2" s="1"/>
  <c r="CV56" i="2"/>
  <c r="CU56" i="2"/>
  <c r="DA56" i="2" s="1"/>
  <c r="CV63" i="2"/>
  <c r="CU63" i="2"/>
  <c r="DA63" i="2" s="1"/>
  <c r="CV10" i="2"/>
  <c r="CU10" i="2"/>
  <c r="DA10" i="2" s="1"/>
  <c r="CV47" i="2"/>
  <c r="CU47" i="2"/>
  <c r="DA47" i="2" s="1"/>
  <c r="CV84" i="2"/>
  <c r="CU84" i="2"/>
  <c r="DA84" i="2" s="1"/>
  <c r="CV51" i="2"/>
  <c r="CU51" i="2"/>
  <c r="DA51" i="2" s="1"/>
  <c r="CV91" i="2"/>
  <c r="CU91" i="2"/>
  <c r="DA91" i="2" s="1"/>
  <c r="CV15" i="2"/>
  <c r="CU15" i="2"/>
  <c r="DA15" i="2" s="1"/>
  <c r="CV13" i="2"/>
  <c r="CU13" i="2"/>
  <c r="DA13" i="2" s="1"/>
  <c r="CV7" i="2"/>
  <c r="CU7" i="2"/>
  <c r="DA7" i="2" s="1"/>
  <c r="CV86" i="2"/>
  <c r="CU86" i="2"/>
  <c r="DA86" i="2" s="1"/>
  <c r="CV44" i="2"/>
  <c r="CU44" i="2"/>
  <c r="DA44" i="2" s="1"/>
  <c r="CV54" i="2"/>
  <c r="CU54" i="2"/>
  <c r="DA54" i="2" s="1"/>
  <c r="CV52" i="2"/>
  <c r="CU52" i="2"/>
  <c r="DA52" i="2" s="1"/>
  <c r="CV30" i="2"/>
  <c r="CU30" i="2"/>
  <c r="DA30" i="2" s="1"/>
  <c r="CV62" i="2"/>
  <c r="CU62" i="2"/>
  <c r="DA62" i="2" s="1"/>
  <c r="CU101" i="2"/>
  <c r="DA101" i="2" s="1"/>
  <c r="CV101" i="2"/>
  <c r="CV36" i="2"/>
  <c r="CU36" i="2"/>
  <c r="DA36" i="2" s="1"/>
  <c r="CV33" i="2"/>
  <c r="CU33" i="2"/>
  <c r="DA33" i="2" s="1"/>
  <c r="CU28" i="2"/>
  <c r="DA28" i="2" s="1"/>
  <c r="CV28" i="2"/>
  <c r="CV23" i="2"/>
  <c r="CU23" i="2"/>
  <c r="DA23" i="2" s="1"/>
  <c r="CV20" i="2"/>
  <c r="CU20" i="2"/>
  <c r="DA20" i="2" s="1"/>
  <c r="CU45" i="2"/>
  <c r="DA45" i="2" s="1"/>
  <c r="CV45" i="2"/>
  <c r="CV67" i="2"/>
  <c r="CU67" i="2"/>
  <c r="DA67" i="2" s="1"/>
  <c r="CU5" i="2"/>
  <c r="DA5" i="2" s="1"/>
  <c r="CV5" i="2"/>
  <c r="CV100" i="2"/>
  <c r="CU100" i="2"/>
  <c r="DA100" i="2" s="1"/>
  <c r="CU16" i="2"/>
  <c r="DA16" i="2" s="1"/>
  <c r="CV16" i="2"/>
  <c r="CV41" i="2"/>
  <c r="CY41" i="2" s="1"/>
  <c r="CU41" i="2"/>
  <c r="DA41" i="2" s="1"/>
  <c r="CV103" i="2"/>
  <c r="CU103" i="2"/>
  <c r="DA103" i="2" s="1"/>
  <c r="CU71" i="2"/>
  <c r="DA71" i="2" s="1"/>
  <c r="CV71" i="2"/>
  <c r="CV39" i="2"/>
  <c r="CU39" i="2"/>
  <c r="DA39" i="2" s="1"/>
  <c r="CV17" i="2"/>
  <c r="CU17" i="2"/>
  <c r="DA17" i="2" s="1"/>
  <c r="CV43" i="2"/>
  <c r="CU43" i="2"/>
  <c r="DA43" i="2" s="1"/>
  <c r="CV60" i="2"/>
  <c r="CU60" i="2"/>
  <c r="DA60" i="2" s="1"/>
  <c r="CV82" i="2"/>
  <c r="CU82" i="2"/>
  <c r="DA82" i="2" s="1"/>
  <c r="CU11" i="2"/>
  <c r="DA11" i="2" s="1"/>
  <c r="CV11" i="2"/>
  <c r="CV38" i="2"/>
  <c r="CU38" i="2"/>
  <c r="DA38" i="2" s="1"/>
  <c r="CV24" i="2"/>
  <c r="CU24" i="2"/>
  <c r="DA24" i="2" s="1"/>
  <c r="CV21" i="2"/>
  <c r="CU21" i="2"/>
  <c r="DA21" i="2" s="1"/>
  <c r="CV90" i="2"/>
  <c r="CU90" i="2"/>
  <c r="DA90" i="2" s="1"/>
  <c r="CU68" i="2"/>
  <c r="DA68" i="2" s="1"/>
  <c r="CV68" i="2"/>
  <c r="CV35" i="2"/>
  <c r="CU35" i="2"/>
  <c r="DA35" i="2" s="1"/>
  <c r="CU95" i="2"/>
  <c r="DA95" i="2" s="1"/>
  <c r="CV95" i="2"/>
  <c r="CU58" i="2"/>
  <c r="DA58" i="2" s="1"/>
  <c r="CV58" i="2"/>
  <c r="CV85" i="2"/>
  <c r="CU85" i="2"/>
  <c r="DA85" i="2" s="1"/>
  <c r="CV78" i="2"/>
  <c r="CU78" i="2"/>
  <c r="DA78" i="2" s="1"/>
  <c r="CU27" i="2"/>
  <c r="DA27" i="2" s="1"/>
  <c r="CV27" i="2"/>
  <c r="CX104" i="2"/>
  <c r="CX92" i="2"/>
  <c r="CY92" i="2" s="1"/>
  <c r="CX94" i="2"/>
  <c r="CX91" i="2"/>
  <c r="CX84" i="2"/>
  <c r="CX100" i="2"/>
  <c r="CX83" i="2"/>
  <c r="CO70" i="2"/>
  <c r="CO103" i="2"/>
  <c r="CO58" i="2"/>
  <c r="CO80" i="2"/>
  <c r="CO23" i="2"/>
  <c r="CO26" i="2"/>
  <c r="CO55" i="2"/>
  <c r="CO6" i="2"/>
  <c r="CO93" i="2"/>
  <c r="CO64" i="2"/>
  <c r="CO35" i="2"/>
  <c r="CO13" i="2"/>
  <c r="CO12" i="2"/>
  <c r="CO43" i="2"/>
  <c r="CO46" i="2"/>
  <c r="CO75" i="2"/>
  <c r="CO69" i="2"/>
  <c r="CO90" i="2"/>
  <c r="CO97" i="2"/>
  <c r="CO60" i="2"/>
  <c r="CO102" i="2"/>
  <c r="CO34" i="2"/>
  <c r="CO19" i="2"/>
  <c r="CO52" i="2"/>
  <c r="CO59" i="2"/>
  <c r="CO85" i="2"/>
  <c r="CO50" i="2"/>
  <c r="CO82" i="2"/>
  <c r="CO28" i="2"/>
  <c r="CO87" i="2"/>
  <c r="CO79" i="2"/>
  <c r="CO8" i="2"/>
  <c r="CO41" i="2"/>
  <c r="CO39" i="2"/>
  <c r="CO104" i="2"/>
  <c r="CO16" i="2"/>
  <c r="CO24" i="2"/>
  <c r="CO7" i="2"/>
  <c r="CO83" i="2"/>
  <c r="CO29" i="2"/>
  <c r="CO47" i="2"/>
  <c r="CO32" i="2"/>
  <c r="CO72" i="2"/>
  <c r="CO94" i="2"/>
  <c r="CO9" i="2"/>
  <c r="CO54" i="2"/>
  <c r="CO40" i="2"/>
  <c r="CO15" i="2"/>
  <c r="CO98" i="2"/>
  <c r="CO36" i="2"/>
  <c r="CO33" i="2"/>
  <c r="CO4" i="2"/>
  <c r="CO88" i="2"/>
  <c r="CO11" i="2"/>
  <c r="CO10" i="2"/>
  <c r="CO56" i="2"/>
  <c r="CO101" i="2"/>
  <c r="CO91" i="2"/>
  <c r="CO37" i="2"/>
  <c r="CO17" i="2"/>
  <c r="CO61" i="2"/>
  <c r="CO95" i="2"/>
  <c r="CO20" i="2"/>
  <c r="CO30" i="2"/>
  <c r="CO14" i="2"/>
  <c r="CO74" i="2"/>
  <c r="CO96" i="2"/>
  <c r="CO48" i="2"/>
  <c r="CO65" i="2"/>
  <c r="CO5" i="2"/>
  <c r="CO38" i="2"/>
  <c r="CO31" i="2"/>
  <c r="CO78" i="2"/>
  <c r="CO84" i="2"/>
  <c r="CO100" i="2"/>
  <c r="CO51" i="2"/>
  <c r="CO27" i="2"/>
  <c r="CO73" i="2"/>
  <c r="CO66" i="2"/>
  <c r="CO99" i="2"/>
  <c r="CO18" i="2"/>
  <c r="CO62" i="2"/>
  <c r="CO25" i="2"/>
  <c r="CO45" i="2"/>
  <c r="CO57" i="2"/>
  <c r="CO92" i="2"/>
  <c r="CO77" i="2"/>
  <c r="CO76" i="2"/>
  <c r="CO21" i="2"/>
  <c r="CO3" i="2"/>
  <c r="CO81" i="2"/>
  <c r="CO53" i="2"/>
  <c r="CO63" i="2"/>
  <c r="CO67" i="2"/>
  <c r="CO44" i="2"/>
  <c r="CO68" i="2"/>
  <c r="CO42" i="2"/>
  <c r="CO89" i="2"/>
  <c r="CO71" i="2"/>
  <c r="CO22" i="2"/>
  <c r="CO49" i="2"/>
  <c r="CO86" i="2"/>
  <c r="CM14" i="2"/>
  <c r="CM42" i="2"/>
  <c r="CM47" i="2"/>
  <c r="CP47" i="2" s="1"/>
  <c r="CM83" i="2"/>
  <c r="CM48" i="2"/>
  <c r="CM31" i="2"/>
  <c r="CM104" i="2"/>
  <c r="CM64" i="2"/>
  <c r="CM59" i="2"/>
  <c r="CM101" i="2"/>
  <c r="CM71" i="2"/>
  <c r="CM94" i="2"/>
  <c r="CM63" i="2"/>
  <c r="CM40" i="2"/>
  <c r="CM3" i="2"/>
  <c r="CM6" i="2"/>
  <c r="CM35" i="2"/>
  <c r="CM90" i="2"/>
  <c r="CM10" i="2"/>
  <c r="CM4" i="2"/>
  <c r="CM76" i="2"/>
  <c r="CM39" i="2"/>
  <c r="CM96" i="2"/>
  <c r="CM97" i="2"/>
  <c r="CM49" i="2"/>
  <c r="CM86" i="2"/>
  <c r="CM18" i="2"/>
  <c r="CM82" i="2"/>
  <c r="CM15" i="2"/>
  <c r="CM34" i="2"/>
  <c r="CM72" i="2"/>
  <c r="CM80" i="2"/>
  <c r="CM55" i="2"/>
  <c r="CM68" i="2"/>
  <c r="CM66" i="2"/>
  <c r="CM98" i="2"/>
  <c r="CM27" i="2"/>
  <c r="CM45" i="2"/>
  <c r="CM52" i="2"/>
  <c r="CM25" i="2"/>
  <c r="CM23" i="2"/>
  <c r="CM24" i="2"/>
  <c r="CM20" i="2"/>
  <c r="CM50" i="2"/>
  <c r="CM16" i="2"/>
  <c r="CM8" i="2"/>
  <c r="CM88" i="2"/>
  <c r="CM91" i="2"/>
  <c r="CM102" i="2"/>
  <c r="CM79" i="2"/>
  <c r="CM28" i="2"/>
  <c r="CM58" i="2"/>
  <c r="CM67" i="2"/>
  <c r="CM19" i="2"/>
  <c r="CM43" i="2"/>
  <c r="CM74" i="2"/>
  <c r="CM21" i="2"/>
  <c r="CM29" i="2"/>
  <c r="CM95" i="2"/>
  <c r="CM46" i="2"/>
  <c r="CM51" i="2"/>
  <c r="CM75" i="2"/>
  <c r="CM22" i="2"/>
  <c r="CM13" i="2"/>
  <c r="CM78" i="2"/>
  <c r="CM38" i="2"/>
  <c r="CM99" i="2"/>
  <c r="CM84" i="2"/>
  <c r="CM26" i="2"/>
  <c r="CM70" i="2"/>
  <c r="CM54" i="2"/>
  <c r="CM77" i="2"/>
  <c r="CM73" i="2"/>
  <c r="CM92" i="2"/>
  <c r="CM100" i="2"/>
  <c r="CM17" i="2"/>
  <c r="CM36" i="2"/>
  <c r="CM57" i="2"/>
  <c r="CM60" i="2"/>
  <c r="CM12" i="2"/>
  <c r="CM37" i="2"/>
  <c r="CM30" i="2"/>
  <c r="CM69" i="2"/>
  <c r="CM93" i="2"/>
  <c r="CM89" i="2"/>
  <c r="CM44" i="2"/>
  <c r="CM85" i="2"/>
  <c r="CM81" i="2"/>
  <c r="CM103" i="2"/>
  <c r="CM33" i="2"/>
  <c r="CM7" i="2"/>
  <c r="CM56" i="2"/>
  <c r="CM9" i="2"/>
  <c r="CM53" i="2"/>
  <c r="CM11" i="2"/>
  <c r="CM32" i="2"/>
  <c r="CM87" i="2"/>
  <c r="CL65" i="2"/>
  <c r="CM65" i="2"/>
  <c r="CL5" i="2"/>
  <c r="CM5" i="2"/>
  <c r="CL61" i="2"/>
  <c r="CM61" i="2"/>
  <c r="CL62" i="2"/>
  <c r="CM62" i="2"/>
  <c r="CL47" i="2"/>
  <c r="CL36" i="2"/>
  <c r="CL69" i="2"/>
  <c r="CL44" i="2"/>
  <c r="CL41" i="2"/>
  <c r="CL85" i="2"/>
  <c r="CL81" i="2"/>
  <c r="CL103" i="2"/>
  <c r="CL33" i="2"/>
  <c r="CL7" i="2"/>
  <c r="CL56" i="2"/>
  <c r="CL9" i="2"/>
  <c r="CL53" i="2"/>
  <c r="CL11" i="2"/>
  <c r="CL32" i="2"/>
  <c r="CL17" i="2"/>
  <c r="CL57" i="2"/>
  <c r="CL30" i="2"/>
  <c r="CL89" i="2"/>
  <c r="CL6" i="2"/>
  <c r="CL83" i="2"/>
  <c r="CL48" i="2"/>
  <c r="CL31" i="2"/>
  <c r="CL104" i="2"/>
  <c r="CL64" i="2"/>
  <c r="CL59" i="2"/>
  <c r="CL101" i="2"/>
  <c r="CL71" i="2"/>
  <c r="CL94" i="2"/>
  <c r="CL63" i="2"/>
  <c r="CL40" i="2"/>
  <c r="CL3" i="2"/>
  <c r="CL60" i="2"/>
  <c r="CL82" i="2"/>
  <c r="CL35" i="2"/>
  <c r="CL90" i="2"/>
  <c r="CL10" i="2"/>
  <c r="CL14" i="2"/>
  <c r="CL4" i="2"/>
  <c r="CL76" i="2"/>
  <c r="CL39" i="2"/>
  <c r="CL96" i="2"/>
  <c r="CL97" i="2"/>
  <c r="CL49" i="2"/>
  <c r="CL86" i="2"/>
  <c r="CL18" i="2"/>
  <c r="CL37" i="2"/>
  <c r="CL25" i="2"/>
  <c r="CL15" i="2"/>
  <c r="CL34" i="2"/>
  <c r="CL72" i="2"/>
  <c r="CL80" i="2"/>
  <c r="CL55" i="2"/>
  <c r="CL68" i="2"/>
  <c r="CL66" i="2"/>
  <c r="CL98" i="2"/>
  <c r="CL27" i="2"/>
  <c r="CL45" i="2"/>
  <c r="CL52" i="2"/>
  <c r="CL87" i="2"/>
  <c r="CL93" i="2"/>
  <c r="CL58" i="2"/>
  <c r="CL23" i="2"/>
  <c r="CL24" i="2"/>
  <c r="CL20" i="2"/>
  <c r="CL50" i="2"/>
  <c r="CL16" i="2"/>
  <c r="CL8" i="2"/>
  <c r="CL88" i="2"/>
  <c r="CL91" i="2"/>
  <c r="CL102" i="2"/>
  <c r="CL79" i="2"/>
  <c r="CL28" i="2"/>
  <c r="CL12" i="2"/>
  <c r="CL13" i="2"/>
  <c r="CL67" i="2"/>
  <c r="CL19" i="2"/>
  <c r="CL43" i="2"/>
  <c r="CL74" i="2"/>
  <c r="CL21" i="2"/>
  <c r="CL29" i="2"/>
  <c r="CL95" i="2"/>
  <c r="CL46" i="2"/>
  <c r="CL51" i="2"/>
  <c r="CL75" i="2"/>
  <c r="CL22" i="2"/>
  <c r="CL100" i="2"/>
  <c r="CL78" i="2"/>
  <c r="CL99" i="2"/>
  <c r="CL84" i="2"/>
  <c r="CL26" i="2"/>
  <c r="CL42" i="2"/>
  <c r="CL70" i="2"/>
  <c r="CL54" i="2"/>
  <c r="CL77" i="2"/>
  <c r="CL73" i="2"/>
  <c r="CL92" i="2"/>
  <c r="CL38" i="2"/>
  <c r="CY73" i="2" l="1"/>
  <c r="CY76" i="2"/>
  <c r="CZ76" i="2" s="1"/>
  <c r="CY57" i="2"/>
  <c r="CZ57" i="2" s="1"/>
  <c r="CY86" i="2"/>
  <c r="CZ86" i="2" s="1"/>
  <c r="CY46" i="2"/>
  <c r="CZ46" i="2" s="1"/>
  <c r="CY32" i="2"/>
  <c r="CZ32" i="2" s="1"/>
  <c r="DA32" i="2"/>
  <c r="CY104" i="2"/>
  <c r="CZ104" i="2" s="1"/>
  <c r="DA104" i="2"/>
  <c r="CY37" i="2"/>
  <c r="CZ37" i="2" s="1"/>
  <c r="DA37" i="2"/>
  <c r="CY74" i="2"/>
  <c r="CZ74" i="2" s="1"/>
  <c r="DA74" i="2"/>
  <c r="CY94" i="2"/>
  <c r="CZ94" i="2" s="1"/>
  <c r="DA94" i="2"/>
  <c r="CY61" i="2"/>
  <c r="CZ61" i="2" s="1"/>
  <c r="DA61" i="2"/>
  <c r="CZ73" i="2"/>
  <c r="CZ29" i="2"/>
  <c r="CZ19" i="2"/>
  <c r="CZ87" i="2"/>
  <c r="CZ59" i="2"/>
  <c r="CZ80" i="2"/>
  <c r="CZ72" i="2"/>
  <c r="CZ92" i="2"/>
  <c r="CZ65" i="2"/>
  <c r="CZ41" i="2"/>
  <c r="CZ8" i="2"/>
  <c r="CZ89" i="2"/>
  <c r="CZ50" i="2"/>
  <c r="CY78" i="2"/>
  <c r="CY60" i="2"/>
  <c r="CY51" i="2"/>
  <c r="CY70" i="2"/>
  <c r="CY42" i="2"/>
  <c r="CY79" i="2"/>
  <c r="CY58" i="2"/>
  <c r="CY43" i="2"/>
  <c r="CY56" i="2"/>
  <c r="CY48" i="2"/>
  <c r="CY47" i="2"/>
  <c r="CY62" i="2"/>
  <c r="CY83" i="2"/>
  <c r="CY75" i="2"/>
  <c r="CY93" i="2"/>
  <c r="CY90" i="2"/>
  <c r="CY17" i="2"/>
  <c r="CY67" i="2"/>
  <c r="CY44" i="2"/>
  <c r="CY15" i="2"/>
  <c r="CY55" i="2"/>
  <c r="CY9" i="2"/>
  <c r="CY16" i="2"/>
  <c r="CY82" i="2"/>
  <c r="CY31" i="2"/>
  <c r="CY27" i="2"/>
  <c r="CY45" i="2"/>
  <c r="CY18" i="2"/>
  <c r="CY85" i="2"/>
  <c r="CY38" i="2"/>
  <c r="CY103" i="2"/>
  <c r="CY23" i="2"/>
  <c r="CY54" i="2"/>
  <c r="CY13" i="2"/>
  <c r="CY84" i="2"/>
  <c r="CY25" i="2"/>
  <c r="CY12" i="2"/>
  <c r="CY22" i="2"/>
  <c r="CY69" i="2"/>
  <c r="CY40" i="2"/>
  <c r="CY49" i="2"/>
  <c r="CY96" i="2"/>
  <c r="CY95" i="2"/>
  <c r="CY71" i="2"/>
  <c r="CY64" i="2"/>
  <c r="CY33" i="2"/>
  <c r="CY11" i="2"/>
  <c r="CY28" i="2"/>
  <c r="CY99" i="2"/>
  <c r="CY81" i="2"/>
  <c r="CY97" i="2"/>
  <c r="CY26" i="2"/>
  <c r="CY77" i="2"/>
  <c r="CY6" i="2"/>
  <c r="CY53" i="2"/>
  <c r="CY39" i="2"/>
  <c r="CY10" i="2"/>
  <c r="CY91" i="2"/>
  <c r="CY35" i="2"/>
  <c r="CY24" i="2"/>
  <c r="CY100" i="2"/>
  <c r="CY20" i="2"/>
  <c r="CY36" i="2"/>
  <c r="CY52" i="2"/>
  <c r="CY7" i="2"/>
  <c r="CY63" i="2"/>
  <c r="CY34" i="2"/>
  <c r="CY66" i="2"/>
  <c r="CY3" i="2"/>
  <c r="CY102" i="2"/>
  <c r="CY98" i="2"/>
  <c r="CY21" i="2"/>
  <c r="CY68" i="2"/>
  <c r="CY5" i="2"/>
  <c r="CY101" i="2"/>
  <c r="CY14" i="2"/>
  <c r="CY88" i="2"/>
  <c r="CY30" i="2"/>
  <c r="CQ12" i="2"/>
  <c r="CQ93" i="2"/>
  <c r="CQ47" i="2"/>
  <c r="CP82" i="2"/>
  <c r="CR82" i="2" s="1"/>
  <c r="CS82" i="2" s="1"/>
  <c r="CQ82" i="2"/>
  <c r="CP16" i="2"/>
  <c r="CR16" i="2" s="1"/>
  <c r="CS16" i="2" s="1"/>
  <c r="CQ35" i="2"/>
  <c r="CQ37" i="2"/>
  <c r="CP70" i="2"/>
  <c r="CR70" i="2" s="1"/>
  <c r="CS70" i="2" s="1"/>
  <c r="CQ64" i="2"/>
  <c r="CP41" i="2"/>
  <c r="CR41" i="2" s="1"/>
  <c r="CS41" i="2" s="1"/>
  <c r="CP42" i="2"/>
  <c r="CR42" i="2" s="1"/>
  <c r="CS42" i="2" s="1"/>
  <c r="CQ102" i="2"/>
  <c r="CQ23" i="2"/>
  <c r="CP72" i="2"/>
  <c r="CR72" i="2" s="1"/>
  <c r="CS72" i="2" s="1"/>
  <c r="CP27" i="2"/>
  <c r="CR27" i="2" s="1"/>
  <c r="CS27" i="2" s="1"/>
  <c r="CQ65" i="2"/>
  <c r="CP43" i="2"/>
  <c r="CR43" i="2" s="1"/>
  <c r="CS43" i="2" s="1"/>
  <c r="CQ5" i="2"/>
  <c r="CQ34" i="2"/>
  <c r="CQ36" i="2"/>
  <c r="CQ3" i="2"/>
  <c r="CP62" i="2"/>
  <c r="CR62" i="2" s="1"/>
  <c r="CS62" i="2" s="1"/>
  <c r="CP53" i="2"/>
  <c r="CR53" i="2" s="1"/>
  <c r="CS53" i="2" s="1"/>
  <c r="CP45" i="2"/>
  <c r="CR45" i="2" s="1"/>
  <c r="CS45" i="2" s="1"/>
  <c r="CP8" i="2"/>
  <c r="CR8" i="2" s="1"/>
  <c r="CS8" i="2" s="1"/>
  <c r="CP39" i="2"/>
  <c r="CR39" i="2" s="1"/>
  <c r="CS39" i="2" s="1"/>
  <c r="CP57" i="2"/>
  <c r="CR57" i="2" s="1"/>
  <c r="CS57" i="2" s="1"/>
  <c r="CP31" i="2"/>
  <c r="CR31" i="2" s="1"/>
  <c r="CS31" i="2" s="1"/>
  <c r="CP89" i="2"/>
  <c r="CR89" i="2" s="1"/>
  <c r="CS89" i="2" s="1"/>
  <c r="CQ30" i="2"/>
  <c r="CQ29" i="2"/>
  <c r="CQ20" i="2"/>
  <c r="CP33" i="2"/>
  <c r="CR33" i="2" s="1"/>
  <c r="CS33" i="2" s="1"/>
  <c r="CQ38" i="2"/>
  <c r="CQ77" i="2"/>
  <c r="CQ66" i="2"/>
  <c r="CP13" i="2"/>
  <c r="CR13" i="2" s="1"/>
  <c r="CS13" i="2" s="1"/>
  <c r="CP97" i="2"/>
  <c r="CR97" i="2" s="1"/>
  <c r="CS97" i="2" s="1"/>
  <c r="CP28" i="2"/>
  <c r="CR28" i="2" s="1"/>
  <c r="CS28" i="2" s="1"/>
  <c r="CP60" i="2"/>
  <c r="CR60" i="2" s="1"/>
  <c r="CS60" i="2" s="1"/>
  <c r="CP99" i="2"/>
  <c r="CR99" i="2" s="1"/>
  <c r="CS99" i="2" s="1"/>
  <c r="CP98" i="2"/>
  <c r="CR98" i="2" s="1"/>
  <c r="CS98" i="2" s="1"/>
  <c r="CP100" i="2"/>
  <c r="CR100" i="2" s="1"/>
  <c r="CS100" i="2" s="1"/>
  <c r="CQ4" i="2"/>
  <c r="CP81" i="2"/>
  <c r="CR81" i="2" s="1"/>
  <c r="CS81" i="2" s="1"/>
  <c r="CP51" i="2"/>
  <c r="CR51" i="2" s="1"/>
  <c r="CS51" i="2" s="1"/>
  <c r="CP87" i="2"/>
  <c r="CR87" i="2" s="1"/>
  <c r="CS87" i="2" s="1"/>
  <c r="CP96" i="2"/>
  <c r="CR96" i="2" s="1"/>
  <c r="CS96" i="2" s="1"/>
  <c r="CP7" i="2"/>
  <c r="CR7" i="2" s="1"/>
  <c r="CS7" i="2" s="1"/>
  <c r="CP104" i="2"/>
  <c r="CR104" i="2" s="1"/>
  <c r="CS104" i="2" s="1"/>
  <c r="CP103" i="2"/>
  <c r="CR103" i="2" s="1"/>
  <c r="CS103" i="2" s="1"/>
  <c r="CP59" i="2"/>
  <c r="CR59" i="2" s="1"/>
  <c r="CS59" i="2" s="1"/>
  <c r="CP24" i="2"/>
  <c r="CR24" i="2" s="1"/>
  <c r="CS24" i="2" s="1"/>
  <c r="CP17" i="2"/>
  <c r="CR17" i="2" s="1"/>
  <c r="CS17" i="2" s="1"/>
  <c r="CP56" i="2"/>
  <c r="CR56" i="2" s="1"/>
  <c r="CS56" i="2" s="1"/>
  <c r="CP102" i="2"/>
  <c r="CR102" i="2" s="1"/>
  <c r="CS102" i="2" s="1"/>
  <c r="CP66" i="2"/>
  <c r="CR66" i="2" s="1"/>
  <c r="CS66" i="2" s="1"/>
  <c r="CQ17" i="2"/>
  <c r="CP38" i="2"/>
  <c r="CR38" i="2" s="1"/>
  <c r="CS38" i="2" s="1"/>
  <c r="CQ59" i="2"/>
  <c r="CR47" i="2"/>
  <c r="CS47" i="2" s="1"/>
  <c r="CQ28" i="2"/>
  <c r="CQ33" i="2"/>
  <c r="CQ60" i="2"/>
  <c r="CQ27" i="2"/>
  <c r="CQ39" i="2"/>
  <c r="CQ57" i="2"/>
  <c r="CP61" i="2"/>
  <c r="CR61" i="2" s="1"/>
  <c r="CS61" i="2" s="1"/>
  <c r="CP65" i="2"/>
  <c r="CR65" i="2" s="1"/>
  <c r="CS65" i="2" s="1"/>
  <c r="CQ16" i="2"/>
  <c r="CQ101" i="2"/>
  <c r="CQ70" i="2"/>
  <c r="CQ75" i="2"/>
  <c r="CP19" i="2"/>
  <c r="CR19" i="2" s="1"/>
  <c r="CS19" i="2" s="1"/>
  <c r="CP88" i="2"/>
  <c r="CR88" i="2" s="1"/>
  <c r="CS88" i="2" s="1"/>
  <c r="CP93" i="2"/>
  <c r="CR93" i="2" s="1"/>
  <c r="CS93" i="2" s="1"/>
  <c r="CP55" i="2"/>
  <c r="CR55" i="2" s="1"/>
  <c r="CS55" i="2" s="1"/>
  <c r="CQ86" i="2"/>
  <c r="CQ10" i="2"/>
  <c r="CQ94" i="2"/>
  <c r="CQ83" i="2"/>
  <c r="CQ53" i="2"/>
  <c r="CQ52" i="2"/>
  <c r="CP69" i="2"/>
  <c r="CR69" i="2" s="1"/>
  <c r="CS69" i="2" s="1"/>
  <c r="CQ89" i="2"/>
  <c r="CQ42" i="2"/>
  <c r="CQ51" i="2"/>
  <c r="CQ67" i="2"/>
  <c r="CQ8" i="2"/>
  <c r="CQ87" i="2"/>
  <c r="CQ80" i="2"/>
  <c r="CQ49" i="2"/>
  <c r="CQ90" i="2"/>
  <c r="CQ71" i="2"/>
  <c r="CQ6" i="2"/>
  <c r="CQ9" i="2"/>
  <c r="CP44" i="2"/>
  <c r="CR44" i="2" s="1"/>
  <c r="CS44" i="2" s="1"/>
  <c r="CP5" i="2"/>
  <c r="CR5" i="2" s="1"/>
  <c r="CS5" i="2" s="1"/>
  <c r="CQ26" i="2"/>
  <c r="CP35" i="2"/>
  <c r="CR35" i="2" s="1"/>
  <c r="CS35" i="2" s="1"/>
  <c r="CQ69" i="2"/>
  <c r="CQ84" i="2"/>
  <c r="CP12" i="2"/>
  <c r="CR12" i="2" s="1"/>
  <c r="CS12" i="2" s="1"/>
  <c r="CQ50" i="2"/>
  <c r="CP30" i="2"/>
  <c r="CR30" i="2" s="1"/>
  <c r="CS30" i="2" s="1"/>
  <c r="CP36" i="2"/>
  <c r="CR36" i="2" s="1"/>
  <c r="CS36" i="2" s="1"/>
  <c r="CP95" i="2"/>
  <c r="CR95" i="2" s="1"/>
  <c r="CS95" i="2" s="1"/>
  <c r="CQ46" i="2"/>
  <c r="CQ97" i="2"/>
  <c r="CQ92" i="2"/>
  <c r="CQ99" i="2"/>
  <c r="CP20" i="2"/>
  <c r="CR20" i="2" s="1"/>
  <c r="CS20" i="2" s="1"/>
  <c r="CQ15" i="2"/>
  <c r="CP64" i="2"/>
  <c r="CR64" i="2" s="1"/>
  <c r="CS64" i="2" s="1"/>
  <c r="CP29" i="2"/>
  <c r="CR29" i="2" s="1"/>
  <c r="CS29" i="2" s="1"/>
  <c r="CP101" i="2"/>
  <c r="CR101" i="2" s="1"/>
  <c r="CS101" i="2" s="1"/>
  <c r="CQ72" i="2"/>
  <c r="CQ56" i="2"/>
  <c r="CP73" i="2"/>
  <c r="CR73" i="2" s="1"/>
  <c r="CS73" i="2" s="1"/>
  <c r="CP78" i="2"/>
  <c r="CR78" i="2" s="1"/>
  <c r="CS78" i="2" s="1"/>
  <c r="CQ21" i="2"/>
  <c r="CQ79" i="2"/>
  <c r="CQ24" i="2"/>
  <c r="CQ98" i="2"/>
  <c r="CQ25" i="2"/>
  <c r="CP76" i="2"/>
  <c r="CR76" i="2" s="1"/>
  <c r="CS76" i="2" s="1"/>
  <c r="CP3" i="2"/>
  <c r="CR3" i="2" s="1"/>
  <c r="CS3" i="2" s="1"/>
  <c r="CQ104" i="2"/>
  <c r="CQ103" i="2"/>
  <c r="CP21" i="2"/>
  <c r="CR21" i="2" s="1"/>
  <c r="CS21" i="2" s="1"/>
  <c r="CP50" i="2"/>
  <c r="CR50" i="2" s="1"/>
  <c r="CS50" i="2" s="1"/>
  <c r="CP34" i="2"/>
  <c r="CR34" i="2" s="1"/>
  <c r="CS34" i="2" s="1"/>
  <c r="CQ13" i="2"/>
  <c r="CP77" i="2"/>
  <c r="CR77" i="2" s="1"/>
  <c r="CS77" i="2" s="1"/>
  <c r="CQ74" i="2"/>
  <c r="CP23" i="2"/>
  <c r="CR23" i="2" s="1"/>
  <c r="CS23" i="2" s="1"/>
  <c r="CP37" i="2"/>
  <c r="CR37" i="2" s="1"/>
  <c r="CS37" i="2" s="1"/>
  <c r="CP4" i="2"/>
  <c r="CR4" i="2" s="1"/>
  <c r="CS4" i="2" s="1"/>
  <c r="CP40" i="2"/>
  <c r="CR40" i="2" s="1"/>
  <c r="CS40" i="2" s="1"/>
  <c r="CQ31" i="2"/>
  <c r="CQ32" i="2"/>
  <c r="CP15" i="2"/>
  <c r="CR15" i="2" s="1"/>
  <c r="CS15" i="2" s="1"/>
  <c r="CQ54" i="2"/>
  <c r="CQ22" i="2"/>
  <c r="CQ43" i="2"/>
  <c r="CQ91" i="2"/>
  <c r="CQ58" i="2"/>
  <c r="CQ68" i="2"/>
  <c r="CP18" i="2"/>
  <c r="CR18" i="2" s="1"/>
  <c r="CS18" i="2" s="1"/>
  <c r="CQ14" i="2"/>
  <c r="CP63" i="2"/>
  <c r="CR63" i="2" s="1"/>
  <c r="CS63" i="2" s="1"/>
  <c r="CQ48" i="2"/>
  <c r="CQ11" i="2"/>
  <c r="CQ85" i="2"/>
  <c r="CP52" i="2"/>
  <c r="CR52" i="2" s="1"/>
  <c r="CS52" i="2" s="1"/>
  <c r="CP74" i="2"/>
  <c r="CR74" i="2" s="1"/>
  <c r="CS74" i="2" s="1"/>
  <c r="CP25" i="2"/>
  <c r="CR25" i="2" s="1"/>
  <c r="CS25" i="2" s="1"/>
  <c r="CP32" i="2"/>
  <c r="CR32" i="2" s="1"/>
  <c r="CS32" i="2" s="1"/>
  <c r="CP48" i="2"/>
  <c r="CR48" i="2" s="1"/>
  <c r="CS48" i="2" s="1"/>
  <c r="CQ19" i="2"/>
  <c r="CP26" i="2"/>
  <c r="CR26" i="2" s="1"/>
  <c r="CS26" i="2" s="1"/>
  <c r="CP22" i="2"/>
  <c r="CR22" i="2" s="1"/>
  <c r="CS22" i="2" s="1"/>
  <c r="CP79" i="2"/>
  <c r="CR79" i="2" s="1"/>
  <c r="CS79" i="2" s="1"/>
  <c r="CP11" i="2"/>
  <c r="CR11" i="2" s="1"/>
  <c r="CS11" i="2" s="1"/>
  <c r="CP85" i="2"/>
  <c r="CR85" i="2" s="1"/>
  <c r="CS85" i="2" s="1"/>
  <c r="CQ78" i="2"/>
  <c r="CP84" i="2"/>
  <c r="CR84" i="2" s="1"/>
  <c r="CS84" i="2" s="1"/>
  <c r="CP75" i="2"/>
  <c r="CR75" i="2" s="1"/>
  <c r="CS75" i="2" s="1"/>
  <c r="CP68" i="2"/>
  <c r="CR68" i="2" s="1"/>
  <c r="CS68" i="2" s="1"/>
  <c r="CP14" i="2"/>
  <c r="CR14" i="2" s="1"/>
  <c r="CS14" i="2" s="1"/>
  <c r="CP92" i="2"/>
  <c r="CR92" i="2" s="1"/>
  <c r="CS92" i="2" s="1"/>
  <c r="CP67" i="2"/>
  <c r="CR67" i="2" s="1"/>
  <c r="CS67" i="2" s="1"/>
  <c r="CP91" i="2"/>
  <c r="CR91" i="2" s="1"/>
  <c r="CS91" i="2" s="1"/>
  <c r="CP58" i="2"/>
  <c r="CR58" i="2" s="1"/>
  <c r="CS58" i="2" s="1"/>
  <c r="CP86" i="2"/>
  <c r="CR86" i="2" s="1"/>
  <c r="CS86" i="2" s="1"/>
  <c r="CP10" i="2"/>
  <c r="CR10" i="2" s="1"/>
  <c r="CS10" i="2" s="1"/>
  <c r="CP9" i="2"/>
  <c r="CR9" i="2" s="1"/>
  <c r="CS9" i="2" s="1"/>
  <c r="CP6" i="2"/>
  <c r="CR6" i="2" s="1"/>
  <c r="CS6" i="2" s="1"/>
  <c r="CP46" i="2"/>
  <c r="CR46" i="2" s="1"/>
  <c r="CS46" i="2" s="1"/>
  <c r="CP80" i="2"/>
  <c r="CR80" i="2" s="1"/>
  <c r="CS80" i="2" s="1"/>
  <c r="CP49" i="2"/>
  <c r="CR49" i="2" s="1"/>
  <c r="CS49" i="2" s="1"/>
  <c r="CP90" i="2"/>
  <c r="CR90" i="2" s="1"/>
  <c r="CS90" i="2" s="1"/>
  <c r="CP83" i="2"/>
  <c r="CR83" i="2" s="1"/>
  <c r="CS83" i="2" s="1"/>
  <c r="CP94" i="2"/>
  <c r="CR94" i="2" s="1"/>
  <c r="CS94" i="2" s="1"/>
  <c r="CP54" i="2"/>
  <c r="CR54" i="2" s="1"/>
  <c r="CS54" i="2" s="1"/>
  <c r="CP71" i="2"/>
  <c r="CR71" i="2" s="1"/>
  <c r="CS71" i="2" s="1"/>
  <c r="CQ61" i="2"/>
  <c r="CQ62" i="2"/>
  <c r="CQ63" i="2"/>
  <c r="CQ73" i="2"/>
  <c r="CQ55" i="2"/>
  <c r="CQ44" i="2"/>
  <c r="CQ18" i="2"/>
  <c r="CQ95" i="2"/>
  <c r="CQ41" i="2"/>
  <c r="CQ76" i="2"/>
  <c r="CQ100" i="2"/>
  <c r="CQ40" i="2"/>
  <c r="CQ45" i="2"/>
  <c r="CQ96" i="2"/>
  <c r="CQ81" i="2"/>
  <c r="CQ7" i="2"/>
  <c r="CQ88" i="2"/>
  <c r="CZ91" i="2" l="1"/>
  <c r="CZ48" i="2"/>
  <c r="CZ10" i="2"/>
  <c r="CZ17" i="2"/>
  <c r="CZ21" i="2"/>
  <c r="CZ52" i="2"/>
  <c r="CZ39" i="2"/>
  <c r="CZ28" i="2"/>
  <c r="CZ40" i="2"/>
  <c r="CZ23" i="2"/>
  <c r="CZ82" i="2"/>
  <c r="CZ90" i="2"/>
  <c r="CZ43" i="2"/>
  <c r="CZ5" i="2"/>
  <c r="CZ13" i="2"/>
  <c r="CZ99" i="2"/>
  <c r="CZ56" i="2"/>
  <c r="CZ98" i="2"/>
  <c r="CZ36" i="2"/>
  <c r="CZ53" i="2"/>
  <c r="CZ11" i="2"/>
  <c r="CZ69" i="2"/>
  <c r="CZ103" i="2"/>
  <c r="CZ16" i="2"/>
  <c r="CZ93" i="2"/>
  <c r="CZ58" i="2"/>
  <c r="CZ96" i="2"/>
  <c r="CZ7" i="2"/>
  <c r="CZ30" i="2"/>
  <c r="CZ102" i="2"/>
  <c r="CZ20" i="2"/>
  <c r="CZ6" i="2"/>
  <c r="CZ33" i="2"/>
  <c r="CZ22" i="2"/>
  <c r="CZ38" i="2"/>
  <c r="CZ9" i="2"/>
  <c r="CZ75" i="2"/>
  <c r="CZ79" i="2"/>
  <c r="CZ60" i="2"/>
  <c r="CZ49" i="2"/>
  <c r="CZ88" i="2"/>
  <c r="CZ3" i="2"/>
  <c r="CZ100" i="2"/>
  <c r="CZ77" i="2"/>
  <c r="CZ64" i="2"/>
  <c r="CZ12" i="2"/>
  <c r="CZ85" i="2"/>
  <c r="CZ55" i="2"/>
  <c r="CZ83" i="2"/>
  <c r="CZ42" i="2"/>
  <c r="CZ63" i="2"/>
  <c r="CZ27" i="2"/>
  <c r="CZ68" i="2"/>
  <c r="CZ54" i="2"/>
  <c r="CZ14" i="2"/>
  <c r="CZ66" i="2"/>
  <c r="CZ24" i="2"/>
  <c r="CZ26" i="2"/>
  <c r="CZ71" i="2"/>
  <c r="CZ25" i="2"/>
  <c r="CZ18" i="2"/>
  <c r="CZ62" i="2"/>
  <c r="CZ70" i="2"/>
  <c r="CZ81" i="2"/>
  <c r="CZ67" i="2"/>
  <c r="CZ31" i="2"/>
  <c r="CZ78" i="2"/>
  <c r="CZ101" i="2"/>
  <c r="CZ34" i="2"/>
  <c r="CZ35" i="2"/>
  <c r="CZ97" i="2"/>
  <c r="CZ95" i="2"/>
  <c r="CZ84" i="2"/>
  <c r="CZ45" i="2"/>
  <c r="CZ44" i="2"/>
  <c r="CZ47" i="2"/>
  <c r="CZ51" i="2"/>
  <c r="CZ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tc={D8B5875E-03F6-4208-844C-79ABBC7D40A4}</author>
    <author>tc={B69639F1-A257-4EEA-AE6D-F74F492D9513}</author>
    <author>tc={DC1D5F2C-94CF-46EC-AD36-6336DB36B5CD}</author>
    <author>tc={3D48FCFE-EF76-4EF7-A6FD-5498C4F80952}</author>
    <author>tc={B52D68C6-DA4B-41FC-9864-B723D468C51F}</author>
    <author>tc={19F882F2-41CE-417D-90EC-D6B0A52D6F93}</author>
    <author>tc={309A1969-0F18-41CA-ADAD-B4B07B7DFCBF}</author>
    <author>tc={5EC4DE73-3643-4781-BE93-04C7A51C5D83}</author>
    <author>tc={2A96F26C-9406-43C8-B5E3-BBE4D2FEC15E}</author>
    <author>tc={137D8D3D-3C34-444C-A0BF-05F05996D749}</author>
    <author>tc={4F534CE7-B286-4D44-B1DC-135317DF53AD}</author>
    <author>tc={5E5D7340-9812-4099-8E18-1DB66CCF6204}</author>
    <author>tc={211EC543-7959-4904-BB21-061D839E6C8D}</author>
    <author>tc={DE07F9BF-04D6-40A7-AF95-2D227180CEAE}</author>
    <author>tc={3B68BB10-BAC6-4EA7-BB6C-0C6EBBB914A9}</author>
    <author>tc={47C1F46B-EE39-49CF-B82C-96087A865EF2}</author>
    <author>tc={DFF53470-D8BF-4353-82DA-F4063927F26C}</author>
    <author>tc={9B699E56-230D-4C73-9809-CAAAF8DAF036}</author>
    <author>tc={DA0B73A2-3C4C-48D6-9334-8B9C27E17A5A}</author>
  </authors>
  <commentList>
    <comment ref="I8" authorId="0" shapeId="0" xr:uid="{D8B5875E-03F6-4208-844C-79ABBC7D40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TORRE</t>
      </text>
    </comment>
    <comment ref="K8" authorId="1" shapeId="0" xr:uid="{B69639F1-A257-4EEA-AE6D-F74F492D9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TORRE</t>
      </text>
    </comment>
    <comment ref="AN11" authorId="2" shapeId="0" xr:uid="{DC1D5F2C-94CF-46EC-AD36-6336DB36B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+ 03 PRAÇAS</t>
      </text>
    </comment>
    <comment ref="E16" authorId="3" shapeId="0" xr:uid="{3D48FCFE-EF76-4EF7-A6FD-5498C4F809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TORRE DE 13 PAV
04 TORRES DE 14 PAV</t>
      </text>
    </comment>
    <comment ref="AH20" authorId="4" shapeId="0" xr:uid="{B52D68C6-DA4B-41FC-9864-B723D468C5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espaço zen/yoga</t>
      </text>
    </comment>
    <comment ref="AJ20" authorId="5" shapeId="0" xr:uid="{19F882F2-41CE-417D-90EC-D6B0A52D6F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play baby</t>
      </text>
    </comment>
    <comment ref="E40" authorId="6" shapeId="0" xr:uid="{309A1969-0F18-41CA-ADAD-B4B07B7DFC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TORRE 22 PAV
01 TORRE 23 PAV</t>
      </text>
    </comment>
    <comment ref="E44" authorId="7" shapeId="0" xr:uid="{5EC4DE73-3643-4781-BE93-04C7A51C5D8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TORRE 10 PAV
05 TORRES 12 PAV
</t>
      </text>
    </comment>
    <comment ref="AJ54" authorId="8" shapeId="0" xr:uid="{2A96F26C-9406-43C8-B5E3-BBE4D2FEC1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BICICLETÁRIO COBERTO</t>
      </text>
    </comment>
    <comment ref="AH56" authorId="9" shapeId="0" xr:uid="{137D8D3D-3C34-444C-A0BF-05F05996D7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ACADEMIA</t>
      </text>
    </comment>
    <comment ref="AL58" authorId="10" shapeId="0" xr:uid="{4F534CE7-B286-4D44-B1DC-135317DF53A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ACADEMIA</t>
      </text>
    </comment>
    <comment ref="G65" authorId="11" shapeId="0" xr:uid="{5E5D7340-9812-4099-8E18-1DB66CCF62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TORRINHA</t>
      </text>
    </comment>
    <comment ref="AL79" authorId="12" shapeId="0" xr:uid="{211EC543-7959-4904-BB21-061D839E6C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ACADEMIA</t>
      </text>
    </comment>
    <comment ref="AI93" authorId="13" shapeId="0" xr:uid="{DE07F9BF-04D6-40A7-AF95-2D227180CE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ACADEMIA</t>
      </text>
    </comment>
    <comment ref="AV93" authorId="14" shapeId="0" xr:uid="{3B68BB10-BAC6-4EA7-BB6C-0C6EBBB914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ESPAÇO FOGO</t>
      </text>
    </comment>
    <comment ref="AJ95" authorId="15" shapeId="0" xr:uid="{47C1F46B-EE39-49CF-B82C-96087A865EF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ACADEMIA
</t>
      </text>
    </comment>
    <comment ref="AD96" authorId="16" shapeId="0" xr:uid="{DFF53470-D8BF-4353-82DA-F4063927F26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ACADEMIA</t>
      </text>
    </comment>
    <comment ref="AH100" authorId="17" shapeId="0" xr:uid="{9B699E56-230D-4C73-9809-CAAAF8DAF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ACADEMIA</t>
      </text>
    </comment>
    <comment ref="G102" authorId="18" shapeId="0" xr:uid="{DA0B73A2-3C4C-48D6-9334-8B9C27E17A5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TORRINHA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tc={A5253F5D-C6AE-4ECA-BE8F-91E74B787B47}</author>
    <author>tc={1826D5AB-4BBF-433D-AE3E-BCBFBAF23BE7}</author>
    <author>tc={B72BD395-D3DD-4FE8-A8A8-1FCB0A5D6C20}</author>
    <author>tc={9AA4D18D-6090-4F25-8BCD-BF01481A3AA3}</author>
    <author>tc={33703D55-9394-4726-B386-FEBE4C7BDE99}</author>
    <author>tc={B8D29A42-C0B9-4030-A3E1-98A09D9F0979}</author>
    <author>tc={F30170B9-6655-41C0-BF79-69A39C11273F}</author>
    <author>tc={D502885A-6025-4FDC-A41B-1FCC5C0D1300}</author>
    <author>tc={D52D1F96-62E7-4DC2-9E27-5B42CE15F74F}</author>
    <author>tc={4910AF1D-3B9E-4947-BAA8-991CABEE2E4F}</author>
    <author>tc={DAC9E393-CFB0-45F4-8184-BC0AAABE0226}</author>
    <author>tc={D0182620-F41E-42F2-9BC4-F2590E5F7053}</author>
    <author>tc={F749FADE-1ECF-4384-ACB0-E3EC14248E1F}</author>
    <author>tc={44CC1B5B-FE0C-4625-B617-3D3A86840EBF}</author>
    <author>tc={C8EBD19B-8725-47BA-BF1F-FEF7AED11F7F}</author>
    <author>tc={853AE67B-71FE-4CF9-8DD0-55891A470B3B}</author>
    <author>tc={DFDF464F-F060-4E5F-A2E9-8CF79305ACF2}</author>
    <author>tc={3E0FC609-6B08-4797-B58A-45DDCC38C5CE}</author>
    <author>tc={824043F7-ED26-4D91-9AA2-4D54D9ABBC5C}</author>
  </authors>
  <commentList>
    <comment ref="I8" authorId="0" shapeId="0" xr:uid="{A5253F5D-C6AE-4ECA-BE8F-91E74B787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TORRE</t>
      </text>
    </comment>
    <comment ref="K8" authorId="1" shapeId="0" xr:uid="{1826D5AB-4BBF-433D-AE3E-BCBFBAF23B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TORRE</t>
      </text>
    </comment>
    <comment ref="AN11" authorId="2" shapeId="0" xr:uid="{B72BD395-D3DD-4FE8-A8A8-1FCB0A5D6C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+ 03 PRAÇAS</t>
      </text>
    </comment>
    <comment ref="E16" authorId="3" shapeId="0" xr:uid="{9AA4D18D-6090-4F25-8BCD-BF01481A3A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TORRE DE 13 PAV
04 TORRES DE 14 PAV</t>
      </text>
    </comment>
    <comment ref="AH20" authorId="4" shapeId="0" xr:uid="{33703D55-9394-4726-B386-FEBE4C7BDE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espaço zen/yoga</t>
      </text>
    </comment>
    <comment ref="AJ20" authorId="5" shapeId="0" xr:uid="{B8D29A42-C0B9-4030-A3E1-98A09D9F09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play baby</t>
      </text>
    </comment>
    <comment ref="E40" authorId="6" shapeId="0" xr:uid="{F30170B9-6655-41C0-BF79-69A39C1127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TORRE 22 PAV
01 TORRE 23 PAV</t>
      </text>
    </comment>
    <comment ref="E44" authorId="7" shapeId="0" xr:uid="{D502885A-6025-4FDC-A41B-1FCC5C0D130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TORRE 10 PAV
05 TORRES 12 PAV
</t>
      </text>
    </comment>
    <comment ref="AJ54" authorId="8" shapeId="0" xr:uid="{D52D1F96-62E7-4DC2-9E27-5B42CE15F7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BICICLETÁRIO COBERTO</t>
      </text>
    </comment>
    <comment ref="AH56" authorId="9" shapeId="0" xr:uid="{4910AF1D-3B9E-4947-BAA8-991CABEE2E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ACADEMIA</t>
      </text>
    </comment>
    <comment ref="AL58" authorId="10" shapeId="0" xr:uid="{DAC9E393-CFB0-45F4-8184-BC0AAABE02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ACADEMIA</t>
      </text>
    </comment>
    <comment ref="G65" authorId="11" shapeId="0" xr:uid="{D0182620-F41E-42F2-9BC4-F2590E5F70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TORRINHA</t>
      </text>
    </comment>
    <comment ref="AL79" authorId="12" shapeId="0" xr:uid="{F749FADE-1ECF-4384-ACB0-E3EC14248E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ACADEMIA</t>
      </text>
    </comment>
    <comment ref="AI93" authorId="13" shapeId="0" xr:uid="{44CC1B5B-FE0C-4625-B617-3D3A86840E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ACADEMIA</t>
      </text>
    </comment>
    <comment ref="AV93" authorId="14" shapeId="0" xr:uid="{C8EBD19B-8725-47BA-BF1F-FEF7AED11F7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ESPAÇO FOGO</t>
      </text>
    </comment>
    <comment ref="AJ95" authorId="15" shapeId="0" xr:uid="{853AE67B-71FE-4CF9-8DD0-55891A470B3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ACADEMIA
</t>
      </text>
    </comment>
    <comment ref="AD96" authorId="16" shapeId="0" xr:uid="{DFDF464F-F060-4E5F-A2E9-8CF79305AC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ACADEMIA</t>
      </text>
    </comment>
    <comment ref="AH100" authorId="17" shapeId="0" xr:uid="{3E0FC609-6B08-4797-B58A-45DDCC38C5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ACADEMIA</t>
      </text>
    </comment>
    <comment ref="G102" authorId="18" shapeId="0" xr:uid="{824043F7-ED26-4D91-9AA2-4D54D9ABBC5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TORRINHA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tc={8F1C6AFA-8E06-4FCC-B41B-FC641BAC57F4}</author>
    <author>tc={6C590FD0-CFB6-4E40-8283-95769134A96A}</author>
    <author>tc={D1B186CC-13AE-4A80-B034-C9A8EB5D5B46}</author>
    <author>tc={F55A1D44-5180-4928-B541-89B0F242694A}</author>
    <author>tc={3A1685CC-A66E-4F6E-A6DB-7689A2333D68}</author>
    <author>tc={EBCC7606-48F2-45AB-86B5-D25FEA499BBA}</author>
    <author>tc={3A48DF6A-48B7-44F0-8AB2-3E97B9958435}</author>
    <author>tc={9F199D7F-B272-4778-B17A-24FD70EA2F8E}</author>
    <author>tc={01BB0EE0-92ED-49C6-A749-8DB2154CCCEF}</author>
    <author>tc={9BF99399-09A5-4101-BA65-8FD4FBBDE400}</author>
    <author>tc={0FA16192-B882-4383-8416-C7DDFD1FF151}</author>
    <author>tc={5CDA407D-140F-4F68-B3CA-BDC1382F3C00}</author>
  </authors>
  <commentList>
    <comment ref="V11" authorId="0" shapeId="0" xr:uid="{8F1C6AFA-8E06-4FCC-B41B-FC641BAC57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+ 03 PRAÇAS</t>
      </text>
    </comment>
    <comment ref="P20" authorId="1" shapeId="0" xr:uid="{6C590FD0-CFB6-4E40-8283-95769134A9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espaço zen/yoga</t>
      </text>
    </comment>
    <comment ref="R20" authorId="2" shapeId="0" xr:uid="{D1B186CC-13AE-4A80-B034-C9A8EB5D5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play baby</t>
      </text>
    </comment>
    <comment ref="R54" authorId="3" shapeId="0" xr:uid="{F55A1D44-5180-4928-B541-89B0F24269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BICICLETÁRIO COBERTO</t>
      </text>
    </comment>
    <comment ref="P56" authorId="4" shapeId="0" xr:uid="{3A1685CC-A66E-4F6E-A6DB-7689A2333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ACADEMIA</t>
      </text>
    </comment>
    <comment ref="T58" authorId="5" shapeId="0" xr:uid="{EBCC7606-48F2-45AB-86B5-D25FEA499B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ACADEMIA</t>
      </text>
    </comment>
    <comment ref="T79" authorId="6" shapeId="0" xr:uid="{3A48DF6A-48B7-44F0-8AB2-3E97B99584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ACADEMIA</t>
      </text>
    </comment>
    <comment ref="Q93" authorId="7" shapeId="0" xr:uid="{9F199D7F-B272-4778-B17A-24FD70EA2F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ACADEMIA</t>
      </text>
    </comment>
    <comment ref="AD93" authorId="8" shapeId="0" xr:uid="{01BB0EE0-92ED-49C6-A749-8DB2154CCC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ESPAÇO FOGO</t>
      </text>
    </comment>
    <comment ref="R95" authorId="9" shapeId="0" xr:uid="{9BF99399-09A5-4101-BA65-8FD4FBBDE40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ACADEMIA
</t>
      </text>
    </comment>
    <comment ref="L96" authorId="10" shapeId="0" xr:uid="{0FA16192-B882-4383-8416-C7DDFD1FF1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ACADEMIA</t>
      </text>
    </comment>
    <comment ref="P100" authorId="11" shapeId="0" xr:uid="{5CDA407D-140F-4F68-B3CA-BDC1382F3C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01 ACADEMIA</t>
      </text>
    </comment>
  </commentList>
</comments>
</file>

<file path=xl/sharedStrings.xml><?xml version="1.0" encoding="utf-8"?>
<sst xmlns="http://schemas.openxmlformats.org/spreadsheetml/2006/main" count="8353" uniqueCount="656">
  <si>
    <t>TIPO</t>
  </si>
  <si>
    <t>BLOCO</t>
  </si>
  <si>
    <t>Rótulos de Coluna</t>
  </si>
  <si>
    <t>Valores</t>
  </si>
  <si>
    <t>Bio</t>
  </si>
  <si>
    <t>Eco</t>
  </si>
  <si>
    <t>Essencial</t>
  </si>
  <si>
    <t>Total Geral</t>
  </si>
  <si>
    <t>ECO</t>
  </si>
  <si>
    <t>ESSENCIAL</t>
  </si>
  <si>
    <t>Média de TOTAL  ACAB</t>
  </si>
  <si>
    <t xml:space="preserve">Média de TOTAL LAZER </t>
  </si>
  <si>
    <t>Média de TOTAL TIPOLOGIA</t>
  </si>
  <si>
    <t>Média de TOTAL VAGA</t>
  </si>
  <si>
    <t>TORRE</t>
  </si>
  <si>
    <t>VAGA ED GARAGEM</t>
  </si>
  <si>
    <t>SEM VAGA ED. GARAGEM</t>
  </si>
  <si>
    <t>BIO</t>
  </si>
  <si>
    <t>Coluna1</t>
  </si>
  <si>
    <t>EMPREENDIMENTO</t>
  </si>
  <si>
    <t>REG</t>
  </si>
  <si>
    <t>Nº UNDS</t>
  </si>
  <si>
    <t>INTERVALO UND</t>
  </si>
  <si>
    <t>QTD DE B/T</t>
  </si>
  <si>
    <t>Nº PAV2</t>
  </si>
  <si>
    <t>ELEVADOR</t>
  </si>
  <si>
    <t>QTD DE ELEVADOR P/BLOCO/TORRE</t>
  </si>
  <si>
    <t xml:space="preserve">PRODUTO ATUAL </t>
  </si>
  <si>
    <t>PISO SALA E QUARTO</t>
  </si>
  <si>
    <t>PISO COZINHA</t>
  </si>
  <si>
    <t>PAREDES HIDR.</t>
  </si>
  <si>
    <t>TETO</t>
  </si>
  <si>
    <t>BANCADA</t>
  </si>
  <si>
    <t>PEDRAS</t>
  </si>
  <si>
    <t>ESQUADRIAS</t>
  </si>
  <si>
    <t>SOMA_PISO SALA E QUARTO</t>
  </si>
  <si>
    <t>SOMA_PISO COZINHA</t>
  </si>
  <si>
    <t>SOMA_PAREDE HIDR</t>
  </si>
  <si>
    <t>SOMA_TETO</t>
  </si>
  <si>
    <t>SOMA_BANCADA</t>
  </si>
  <si>
    <t>SOMA_PEDRAS</t>
  </si>
  <si>
    <t>SOMA_ESQUADRAIS</t>
  </si>
  <si>
    <t>LZ 01</t>
  </si>
  <si>
    <t>QTD</t>
  </si>
  <si>
    <t>LZ 02</t>
  </si>
  <si>
    <t>QTD2</t>
  </si>
  <si>
    <t>LZ 03</t>
  </si>
  <si>
    <t>QTD3</t>
  </si>
  <si>
    <t>LZ 04</t>
  </si>
  <si>
    <t>QTD4</t>
  </si>
  <si>
    <t>LZ 05</t>
  </si>
  <si>
    <t>QTD5</t>
  </si>
  <si>
    <t>LZ 06</t>
  </si>
  <si>
    <t>QTD6</t>
  </si>
  <si>
    <t>LZ 07</t>
  </si>
  <si>
    <t>QTD7</t>
  </si>
  <si>
    <t>LZ 08</t>
  </si>
  <si>
    <t>QTD9</t>
  </si>
  <si>
    <t>LZ 09</t>
  </si>
  <si>
    <t>QTD92</t>
  </si>
  <si>
    <t>LZ 10</t>
  </si>
  <si>
    <t>QTD922</t>
  </si>
  <si>
    <t>SOMA_LZ 01</t>
  </si>
  <si>
    <t>SOMA_LZ 02</t>
  </si>
  <si>
    <t>SOMA_LZ 03</t>
  </si>
  <si>
    <t>SOMA_LZ 04</t>
  </si>
  <si>
    <t>SOMA_LZ 05</t>
  </si>
  <si>
    <t>SOMA_LZ 06</t>
  </si>
  <si>
    <t>SOMA_LZ 07</t>
  </si>
  <si>
    <t>SOMA_LZ 08</t>
  </si>
  <si>
    <t>SOMA_LZ 09</t>
  </si>
  <si>
    <t>SOMA_LZ 10</t>
  </si>
  <si>
    <t>VARANDA</t>
  </si>
  <si>
    <t>QTD10</t>
  </si>
  <si>
    <t>SUÍTE</t>
  </si>
  <si>
    <t>QTD11</t>
  </si>
  <si>
    <t>SOMA_VARANDA</t>
  </si>
  <si>
    <t>SOMA_SUÍTE</t>
  </si>
  <si>
    <t>VAGA EM SOLO</t>
  </si>
  <si>
    <t xml:space="preserve">QTD </t>
  </si>
  <si>
    <t>VAGA DE MOTO</t>
  </si>
  <si>
    <t>QTD %13</t>
  </si>
  <si>
    <t>VAGA PILOTIS</t>
  </si>
  <si>
    <t>QTD %14</t>
  </si>
  <si>
    <t>QTD %15</t>
  </si>
  <si>
    <t>SOMA_VAGA EM SOLO</t>
  </si>
  <si>
    <t>SOMA_VAGA MOTO</t>
  </si>
  <si>
    <t>SOMA_VAGA PILOTIS</t>
  </si>
  <si>
    <t>SOMA_VAGA ED GARAGEM</t>
  </si>
  <si>
    <t>TOTAL  ACAB</t>
  </si>
  <si>
    <t xml:space="preserve">TOTAL LAZER </t>
  </si>
  <si>
    <t>CLASSIFICAÇÃO 
LAZER</t>
  </si>
  <si>
    <t>TOTAL TIPOLOGIA</t>
  </si>
  <si>
    <t>CLASSIFICAÇÃO 
TIPOLOGIA</t>
  </si>
  <si>
    <t>TOTAL VAGA</t>
  </si>
  <si>
    <t>TOTAL ELEVADOR</t>
  </si>
  <si>
    <t xml:space="preserve">CLASSIFICAÇÃO 
5D </t>
  </si>
  <si>
    <t>CLASSIFICAÇÃO 
4D</t>
  </si>
  <si>
    <t>PRODUTO OPOSTO</t>
  </si>
  <si>
    <t>Gran Luna</t>
  </si>
  <si>
    <t>CO/AM</t>
  </si>
  <si>
    <t>COM PISO (Cerâmica)</t>
  </si>
  <si>
    <t>1 FIADA</t>
  </si>
  <si>
    <t>TEXT</t>
  </si>
  <si>
    <t>COMBO 01</t>
  </si>
  <si>
    <t>ARDÓSIA</t>
  </si>
  <si>
    <t>VIDRO SIMPLE (2 FOLHAS)</t>
  </si>
  <si>
    <t>CHURRASQUEIRA</t>
  </si>
  <si>
    <t>PLAYGROUND</t>
  </si>
  <si>
    <t>PET PLACE</t>
  </si>
  <si>
    <t>BICICLETÁRIO</t>
  </si>
  <si>
    <t>GAZEBO</t>
  </si>
  <si>
    <t>COM VARANDA</t>
  </si>
  <si>
    <t>SEM SUÍTE</t>
  </si>
  <si>
    <t>COM VAGA EM SOLO</t>
  </si>
  <si>
    <t>SEM VAGA MOTO</t>
  </si>
  <si>
    <t>SEM VAGA PILOTIS</t>
  </si>
  <si>
    <t>SAN LEVI</t>
  </si>
  <si>
    <t>SP</t>
  </si>
  <si>
    <t>SEM PISO</t>
  </si>
  <si>
    <t>MINI Q. DE BASQUETE</t>
  </si>
  <si>
    <t>SALÃO DE FESTAS</t>
  </si>
  <si>
    <t>SEM VARANDA</t>
  </si>
  <si>
    <t>COM VAGA MOTO</t>
  </si>
  <si>
    <t>CAMEMBERT</t>
  </si>
  <si>
    <t>SUL</t>
  </si>
  <si>
    <t>REDÁRIO</t>
  </si>
  <si>
    <t>Recanto Dos Sabiás</t>
  </si>
  <si>
    <t>NE</t>
  </si>
  <si>
    <t>PISCINA</t>
  </si>
  <si>
    <t>Jardim Das Amoreiras</t>
  </si>
  <si>
    <t>RJ</t>
  </si>
  <si>
    <t>Porto Bremen</t>
  </si>
  <si>
    <t>PIQUENIQUE</t>
  </si>
  <si>
    <t>Residencial Mazarello</t>
  </si>
  <si>
    <t>QUADRA RECREATIVA</t>
  </si>
  <si>
    <t>Morada Dos Sonhos</t>
  </si>
  <si>
    <t>VENEZIANA (3 FOLHAS)</t>
  </si>
  <si>
    <t>Mirante Da Colina</t>
  </si>
  <si>
    <t>KIDS</t>
  </si>
  <si>
    <t>Alameda Imperial</t>
  </si>
  <si>
    <t>Residencial Poente Do Buriti</t>
  </si>
  <si>
    <t>ATÉ 1,5</t>
  </si>
  <si>
    <t>SEM VAGA EM SOLO</t>
  </si>
  <si>
    <t>CANTO DAS ÁGUIAS</t>
  </si>
  <si>
    <t>Vidro simples</t>
  </si>
  <si>
    <t>Cores Do Poente</t>
  </si>
  <si>
    <t>SPI</t>
  </si>
  <si>
    <t>Residencial Rio Mar</t>
  </si>
  <si>
    <t>Residencial Monte Das Colinas</t>
  </si>
  <si>
    <t>Palácio De Estocolmo</t>
  </si>
  <si>
    <t>JOGOS</t>
  </si>
  <si>
    <t>Residencial Solar Da Ilha</t>
  </si>
  <si>
    <t>Residencial Lagoa De Safira</t>
  </si>
  <si>
    <t>MG-ES</t>
  </si>
  <si>
    <t>Jardim Di Turim</t>
  </si>
  <si>
    <t>QUADRA DE AREIA</t>
  </si>
  <si>
    <t>Piazza Sirena</t>
  </si>
  <si>
    <t>Residencial Olímpia</t>
  </si>
  <si>
    <t>LISO</t>
  </si>
  <si>
    <t>Residencial Riviera</t>
  </si>
  <si>
    <t>Benissa Residencial</t>
  </si>
  <si>
    <t>San Miller</t>
  </si>
  <si>
    <t>Porto Versalhes</t>
  </si>
  <si>
    <t>Residencial Mauá</t>
  </si>
  <si>
    <t>Residencial Reserva Da Mata</t>
  </si>
  <si>
    <t>Residencial Liviero</t>
  </si>
  <si>
    <t>HOME OFFICE</t>
  </si>
  <si>
    <t>Saint Rose</t>
  </si>
  <si>
    <t>Residencial Loreto</t>
  </si>
  <si>
    <t>Gran Regence</t>
  </si>
  <si>
    <t>Gran Arena Itaquera</t>
  </si>
  <si>
    <t>Torres Do Aeroporto</t>
  </si>
  <si>
    <t>COMBO 02</t>
  </si>
  <si>
    <t>GRANITO</t>
  </si>
  <si>
    <t>FUNCIONAL</t>
  </si>
  <si>
    <t>Primavera Garden</t>
  </si>
  <si>
    <t>Residencial Cachoeira Dos Sinos</t>
  </si>
  <si>
    <t>Residencial Autenticità</t>
  </si>
  <si>
    <t>Residencial Bella Suécia</t>
  </si>
  <si>
    <t>Residencial Atlanta</t>
  </si>
  <si>
    <t>Vila De Manguinhos</t>
  </si>
  <si>
    <t>Real Park</t>
  </si>
  <si>
    <t>Reserva Das Flores</t>
  </si>
  <si>
    <t>Moradas Do Sol</t>
  </si>
  <si>
    <t>Gran Essence</t>
  </si>
  <si>
    <t>RESIDENCIAL CARVALHO</t>
  </si>
  <si>
    <t>Residencial Reserva Dos Pássaros</t>
  </si>
  <si>
    <t>Residencial Luz Da Aurora</t>
  </si>
  <si>
    <t>Residencial Lake Da Vinci</t>
  </si>
  <si>
    <t>Residencial Callas</t>
  </si>
  <si>
    <t>Torre Do Mar</t>
  </si>
  <si>
    <t>Residencial Canoas</t>
  </si>
  <si>
    <t>Solar Das Amoreiras</t>
  </si>
  <si>
    <t>Castello Di Francesco</t>
  </si>
  <si>
    <t>VALE DO AMANHECER</t>
  </si>
  <si>
    <t>Residencial Campo Di Ravena</t>
  </si>
  <si>
    <t>Eco Park</t>
  </si>
  <si>
    <t>Residencial Mirage</t>
  </si>
  <si>
    <t>Castelo De Windsor</t>
  </si>
  <si>
    <t>Jardim Tropical</t>
  </si>
  <si>
    <t>Castelo De Versalhes</t>
  </si>
  <si>
    <t>Residencial Real Prime</t>
  </si>
  <si>
    <t>Recanto Da Mata</t>
  </si>
  <si>
    <t>Residencial Mirante Do Vale</t>
  </si>
  <si>
    <t>Chapada Flamboyant</t>
  </si>
  <si>
    <t>Residencial Martini</t>
  </si>
  <si>
    <t>Residencial Camélias</t>
  </si>
  <si>
    <t>Residencial Flores De Évora</t>
  </si>
  <si>
    <t>Gran Fornari</t>
  </si>
  <si>
    <t>Parque Sorrento</t>
  </si>
  <si>
    <t>Chapada Redentori</t>
  </si>
  <si>
    <t>COM SUÍTE</t>
  </si>
  <si>
    <t>Residencial Dunas Do Horizonte</t>
  </si>
  <si>
    <t>Spazio Imperatriz</t>
  </si>
  <si>
    <t>Epic</t>
  </si>
  <si>
    <t>Residencial Recanto Das Árvores</t>
  </si>
  <si>
    <t>Residencial Lancelot</t>
  </si>
  <si>
    <t>Alameda Do Cerrado</t>
  </si>
  <si>
    <t>Reserva Dos Girassóis</t>
  </si>
  <si>
    <t>Parque Dos Marqueses</t>
  </si>
  <si>
    <t>CAPRI VILLAGE</t>
  </si>
  <si>
    <t>COM VAGA EM ED. GARAGEM</t>
  </si>
  <si>
    <t>Vista Dos Jasmins</t>
  </si>
  <si>
    <t>Reserva Dos Lírios</t>
  </si>
  <si>
    <t>Residencial Lake Picasso</t>
  </si>
  <si>
    <t>Residencial Poente Das Orquídeas</t>
  </si>
  <si>
    <t>Residencial Bálsamo</t>
  </si>
  <si>
    <t>BELGRANO</t>
  </si>
  <si>
    <t>Palmeira Boreal</t>
  </si>
  <si>
    <t>Residencial Mandacaru</t>
  </si>
  <si>
    <t>Residencial Horizonte</t>
  </si>
  <si>
    <t>Mirante Da Luz</t>
  </si>
  <si>
    <t>Reserva Da Lagoa</t>
  </si>
  <si>
    <t>Condomínio Residencial Parque Dos Diamantes</t>
  </si>
  <si>
    <t>Residencial Jardim Bonsai</t>
  </si>
  <si>
    <t>Torres Dos Franceses</t>
  </si>
  <si>
    <t>Residencial Veredas</t>
  </si>
  <si>
    <t>Candeias Tulip</t>
  </si>
  <si>
    <t>Residence Park</t>
  </si>
  <si>
    <t>Residencial Tokyo</t>
  </si>
  <si>
    <t>Residencial Giardino Di Bali</t>
  </si>
  <si>
    <t>Gran Porto</t>
  </si>
  <si>
    <t>Parque Canoas</t>
  </si>
  <si>
    <t>Mirante Dos Coqueiros</t>
  </si>
  <si>
    <t>Condomínio Residencial Caminhos Do Lago</t>
  </si>
  <si>
    <t>Residencial Campo Di Viena</t>
  </si>
  <si>
    <t>Rótulos de Linha</t>
  </si>
  <si>
    <t>Contagem de EMPREENDIMENTO</t>
  </si>
  <si>
    <t>ADERENTE</t>
  </si>
  <si>
    <t>NÃO ADERENTE</t>
  </si>
  <si>
    <t>Nº PAV1</t>
  </si>
  <si>
    <t>QTD DE B/T 2</t>
  </si>
  <si>
    <t>BLOCO TOTAL</t>
  </si>
  <si>
    <t>CLASSIFICAÇÃO
ACAB</t>
  </si>
  <si>
    <t>CLASSIFICAÇÃO
VAGA</t>
  </si>
  <si>
    <t>CLASSIFICAÇÃO ELEVADOR</t>
  </si>
  <si>
    <t>CUSTO
5D</t>
  </si>
  <si>
    <t>CUSTO 4D</t>
  </si>
  <si>
    <t>ACAB - BLOCO E TORRE</t>
  </si>
  <si>
    <t>ACAB 01</t>
  </si>
  <si>
    <t>ACAB 02</t>
  </si>
  <si>
    <t>ACAB 03</t>
  </si>
  <si>
    <t>Acabamentos semelhantes a linha Essencial (sem piso, 1 fiada, textura, comb 1, ardósia e vidro simples)</t>
  </si>
  <si>
    <t>Acabamentos semelhantes a linha ECO (Com piso, Cerâmica até 150, textura, comb 1, ardósia e vidro simples)</t>
  </si>
  <si>
    <t>Acabamentos semelhantes a linha BIO (Com piso, Cerâmica até 150, Liso, comb 2, granito e vidro simples)</t>
  </si>
  <si>
    <t>LAZER - BLOCO  E TORRE</t>
  </si>
  <si>
    <t>&gt;</t>
  </si>
  <si>
    <t>Muito abaixo do lazer recomendado</t>
  </si>
  <si>
    <t>Abaixo do lazer recomendado</t>
  </si>
  <si>
    <t>Lazer recomendado conforme estudo de concorrência</t>
  </si>
  <si>
    <t>Acima do lazer recomendado</t>
  </si>
  <si>
    <t>TIP - BLOCO E TORRE</t>
  </si>
  <si>
    <t>TIP 01</t>
  </si>
  <si>
    <t>TIP 02</t>
  </si>
  <si>
    <t>TIP 03</t>
  </si>
  <si>
    <t>Até 50% de varanda</t>
  </si>
  <si>
    <t>De 50% a 100% de varanda</t>
  </si>
  <si>
    <t>100% de varanda + % suíte</t>
  </si>
  <si>
    <t>VAGA - BLOCO E TORRE</t>
  </si>
  <si>
    <t>VAGA 01</t>
  </si>
  <si>
    <t>VAGA 02</t>
  </si>
  <si>
    <t>VAGA 03</t>
  </si>
  <si>
    <t>Até 50 % de vaga em solo</t>
  </si>
  <si>
    <t>Acima de 50% em solo</t>
  </si>
  <si>
    <t>Vagas em Ed garagem</t>
  </si>
  <si>
    <t>ELEV - BLOCO (SUPRIMENTOS) 2.0</t>
  </si>
  <si>
    <t>ELEV - TORRE (SUPRIMENTOS) 2.0</t>
  </si>
  <si>
    <t>ELEV 01</t>
  </si>
  <si>
    <t>ELEV 02</t>
  </si>
  <si>
    <t>ELEV 03</t>
  </si>
  <si>
    <t>Sem elevador</t>
  </si>
  <si>
    <t>1 elevador por torre</t>
  </si>
  <si>
    <t>Com elevador</t>
  </si>
  <si>
    <t>2 a 3 Elevadores por torre</t>
  </si>
  <si>
    <t>4 elevador p/ torre</t>
  </si>
  <si>
    <t>RÉGUA BLOCO (5 DIMENSÕES)  SUPRIMENTOS 2.0</t>
  </si>
  <si>
    <t>RÉGUA TORRE (5 DIMENSÕES) - SUPRIMENTOS 2.0</t>
  </si>
  <si>
    <t>ESSENCIAL -10%</t>
  </si>
  <si>
    <t>ECO +10%</t>
  </si>
  <si>
    <t>ECO -10%</t>
  </si>
  <si>
    <t>BIO +10%</t>
  </si>
  <si>
    <t>RÉGUA BLOCO + TORRE (4 DIMENESÕES)</t>
  </si>
  <si>
    <t>RÉGUA BLOCO + TORRE (3 DIMENESÕES)</t>
  </si>
  <si>
    <t>ACABAMENTOS NACIONAL</t>
  </si>
  <si>
    <t>LAZER</t>
  </si>
  <si>
    <t>TIPOLOGIA</t>
  </si>
  <si>
    <t>VAGAS</t>
  </si>
  <si>
    <t>SALA E QUARTO</t>
  </si>
  <si>
    <t>C/ EM BLOCO</t>
  </si>
  <si>
    <t>C/ EM TORRE</t>
  </si>
  <si>
    <t>bloco 04 a 5</t>
  </si>
  <si>
    <t>COZINHA</t>
  </si>
  <si>
    <t>CUSTO MÉDIO P/UH P/ LINHA</t>
  </si>
  <si>
    <t>PAREDE HDR</t>
  </si>
  <si>
    <t>SOLARIUM</t>
  </si>
  <si>
    <t>CUSTO MÉDIO DA MAQ P/ TIPO</t>
  </si>
  <si>
    <t>Tipo</t>
  </si>
  <si>
    <t>Média elev</t>
  </si>
  <si>
    <t>Média Elev p/ und</t>
  </si>
  <si>
    <t>Média 01 Elev p/ und</t>
  </si>
  <si>
    <t>Bloco 2 A 5</t>
  </si>
  <si>
    <t>ORIGINAL</t>
  </si>
  <si>
    <t>Torrinha 6 A 11</t>
  </si>
  <si>
    <t>Torre 7 A 15</t>
  </si>
  <si>
    <t>Torre 16 A 20</t>
  </si>
  <si>
    <t>Torre 21 A 24</t>
  </si>
  <si>
    <t>ACABAMENTOS REGIONAIS</t>
  </si>
  <si>
    <t>Média de custo da parada</t>
  </si>
  <si>
    <t>Bloco 4 A 5</t>
  </si>
  <si>
    <t>Torre 12 A 24</t>
  </si>
  <si>
    <t>PAV</t>
  </si>
  <si>
    <t>CUSTO 1 ELEVADOR</t>
  </si>
  <si>
    <t>CUSTO TOTAL</t>
  </si>
  <si>
    <t>CUSTO 01 MAQ</t>
  </si>
  <si>
    <t>TORRE 01</t>
  </si>
  <si>
    <t>TORRE 02</t>
  </si>
  <si>
    <t>INTERVALO DE INTERSEÇÃO 5D</t>
  </si>
  <si>
    <t>INTERSERÇÃO 
4D</t>
  </si>
  <si>
    <t>CLASSIFICAÇÃO 2D</t>
  </si>
  <si>
    <t>CUSTO 2D</t>
  </si>
  <si>
    <t>RÉGUA BLOCO + TORRE (2 DIMENESÕES)</t>
  </si>
  <si>
    <t>PROPOSTA 01</t>
  </si>
  <si>
    <t>PROPOSTA 02</t>
  </si>
  <si>
    <t xml:space="preserve"> R. INTERSEÇÃO</t>
  </si>
  <si>
    <t>CLASSIFICAÇÃO FINAL 5D</t>
  </si>
  <si>
    <t>R. INTERSEÇÃO</t>
  </si>
  <si>
    <t>CUSTO 4D2</t>
  </si>
  <si>
    <t>ADERENCIA 5D</t>
  </si>
  <si>
    <t>CLASSIFICAÇÃO 
4D2</t>
  </si>
  <si>
    <t>%</t>
  </si>
  <si>
    <t>(Tudo)</t>
  </si>
  <si>
    <t xml:space="preserve">Contagem de PRODUTO ATUAL </t>
  </si>
  <si>
    <t>Contagem de R. INTERSEÇÃO</t>
  </si>
  <si>
    <t>ADERENCIA 4D + 2D</t>
  </si>
  <si>
    <t>ADERÊNCIA 4D</t>
  </si>
  <si>
    <t>eco</t>
  </si>
  <si>
    <t>ADERÊNCIA 4D + 2D</t>
  </si>
  <si>
    <t>ADERÊNCIA P/ REGIONAL</t>
  </si>
  <si>
    <t>REAJUSTADO</t>
  </si>
  <si>
    <t>RESTRIÇÕES DE ESSENCIAL</t>
  </si>
  <si>
    <t>PEDRAS EM GRANITO</t>
  </si>
  <si>
    <t>RESTRIÇÕES BIO</t>
  </si>
  <si>
    <t>SEM ATRIBUTO DE TIPOLOGIA</t>
  </si>
  <si>
    <t>COMBO 02 DE BANCADAS</t>
  </si>
  <si>
    <t>COMBO 01 DE BANCADAS</t>
  </si>
  <si>
    <t>PEDRAS EM ARDÓSIA</t>
  </si>
  <si>
    <t>TETO TEXTURIZADO</t>
  </si>
  <si>
    <t>LAZER ENQUANDRADO EM 01</t>
  </si>
  <si>
    <t>TER SUÍTE</t>
  </si>
  <si>
    <t>LAZER ENQUADRADO EM 03 OU 04</t>
  </si>
  <si>
    <t>ACABAMENTOS</t>
  </si>
  <si>
    <t>COM PISO (Cerâmica/Laminado)</t>
  </si>
  <si>
    <t>AMBIENTE</t>
  </si>
  <si>
    <t>ITEM</t>
  </si>
  <si>
    <t>PISO</t>
  </si>
  <si>
    <t>BANHEIRO + COZINHA + A.S</t>
  </si>
  <si>
    <t>PAREDES HDR</t>
  </si>
  <si>
    <t>APARTAMENTO</t>
  </si>
  <si>
    <t>PEDRAS
(PEITORIL E SOLEIRAS)</t>
  </si>
  <si>
    <t>QUARTOS</t>
  </si>
  <si>
    <t>COMBO 01 (PIA INOX+ TANQUE E LAVATÓRIO EM LOUÇA)</t>
  </si>
  <si>
    <t>COMBO 02 - (PIA E LAVATÓRIO EM GRANITO + TANQUE EM LOUÇA)</t>
  </si>
  <si>
    <t>AR CONDICIONADO</t>
  </si>
  <si>
    <t>1 PONTO</t>
  </si>
  <si>
    <t>2 PONTOS ( CUIABÁ + MANAUS + PALMAS + CAMPO GRANDE)</t>
  </si>
  <si>
    <t>CARVÃO (SUL + CO)</t>
  </si>
  <si>
    <t>BANHEIRO</t>
  </si>
  <si>
    <t>CHUVEIRO</t>
  </si>
  <si>
    <t>ELÉTRICO</t>
  </si>
  <si>
    <t>GÁS</t>
  </si>
  <si>
    <t>ESPECIFICAÇÃO</t>
  </si>
  <si>
    <t>CUSTO</t>
  </si>
  <si>
    <t>LAZER COBERTO</t>
  </si>
  <si>
    <t>ACADEMIA 01</t>
  </si>
  <si>
    <t>ACADEMIA 02</t>
  </si>
  <si>
    <t>ACADEMIA 03</t>
  </si>
  <si>
    <t>CHURRASQUEIRA 01</t>
  </si>
  <si>
    <t>CHURRASQUEIRA 02</t>
  </si>
  <si>
    <t>CHURRASQUEIRA 03</t>
  </si>
  <si>
    <t>CHURRASQUEIRA 04</t>
  </si>
  <si>
    <t>CHURRASQUEIRA 05</t>
  </si>
  <si>
    <t>CONJUNTO 01</t>
  </si>
  <si>
    <t>CONJUNTO 02</t>
  </si>
  <si>
    <t>CONJUNTO 03</t>
  </si>
  <si>
    <t>CONJUNTO 04</t>
  </si>
  <si>
    <t>CONJUNTO 05</t>
  </si>
  <si>
    <t>CONJUNTO 06</t>
  </si>
  <si>
    <t>CONJUNTO 07</t>
  </si>
  <si>
    <t>CONJUNTO 08</t>
  </si>
  <si>
    <t>CONJUNTO 09</t>
  </si>
  <si>
    <t>CONJUNTO 10</t>
  </si>
  <si>
    <t>ESPAÇO KIDS</t>
  </si>
  <si>
    <t>ESPAÇO PIZZA 01</t>
  </si>
  <si>
    <t>ESPAÇO PIZZA 02</t>
  </si>
  <si>
    <t>HAPPY HOURS 01</t>
  </si>
  <si>
    <t>HAPPY HOURS 02</t>
  </si>
  <si>
    <t>PET CARE + PET PLACE</t>
  </si>
  <si>
    <t>PET CARE</t>
  </si>
  <si>
    <t>QUADRA RECREATIVA COBERTA 01</t>
  </si>
  <si>
    <t>QUADRA RECREATIVA COBERTA 02</t>
  </si>
  <si>
    <t>SALÃO DE FESTAS 01</t>
  </si>
  <si>
    <t>SALÃO DE FESTAS 02</t>
  </si>
  <si>
    <t>SALÃO DE JOGOS</t>
  </si>
  <si>
    <t>VESTIÁRIO 01</t>
  </si>
  <si>
    <t>VESTIÁRIO 02</t>
  </si>
  <si>
    <t>LAZER DESCOBERTO</t>
  </si>
  <si>
    <t>ESPAÇO FOGO</t>
  </si>
  <si>
    <t>FUTMESA</t>
  </si>
  <si>
    <t>ESPAÇO ZEN 01</t>
  </si>
  <si>
    <t>ESPAÇO ZEN 02</t>
  </si>
  <si>
    <t>ESPAÇO ZEN 03</t>
  </si>
  <si>
    <t>ESPAÇO ZEN 04</t>
  </si>
  <si>
    <t>HORTA 01</t>
  </si>
  <si>
    <t>HORTA 02</t>
  </si>
  <si>
    <t>MINI QUADRA DE BASQUETE 01</t>
  </si>
  <si>
    <t>MINI QUADRA DE BASQUETE 02</t>
  </si>
  <si>
    <t>MNI QUADRA RECREATIVA 01</t>
  </si>
  <si>
    <t>MINI QUADRA RECREATIVA 02</t>
  </si>
  <si>
    <t>PISCINA 01</t>
  </si>
  <si>
    <t>PISCINA 02</t>
  </si>
  <si>
    <t>PISCINA 03</t>
  </si>
  <si>
    <t>PLAYBABY</t>
  </si>
  <si>
    <t>PRAÇA CONEXÃO</t>
  </si>
  <si>
    <t>PRAÇA DAS FLORES 01</t>
  </si>
  <si>
    <t>PRAÇA DAS FLORES 02</t>
  </si>
  <si>
    <t>PRAÇA DO BEM ESTAR 01</t>
  </si>
  <si>
    <t>PRAÇA DO BEM ESTAR 02</t>
  </si>
  <si>
    <t>PRAÇA DO BEM ESTAR 03</t>
  </si>
  <si>
    <t>PRAÇA DO BEM ESTAR 04</t>
  </si>
  <si>
    <t>PRAÇA DO ENCONTRO</t>
  </si>
  <si>
    <t>PRAÇA DOS AROMAS</t>
  </si>
  <si>
    <t>LAVANDERIA 01</t>
  </si>
  <si>
    <t>LAVANDERIA 02</t>
  </si>
  <si>
    <t>AMBIENTES</t>
  </si>
  <si>
    <t>TIPO DE LAZER</t>
  </si>
  <si>
    <t>COBERTO</t>
  </si>
  <si>
    <t>BLOCK02</t>
  </si>
  <si>
    <t>BLOCK04</t>
  </si>
  <si>
    <t>BLOCK06</t>
  </si>
  <si>
    <t>BLOCK07</t>
  </si>
  <si>
    <t>BLOCK08</t>
  </si>
  <si>
    <t>BLOCK09</t>
  </si>
  <si>
    <t>BLOCK10</t>
  </si>
  <si>
    <t>BLOCK11</t>
  </si>
  <si>
    <t>BLOCK12</t>
  </si>
  <si>
    <t>BLOCK14</t>
  </si>
  <si>
    <t>BLOCK15</t>
  </si>
  <si>
    <t>BLOCK16</t>
  </si>
  <si>
    <t>BLOCK17</t>
  </si>
  <si>
    <t>BLOCK22</t>
  </si>
  <si>
    <t>BLOCK24</t>
  </si>
  <si>
    <t>BLOCK25</t>
  </si>
  <si>
    <t>BLOCK26</t>
  </si>
  <si>
    <t>BLOCK27</t>
  </si>
  <si>
    <t>BLOCK29</t>
  </si>
  <si>
    <t>BLOCK30</t>
  </si>
  <si>
    <t>TCHi04</t>
  </si>
  <si>
    <t>THC 10 RS SAN</t>
  </si>
  <si>
    <t>THC 10 SC SAN</t>
  </si>
  <si>
    <t>THC ANÁPOLIS</t>
  </si>
  <si>
    <t>THC AP5</t>
  </si>
  <si>
    <t>THC ESPECÍFICA APARECIDA DE GOIÂNIA</t>
  </si>
  <si>
    <t>THC ESPECIFÍCA DE PALMAS</t>
  </si>
  <si>
    <t>THC PRIME 01</t>
  </si>
  <si>
    <t>THC PRIME A SAN</t>
  </si>
  <si>
    <t>THC SALVADOR</t>
  </si>
  <si>
    <t>THC01</t>
  </si>
  <si>
    <t>THC02</t>
  </si>
  <si>
    <t>THC03</t>
  </si>
  <si>
    <t>THC03 RJ SAN</t>
  </si>
  <si>
    <t>THC06</t>
  </si>
  <si>
    <t>THC06 CP SAN</t>
  </si>
  <si>
    <t>THC08</t>
  </si>
  <si>
    <t>THC08 PIR</t>
  </si>
  <si>
    <t>THC08 RP</t>
  </si>
  <si>
    <t>THC08 RP A SAN</t>
  </si>
  <si>
    <t>THC08 RP B SAN</t>
  </si>
  <si>
    <t>THC08 RP C SAN</t>
  </si>
  <si>
    <t>THC08 RP PIR SAN</t>
  </si>
  <si>
    <t>THC08 RP SAN</t>
  </si>
  <si>
    <t>THC08 SP SAN</t>
  </si>
  <si>
    <t>THC08 VOT SAN</t>
  </si>
  <si>
    <t>THC09</t>
  </si>
  <si>
    <t>THC09 CP SAN</t>
  </si>
  <si>
    <t>THC09 CPS</t>
  </si>
  <si>
    <t>THC09 RP</t>
  </si>
  <si>
    <t>THC09 SL SAN</t>
  </si>
  <si>
    <t>THC10</t>
  </si>
  <si>
    <t>THC10 PR SAN</t>
  </si>
  <si>
    <t>THCi02 A</t>
  </si>
  <si>
    <t>THCI03</t>
  </si>
  <si>
    <t>THCi04</t>
  </si>
  <si>
    <t>THCi18</t>
  </si>
  <si>
    <t>CLASS</t>
  </si>
  <si>
    <t>CLASS 03 D SAN</t>
  </si>
  <si>
    <t>CLASS05</t>
  </si>
  <si>
    <t>FIT02</t>
  </si>
  <si>
    <t>FIT03</t>
  </si>
  <si>
    <t>FIT09 A</t>
  </si>
  <si>
    <t>FIT09 B</t>
  </si>
  <si>
    <t>FIT10</t>
  </si>
  <si>
    <t>FIT14</t>
  </si>
  <si>
    <t>FIT15 A</t>
  </si>
  <si>
    <t>FIT15 B</t>
  </si>
  <si>
    <t>FIT16</t>
  </si>
  <si>
    <t>FIT18</t>
  </si>
  <si>
    <t>FIT23 A</t>
  </si>
  <si>
    <t>FIT23 B</t>
  </si>
  <si>
    <t>FIT30</t>
  </si>
  <si>
    <t>FIT32 A</t>
  </si>
  <si>
    <t>FIT32 B</t>
  </si>
  <si>
    <t>FIT34</t>
  </si>
  <si>
    <t>FIT35 A</t>
  </si>
  <si>
    <t>FIT35 B</t>
  </si>
  <si>
    <t>FIT37 A</t>
  </si>
  <si>
    <t>FIT37 B</t>
  </si>
  <si>
    <t>MIDI 12</t>
  </si>
  <si>
    <t>MIDI 14</t>
  </si>
  <si>
    <t>SENSIA 01</t>
  </si>
  <si>
    <t>SENSIA01 CP SAN</t>
  </si>
  <si>
    <t>SENWAY</t>
  </si>
  <si>
    <t>SLIM05</t>
  </si>
  <si>
    <t>SLIM14</t>
  </si>
  <si>
    <t>SLIM18 SP SAN</t>
  </si>
  <si>
    <t>SLIM22 SP SAN</t>
  </si>
  <si>
    <t>SLIM26 SAN</t>
  </si>
  <si>
    <t>SMART01</t>
  </si>
  <si>
    <t>SMART02</t>
  </si>
  <si>
    <t>SMART03</t>
  </si>
  <si>
    <t>SMART04</t>
  </si>
  <si>
    <t>TCLASS02</t>
  </si>
  <si>
    <t>TCLASS03</t>
  </si>
  <si>
    <t>TM00</t>
  </si>
  <si>
    <t>TM01</t>
  </si>
  <si>
    <t>TM03</t>
  </si>
  <si>
    <t>TM11</t>
  </si>
  <si>
    <t>TM12</t>
  </si>
  <si>
    <t>TM14</t>
  </si>
  <si>
    <t>TM17</t>
  </si>
  <si>
    <t>TM18</t>
  </si>
  <si>
    <t>TORRE 02  AJU</t>
  </si>
  <si>
    <t>TORRE 03</t>
  </si>
  <si>
    <t>TORRE 13</t>
  </si>
  <si>
    <t>TORRE CUIABÁ ADAPTADA</t>
  </si>
  <si>
    <t>TORRE CUIABÁ GO</t>
  </si>
  <si>
    <t>TORRE SSA</t>
  </si>
  <si>
    <t>TORRE UBERLÂNDIA</t>
  </si>
  <si>
    <t>TP04</t>
  </si>
  <si>
    <t>TS01</t>
  </si>
  <si>
    <t>TS01 PSP</t>
  </si>
  <si>
    <t>TS02</t>
  </si>
  <si>
    <t>TS03</t>
  </si>
  <si>
    <t>TS07</t>
  </si>
  <si>
    <t>TS11</t>
  </si>
  <si>
    <t>TS12</t>
  </si>
  <si>
    <t>TS18 PSP</t>
  </si>
  <si>
    <t>TS19</t>
  </si>
  <si>
    <t>TS20</t>
  </si>
  <si>
    <t>TS21</t>
  </si>
  <si>
    <t>TS22</t>
  </si>
  <si>
    <t>TS23</t>
  </si>
  <si>
    <t>TS25</t>
  </si>
  <si>
    <t>TS26</t>
  </si>
  <si>
    <t>TSCITY01</t>
  </si>
  <si>
    <t>TSP</t>
  </si>
  <si>
    <t>TSP CAMPINAS</t>
  </si>
  <si>
    <t>TT01</t>
  </si>
  <si>
    <t>TT02</t>
  </si>
  <si>
    <t>TT04</t>
  </si>
  <si>
    <t>TTA02</t>
  </si>
  <si>
    <t>TTJF</t>
  </si>
  <si>
    <t>WAY01</t>
  </si>
  <si>
    <t>WAY02 A</t>
  </si>
  <si>
    <t>WAY02 B</t>
  </si>
  <si>
    <t>WAY05</t>
  </si>
  <si>
    <t>WAY07 A</t>
  </si>
  <si>
    <t>WAY07 B</t>
  </si>
  <si>
    <t>WAY09 A</t>
  </si>
  <si>
    <t>WAY09 B</t>
  </si>
  <si>
    <t>WAY11</t>
  </si>
  <si>
    <t>WAY12 A</t>
  </si>
  <si>
    <t>WAY12 B</t>
  </si>
  <si>
    <t>WAY15 A</t>
  </si>
  <si>
    <t>WAY15 B</t>
  </si>
  <si>
    <t>WAY16</t>
  </si>
  <si>
    <t>WAY19 A</t>
  </si>
  <si>
    <t>WAY19 B</t>
  </si>
  <si>
    <t>WAY27 A</t>
  </si>
  <si>
    <t>WAY27 B</t>
  </si>
  <si>
    <t>WAY29 A</t>
  </si>
  <si>
    <t>WAY29 B</t>
  </si>
  <si>
    <t>WAY31 A</t>
  </si>
  <si>
    <t>WAY31 B</t>
  </si>
  <si>
    <t>WAY33 A</t>
  </si>
  <si>
    <t>WAY33 B</t>
  </si>
  <si>
    <t>FIT04 LIGHT A</t>
  </si>
  <si>
    <t>FIT04 LIGHT B</t>
  </si>
  <si>
    <t>FIT05 LIGHT A</t>
  </si>
  <si>
    <t>FIT05 LIGHT B</t>
  </si>
  <si>
    <t>FIT06 LIGHT</t>
  </si>
  <si>
    <t>FIT07 LIGHT A</t>
  </si>
  <si>
    <t>FIT07 LIGHT B</t>
  </si>
  <si>
    <t>FIT12 LIGHT</t>
  </si>
  <si>
    <t>FIT13 LIGHT</t>
  </si>
  <si>
    <t>FIT19 LIGHT</t>
  </si>
  <si>
    <t>FIT24 LIGHT A</t>
  </si>
  <si>
    <t>FIT24 LIGHT B</t>
  </si>
  <si>
    <t>FIT28 LIGHT A</t>
  </si>
  <si>
    <t>FIT28 LIGHT B</t>
  </si>
  <si>
    <t>FIT31 LIGHT</t>
  </si>
  <si>
    <t>FIT39 LIGHT</t>
  </si>
  <si>
    <t>MIDI11 A CO SAN</t>
  </si>
  <si>
    <t>MIDI11 B CO SAN</t>
  </si>
  <si>
    <t>SENSIA04 RJ SAN</t>
  </si>
  <si>
    <t>WAY03 LIGHT A</t>
  </si>
  <si>
    <t>WAY03 LIGHT B</t>
  </si>
  <si>
    <t>WAY04 LIGHT A</t>
  </si>
  <si>
    <t>WAY04 LIGHT B</t>
  </si>
  <si>
    <t>WAY17 LIGHT A</t>
  </si>
  <si>
    <t>WAY17 LIGHT B</t>
  </si>
  <si>
    <t>WAY21 LIGHT A</t>
  </si>
  <si>
    <t>WAY21 LIGHT B</t>
  </si>
  <si>
    <t>WAY23 LIGHT A</t>
  </si>
  <si>
    <t>WAY23 LIGHT B</t>
  </si>
  <si>
    <t>WAY25 LIGHT A</t>
  </si>
  <si>
    <t>WAY25 LIGHT B</t>
  </si>
  <si>
    <t>CUSTO VARANDA</t>
  </si>
  <si>
    <t>CUSTO SUÍTE</t>
  </si>
  <si>
    <t>TORRINHA</t>
  </si>
  <si>
    <t>PRODUTO</t>
  </si>
  <si>
    <t>MCMV</t>
  </si>
  <si>
    <t>SBPE</t>
  </si>
  <si>
    <t>COM VAGA EM SOLO - DESCOBERTA</t>
  </si>
  <si>
    <t>CUSTO VAGA EM SOLO - COBERTA</t>
  </si>
  <si>
    <t>ATUALIZAÇÃO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</si>
</sst>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0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0" tint="-0.14999847407452621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sz val="9"/>
      <color theme="0" tint="-0.499984740745262"/>
      <name val="Aptos Narrow"/>
      <family val="2"/>
      <scheme val="minor"/>
    </font>
    <font>
      <sz val="9"/>
      <color theme="1" tint="0.499984740745262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33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9"/>
      <color rgb="FFFF000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33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C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A4D86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A95B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8B2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8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44" fontId="7" fillId="4" borderId="2" xfId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9" fontId="6" fillId="8" borderId="2" xfId="2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44" fontId="6" fillId="9" borderId="2" xfId="1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44" fontId="6" fillId="12" borderId="2" xfId="1" applyFont="1" applyFill="1" applyBorder="1" applyAlignment="1">
      <alignment horizontal="center" vertical="center" wrapText="1"/>
    </xf>
    <xf numFmtId="44" fontId="6" fillId="12" borderId="3" xfId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/>
    </xf>
    <xf numFmtId="1" fontId="0" fillId="14" borderId="3" xfId="0" applyNumberFormat="1" applyFill="1" applyBorder="1" applyAlignment="1">
      <alignment horizontal="center" vertical="center"/>
    </xf>
    <xf numFmtId="44" fontId="0" fillId="14" borderId="3" xfId="1" applyFont="1" applyFill="1" applyBorder="1" applyAlignment="1">
      <alignment horizontal="center" vertical="center"/>
    </xf>
    <xf numFmtId="9" fontId="0" fillId="14" borderId="3" xfId="2" applyFont="1" applyFill="1" applyBorder="1" applyAlignment="1">
      <alignment horizontal="center" vertical="center"/>
    </xf>
    <xf numFmtId="44" fontId="0" fillId="14" borderId="5" xfId="0" applyNumberForma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44" fontId="0" fillId="14" borderId="3" xfId="0" applyNumberFormat="1" applyFill="1" applyBorder="1" applyAlignment="1">
      <alignment horizontal="center" vertical="center"/>
    </xf>
    <xf numFmtId="9" fontId="0" fillId="14" borderId="3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1" fontId="0" fillId="14" borderId="6" xfId="0" applyNumberFormat="1" applyFill="1" applyBorder="1" applyAlignment="1">
      <alignment horizontal="center" vertical="center"/>
    </xf>
    <xf numFmtId="44" fontId="0" fillId="14" borderId="6" xfId="1" applyFont="1" applyFill="1" applyBorder="1" applyAlignment="1">
      <alignment horizontal="center" vertical="center"/>
    </xf>
    <xf numFmtId="9" fontId="0" fillId="14" borderId="6" xfId="2" applyFont="1" applyFill="1" applyBorder="1" applyAlignment="1">
      <alignment horizontal="center" vertical="center"/>
    </xf>
    <xf numFmtId="44" fontId="0" fillId="14" borderId="6" xfId="0" applyNumberFormat="1" applyFill="1" applyBorder="1" applyAlignment="1">
      <alignment horizontal="center" vertical="center"/>
    </xf>
    <xf numFmtId="0" fontId="0" fillId="14" borderId="0" xfId="0" applyFill="1"/>
    <xf numFmtId="0" fontId="0" fillId="14" borderId="3" xfId="1" applyNumberFormat="1" applyFont="1" applyFill="1" applyBorder="1" applyAlignment="1">
      <alignment horizontal="center" vertical="center"/>
    </xf>
    <xf numFmtId="0" fontId="0" fillId="14" borderId="6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15" borderId="8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16" borderId="8" xfId="0" applyFill="1" applyBorder="1" applyAlignment="1">
      <alignment horizontal="center" vertical="center"/>
    </xf>
    <xf numFmtId="0" fontId="5" fillId="17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right"/>
    </xf>
    <xf numFmtId="0" fontId="5" fillId="18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8" fillId="0" borderId="3" xfId="0" applyFont="1" applyBorder="1" applyAlignment="1">
      <alignment vertical="center"/>
    </xf>
    <xf numFmtId="44" fontId="9" fillId="0" borderId="3" xfId="1" applyFont="1" applyBorder="1" applyAlignment="1">
      <alignment horizontal="center" vertical="center"/>
    </xf>
    <xf numFmtId="44" fontId="10" fillId="0" borderId="0" xfId="1" applyFont="1" applyBorder="1" applyAlignment="1">
      <alignment horizontal="center" vertical="center"/>
    </xf>
    <xf numFmtId="0" fontId="8" fillId="0" borderId="3" xfId="0" applyFont="1" applyBorder="1"/>
    <xf numFmtId="0" fontId="11" fillId="0" borderId="3" xfId="0" applyFont="1" applyBorder="1"/>
    <xf numFmtId="44" fontId="11" fillId="0" borderId="3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0" fillId="0" borderId="0" xfId="0" applyNumberFormat="1"/>
    <xf numFmtId="0" fontId="12" fillId="0" borderId="3" xfId="0" applyFont="1" applyBorder="1"/>
    <xf numFmtId="44" fontId="12" fillId="0" borderId="3" xfId="1" applyFont="1" applyBorder="1"/>
    <xf numFmtId="0" fontId="13" fillId="0" borderId="3" xfId="0" applyFont="1" applyBorder="1"/>
    <xf numFmtId="44" fontId="13" fillId="0" borderId="3" xfId="1" applyFont="1" applyBorder="1"/>
    <xf numFmtId="44" fontId="9" fillId="0" borderId="3" xfId="1" applyFont="1" applyBorder="1" applyAlignment="1">
      <alignment horizontal="center"/>
    </xf>
    <xf numFmtId="44" fontId="10" fillId="0" borderId="0" xfId="1" applyFont="1" applyBorder="1" applyAlignment="1">
      <alignment horizontal="center"/>
    </xf>
    <xf numFmtId="44" fontId="12" fillId="0" borderId="3" xfId="1" applyFont="1" applyFill="1" applyBorder="1"/>
    <xf numFmtId="0" fontId="8" fillId="0" borderId="3" xfId="0" applyFont="1" applyBorder="1" applyAlignment="1">
      <alignment horizontal="left"/>
    </xf>
    <xf numFmtId="0" fontId="12" fillId="0" borderId="0" xfId="0" applyFont="1"/>
    <xf numFmtId="44" fontId="12" fillId="0" borderId="0" xfId="1" applyFont="1" applyBorder="1"/>
    <xf numFmtId="44" fontId="12" fillId="0" borderId="0" xfId="1" applyFont="1" applyFill="1" applyBorder="1"/>
    <xf numFmtId="0" fontId="0" fillId="14" borderId="0" xfId="0" applyFill="1" applyAlignment="1">
      <alignment horizontal="center"/>
    </xf>
    <xf numFmtId="0" fontId="0" fillId="14" borderId="3" xfId="0" applyFill="1" applyBorder="1" applyAlignment="1">
      <alignment horizontal="center"/>
    </xf>
    <xf numFmtId="44" fontId="0" fillId="14" borderId="3" xfId="0" applyNumberForma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15" borderId="3" xfId="0" applyFill="1" applyBorder="1" applyAlignment="1">
      <alignment horizontal="center" vertical="center"/>
    </xf>
    <xf numFmtId="0" fontId="4" fillId="0" borderId="0" xfId="0" applyFont="1"/>
    <xf numFmtId="0" fontId="4" fillId="0" borderId="3" xfId="0" applyFont="1" applyBorder="1"/>
    <xf numFmtId="44" fontId="0" fillId="0" borderId="3" xfId="1" applyFont="1" applyBorder="1"/>
    <xf numFmtId="0" fontId="4" fillId="0" borderId="3" xfId="0" applyFont="1" applyBorder="1" applyAlignment="1">
      <alignment horizontal="center" vertical="center"/>
    </xf>
    <xf numFmtId="44" fontId="0" fillId="0" borderId="3" xfId="0" applyNumberFormat="1" applyBorder="1"/>
    <xf numFmtId="1" fontId="0" fillId="0" borderId="3" xfId="0" applyNumberFormat="1" applyBorder="1"/>
    <xf numFmtId="0" fontId="0" fillId="19" borderId="3" xfId="0" applyFill="1" applyBorder="1" applyAlignment="1">
      <alignment horizontal="left"/>
    </xf>
    <xf numFmtId="1" fontId="0" fillId="19" borderId="3" xfId="0" applyNumberFormat="1" applyFill="1" applyBorder="1"/>
    <xf numFmtId="44" fontId="0" fillId="14" borderId="2" xfId="1" applyFont="1" applyFill="1" applyBorder="1" applyAlignment="1">
      <alignment horizontal="center" vertical="center"/>
    </xf>
    <xf numFmtId="0" fontId="0" fillId="0" borderId="0" xfId="0" pivotButton="1"/>
    <xf numFmtId="44" fontId="0" fillId="14" borderId="0" xfId="0" applyNumberFormat="1" applyFill="1"/>
    <xf numFmtId="0" fontId="5" fillId="0" borderId="0" xfId="0" applyFont="1" applyAlignment="1">
      <alignment horizontal="center" vertical="center"/>
    </xf>
    <xf numFmtId="9" fontId="0" fillId="0" borderId="0" xfId="0" applyNumberFormat="1"/>
    <xf numFmtId="9" fontId="0" fillId="0" borderId="0" xfId="2" applyFont="1"/>
    <xf numFmtId="9" fontId="0" fillId="14" borderId="0" xfId="2" applyFont="1" applyFill="1"/>
    <xf numFmtId="0" fontId="0" fillId="0" borderId="3" xfId="0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/>
    </xf>
    <xf numFmtId="9" fontId="4" fillId="0" borderId="0" xfId="0" applyNumberFormat="1" applyFont="1"/>
    <xf numFmtId="0" fontId="17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16" borderId="3" xfId="0" applyFill="1" applyBorder="1" applyAlignment="1">
      <alignment horizontal="center" vertical="center"/>
    </xf>
    <xf numFmtId="44" fontId="0" fillId="14" borderId="0" xfId="1" applyFont="1" applyFill="1" applyAlignment="1">
      <alignment horizontal="center"/>
    </xf>
    <xf numFmtId="0" fontId="19" fillId="0" borderId="3" xfId="0" applyFont="1" applyBorder="1" applyAlignment="1">
      <alignment vertical="center"/>
    </xf>
    <xf numFmtId="44" fontId="20" fillId="0" borderId="3" xfId="1" applyFont="1" applyBorder="1" applyAlignment="1">
      <alignment horizontal="center" vertical="center"/>
    </xf>
    <xf numFmtId="0" fontId="19" fillId="0" borderId="3" xfId="0" applyFont="1" applyBorder="1"/>
    <xf numFmtId="44" fontId="20" fillId="0" borderId="3" xfId="1" applyFont="1" applyBorder="1" applyAlignment="1">
      <alignment horizontal="center"/>
    </xf>
    <xf numFmtId="0" fontId="7" fillId="25" borderId="2" xfId="0" applyFont="1" applyFill="1" applyBorder="1" applyAlignment="1">
      <alignment horizontal="center" vertical="center" wrapText="1"/>
    </xf>
    <xf numFmtId="0" fontId="14" fillId="1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6" fillId="26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1" applyNumberFormat="1" applyFont="1" applyFill="1" applyBorder="1" applyAlignment="1">
      <alignment horizontal="center" vertical="center"/>
    </xf>
    <xf numFmtId="44" fontId="0" fillId="0" borderId="3" xfId="1" applyFont="1" applyFill="1" applyBorder="1" applyAlignment="1">
      <alignment horizontal="center" vertical="center"/>
    </xf>
    <xf numFmtId="9" fontId="0" fillId="0" borderId="3" xfId="2" applyFont="1" applyFill="1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44" fontId="0" fillId="0" borderId="2" xfId="1" applyFont="1" applyFill="1" applyBorder="1" applyAlignment="1">
      <alignment horizontal="center" vertical="center"/>
    </xf>
    <xf numFmtId="164" fontId="0" fillId="0" borderId="0" xfId="0" applyNumberFormat="1"/>
    <xf numFmtId="164" fontId="0" fillId="27" borderId="0" xfId="0" applyNumberFormat="1" applyFill="1"/>
    <xf numFmtId="164" fontId="0" fillId="25" borderId="0" xfId="0" applyNumberFormat="1" applyFill="1"/>
    <xf numFmtId="164" fontId="0" fillId="28" borderId="0" xfId="0" applyNumberFormat="1" applyFill="1"/>
    <xf numFmtId="164" fontId="0" fillId="24" borderId="0" xfId="0" applyNumberFormat="1" applyFill="1"/>
    <xf numFmtId="9" fontId="4" fillId="0" borderId="0" xfId="0" applyNumberFormat="1" applyFont="1" applyAlignment="1">
      <alignment horizontal="center"/>
    </xf>
    <xf numFmtId="9" fontId="0" fillId="15" borderId="3" xfId="2" applyFont="1" applyFill="1" applyBorder="1" applyAlignment="1">
      <alignment horizontal="center" vertical="center"/>
    </xf>
    <xf numFmtId="1" fontId="0" fillId="15" borderId="3" xfId="0" applyNumberFormat="1" applyFill="1" applyBorder="1" applyAlignment="1">
      <alignment horizontal="center" vertical="center"/>
    </xf>
    <xf numFmtId="0" fontId="0" fillId="15" borderId="3" xfId="1" applyNumberFormat="1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44" fontId="3" fillId="0" borderId="0" xfId="1" applyFont="1"/>
    <xf numFmtId="10" fontId="0" fillId="0" borderId="0" xfId="0" applyNumberFormat="1"/>
    <xf numFmtId="0" fontId="0" fillId="29" borderId="3" xfId="0" applyFill="1" applyBorder="1" applyAlignment="1">
      <alignment horizontal="center" vertical="center"/>
    </xf>
    <xf numFmtId="1" fontId="0" fillId="29" borderId="3" xfId="0" applyNumberFormat="1" applyFill="1" applyBorder="1" applyAlignment="1">
      <alignment horizontal="center" vertical="center"/>
    </xf>
    <xf numFmtId="0" fontId="0" fillId="29" borderId="3" xfId="1" applyNumberFormat="1" applyFont="1" applyFill="1" applyBorder="1" applyAlignment="1">
      <alignment horizontal="center" vertical="center"/>
    </xf>
    <xf numFmtId="9" fontId="0" fillId="29" borderId="3" xfId="2" applyFont="1" applyFill="1" applyBorder="1" applyAlignment="1">
      <alignment horizontal="center" vertical="center"/>
    </xf>
    <xf numFmtId="9" fontId="0" fillId="29" borderId="3" xfId="0" applyNumberFormat="1" applyFill="1" applyBorder="1" applyAlignment="1">
      <alignment horizontal="center" vertical="center"/>
    </xf>
    <xf numFmtId="0" fontId="7" fillId="30" borderId="2" xfId="0" applyFont="1" applyFill="1" applyBorder="1" applyAlignment="1">
      <alignment horizontal="center" vertical="center" wrapText="1"/>
    </xf>
    <xf numFmtId="0" fontId="7" fillId="28" borderId="2" xfId="0" applyFont="1" applyFill="1" applyBorder="1" applyAlignment="1">
      <alignment horizontal="center" vertical="center" wrapText="1"/>
    </xf>
    <xf numFmtId="44" fontId="0" fillId="14" borderId="0" xfId="1" applyFont="1" applyFill="1"/>
    <xf numFmtId="44" fontId="0" fillId="14" borderId="0" xfId="0" applyNumberFormat="1" applyFill="1" applyAlignment="1">
      <alignment horizontal="center"/>
    </xf>
    <xf numFmtId="44" fontId="0" fillId="0" borderId="0" xfId="1" applyFont="1"/>
    <xf numFmtId="9" fontId="0" fillId="0" borderId="0" xfId="0" applyNumberFormat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4" fillId="14" borderId="12" xfId="0" applyFont="1" applyFill="1" applyBorder="1"/>
    <xf numFmtId="0" fontId="4" fillId="14" borderId="7" xfId="0" applyFont="1" applyFill="1" applyBorder="1"/>
    <xf numFmtId="0" fontId="6" fillId="23" borderId="3" xfId="0" applyFont="1" applyFill="1" applyBorder="1" applyAlignment="1">
      <alignment horizontal="center" vertical="center" wrapText="1"/>
    </xf>
    <xf numFmtId="0" fontId="7" fillId="23" borderId="3" xfId="0" applyFont="1" applyFill="1" applyBorder="1" applyAlignment="1">
      <alignment horizontal="center" vertical="center" wrapText="1"/>
    </xf>
    <xf numFmtId="0" fontId="7" fillId="31" borderId="3" xfId="0" applyFont="1" applyFill="1" applyBorder="1" applyAlignment="1">
      <alignment horizontal="center" vertical="center" wrapText="1"/>
    </xf>
    <xf numFmtId="0" fontId="6" fillId="32" borderId="3" xfId="0" applyFont="1" applyFill="1" applyBorder="1" applyAlignment="1">
      <alignment horizontal="center" vertical="center" wrapText="1"/>
    </xf>
    <xf numFmtId="0" fontId="6" fillId="33" borderId="3" xfId="0" applyFont="1" applyFill="1" applyBorder="1" applyAlignment="1">
      <alignment horizontal="center" vertical="center" wrapText="1"/>
    </xf>
    <xf numFmtId="0" fontId="21" fillId="34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7" fillId="22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4" fillId="14" borderId="0" xfId="0" applyFont="1" applyFill="1"/>
    <xf numFmtId="0" fontId="13" fillId="34" borderId="3" xfId="0" applyFont="1" applyFill="1" applyBorder="1" applyAlignment="1">
      <alignment horizontal="center" vertical="center" wrapText="1"/>
    </xf>
    <xf numFmtId="0" fontId="21" fillId="30" borderId="3" xfId="0" applyFont="1" applyFill="1" applyBorder="1" applyAlignment="1">
      <alignment horizontal="center" vertical="center" wrapText="1"/>
    </xf>
    <xf numFmtId="44" fontId="7" fillId="22" borderId="3" xfId="1" applyFont="1" applyFill="1" applyBorder="1" applyAlignment="1">
      <alignment horizontal="center" vertical="center" wrapText="1"/>
    </xf>
    <xf numFmtId="44" fontId="4" fillId="14" borderId="0" xfId="1" applyFont="1" applyFill="1" applyBorder="1" applyAlignment="1"/>
    <xf numFmtId="44" fontId="7" fillId="9" borderId="3" xfId="1" applyFont="1" applyFill="1" applyBorder="1" applyAlignment="1">
      <alignment horizontal="center" vertical="center" wrapText="1"/>
    </xf>
    <xf numFmtId="44" fontId="0" fillId="25" borderId="3" xfId="1" applyFont="1" applyFill="1" applyBorder="1" applyAlignment="1">
      <alignment horizontal="center" vertical="center"/>
    </xf>
    <xf numFmtId="44" fontId="0" fillId="25" borderId="5" xfId="0" applyNumberFormat="1" applyFill="1" applyBorder="1" applyAlignment="1">
      <alignment horizontal="center" vertical="center"/>
    </xf>
    <xf numFmtId="0" fontId="0" fillId="25" borderId="5" xfId="0" applyFill="1" applyBorder="1" applyAlignment="1">
      <alignment horizontal="center" vertical="center"/>
    </xf>
    <xf numFmtId="0" fontId="0" fillId="25" borderId="3" xfId="0" applyFill="1" applyBorder="1" applyAlignment="1">
      <alignment horizontal="center" vertical="center"/>
    </xf>
    <xf numFmtId="44" fontId="0" fillId="25" borderId="3" xfId="0" applyNumberFormat="1" applyFill="1" applyBorder="1" applyAlignment="1">
      <alignment horizontal="center" vertical="center"/>
    </xf>
    <xf numFmtId="44" fontId="0" fillId="25" borderId="2" xfId="1" applyFont="1" applyFill="1" applyBorder="1" applyAlignment="1">
      <alignment horizontal="center" vertical="center"/>
    </xf>
    <xf numFmtId="44" fontId="0" fillId="12" borderId="5" xfId="0" applyNumberForma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44" fontId="0" fillId="12" borderId="3" xfId="0" applyNumberFormat="1" applyFill="1" applyBorder="1" applyAlignment="1">
      <alignment horizontal="center" vertical="center"/>
    </xf>
    <xf numFmtId="44" fontId="0" fillId="12" borderId="2" xfId="1" applyFont="1" applyFill="1" applyBorder="1" applyAlignment="1">
      <alignment horizontal="center" vertical="center"/>
    </xf>
    <xf numFmtId="44" fontId="0" fillId="12" borderId="3" xfId="1" applyFont="1" applyFill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0" fillId="29" borderId="0" xfId="0" applyFill="1"/>
    <xf numFmtId="1" fontId="0" fillId="14" borderId="0" xfId="0" applyNumberFormat="1" applyFill="1"/>
    <xf numFmtId="9" fontId="0" fillId="26" borderId="3" xfId="2" applyFont="1" applyFill="1" applyBorder="1" applyAlignment="1">
      <alignment horizontal="center" vertical="center"/>
    </xf>
    <xf numFmtId="44" fontId="0" fillId="37" borderId="5" xfId="0" applyNumberFormat="1" applyFill="1" applyBorder="1" applyAlignment="1">
      <alignment horizontal="center" vertical="center"/>
    </xf>
    <xf numFmtId="0" fontId="0" fillId="0" borderId="0" xfId="0" pivotButton="1" applyAlignment="1">
      <alignment horizontal="center"/>
    </xf>
    <xf numFmtId="44" fontId="0" fillId="14" borderId="14" xfId="0" applyNumberFormat="1" applyFill="1" applyBorder="1" applyAlignment="1">
      <alignment horizontal="center" vertical="center"/>
    </xf>
    <xf numFmtId="44" fontId="0" fillId="12" borderId="14" xfId="0" applyNumberFormat="1" applyFill="1" applyBorder="1" applyAlignment="1">
      <alignment horizontal="center" vertical="center"/>
    </xf>
    <xf numFmtId="44" fontId="0" fillId="25" borderId="14" xfId="0" applyNumberFormat="1" applyFill="1" applyBorder="1" applyAlignment="1">
      <alignment horizontal="center" vertical="center"/>
    </xf>
    <xf numFmtId="44" fontId="0" fillId="0" borderId="14" xfId="0" applyNumberFormat="1" applyBorder="1" applyAlignment="1">
      <alignment horizontal="center" vertical="center"/>
    </xf>
    <xf numFmtId="44" fontId="0" fillId="36" borderId="14" xfId="0" applyNumberFormat="1" applyFill="1" applyBorder="1" applyAlignment="1">
      <alignment horizontal="center" vertical="center"/>
    </xf>
    <xf numFmtId="44" fontId="0" fillId="36" borderId="3" xfId="0" applyNumberFormat="1" applyFill="1" applyBorder="1" applyAlignment="1">
      <alignment horizontal="center" vertical="center"/>
    </xf>
    <xf numFmtId="44" fontId="0" fillId="14" borderId="15" xfId="0" applyNumberForma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0" fontId="0" fillId="26" borderId="3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0" xfId="2" applyNumberFormat="1" applyFont="1" applyFill="1"/>
    <xf numFmtId="0" fontId="0" fillId="25" borderId="3" xfId="0" applyFill="1" applyBorder="1" applyAlignment="1">
      <alignment horizontal="left"/>
    </xf>
    <xf numFmtId="0" fontId="0" fillId="25" borderId="3" xfId="0" applyFill="1" applyBorder="1"/>
    <xf numFmtId="0" fontId="23" fillId="0" borderId="0" xfId="0" applyFont="1" applyAlignment="1">
      <alignment horizontal="left"/>
    </xf>
    <xf numFmtId="0" fontId="24" fillId="0" borderId="0" xfId="0" applyFont="1"/>
    <xf numFmtId="0" fontId="3" fillId="0" borderId="0" xfId="0" applyFont="1"/>
    <xf numFmtId="0" fontId="0" fillId="37" borderId="5" xfId="0" applyFill="1" applyBorder="1" applyAlignment="1">
      <alignment horizontal="center" vertical="center"/>
    </xf>
    <xf numFmtId="0" fontId="0" fillId="37" borderId="3" xfId="0" applyFill="1" applyBorder="1" applyAlignment="1">
      <alignment horizontal="center" vertical="center"/>
    </xf>
    <xf numFmtId="1" fontId="0" fillId="37" borderId="3" xfId="0" applyNumberFormat="1" applyFill="1" applyBorder="1" applyAlignment="1">
      <alignment horizontal="center" vertical="center"/>
    </xf>
    <xf numFmtId="0" fontId="0" fillId="37" borderId="3" xfId="1" applyNumberFormat="1" applyFont="1" applyFill="1" applyBorder="1" applyAlignment="1">
      <alignment horizontal="center" vertical="center"/>
    </xf>
    <xf numFmtId="44" fontId="0" fillId="37" borderId="3" xfId="1" applyFont="1" applyFill="1" applyBorder="1" applyAlignment="1">
      <alignment horizontal="center" vertical="center"/>
    </xf>
    <xf numFmtId="9" fontId="0" fillId="37" borderId="3" xfId="2" applyFont="1" applyFill="1" applyBorder="1" applyAlignment="1">
      <alignment horizontal="center" vertical="center"/>
    </xf>
    <xf numFmtId="44" fontId="0" fillId="37" borderId="3" xfId="0" applyNumberFormat="1" applyFill="1" applyBorder="1" applyAlignment="1">
      <alignment horizontal="center" vertical="center"/>
    </xf>
    <xf numFmtId="44" fontId="0" fillId="37" borderId="2" xfId="1" applyFont="1" applyFill="1" applyBorder="1" applyAlignment="1">
      <alignment horizontal="center" vertical="center"/>
    </xf>
    <xf numFmtId="0" fontId="0" fillId="37" borderId="3" xfId="0" applyFill="1" applyBorder="1" applyAlignment="1">
      <alignment horizontal="center"/>
    </xf>
    <xf numFmtId="44" fontId="0" fillId="37" borderId="3" xfId="0" applyNumberFormat="1" applyFill="1" applyBorder="1"/>
    <xf numFmtId="0" fontId="0" fillId="37" borderId="0" xfId="0" applyFill="1"/>
    <xf numFmtId="0" fontId="0" fillId="25" borderId="0" xfId="0" applyFill="1"/>
    <xf numFmtId="0" fontId="0" fillId="25" borderId="3" xfId="1" applyNumberFormat="1" applyFont="1" applyFill="1" applyBorder="1" applyAlignment="1">
      <alignment horizontal="center" vertical="center"/>
    </xf>
    <xf numFmtId="9" fontId="0" fillId="25" borderId="3" xfId="2" applyFont="1" applyFill="1" applyBorder="1" applyAlignment="1">
      <alignment horizontal="center" vertical="center"/>
    </xf>
    <xf numFmtId="9" fontId="0" fillId="25" borderId="3" xfId="0" applyNumberFormat="1" applyFill="1" applyBorder="1" applyAlignment="1">
      <alignment horizontal="center" vertical="center"/>
    </xf>
    <xf numFmtId="0" fontId="0" fillId="12" borderId="0" xfId="0" applyFill="1"/>
    <xf numFmtId="0" fontId="0" fillId="12" borderId="5" xfId="0" applyFill="1" applyBorder="1" applyAlignment="1">
      <alignment horizontal="center" vertical="center"/>
    </xf>
    <xf numFmtId="1" fontId="0" fillId="12" borderId="3" xfId="0" applyNumberFormat="1" applyFill="1" applyBorder="1" applyAlignment="1">
      <alignment horizontal="center" vertical="center"/>
    </xf>
    <xf numFmtId="0" fontId="0" fillId="12" borderId="3" xfId="1" applyNumberFormat="1" applyFont="1" applyFill="1" applyBorder="1" applyAlignment="1">
      <alignment horizontal="center" vertical="center"/>
    </xf>
    <xf numFmtId="9" fontId="0" fillId="12" borderId="3" xfId="2" applyFont="1" applyFill="1" applyBorder="1" applyAlignment="1">
      <alignment horizontal="center" vertical="center"/>
    </xf>
    <xf numFmtId="0" fontId="0" fillId="39" borderId="0" xfId="0" applyFill="1"/>
    <xf numFmtId="0" fontId="0" fillId="39" borderId="5" xfId="0" applyFill="1" applyBorder="1" applyAlignment="1">
      <alignment horizontal="center" vertical="center"/>
    </xf>
    <xf numFmtId="0" fontId="0" fillId="39" borderId="3" xfId="0" applyFill="1" applyBorder="1" applyAlignment="1">
      <alignment horizontal="center" vertical="center"/>
    </xf>
    <xf numFmtId="1" fontId="0" fillId="39" borderId="3" xfId="0" applyNumberFormat="1" applyFill="1" applyBorder="1" applyAlignment="1">
      <alignment horizontal="center" vertical="center"/>
    </xf>
    <xf numFmtId="0" fontId="0" fillId="39" borderId="3" xfId="1" applyNumberFormat="1" applyFont="1" applyFill="1" applyBorder="1" applyAlignment="1">
      <alignment horizontal="center" vertical="center"/>
    </xf>
    <xf numFmtId="44" fontId="0" fillId="39" borderId="3" xfId="1" applyFont="1" applyFill="1" applyBorder="1" applyAlignment="1">
      <alignment horizontal="center" vertical="center"/>
    </xf>
    <xf numFmtId="9" fontId="0" fillId="39" borderId="3" xfId="2" applyFont="1" applyFill="1" applyBorder="1" applyAlignment="1">
      <alignment horizontal="center" vertical="center"/>
    </xf>
    <xf numFmtId="44" fontId="0" fillId="39" borderId="5" xfId="0" applyNumberFormat="1" applyFill="1" applyBorder="1" applyAlignment="1">
      <alignment horizontal="center" vertical="center"/>
    </xf>
    <xf numFmtId="44" fontId="0" fillId="39" borderId="3" xfId="0" applyNumberFormat="1" applyFill="1" applyBorder="1" applyAlignment="1">
      <alignment horizontal="center" vertical="center"/>
    </xf>
    <xf numFmtId="44" fontId="0" fillId="39" borderId="2" xfId="1" applyFont="1" applyFill="1" applyBorder="1" applyAlignment="1">
      <alignment horizontal="center" vertical="center"/>
    </xf>
    <xf numFmtId="0" fontId="0" fillId="26" borderId="5" xfId="0" applyFill="1" applyBorder="1" applyAlignment="1">
      <alignment horizontal="center" vertical="center"/>
    </xf>
    <xf numFmtId="1" fontId="0" fillId="26" borderId="3" xfId="0" applyNumberFormat="1" applyFill="1" applyBorder="1" applyAlignment="1">
      <alignment horizontal="center" vertical="center"/>
    </xf>
    <xf numFmtId="0" fontId="0" fillId="26" borderId="3" xfId="1" applyNumberFormat="1" applyFont="1" applyFill="1" applyBorder="1" applyAlignment="1">
      <alignment horizontal="center" vertical="center"/>
    </xf>
    <xf numFmtId="44" fontId="0" fillId="26" borderId="3" xfId="1" applyFont="1" applyFill="1" applyBorder="1" applyAlignment="1">
      <alignment horizontal="center" vertical="center"/>
    </xf>
    <xf numFmtId="44" fontId="0" fillId="26" borderId="5" xfId="0" applyNumberFormat="1" applyFill="1" applyBorder="1" applyAlignment="1">
      <alignment horizontal="center" vertical="center"/>
    </xf>
    <xf numFmtId="44" fontId="0" fillId="26" borderId="3" xfId="0" applyNumberFormat="1" applyFill="1" applyBorder="1" applyAlignment="1">
      <alignment horizontal="center" vertical="center"/>
    </xf>
    <xf numFmtId="44" fontId="0" fillId="26" borderId="2" xfId="1" applyFont="1" applyFill="1" applyBorder="1" applyAlignment="1">
      <alignment horizontal="center" vertical="center"/>
    </xf>
    <xf numFmtId="0" fontId="0" fillId="26" borderId="0" xfId="0" applyFill="1"/>
    <xf numFmtId="0" fontId="5" fillId="21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4" fontId="13" fillId="0" borderId="3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4" fontId="12" fillId="0" borderId="0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44" fontId="13" fillId="0" borderId="3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44" fontId="8" fillId="0" borderId="3" xfId="1" applyFont="1" applyBorder="1" applyAlignment="1">
      <alignment horizontal="center" vertical="center"/>
    </xf>
    <xf numFmtId="0" fontId="5" fillId="21" borderId="3" xfId="0" applyFont="1" applyFill="1" applyBorder="1" applyAlignment="1">
      <alignment horizontal="center" vertical="center"/>
    </xf>
    <xf numFmtId="0" fontId="25" fillId="21" borderId="3" xfId="0" applyFont="1" applyFill="1" applyBorder="1" applyAlignment="1" applyProtection="1">
      <alignment horizontal="center" vertical="center" wrapText="1"/>
      <protection locked="0"/>
    </xf>
    <xf numFmtId="0" fontId="5" fillId="21" borderId="3" xfId="0" applyFont="1" applyFill="1" applyBorder="1"/>
    <xf numFmtId="0" fontId="26" fillId="0" borderId="3" xfId="0" applyFont="1" applyBorder="1" applyAlignment="1" applyProtection="1">
      <alignment horizontal="center" vertical="center" wrapText="1"/>
      <protection locked="0"/>
    </xf>
    <xf numFmtId="44" fontId="10" fillId="0" borderId="3" xfId="1" applyFont="1" applyBorder="1" applyAlignment="1">
      <alignment horizontal="center" vertical="center"/>
    </xf>
    <xf numFmtId="0" fontId="27" fillId="0" borderId="3" xfId="0" applyFont="1" applyBorder="1" applyAlignment="1" applyProtection="1">
      <alignment horizontal="center" vertical="center" wrapText="1"/>
      <protection locked="0"/>
    </xf>
    <xf numFmtId="0" fontId="28" fillId="0" borderId="3" xfId="0" applyFont="1" applyBorder="1" applyAlignment="1" applyProtection="1">
      <alignment horizontal="center" vertical="center" wrapText="1"/>
      <protection locked="0"/>
    </xf>
    <xf numFmtId="0" fontId="20" fillId="0" borderId="3" xfId="0" applyFont="1" applyBorder="1" applyAlignment="1">
      <alignment horizontal="center" vertical="center"/>
    </xf>
    <xf numFmtId="44" fontId="20" fillId="0" borderId="3" xfId="1" applyFont="1" applyFill="1" applyBorder="1" applyAlignment="1">
      <alignment horizontal="center" vertical="center"/>
    </xf>
    <xf numFmtId="16" fontId="13" fillId="0" borderId="3" xfId="0" applyNumberFormat="1" applyFont="1" applyBorder="1" applyAlignment="1">
      <alignment horizontal="center" vertical="center"/>
    </xf>
    <xf numFmtId="0" fontId="2" fillId="21" borderId="3" xfId="0" applyFont="1" applyFill="1" applyBorder="1" applyAlignment="1">
      <alignment horizontal="center"/>
    </xf>
    <xf numFmtId="0" fontId="4" fillId="14" borderId="13" xfId="0" applyFont="1" applyFill="1" applyBorder="1" applyAlignment="1">
      <alignment horizontal="center"/>
    </xf>
    <xf numFmtId="0" fontId="4" fillId="14" borderId="0" xfId="0" applyFont="1" applyFill="1" applyAlignment="1">
      <alignment horizontal="center"/>
    </xf>
    <xf numFmtId="44" fontId="0" fillId="14" borderId="0" xfId="1" applyFont="1" applyFill="1" applyAlignment="1">
      <alignment horizontal="center"/>
    </xf>
    <xf numFmtId="0" fontId="5" fillId="38" borderId="0" xfId="0" applyFont="1" applyFill="1" applyAlignment="1">
      <alignment horizontal="center"/>
    </xf>
    <xf numFmtId="0" fontId="22" fillId="25" borderId="1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20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0" fillId="25" borderId="3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15" borderId="3" xfId="0" applyFont="1" applyFill="1" applyBorder="1" applyAlignment="1">
      <alignment horizontal="center"/>
    </xf>
    <xf numFmtId="0" fontId="4" fillId="16" borderId="3" xfId="0" applyFont="1" applyFill="1" applyBorder="1" applyAlignment="1">
      <alignment horizontal="center"/>
    </xf>
    <xf numFmtId="0" fontId="2" fillId="17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vertical="center" wrapText="1"/>
    </xf>
    <xf numFmtId="0" fontId="2" fillId="0" borderId="0" xfId="0" applyFont="1" applyAlignment="1">
      <alignment horizontal="center"/>
    </xf>
    <xf numFmtId="0" fontId="5" fillId="18" borderId="3" xfId="0" applyFont="1" applyFill="1" applyBorder="1" applyAlignment="1">
      <alignment horizontal="center"/>
    </xf>
    <xf numFmtId="0" fontId="0" fillId="35" borderId="3" xfId="0" applyFill="1" applyBorder="1" applyAlignment="1">
      <alignment horizontal="center"/>
    </xf>
    <xf numFmtId="0" fontId="0" fillId="0" borderId="3" xfId="0" applyBorder="1" applyAlignment="1">
      <alignment horizontal="left" vertical="center"/>
    </xf>
    <xf numFmtId="1" fontId="0" fillId="19" borderId="4" xfId="0" applyNumberFormat="1" applyFill="1" applyBorder="1" applyAlignment="1">
      <alignment horizontal="center"/>
    </xf>
    <xf numFmtId="1" fontId="0" fillId="19" borderId="5" xfId="0" applyNumberFormat="1" applyFill="1" applyBorder="1" applyAlignment="1">
      <alignment horizontal="center"/>
    </xf>
    <xf numFmtId="0" fontId="4" fillId="19" borderId="3" xfId="0" applyFon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20" borderId="4" xfId="0" applyFont="1" applyFill="1" applyBorder="1" applyAlignment="1">
      <alignment horizontal="center"/>
    </xf>
    <xf numFmtId="0" fontId="2" fillId="20" borderId="5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5" fillId="21" borderId="12" xfId="0" applyFont="1" applyFill="1" applyBorder="1" applyAlignment="1">
      <alignment horizontal="center"/>
    </xf>
    <xf numFmtId="0" fontId="5" fillId="21" borderId="7" xfId="0" applyFont="1" applyFill="1" applyBorder="1" applyAlignment="1">
      <alignment horizontal="center"/>
    </xf>
    <xf numFmtId="0" fontId="5" fillId="20" borderId="3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5" fillId="21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44" fontId="1" fillId="0" borderId="3" xfId="1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302">
    <dxf>
      <font>
        <color theme="5"/>
      </font>
    </dxf>
    <dxf>
      <font>
        <color rgb="FF00B050"/>
      </font>
    </dxf>
    <dxf>
      <font>
        <color theme="8"/>
      </font>
    </dxf>
    <dxf>
      <font>
        <color theme="5"/>
      </font>
    </dxf>
    <dxf>
      <font>
        <color rgb="FF00B050"/>
      </font>
    </dxf>
    <dxf>
      <font>
        <color theme="8"/>
      </font>
    </dxf>
    <dxf>
      <font>
        <color theme="5"/>
      </font>
    </dxf>
    <dxf>
      <font>
        <color rgb="FF00B050"/>
      </font>
    </dxf>
    <dxf>
      <font>
        <color rgb="FF7030A0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5"/>
      </font>
    </dxf>
    <dxf>
      <font>
        <color rgb="FF00B050"/>
      </font>
    </dxf>
    <dxf>
      <font>
        <color theme="8"/>
      </font>
    </dxf>
    <dxf>
      <font>
        <color theme="5"/>
      </font>
    </dxf>
    <dxf>
      <font>
        <color rgb="FF00B050"/>
      </font>
    </dxf>
    <dxf>
      <font>
        <color rgb="FF7030A0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5"/>
      </font>
    </dxf>
    <dxf>
      <font>
        <color rgb="FF00B050"/>
      </font>
    </dxf>
    <dxf>
      <font>
        <color theme="8"/>
      </font>
    </dxf>
    <dxf>
      <numFmt numFmtId="13" formatCode="0%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ptos Narrow"/>
        <family val="2"/>
        <scheme val="minor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ptos Narrow"/>
        <family val="2"/>
        <scheme val="minor"/>
      </font>
      <alignment textRotation="0" wrapText="1" indent="0" justifyLastLine="0" shrinkToFit="0" readingOrder="0"/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[Dimensões NV.xlsx]COMPORTAMENTO!Tabela dinâmica2</c:name>
    <c:fmtId val="1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COMPORTAMENTO!$B$5:$B$6</c:f>
              <c:strCache>
                <c:ptCount val="1"/>
                <c:pt idx="0">
                  <c:v>Bio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COMPORTAMENTO!$A$7:$A$10</c:f>
              <c:strCache>
                <c:ptCount val="4"/>
                <c:pt idx="0">
                  <c:v>Média de TOTAL  ACAB</c:v>
                </c:pt>
                <c:pt idx="1">
                  <c:v>Média de TOTAL LAZER </c:v>
                </c:pt>
                <c:pt idx="2">
                  <c:v>Média de TOTAL TIPOLOGIA</c:v>
                </c:pt>
                <c:pt idx="3">
                  <c:v>Média de TOTAL VAGA</c:v>
                </c:pt>
              </c:strCache>
            </c:strRef>
          </c:cat>
          <c:val>
            <c:numRef>
              <c:f>COMPORTAMENTO!$B$7:$B$10</c:f>
              <c:numCache>
                <c:formatCode>_("R$"* #,##0.00_);_("R$"* \(#,##0.00\);_("R$"* "-"??_);_(@_)</c:formatCode>
                <c:ptCount val="4"/>
                <c:pt idx="0">
                  <c:v>5182.2222222222226</c:v>
                </c:pt>
                <c:pt idx="1">
                  <c:v>2002.4399397680297</c:v>
                </c:pt>
                <c:pt idx="2">
                  <c:v>3610.8157407407407</c:v>
                </c:pt>
                <c:pt idx="3">
                  <c:v>2009.3217983040579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8-4437-A598-292D6A7C7552}"/>
            </c:ext>
          </c:extLst>
        </c:ser>
        <c:ser>
          <c:idx val="1"/>
          <c:order val="1"/>
          <c:tx>
            <c:strRef>
              <c:f>COMPORTAMENTO!$C$5:$C$6</c:f>
              <c:strCache>
                <c:ptCount val="1"/>
                <c:pt idx="0">
                  <c:v>Eco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COMPORTAMENTO!$A$7:$A$10</c:f>
              <c:strCache>
                <c:ptCount val="4"/>
                <c:pt idx="0">
                  <c:v>Média de TOTAL  ACAB</c:v>
                </c:pt>
                <c:pt idx="1">
                  <c:v>Média de TOTAL LAZER </c:v>
                </c:pt>
                <c:pt idx="2">
                  <c:v>Média de TOTAL TIPOLOGIA</c:v>
                </c:pt>
                <c:pt idx="3">
                  <c:v>Média de TOTAL VAGA</c:v>
                </c:pt>
              </c:strCache>
            </c:strRef>
          </c:cat>
          <c:val>
            <c:numRef>
              <c:f>COMPORTAMENTO!$C$7:$C$10</c:f>
              <c:numCache>
                <c:formatCode>_("R$"* #,##0.00_);_("R$"* \(#,##0.00\);_("R$"* "-"??_);_(@_)</c:formatCode>
                <c:ptCount val="4"/>
                <c:pt idx="0">
                  <c:v>4222.4285714285716</c:v>
                </c:pt>
                <c:pt idx="1">
                  <c:v>1708.7918301499039</c:v>
                </c:pt>
                <c:pt idx="2">
                  <c:v>1780.6620069902369</c:v>
                </c:pt>
                <c:pt idx="3">
                  <c:v>1828.6677512365573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8-4437-A598-292D6A7C7552}"/>
            </c:ext>
          </c:extLst>
        </c:ser>
        <c:ser>
          <c:idx val="2"/>
          <c:order val="2"/>
          <c:tx>
            <c:strRef>
              <c:f>COMPORTAMENTO!$D$5:$D$6</c:f>
              <c:strCache>
                <c:ptCount val="1"/>
                <c:pt idx="0">
                  <c:v>Essencial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COMPORTAMENTO!$A$7:$A$10</c:f>
              <c:strCache>
                <c:ptCount val="4"/>
                <c:pt idx="0">
                  <c:v>Média de TOTAL  ACAB</c:v>
                </c:pt>
                <c:pt idx="1">
                  <c:v>Média de TOTAL LAZER </c:v>
                </c:pt>
                <c:pt idx="2">
                  <c:v>Média de TOTAL TIPOLOGIA</c:v>
                </c:pt>
                <c:pt idx="3">
                  <c:v>Média de TOTAL VAGA</c:v>
                </c:pt>
              </c:strCache>
            </c:strRef>
          </c:cat>
          <c:val>
            <c:numRef>
              <c:f>COMPORTAMENTO!$D$7:$D$10</c:f>
              <c:numCache>
                <c:formatCode>_("R$"* #,##0.00_);_("R$"* \(#,##0.00\);_("R$"* "-"??_);_(@_)</c:formatCode>
                <c:ptCount val="4"/>
                <c:pt idx="0">
                  <c:v>2856.6666666666665</c:v>
                </c:pt>
                <c:pt idx="1">
                  <c:v>1075.1220537015101</c:v>
                </c:pt>
                <c:pt idx="2">
                  <c:v>790.43133895299627</c:v>
                </c:pt>
                <c:pt idx="3">
                  <c:v>1472.0250187641443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8-4437-A598-292D6A7C7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374816"/>
        <c:axId val="1683376256"/>
      </c:radarChart>
      <c:catAx>
        <c:axId val="16833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3376256"/>
        <c:crosses val="autoZero"/>
        <c:auto val="1"/>
        <c:lblAlgn val="ctr"/>
        <c:lblOffset val="100"/>
        <c:noMultiLvlLbl val="0"/>
      </c:catAx>
      <c:valAx>
        <c:axId val="16833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33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[Dimensões NV.xlsx]COMPORTAMENTO!Tabela dinâmica5</c:name>
    <c:fmtId val="2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COMPORTAMENTO!$J$5:$J$6</c:f>
              <c:strCache>
                <c:ptCount val="1"/>
                <c:pt idx="0">
                  <c:v>BIO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COMPORTAMENTO!$I$7:$I$10</c:f>
              <c:strCache>
                <c:ptCount val="4"/>
                <c:pt idx="0">
                  <c:v>Média de TOTAL  ACAB</c:v>
                </c:pt>
                <c:pt idx="1">
                  <c:v>Média de TOTAL LAZER </c:v>
                </c:pt>
                <c:pt idx="2">
                  <c:v>Média de TOTAL TIPOLOGIA</c:v>
                </c:pt>
                <c:pt idx="3">
                  <c:v>Média de TOTAL VAGA</c:v>
                </c:pt>
              </c:strCache>
            </c:strRef>
          </c:cat>
          <c:val>
            <c:numRef>
              <c:f>COMPORTAMENTO!$J$7:$J$10</c:f>
              <c:numCache>
                <c:formatCode>_("R$"* #,##0.00_);_("R$"* \(#,##0.00\);_("R$"* "-"??_);_(@_)</c:formatCode>
                <c:ptCount val="4"/>
                <c:pt idx="0">
                  <c:v>5089.5</c:v>
                </c:pt>
                <c:pt idx="1">
                  <c:v>2139.9999867017705</c:v>
                </c:pt>
                <c:pt idx="2">
                  <c:v>3598.3144652406418</c:v>
                </c:pt>
                <c:pt idx="3">
                  <c:v>2027.1923839803817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B-4218-BDDB-381D0B65B7C2}"/>
            </c:ext>
          </c:extLst>
        </c:ser>
        <c:ser>
          <c:idx val="1"/>
          <c:order val="1"/>
          <c:tx>
            <c:strRef>
              <c:f>COMPORTAMENTO!$K$5:$K$6</c:f>
              <c:strCache>
                <c:ptCount val="1"/>
                <c:pt idx="0">
                  <c:v>ECO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COMPORTAMENTO!$I$7:$I$10</c:f>
              <c:strCache>
                <c:ptCount val="4"/>
                <c:pt idx="0">
                  <c:v>Média de TOTAL  ACAB</c:v>
                </c:pt>
                <c:pt idx="1">
                  <c:v>Média de TOTAL LAZER </c:v>
                </c:pt>
                <c:pt idx="2">
                  <c:v>Média de TOTAL TIPOLOGIA</c:v>
                </c:pt>
                <c:pt idx="3">
                  <c:v>Média de TOTAL VAGA</c:v>
                </c:pt>
              </c:strCache>
            </c:strRef>
          </c:cat>
          <c:val>
            <c:numRef>
              <c:f>COMPORTAMENTO!$K$7:$K$10</c:f>
              <c:numCache>
                <c:formatCode>_("R$"* #,##0.00_);_("R$"* \(#,##0.00\);_("R$"* "-"??_);_(@_)</c:formatCode>
                <c:ptCount val="4"/>
                <c:pt idx="0">
                  <c:v>4127.604166666667</c:v>
                </c:pt>
                <c:pt idx="1">
                  <c:v>1501.9779491226509</c:v>
                </c:pt>
                <c:pt idx="2">
                  <c:v>1431.338392595987</c:v>
                </c:pt>
                <c:pt idx="3">
                  <c:v>1783.9736543710176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A7-44D3-9677-BC3862661163}"/>
            </c:ext>
          </c:extLst>
        </c:ser>
        <c:ser>
          <c:idx val="2"/>
          <c:order val="2"/>
          <c:tx>
            <c:strRef>
              <c:f>COMPORTAMENTO!$L$5:$L$6</c:f>
              <c:strCache>
                <c:ptCount val="1"/>
                <c:pt idx="0">
                  <c:v>ESSENCIAL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COMPORTAMENTO!$I$7:$I$10</c:f>
              <c:strCache>
                <c:ptCount val="4"/>
                <c:pt idx="0">
                  <c:v>Média de TOTAL  ACAB</c:v>
                </c:pt>
                <c:pt idx="1">
                  <c:v>Média de TOTAL LAZER </c:v>
                </c:pt>
                <c:pt idx="2">
                  <c:v>Média de TOTAL TIPOLOGIA</c:v>
                </c:pt>
                <c:pt idx="3">
                  <c:v>Média de TOTAL VAGA</c:v>
                </c:pt>
              </c:strCache>
            </c:strRef>
          </c:cat>
          <c:val>
            <c:numRef>
              <c:f>COMPORTAMENTO!$L$7:$L$10</c:f>
              <c:numCache>
                <c:formatCode>_("R$"* #,##0.00_);_("R$"* \(#,##0.00\);_("R$"* "-"??_);_(@_)</c:formatCode>
                <c:ptCount val="4"/>
                <c:pt idx="0">
                  <c:v>2323.3333333333335</c:v>
                </c:pt>
                <c:pt idx="1">
                  <c:v>977.90613652388311</c:v>
                </c:pt>
                <c:pt idx="2">
                  <c:v>740.55772271520857</c:v>
                </c:pt>
                <c:pt idx="3">
                  <c:v>1341.2568805907511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A7-44D3-9677-BC386266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55280"/>
        <c:axId val="191557200"/>
      </c:radarChart>
      <c:catAx>
        <c:axId val="19155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57200"/>
        <c:crosses val="autoZero"/>
        <c:auto val="1"/>
        <c:lblAlgn val="ctr"/>
        <c:lblOffset val="100"/>
        <c:noMultiLvlLbl val="0"/>
      </c:catAx>
      <c:valAx>
        <c:axId val="191557200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5528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[Dimensões NV.xlsx]ADERÊNCIA!Tabela dinâmica1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ADERÊNCIA!$B$6:$B$7</c:f>
              <c:strCache>
                <c:ptCount val="1"/>
                <c:pt idx="0">
                  <c:v>ADERENTE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ADERÊNCIA!$A$8:$A$15</c:f>
              <c:strCache>
                <c:ptCount val="7"/>
                <c:pt idx="0">
                  <c:v>CO/AM</c:v>
                </c:pt>
                <c:pt idx="1">
                  <c:v>MG-ES</c:v>
                </c:pt>
                <c:pt idx="2">
                  <c:v>NE</c:v>
                </c:pt>
                <c:pt idx="3">
                  <c:v>RJ</c:v>
                </c:pt>
                <c:pt idx="4">
                  <c:v>SP</c:v>
                </c:pt>
                <c:pt idx="5">
                  <c:v>SPI</c:v>
                </c:pt>
                <c:pt idx="6">
                  <c:v>SUL</c:v>
                </c:pt>
              </c:strCache>
            </c:strRef>
          </c:cat>
          <c:val>
            <c:numRef>
              <c:f>ADERÊNCIA!$B$8:$B$15</c:f>
              <c:numCache>
                <c:formatCode>0%</c:formatCode>
                <c:ptCount val="7"/>
                <c:pt idx="0">
                  <c:v>0.70588235294117652</c:v>
                </c:pt>
                <c:pt idx="1">
                  <c:v>0.77777777777777779</c:v>
                </c:pt>
                <c:pt idx="2">
                  <c:v>0.7142857142857143</c:v>
                </c:pt>
                <c:pt idx="3">
                  <c:v>0.7142857142857143</c:v>
                </c:pt>
                <c:pt idx="4">
                  <c:v>0.8</c:v>
                </c:pt>
                <c:pt idx="5">
                  <c:v>0.73684210526315785</c:v>
                </c:pt>
                <c:pt idx="6">
                  <c:v>0.84615384615384615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4-404A-8644-B568629519FC}"/>
            </c:ext>
          </c:extLst>
        </c:ser>
        <c:ser>
          <c:idx val="1"/>
          <c:order val="1"/>
          <c:tx>
            <c:strRef>
              <c:f>ADERÊNCIA!$C$6:$C$7</c:f>
              <c:strCache>
                <c:ptCount val="1"/>
                <c:pt idx="0">
                  <c:v>NÃO ADERENTE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ADERÊNCIA!$A$8:$A$15</c:f>
              <c:strCache>
                <c:ptCount val="7"/>
                <c:pt idx="0">
                  <c:v>CO/AM</c:v>
                </c:pt>
                <c:pt idx="1">
                  <c:v>MG-ES</c:v>
                </c:pt>
                <c:pt idx="2">
                  <c:v>NE</c:v>
                </c:pt>
                <c:pt idx="3">
                  <c:v>RJ</c:v>
                </c:pt>
                <c:pt idx="4">
                  <c:v>SP</c:v>
                </c:pt>
                <c:pt idx="5">
                  <c:v>SPI</c:v>
                </c:pt>
                <c:pt idx="6">
                  <c:v>SUL</c:v>
                </c:pt>
              </c:strCache>
            </c:strRef>
          </c:cat>
          <c:val>
            <c:numRef>
              <c:f>ADERÊNCIA!$C$8:$C$15</c:f>
              <c:numCache>
                <c:formatCode>0%</c:formatCode>
                <c:ptCount val="7"/>
                <c:pt idx="0">
                  <c:v>0.29411764705882354</c:v>
                </c:pt>
                <c:pt idx="1">
                  <c:v>0.22222222222222221</c:v>
                </c:pt>
                <c:pt idx="2">
                  <c:v>0.2857142857142857</c:v>
                </c:pt>
                <c:pt idx="3">
                  <c:v>0.2857142857142857</c:v>
                </c:pt>
                <c:pt idx="4">
                  <c:v>0.2</c:v>
                </c:pt>
                <c:pt idx="5">
                  <c:v>0.26315789473684209</c:v>
                </c:pt>
                <c:pt idx="6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2-4285-9014-DF8E96F63D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481190751"/>
        <c:axId val="481193631"/>
      </c:barChart>
      <c:catAx>
        <c:axId val="48119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193631"/>
        <c:crosses val="autoZero"/>
        <c:auto val="1"/>
        <c:lblAlgn val="ctr"/>
        <c:lblOffset val="100"/>
        <c:noMultiLvlLbl val="0"/>
      </c:catAx>
      <c:valAx>
        <c:axId val="48119363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19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[Dimensões NV.xlsx]ADERÊNCIA!Tabela dinâmica4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ADERÊNCIA!$B$21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38-465F-815A-0F23104BB0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38-465F-815A-0F23104BB0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ADERÊNCIA!$A$22:$A$24</c:f>
              <c:strCache>
                <c:ptCount val="2"/>
                <c:pt idx="0">
                  <c:v>ADERENTE</c:v>
                </c:pt>
                <c:pt idx="1">
                  <c:v>NÃO ADERENTE</c:v>
                </c:pt>
              </c:strCache>
            </c:strRef>
          </c:cat>
          <c:val>
            <c:numRef>
              <c:f>ADERÊNCIA!$B$22:$B$24</c:f>
              <c:numCache>
                <c:formatCode>General</c:formatCode>
                <c:ptCount val="2"/>
                <c:pt idx="0">
                  <c:v>77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FA-4756-B739-F939B9F709E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[Dimensões NV.xlsx]ADERÊNCIA!Tabela dinâmica5</c:name>
    <c:fmtId val="3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ADERÊNCIA!$B$40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A3-4BD1-BFFE-AF2421E0B0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A3-4BD1-BFFE-AF2421E0B0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ADERÊNCIA!$A$41:$A$43</c:f>
              <c:strCache>
                <c:ptCount val="2"/>
                <c:pt idx="0">
                  <c:v>ADERENTE</c:v>
                </c:pt>
                <c:pt idx="1">
                  <c:v>NÃO ADERENTE</c:v>
                </c:pt>
              </c:strCache>
            </c:strRef>
          </c:cat>
          <c:val>
            <c:numRef>
              <c:f>ADERÊNCIA!$B$41:$B$43</c:f>
              <c:numCache>
                <c:formatCode>General</c:formatCode>
                <c:ptCount val="2"/>
                <c:pt idx="0">
                  <c:v>78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2-410C-A5F3-A4A945CA86E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ESSENCIAL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LAZER!$A$3:$A$36</c:f>
              <c:strCache>
                <c:ptCount val="34"/>
                <c:pt idx="0">
                  <c:v>Recanto Dos Sabiás</c:v>
                </c:pt>
                <c:pt idx="1">
                  <c:v>SAN LEVI</c:v>
                </c:pt>
                <c:pt idx="2">
                  <c:v>Jardim Das Amoreiras</c:v>
                </c:pt>
                <c:pt idx="3">
                  <c:v>CANTO DAS ÁGUIAS</c:v>
                </c:pt>
                <c:pt idx="4">
                  <c:v>Residencial Reserva Da Mata</c:v>
                </c:pt>
                <c:pt idx="5">
                  <c:v>Morada Dos Sonhos</c:v>
                </c:pt>
                <c:pt idx="6">
                  <c:v>Mirante Da Colina</c:v>
                </c:pt>
                <c:pt idx="7">
                  <c:v>Residencial Mazarello</c:v>
                </c:pt>
                <c:pt idx="8">
                  <c:v>Residencial Luz Da Aurora</c:v>
                </c:pt>
                <c:pt idx="9">
                  <c:v>Porto Bremen</c:v>
                </c:pt>
                <c:pt idx="10">
                  <c:v>Alameda Imperial</c:v>
                </c:pt>
                <c:pt idx="11">
                  <c:v>CAMEMBERT</c:v>
                </c:pt>
                <c:pt idx="12">
                  <c:v>Residencial Poente Do Buriti</c:v>
                </c:pt>
                <c:pt idx="13">
                  <c:v>VALE DO AMANHECER</c:v>
                </c:pt>
                <c:pt idx="14">
                  <c:v>San Miller</c:v>
                </c:pt>
                <c:pt idx="15">
                  <c:v>Gran Arena Itaquera</c:v>
                </c:pt>
                <c:pt idx="16">
                  <c:v>Residencial Liviero</c:v>
                </c:pt>
                <c:pt idx="17">
                  <c:v>Porto Versalhes</c:v>
                </c:pt>
                <c:pt idx="18">
                  <c:v>Palácio De Estocolmo</c:v>
                </c:pt>
                <c:pt idx="19">
                  <c:v>Cores Do Poente</c:v>
                </c:pt>
                <c:pt idx="20">
                  <c:v>Residencial Atlanta</c:v>
                </c:pt>
                <c:pt idx="21">
                  <c:v>Moradas Do Sol</c:v>
                </c:pt>
                <c:pt idx="22">
                  <c:v>Residencial Monte Das Colinas</c:v>
                </c:pt>
                <c:pt idx="23">
                  <c:v>Residencial Mauá</c:v>
                </c:pt>
                <c:pt idx="24">
                  <c:v>Residencial Lagoa De Safira</c:v>
                </c:pt>
                <c:pt idx="25">
                  <c:v>Residencial Loreto</c:v>
                </c:pt>
                <c:pt idx="26">
                  <c:v>Residencial Solar Da Ilha</c:v>
                </c:pt>
                <c:pt idx="27">
                  <c:v>Residencial Riviera</c:v>
                </c:pt>
                <c:pt idx="28">
                  <c:v>Jardim Di Turim</c:v>
                </c:pt>
                <c:pt idx="29">
                  <c:v>Piazza Sirena</c:v>
                </c:pt>
                <c:pt idx="30">
                  <c:v>Benissa Residencial</c:v>
                </c:pt>
                <c:pt idx="31">
                  <c:v>Residencial Bella Suécia</c:v>
                </c:pt>
                <c:pt idx="32">
                  <c:v>Gran Regence</c:v>
                </c:pt>
                <c:pt idx="33">
                  <c:v>Residencial Rio Mar</c:v>
                </c:pt>
              </c:strCache>
            </c:strRef>
          </c:xVal>
          <c:yVal>
            <c:numRef>
              <c:f>LAZER!$B$3:$B$36</c:f>
              <c:numCache>
                <c:formatCode>_("R$"* #,##0.00_);_("R$"* \(#,##0.00\);_("R$"* "-"??_);_(@_)</c:formatCode>
                <c:ptCount val="34"/>
                <c:pt idx="0">
                  <c:v>1914.137769230769</c:v>
                </c:pt>
                <c:pt idx="1">
                  <c:v>695.86782407407406</c:v>
                </c:pt>
                <c:pt idx="2">
                  <c:v>718.63571428571436</c:v>
                </c:pt>
                <c:pt idx="3">
                  <c:v>692.74651685393269</c:v>
                </c:pt>
                <c:pt idx="4">
                  <c:v>1424.0929411764705</c:v>
                </c:pt>
                <c:pt idx="5">
                  <c:v>1889.4801262626265</c:v>
                </c:pt>
                <c:pt idx="6">
                  <c:v>696.48404166666671</c:v>
                </c:pt>
                <c:pt idx="7">
                  <c:v>1791.949861111111</c:v>
                </c:pt>
                <c:pt idx="8">
                  <c:v>1335.7383888888889</c:v>
                </c:pt>
                <c:pt idx="9">
                  <c:v>669.77288888888882</c:v>
                </c:pt>
                <c:pt idx="10">
                  <c:v>1170.9840361445786</c:v>
                </c:pt>
                <c:pt idx="11">
                  <c:v>807.37070312499998</c:v>
                </c:pt>
                <c:pt idx="12">
                  <c:v>1066.8373888888887</c:v>
                </c:pt>
                <c:pt idx="13">
                  <c:v>1123.5918840579709</c:v>
                </c:pt>
                <c:pt idx="14">
                  <c:v>781.10903846153838</c:v>
                </c:pt>
                <c:pt idx="15">
                  <c:v>479.44558270676697</c:v>
                </c:pt>
                <c:pt idx="16">
                  <c:v>802.5384485190408</c:v>
                </c:pt>
                <c:pt idx="17">
                  <c:v>790.13236363636361</c:v>
                </c:pt>
                <c:pt idx="18">
                  <c:v>1206.8685282258064</c:v>
                </c:pt>
                <c:pt idx="19">
                  <c:v>430.53257142857143</c:v>
                </c:pt>
                <c:pt idx="20">
                  <c:v>631.77346153846156</c:v>
                </c:pt>
                <c:pt idx="21">
                  <c:v>494.05377049180328</c:v>
                </c:pt>
                <c:pt idx="22">
                  <c:v>1075.3171195652176</c:v>
                </c:pt>
                <c:pt idx="23">
                  <c:v>1168.4587743732593</c:v>
                </c:pt>
                <c:pt idx="24">
                  <c:v>709.5417261904762</c:v>
                </c:pt>
                <c:pt idx="25">
                  <c:v>1420.7931651376146</c:v>
                </c:pt>
                <c:pt idx="26">
                  <c:v>480.49999999999994</c:v>
                </c:pt>
                <c:pt idx="27">
                  <c:v>1084.2231854838708</c:v>
                </c:pt>
                <c:pt idx="28">
                  <c:v>1373.6313636363634</c:v>
                </c:pt>
                <c:pt idx="29">
                  <c:v>121.23287671232876</c:v>
                </c:pt>
                <c:pt idx="30">
                  <c:v>1004.5759999999998</c:v>
                </c:pt>
                <c:pt idx="31">
                  <c:v>538.16571428571433</c:v>
                </c:pt>
                <c:pt idx="32">
                  <c:v>906.16375000000005</c:v>
                </c:pt>
                <c:pt idx="33">
                  <c:v>709.99450000000002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9-438C-B4C6-0C3DAFAD70BA}"/>
            </c:ext>
          </c:extLst>
        </c:ser>
        <c:ser>
          <c:idx val="2"/>
          <c:order val="1"/>
          <c:tx>
            <c:v>ECO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LAZER!$A$37:$A$86</c:f>
              <c:strCache>
                <c:ptCount val="50"/>
                <c:pt idx="0">
                  <c:v>Saint Rose</c:v>
                </c:pt>
                <c:pt idx="1">
                  <c:v>Residencial Lake Da Vinci</c:v>
                </c:pt>
                <c:pt idx="2">
                  <c:v>Residencial Autenticità</c:v>
                </c:pt>
                <c:pt idx="3">
                  <c:v>Residencial Lake Picasso</c:v>
                </c:pt>
                <c:pt idx="4">
                  <c:v>Gran Fornari</c:v>
                </c:pt>
                <c:pt idx="5">
                  <c:v>Real Park</c:v>
                </c:pt>
                <c:pt idx="6">
                  <c:v>Recanto Da Mata</c:v>
                </c:pt>
                <c:pt idx="7">
                  <c:v>Residencial Jardim Bonsai</c:v>
                </c:pt>
                <c:pt idx="8">
                  <c:v>Residence Park</c:v>
                </c:pt>
                <c:pt idx="9">
                  <c:v>Gran Essence</c:v>
                </c:pt>
                <c:pt idx="10">
                  <c:v>Eco Park</c:v>
                </c:pt>
                <c:pt idx="11">
                  <c:v>Residencial Lancelot</c:v>
                </c:pt>
                <c:pt idx="12">
                  <c:v>Residencial Recanto Das Árvores</c:v>
                </c:pt>
                <c:pt idx="13">
                  <c:v>Residencial Mirante Do Vale</c:v>
                </c:pt>
                <c:pt idx="14">
                  <c:v>Palmeira Boreal</c:v>
                </c:pt>
                <c:pt idx="15">
                  <c:v>Chapada Flamboyant</c:v>
                </c:pt>
                <c:pt idx="16">
                  <c:v>Residencial Dunas Do Horizonte</c:v>
                </c:pt>
                <c:pt idx="17">
                  <c:v>Castelo De Versalhes</c:v>
                </c:pt>
                <c:pt idx="18">
                  <c:v>Residencial Campo Di Ravena</c:v>
                </c:pt>
                <c:pt idx="19">
                  <c:v>Gran Luna</c:v>
                </c:pt>
                <c:pt idx="20">
                  <c:v>Residencial Poente Das Orquídeas</c:v>
                </c:pt>
                <c:pt idx="21">
                  <c:v>Residencial Mandacaru</c:v>
                </c:pt>
                <c:pt idx="22">
                  <c:v>Mirante Da Luz</c:v>
                </c:pt>
                <c:pt idx="23">
                  <c:v>Residencial Canoas</c:v>
                </c:pt>
                <c:pt idx="24">
                  <c:v>Reserva Dos Girassóis</c:v>
                </c:pt>
                <c:pt idx="25">
                  <c:v>Vila De Manguinhos</c:v>
                </c:pt>
                <c:pt idx="26">
                  <c:v>Residencial Reserva Dos Pássaros</c:v>
                </c:pt>
                <c:pt idx="27">
                  <c:v>Torre Do Mar</c:v>
                </c:pt>
                <c:pt idx="28">
                  <c:v>Reserva Da Lagoa</c:v>
                </c:pt>
                <c:pt idx="29">
                  <c:v>Vista Dos Jasmins</c:v>
                </c:pt>
                <c:pt idx="30">
                  <c:v>Reserva Dos Lírios</c:v>
                </c:pt>
                <c:pt idx="31">
                  <c:v>Solar Das Amoreiras</c:v>
                </c:pt>
                <c:pt idx="32">
                  <c:v>Alameda Do Cerrado</c:v>
                </c:pt>
                <c:pt idx="33">
                  <c:v>Residencial Real Prime</c:v>
                </c:pt>
                <c:pt idx="34">
                  <c:v>Parque Dos Marqueses</c:v>
                </c:pt>
                <c:pt idx="35">
                  <c:v>Residencial Horizonte</c:v>
                </c:pt>
                <c:pt idx="36">
                  <c:v>Residencial Flores De Évora</c:v>
                </c:pt>
                <c:pt idx="37">
                  <c:v>Residencial Campo Di Viena</c:v>
                </c:pt>
                <c:pt idx="38">
                  <c:v>Castelo De Windsor</c:v>
                </c:pt>
                <c:pt idx="39">
                  <c:v>Residencial Mirage</c:v>
                </c:pt>
                <c:pt idx="40">
                  <c:v>Residencial Cachoeira Dos Sinos</c:v>
                </c:pt>
                <c:pt idx="41">
                  <c:v>Residencial Olímpia</c:v>
                </c:pt>
                <c:pt idx="42">
                  <c:v>Condomínio Residencial Parque Dos Diamantes</c:v>
                </c:pt>
                <c:pt idx="43">
                  <c:v>Primavera Garden</c:v>
                </c:pt>
                <c:pt idx="44">
                  <c:v>Candeias Tulip</c:v>
                </c:pt>
                <c:pt idx="45">
                  <c:v>Jardim Tropical</c:v>
                </c:pt>
                <c:pt idx="46">
                  <c:v>Castello Di Francesco</c:v>
                </c:pt>
                <c:pt idx="47">
                  <c:v>Torres Do Aeroporto</c:v>
                </c:pt>
                <c:pt idx="48">
                  <c:v>Parque Sorrento</c:v>
                </c:pt>
                <c:pt idx="49">
                  <c:v>Residencial Martini</c:v>
                </c:pt>
              </c:strCache>
            </c:strRef>
          </c:xVal>
          <c:yVal>
            <c:numRef>
              <c:f>LAZER!$B$37:$B$86</c:f>
              <c:numCache>
                <c:formatCode>_("R$"* #,##0.00_);_("R$"* \(#,##0.00\);_("R$"* "-"??_);_(@_)</c:formatCode>
                <c:ptCount val="50"/>
                <c:pt idx="0">
                  <c:v>824.19065104166657</c:v>
                </c:pt>
                <c:pt idx="1">
                  <c:v>4049.6531250000003</c:v>
                </c:pt>
                <c:pt idx="2">
                  <c:v>1302.2635714285714</c:v>
                </c:pt>
                <c:pt idx="3">
                  <c:v>1545.0103787878791</c:v>
                </c:pt>
                <c:pt idx="4">
                  <c:v>893.57322222222228</c:v>
                </c:pt>
                <c:pt idx="5">
                  <c:v>1159.1923793103449</c:v>
                </c:pt>
                <c:pt idx="6">
                  <c:v>639.33486486486493</c:v>
                </c:pt>
                <c:pt idx="7">
                  <c:v>846.27824999999996</c:v>
                </c:pt>
                <c:pt idx="8">
                  <c:v>1872.3486363636364</c:v>
                </c:pt>
                <c:pt idx="9">
                  <c:v>2464.0453124999999</c:v>
                </c:pt>
                <c:pt idx="10">
                  <c:v>577.86</c:v>
                </c:pt>
                <c:pt idx="11">
                  <c:v>2782.1934782608696</c:v>
                </c:pt>
                <c:pt idx="12">
                  <c:v>2398.1954545454546</c:v>
                </c:pt>
                <c:pt idx="13">
                  <c:v>3020.1135999999997</c:v>
                </c:pt>
                <c:pt idx="14">
                  <c:v>1272.9585535714284</c:v>
                </c:pt>
                <c:pt idx="15">
                  <c:v>1568.8996666666667</c:v>
                </c:pt>
                <c:pt idx="16">
                  <c:v>1537.3067999999998</c:v>
                </c:pt>
                <c:pt idx="17">
                  <c:v>1968.0557291666667</c:v>
                </c:pt>
                <c:pt idx="18">
                  <c:v>1857.8944444444446</c:v>
                </c:pt>
                <c:pt idx="19">
                  <c:v>1346.6289259259261</c:v>
                </c:pt>
                <c:pt idx="20">
                  <c:v>3279.5122549019611</c:v>
                </c:pt>
                <c:pt idx="21">
                  <c:v>1512.8252314814815</c:v>
                </c:pt>
                <c:pt idx="22">
                  <c:v>2248.3903409090913</c:v>
                </c:pt>
                <c:pt idx="23">
                  <c:v>1113.7766785714284</c:v>
                </c:pt>
                <c:pt idx="24">
                  <c:v>616.25000000000011</c:v>
                </c:pt>
                <c:pt idx="25">
                  <c:v>645.44954545454539</c:v>
                </c:pt>
                <c:pt idx="26">
                  <c:v>1393.4208333333333</c:v>
                </c:pt>
                <c:pt idx="27">
                  <c:v>1394.8215053763442</c:v>
                </c:pt>
                <c:pt idx="28">
                  <c:v>1978.51125</c:v>
                </c:pt>
                <c:pt idx="29">
                  <c:v>2511.7923511904764</c:v>
                </c:pt>
                <c:pt idx="30">
                  <c:v>1452.5747999999999</c:v>
                </c:pt>
                <c:pt idx="31">
                  <c:v>1407.4275403225809</c:v>
                </c:pt>
                <c:pt idx="32">
                  <c:v>1943.8335</c:v>
                </c:pt>
                <c:pt idx="33">
                  <c:v>1827.7184999999999</c:v>
                </c:pt>
                <c:pt idx="34">
                  <c:v>1554.7854716981133</c:v>
                </c:pt>
                <c:pt idx="35">
                  <c:v>1299.140706521739</c:v>
                </c:pt>
                <c:pt idx="36">
                  <c:v>2239.2319444444443</c:v>
                </c:pt>
                <c:pt idx="37">
                  <c:v>2003.6075833333332</c:v>
                </c:pt>
                <c:pt idx="38">
                  <c:v>2702.4666666666667</c:v>
                </c:pt>
                <c:pt idx="39">
                  <c:v>1503.8303333333336</c:v>
                </c:pt>
                <c:pt idx="40">
                  <c:v>873.55511764705875</c:v>
                </c:pt>
                <c:pt idx="41">
                  <c:v>1074.28828125</c:v>
                </c:pt>
                <c:pt idx="42">
                  <c:v>1367.0418627450979</c:v>
                </c:pt>
                <c:pt idx="43">
                  <c:v>1279.809</c:v>
                </c:pt>
                <c:pt idx="44">
                  <c:v>1324.1754901960785</c:v>
                </c:pt>
                <c:pt idx="45">
                  <c:v>1856.664</c:v>
                </c:pt>
                <c:pt idx="46">
                  <c:v>1471.2877777777776</c:v>
                </c:pt>
                <c:pt idx="47">
                  <c:v>1564.6263043478261</c:v>
                </c:pt>
                <c:pt idx="48">
                  <c:v>1773.3124183006537</c:v>
                </c:pt>
                <c:pt idx="49">
                  <c:v>2615.7613333333334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A9-438C-B4C6-0C3DAFAD70BA}"/>
            </c:ext>
          </c:extLst>
        </c:ser>
        <c:ser>
          <c:idx val="3"/>
          <c:order val="2"/>
          <c:tx>
            <c:v>BIO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LAZER!$A$87:$A$104</c:f>
              <c:strCache>
                <c:ptCount val="18"/>
                <c:pt idx="0">
                  <c:v>CAPRI VILLAGE</c:v>
                </c:pt>
                <c:pt idx="1">
                  <c:v>Residencial Bálsamo</c:v>
                </c:pt>
                <c:pt idx="2">
                  <c:v>Parque Canoas</c:v>
                </c:pt>
                <c:pt idx="3">
                  <c:v>Torres Dos Franceses</c:v>
                </c:pt>
                <c:pt idx="4">
                  <c:v>Condomínio Residencial Caminhos Do Lago</c:v>
                </c:pt>
                <c:pt idx="5">
                  <c:v>Residencial Camélias</c:v>
                </c:pt>
                <c:pt idx="6">
                  <c:v>BELGRANO</c:v>
                </c:pt>
                <c:pt idx="7">
                  <c:v>RESIDENCIAL CARVALHO</c:v>
                </c:pt>
                <c:pt idx="8">
                  <c:v>Residencial Callas</c:v>
                </c:pt>
                <c:pt idx="9">
                  <c:v>Reserva Das Flores</c:v>
                </c:pt>
                <c:pt idx="10">
                  <c:v>Spazio Imperatriz</c:v>
                </c:pt>
                <c:pt idx="11">
                  <c:v>Residencial Veredas</c:v>
                </c:pt>
                <c:pt idx="12">
                  <c:v>Residencial Giardino Di Bali</c:v>
                </c:pt>
                <c:pt idx="13">
                  <c:v>Epic</c:v>
                </c:pt>
                <c:pt idx="14">
                  <c:v>Chapada Redentori</c:v>
                </c:pt>
                <c:pt idx="15">
                  <c:v>Residencial Tokyo</c:v>
                </c:pt>
                <c:pt idx="16">
                  <c:v>Gran Porto</c:v>
                </c:pt>
                <c:pt idx="17">
                  <c:v>Mirante Dos Coqueiros</c:v>
                </c:pt>
              </c:strCache>
            </c:strRef>
          </c:xVal>
          <c:yVal>
            <c:numRef>
              <c:f>LAZER!$B$87:$B$104</c:f>
              <c:numCache>
                <c:formatCode>_("R$"* #,##0.00_);_("R$"* \(#,##0.00\);_("R$"* "-"??_);_(@_)</c:formatCode>
                <c:ptCount val="18"/>
                <c:pt idx="0">
                  <c:v>1664.9442222222222</c:v>
                </c:pt>
                <c:pt idx="1">
                  <c:v>1622.7142608695651</c:v>
                </c:pt>
                <c:pt idx="2">
                  <c:v>1333.0854166666666</c:v>
                </c:pt>
                <c:pt idx="3">
                  <c:v>2666.2687500000002</c:v>
                </c:pt>
                <c:pt idx="4">
                  <c:v>2223.1988349514559</c:v>
                </c:pt>
                <c:pt idx="5">
                  <c:v>1349.8843750000001</c:v>
                </c:pt>
                <c:pt idx="6">
                  <c:v>2426.7334166666669</c:v>
                </c:pt>
                <c:pt idx="7">
                  <c:v>3328.1292647058826</c:v>
                </c:pt>
                <c:pt idx="8">
                  <c:v>1597.1851944444445</c:v>
                </c:pt>
                <c:pt idx="9">
                  <c:v>1938.6385</c:v>
                </c:pt>
                <c:pt idx="10">
                  <c:v>1134.8240624999999</c:v>
                </c:pt>
                <c:pt idx="11">
                  <c:v>2129.9779261363637</c:v>
                </c:pt>
                <c:pt idx="12">
                  <c:v>1159.8823611111111</c:v>
                </c:pt>
                <c:pt idx="13">
                  <c:v>2867.732890625</c:v>
                </c:pt>
                <c:pt idx="14">
                  <c:v>1799.3202500000002</c:v>
                </c:pt>
                <c:pt idx="15">
                  <c:v>2049.1632500000001</c:v>
                </c:pt>
                <c:pt idx="16">
                  <c:v>1337.1775510204081</c:v>
                </c:pt>
                <c:pt idx="17">
                  <c:v>3915.4522222222226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A9-438C-B4C6-0C3DAFAD7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467744"/>
        <c:axId val="892455744"/>
      </c:scatterChart>
      <c:valAx>
        <c:axId val="89246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455744"/>
        <c:crosses val="autoZero"/>
        <c:crossBetween val="midCat"/>
      </c:valAx>
      <c:valAx>
        <c:axId val="892455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467744"/>
        <c:crosses val="autoZero"/>
        <c:crossBetween val="midCat"/>
        <c:majorUnit val="8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ESSENCIAL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TIPOLOGIA!$A$3:$A$36</c:f>
              <c:strCache>
                <c:ptCount val="34"/>
                <c:pt idx="0">
                  <c:v>Recanto Dos Sabiás</c:v>
                </c:pt>
                <c:pt idx="1">
                  <c:v>SAN LEVI</c:v>
                </c:pt>
                <c:pt idx="2">
                  <c:v>Jardim Das Amoreiras</c:v>
                </c:pt>
                <c:pt idx="3">
                  <c:v>CANTO DAS ÁGUIAS</c:v>
                </c:pt>
                <c:pt idx="4">
                  <c:v>Residencial Reserva Da Mata</c:v>
                </c:pt>
                <c:pt idx="5">
                  <c:v>Morada Dos Sonhos</c:v>
                </c:pt>
                <c:pt idx="6">
                  <c:v>Mirante Da Colina</c:v>
                </c:pt>
                <c:pt idx="7">
                  <c:v>Residencial Mazarello</c:v>
                </c:pt>
                <c:pt idx="8">
                  <c:v>Residencial Luz Da Aurora</c:v>
                </c:pt>
                <c:pt idx="9">
                  <c:v>Porto Bremen</c:v>
                </c:pt>
                <c:pt idx="10">
                  <c:v>Alameda Imperial</c:v>
                </c:pt>
                <c:pt idx="11">
                  <c:v>CAMEMBERT</c:v>
                </c:pt>
                <c:pt idx="12">
                  <c:v>Residencial Poente Do Buriti</c:v>
                </c:pt>
                <c:pt idx="13">
                  <c:v>VALE DO AMANHECER</c:v>
                </c:pt>
                <c:pt idx="14">
                  <c:v>San Miller</c:v>
                </c:pt>
                <c:pt idx="15">
                  <c:v>Gran Arena Itaquera</c:v>
                </c:pt>
                <c:pt idx="16">
                  <c:v>Residencial Liviero</c:v>
                </c:pt>
                <c:pt idx="17">
                  <c:v>Porto Versalhes</c:v>
                </c:pt>
                <c:pt idx="18">
                  <c:v>Palácio De Estocolmo</c:v>
                </c:pt>
                <c:pt idx="19">
                  <c:v>Cores Do Poente</c:v>
                </c:pt>
                <c:pt idx="20">
                  <c:v>Residencial Atlanta</c:v>
                </c:pt>
                <c:pt idx="21">
                  <c:v>Moradas Do Sol</c:v>
                </c:pt>
                <c:pt idx="22">
                  <c:v>Residencial Monte Das Colinas</c:v>
                </c:pt>
                <c:pt idx="23">
                  <c:v>Residencial Mauá</c:v>
                </c:pt>
                <c:pt idx="24">
                  <c:v>Residencial Lagoa De Safira</c:v>
                </c:pt>
                <c:pt idx="25">
                  <c:v>Residencial Loreto</c:v>
                </c:pt>
                <c:pt idx="26">
                  <c:v>Residencial Solar Da Ilha</c:v>
                </c:pt>
                <c:pt idx="27">
                  <c:v>Residencial Riviera</c:v>
                </c:pt>
                <c:pt idx="28">
                  <c:v>Jardim Di Turim</c:v>
                </c:pt>
                <c:pt idx="29">
                  <c:v>Piazza Sirena</c:v>
                </c:pt>
                <c:pt idx="30">
                  <c:v>Benissa Residencial</c:v>
                </c:pt>
                <c:pt idx="31">
                  <c:v>Residencial Bella Suécia</c:v>
                </c:pt>
                <c:pt idx="32">
                  <c:v>Gran Regence</c:v>
                </c:pt>
                <c:pt idx="33">
                  <c:v>Residencial Rio Mar</c:v>
                </c:pt>
              </c:strCache>
            </c:strRef>
          </c:xVal>
          <c:yVal>
            <c:numRef>
              <c:f>TIPOLOGIA!$B$3:$B$36</c:f>
              <c:numCache>
                <c:formatCode>_("R$"* #,##0.00_);_("R$"* \(#,##0.00\);_("R$"* "-"??_);_(@_)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2400</c:v>
                </c:pt>
                <c:pt idx="3">
                  <c:v>0</c:v>
                </c:pt>
                <c:pt idx="4">
                  <c:v>0</c:v>
                </c:pt>
                <c:pt idx="5">
                  <c:v>1890</c:v>
                </c:pt>
                <c:pt idx="6">
                  <c:v>0</c:v>
                </c:pt>
                <c:pt idx="7">
                  <c:v>0</c:v>
                </c:pt>
                <c:pt idx="8">
                  <c:v>1020.0000000000001</c:v>
                </c:pt>
                <c:pt idx="9">
                  <c:v>0</c:v>
                </c:pt>
                <c:pt idx="10">
                  <c:v>921.68674698795178</c:v>
                </c:pt>
                <c:pt idx="11">
                  <c:v>1500</c:v>
                </c:pt>
                <c:pt idx="12">
                  <c:v>2000</c:v>
                </c:pt>
                <c:pt idx="13">
                  <c:v>510.00000000000006</c:v>
                </c:pt>
                <c:pt idx="14">
                  <c:v>2000</c:v>
                </c:pt>
                <c:pt idx="15">
                  <c:v>0</c:v>
                </c:pt>
                <c:pt idx="16">
                  <c:v>1937.9407616361073</c:v>
                </c:pt>
                <c:pt idx="17">
                  <c:v>1200</c:v>
                </c:pt>
                <c:pt idx="18">
                  <c:v>1088.7096774193549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1110</c:v>
                </c:pt>
                <c:pt idx="23">
                  <c:v>0</c:v>
                </c:pt>
                <c:pt idx="24">
                  <c:v>0</c:v>
                </c:pt>
                <c:pt idx="25">
                  <c:v>1073.3944954128442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3-4357-B3BA-AF207592D249}"/>
            </c:ext>
          </c:extLst>
        </c:ser>
        <c:ser>
          <c:idx val="2"/>
          <c:order val="1"/>
          <c:tx>
            <c:v>ECO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TIPOLOGIA!$A$37:$A$86</c:f>
              <c:strCache>
                <c:ptCount val="50"/>
                <c:pt idx="0">
                  <c:v>Saint Rose</c:v>
                </c:pt>
                <c:pt idx="1">
                  <c:v>Residencial Lake Da Vinci</c:v>
                </c:pt>
                <c:pt idx="2">
                  <c:v>Residencial Autenticità</c:v>
                </c:pt>
                <c:pt idx="3">
                  <c:v>Residencial Lake Picasso</c:v>
                </c:pt>
                <c:pt idx="4">
                  <c:v>Gran Fornari</c:v>
                </c:pt>
                <c:pt idx="5">
                  <c:v>Real Park</c:v>
                </c:pt>
                <c:pt idx="6">
                  <c:v>Recanto Da Mata</c:v>
                </c:pt>
                <c:pt idx="7">
                  <c:v>Residencial Jardim Bonsai</c:v>
                </c:pt>
                <c:pt idx="8">
                  <c:v>Residence Park</c:v>
                </c:pt>
                <c:pt idx="9">
                  <c:v>Gran Essence</c:v>
                </c:pt>
                <c:pt idx="10">
                  <c:v>Eco Park</c:v>
                </c:pt>
                <c:pt idx="11">
                  <c:v>Residencial Lancelot</c:v>
                </c:pt>
                <c:pt idx="12">
                  <c:v>Residencial Recanto Das Árvores</c:v>
                </c:pt>
                <c:pt idx="13">
                  <c:v>Residencial Mirante Do Vale</c:v>
                </c:pt>
                <c:pt idx="14">
                  <c:v>Palmeira Boreal</c:v>
                </c:pt>
                <c:pt idx="15">
                  <c:v>Chapada Flamboyant</c:v>
                </c:pt>
                <c:pt idx="16">
                  <c:v>Residencial Dunas Do Horizonte</c:v>
                </c:pt>
                <c:pt idx="17">
                  <c:v>Castelo De Versalhes</c:v>
                </c:pt>
                <c:pt idx="18">
                  <c:v>Residencial Campo Di Ravena</c:v>
                </c:pt>
                <c:pt idx="19">
                  <c:v>Gran Luna</c:v>
                </c:pt>
                <c:pt idx="20">
                  <c:v>Residencial Poente Das Orquídeas</c:v>
                </c:pt>
                <c:pt idx="21">
                  <c:v>Residencial Mandacaru</c:v>
                </c:pt>
                <c:pt idx="22">
                  <c:v>Mirante Da Luz</c:v>
                </c:pt>
                <c:pt idx="23">
                  <c:v>Residencial Canoas</c:v>
                </c:pt>
                <c:pt idx="24">
                  <c:v>Reserva Dos Girassóis</c:v>
                </c:pt>
                <c:pt idx="25">
                  <c:v>Vila De Manguinhos</c:v>
                </c:pt>
                <c:pt idx="26">
                  <c:v>Residencial Reserva Dos Pássaros</c:v>
                </c:pt>
                <c:pt idx="27">
                  <c:v>Torre Do Mar</c:v>
                </c:pt>
                <c:pt idx="28">
                  <c:v>Reserva Da Lagoa</c:v>
                </c:pt>
                <c:pt idx="29">
                  <c:v>Vista Dos Jasmins</c:v>
                </c:pt>
                <c:pt idx="30">
                  <c:v>Reserva Dos Lírios</c:v>
                </c:pt>
                <c:pt idx="31">
                  <c:v>Solar Das Amoreiras</c:v>
                </c:pt>
                <c:pt idx="32">
                  <c:v>Alameda Do Cerrado</c:v>
                </c:pt>
                <c:pt idx="33">
                  <c:v>Residencial Real Prime</c:v>
                </c:pt>
                <c:pt idx="34">
                  <c:v>Parque Dos Marqueses</c:v>
                </c:pt>
                <c:pt idx="35">
                  <c:v>Residencial Horizonte</c:v>
                </c:pt>
                <c:pt idx="36">
                  <c:v>Residencial Flores De Évora</c:v>
                </c:pt>
                <c:pt idx="37">
                  <c:v>Residencial Campo Di Viena</c:v>
                </c:pt>
                <c:pt idx="38">
                  <c:v>Castelo De Windsor</c:v>
                </c:pt>
                <c:pt idx="39">
                  <c:v>Residencial Mirage</c:v>
                </c:pt>
                <c:pt idx="40">
                  <c:v>Residencial Cachoeira Dos Sinos</c:v>
                </c:pt>
                <c:pt idx="41">
                  <c:v>Residencial Olímpia</c:v>
                </c:pt>
                <c:pt idx="42">
                  <c:v>Condomínio Residencial Parque Dos Diamantes</c:v>
                </c:pt>
                <c:pt idx="43">
                  <c:v>Primavera Garden</c:v>
                </c:pt>
                <c:pt idx="44">
                  <c:v>Candeias Tulip</c:v>
                </c:pt>
                <c:pt idx="45">
                  <c:v>Jardim Tropical</c:v>
                </c:pt>
                <c:pt idx="46">
                  <c:v>Castello Di Francesco</c:v>
                </c:pt>
                <c:pt idx="47">
                  <c:v>Torres Do Aeroporto</c:v>
                </c:pt>
                <c:pt idx="48">
                  <c:v>Parque Sorrento</c:v>
                </c:pt>
                <c:pt idx="49">
                  <c:v>Residencial Martini</c:v>
                </c:pt>
              </c:strCache>
            </c:strRef>
          </c:xVal>
          <c:yVal>
            <c:numRef>
              <c:f>TIPOLOGIA!$B$37:$B$86</c:f>
              <c:numCache>
                <c:formatCode>_("R$"* #,##0.00_);_("R$"* \(#,##0.00\);_("R$"* "-"??_);_(@_)</c:formatCode>
                <c:ptCount val="50"/>
                <c:pt idx="0">
                  <c:v>2875</c:v>
                </c:pt>
                <c:pt idx="1">
                  <c:v>1140</c:v>
                </c:pt>
                <c:pt idx="2">
                  <c:v>1369.5652173913043</c:v>
                </c:pt>
                <c:pt idx="3">
                  <c:v>2727.272727272727</c:v>
                </c:pt>
                <c:pt idx="4">
                  <c:v>2820</c:v>
                </c:pt>
                <c:pt idx="5">
                  <c:v>1028.5714285714287</c:v>
                </c:pt>
                <c:pt idx="6">
                  <c:v>900</c:v>
                </c:pt>
                <c:pt idx="7">
                  <c:v>1200</c:v>
                </c:pt>
                <c:pt idx="8">
                  <c:v>1170</c:v>
                </c:pt>
                <c:pt idx="9">
                  <c:v>1125</c:v>
                </c:pt>
                <c:pt idx="10">
                  <c:v>1200</c:v>
                </c:pt>
                <c:pt idx="11">
                  <c:v>2742.8571428571427</c:v>
                </c:pt>
                <c:pt idx="12">
                  <c:v>1380</c:v>
                </c:pt>
                <c:pt idx="13">
                  <c:v>1307.1428571428571</c:v>
                </c:pt>
                <c:pt idx="14">
                  <c:v>1380</c:v>
                </c:pt>
                <c:pt idx="15">
                  <c:v>1350</c:v>
                </c:pt>
                <c:pt idx="16">
                  <c:v>1125</c:v>
                </c:pt>
                <c:pt idx="17">
                  <c:v>1125</c:v>
                </c:pt>
                <c:pt idx="18">
                  <c:v>2000</c:v>
                </c:pt>
                <c:pt idx="19">
                  <c:v>1031.25</c:v>
                </c:pt>
                <c:pt idx="20">
                  <c:v>2000</c:v>
                </c:pt>
                <c:pt idx="21">
                  <c:v>1882.3529411764705</c:v>
                </c:pt>
                <c:pt idx="22">
                  <c:v>1888.8888888888889</c:v>
                </c:pt>
                <c:pt idx="23">
                  <c:v>2863.636363636364</c:v>
                </c:pt>
                <c:pt idx="24">
                  <c:v>1125</c:v>
                </c:pt>
                <c:pt idx="25">
                  <c:v>750</c:v>
                </c:pt>
                <c:pt idx="26">
                  <c:v>1125</c:v>
                </c:pt>
                <c:pt idx="27">
                  <c:v>1875</c:v>
                </c:pt>
                <c:pt idx="28">
                  <c:v>1870.9677419354839</c:v>
                </c:pt>
                <c:pt idx="29">
                  <c:v>2625</c:v>
                </c:pt>
                <c:pt idx="30">
                  <c:v>1071.4285714285716</c:v>
                </c:pt>
                <c:pt idx="31">
                  <c:v>1080</c:v>
                </c:pt>
                <c:pt idx="32">
                  <c:v>1125</c:v>
                </c:pt>
                <c:pt idx="33">
                  <c:v>1200</c:v>
                </c:pt>
                <c:pt idx="34">
                  <c:v>0</c:v>
                </c:pt>
                <c:pt idx="35">
                  <c:v>1358.4905660377358</c:v>
                </c:pt>
                <c:pt idx="36">
                  <c:v>1125</c:v>
                </c:pt>
                <c:pt idx="37">
                  <c:v>2000</c:v>
                </c:pt>
                <c:pt idx="38">
                  <c:v>1125</c:v>
                </c:pt>
                <c:pt idx="39">
                  <c:v>0</c:v>
                </c:pt>
                <c:pt idx="40">
                  <c:v>2943.75</c:v>
                </c:pt>
                <c:pt idx="41">
                  <c:v>0</c:v>
                </c:pt>
                <c:pt idx="42">
                  <c:v>1875</c:v>
                </c:pt>
                <c:pt idx="43">
                  <c:v>1882.3529411764705</c:v>
                </c:pt>
                <c:pt idx="44">
                  <c:v>1080</c:v>
                </c:pt>
                <c:pt idx="45">
                  <c:v>1410</c:v>
                </c:pt>
                <c:pt idx="46">
                  <c:v>1350</c:v>
                </c:pt>
                <c:pt idx="47">
                  <c:v>1399.8</c:v>
                </c:pt>
                <c:pt idx="48">
                  <c:v>1200</c:v>
                </c:pt>
                <c:pt idx="49">
                  <c:v>1860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3-4357-B3BA-AF207592D249}"/>
            </c:ext>
          </c:extLst>
        </c:ser>
        <c:ser>
          <c:idx val="3"/>
          <c:order val="2"/>
          <c:tx>
            <c:v>BIO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TIPOLOGIA!$A$87:$A$104</c:f>
              <c:strCache>
                <c:ptCount val="18"/>
                <c:pt idx="0">
                  <c:v>CAPRI VILLAGE</c:v>
                </c:pt>
                <c:pt idx="1">
                  <c:v>Residencial Bálsamo</c:v>
                </c:pt>
                <c:pt idx="2">
                  <c:v>Parque Canoas</c:v>
                </c:pt>
                <c:pt idx="3">
                  <c:v>Torres Dos Franceses</c:v>
                </c:pt>
                <c:pt idx="4">
                  <c:v>Condomínio Residencial Caminhos Do Lago</c:v>
                </c:pt>
                <c:pt idx="5">
                  <c:v>Residencial Camélias</c:v>
                </c:pt>
                <c:pt idx="6">
                  <c:v>BELGRANO</c:v>
                </c:pt>
                <c:pt idx="7">
                  <c:v>RESIDENCIAL CARVALHO</c:v>
                </c:pt>
                <c:pt idx="8">
                  <c:v>Residencial Callas</c:v>
                </c:pt>
                <c:pt idx="9">
                  <c:v>Reserva Das Flores</c:v>
                </c:pt>
                <c:pt idx="10">
                  <c:v>Spazio Imperatriz</c:v>
                </c:pt>
                <c:pt idx="11">
                  <c:v>Residencial Veredas</c:v>
                </c:pt>
                <c:pt idx="12">
                  <c:v>Residencial Giardino Di Bali</c:v>
                </c:pt>
                <c:pt idx="13">
                  <c:v>Epic</c:v>
                </c:pt>
                <c:pt idx="14">
                  <c:v>Chapada Redentori</c:v>
                </c:pt>
                <c:pt idx="15">
                  <c:v>Residencial Tokyo</c:v>
                </c:pt>
                <c:pt idx="16">
                  <c:v>Gran Porto</c:v>
                </c:pt>
                <c:pt idx="17">
                  <c:v>Mirante Dos Coqueiros</c:v>
                </c:pt>
              </c:strCache>
            </c:strRef>
          </c:xVal>
          <c:yVal>
            <c:numRef>
              <c:f>TIPOLOGIA!$B$87:$B$104</c:f>
              <c:numCache>
                <c:formatCode>_("R$"* #,##0.00_);_("R$"* \(#,##0.00\);_("R$"* "-"??_);_(@_)</c:formatCode>
                <c:ptCount val="18"/>
                <c:pt idx="0">
                  <c:v>5700</c:v>
                </c:pt>
                <c:pt idx="1">
                  <c:v>2793.75</c:v>
                </c:pt>
                <c:pt idx="2">
                  <c:v>5737.2000000000007</c:v>
                </c:pt>
                <c:pt idx="3">
                  <c:v>4800</c:v>
                </c:pt>
                <c:pt idx="4">
                  <c:v>5833.3333333333339</c:v>
                </c:pt>
                <c:pt idx="5">
                  <c:v>2010.0000000000002</c:v>
                </c:pt>
                <c:pt idx="6">
                  <c:v>5700</c:v>
                </c:pt>
                <c:pt idx="7">
                  <c:v>1998</c:v>
                </c:pt>
                <c:pt idx="8">
                  <c:v>2010.0000000000002</c:v>
                </c:pt>
                <c:pt idx="9">
                  <c:v>2812.5</c:v>
                </c:pt>
                <c:pt idx="10">
                  <c:v>2730</c:v>
                </c:pt>
                <c:pt idx="11">
                  <c:v>6060</c:v>
                </c:pt>
                <c:pt idx="12">
                  <c:v>6499.7999999999993</c:v>
                </c:pt>
                <c:pt idx="13">
                  <c:v>5718.75</c:v>
                </c:pt>
                <c:pt idx="14">
                  <c:v>4500</c:v>
                </c:pt>
                <c:pt idx="15">
                  <c:v>5812.5</c:v>
                </c:pt>
                <c:pt idx="16">
                  <c:v>6090</c:v>
                </c:pt>
                <c:pt idx="17">
                  <c:v>4650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3-4357-B3BA-AF207592D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467744"/>
        <c:axId val="892455744"/>
      </c:scatterChart>
      <c:valAx>
        <c:axId val="89246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455744"/>
        <c:crosses val="autoZero"/>
        <c:crossBetween val="midCat"/>
      </c:valAx>
      <c:valAx>
        <c:axId val="892455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467744"/>
        <c:crosses val="autoZero"/>
        <c:crossBetween val="midCat"/>
        <c:majorUnit val="1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ESSENCIAL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VAGAS!$A$3:$A$36</c:f>
              <c:strCache>
                <c:ptCount val="34"/>
                <c:pt idx="0">
                  <c:v>Recanto Dos Sabiás</c:v>
                </c:pt>
                <c:pt idx="1">
                  <c:v>SAN LEVI</c:v>
                </c:pt>
                <c:pt idx="2">
                  <c:v>Jardim Das Amoreiras</c:v>
                </c:pt>
                <c:pt idx="3">
                  <c:v>CANTO DAS ÁGUIAS</c:v>
                </c:pt>
                <c:pt idx="4">
                  <c:v>Residencial Reserva Da Mata</c:v>
                </c:pt>
                <c:pt idx="5">
                  <c:v>Morada Dos Sonhos</c:v>
                </c:pt>
                <c:pt idx="6">
                  <c:v>Mirante Da Colina</c:v>
                </c:pt>
                <c:pt idx="7">
                  <c:v>Residencial Mazarello</c:v>
                </c:pt>
                <c:pt idx="8">
                  <c:v>Residencial Luz Da Aurora</c:v>
                </c:pt>
                <c:pt idx="9">
                  <c:v>Porto Bremen</c:v>
                </c:pt>
                <c:pt idx="10">
                  <c:v>Alameda Imperial</c:v>
                </c:pt>
                <c:pt idx="11">
                  <c:v>CAMEMBERT</c:v>
                </c:pt>
                <c:pt idx="12">
                  <c:v>Residencial Poente Do Buriti</c:v>
                </c:pt>
                <c:pt idx="13">
                  <c:v>VALE DO AMANHECER</c:v>
                </c:pt>
                <c:pt idx="14">
                  <c:v>San Miller</c:v>
                </c:pt>
                <c:pt idx="15">
                  <c:v>Gran Arena Itaquera</c:v>
                </c:pt>
                <c:pt idx="16">
                  <c:v>Residencial Liviero</c:v>
                </c:pt>
                <c:pt idx="17">
                  <c:v>Porto Versalhes</c:v>
                </c:pt>
                <c:pt idx="18">
                  <c:v>Palácio De Estocolmo</c:v>
                </c:pt>
                <c:pt idx="19">
                  <c:v>Cores Do Poente</c:v>
                </c:pt>
                <c:pt idx="20">
                  <c:v>Residencial Atlanta</c:v>
                </c:pt>
                <c:pt idx="21">
                  <c:v>Moradas Do Sol</c:v>
                </c:pt>
                <c:pt idx="22">
                  <c:v>Residencial Monte Das Colinas</c:v>
                </c:pt>
                <c:pt idx="23">
                  <c:v>Residencial Mauá</c:v>
                </c:pt>
                <c:pt idx="24">
                  <c:v>Residencial Lagoa De Safira</c:v>
                </c:pt>
                <c:pt idx="25">
                  <c:v>Residencial Loreto</c:v>
                </c:pt>
                <c:pt idx="26">
                  <c:v>Residencial Solar Da Ilha</c:v>
                </c:pt>
                <c:pt idx="27">
                  <c:v>Residencial Riviera</c:v>
                </c:pt>
                <c:pt idx="28">
                  <c:v>Jardim Di Turim</c:v>
                </c:pt>
                <c:pt idx="29">
                  <c:v>Piazza Sirena</c:v>
                </c:pt>
                <c:pt idx="30">
                  <c:v>Benissa Residencial</c:v>
                </c:pt>
                <c:pt idx="31">
                  <c:v>Residencial Bella Suécia</c:v>
                </c:pt>
                <c:pt idx="32">
                  <c:v>Gran Regence</c:v>
                </c:pt>
                <c:pt idx="33">
                  <c:v>Residencial Rio Mar</c:v>
                </c:pt>
              </c:strCache>
            </c:strRef>
          </c:xVal>
          <c:yVal>
            <c:numRef>
              <c:f>VAGAS!$B$3:$B$36</c:f>
              <c:numCache>
                <c:formatCode>_("R$"* #,##0.00_);_("R$"* \(#,##0.00\);_("R$"* "-"??_);_(@_)</c:formatCode>
                <c:ptCount val="34"/>
                <c:pt idx="0">
                  <c:v>984.61538461538453</c:v>
                </c:pt>
                <c:pt idx="1">
                  <c:v>761.57407407407402</c:v>
                </c:pt>
                <c:pt idx="2">
                  <c:v>792.85714285714289</c:v>
                </c:pt>
                <c:pt idx="3">
                  <c:v>1581.4606741573034</c:v>
                </c:pt>
                <c:pt idx="4">
                  <c:v>392.15686274509807</c:v>
                </c:pt>
                <c:pt idx="5">
                  <c:v>1439.3939393939395</c:v>
                </c:pt>
                <c:pt idx="6">
                  <c:v>1729.1666666666667</c:v>
                </c:pt>
                <c:pt idx="7">
                  <c:v>1822.9166666666667</c:v>
                </c:pt>
                <c:pt idx="8">
                  <c:v>2138.8888888888887</c:v>
                </c:pt>
                <c:pt idx="9">
                  <c:v>2044.4444444444443</c:v>
                </c:pt>
                <c:pt idx="10">
                  <c:v>2144.5783132530123</c:v>
                </c:pt>
                <c:pt idx="11">
                  <c:v>2101.5625</c:v>
                </c:pt>
                <c:pt idx="12">
                  <c:v>0</c:v>
                </c:pt>
                <c:pt idx="13">
                  <c:v>1413.0434782608697</c:v>
                </c:pt>
                <c:pt idx="14">
                  <c:v>217.94871794871796</c:v>
                </c:pt>
                <c:pt idx="15">
                  <c:v>298.8721804511278</c:v>
                </c:pt>
                <c:pt idx="16">
                  <c:v>332.8631875881523</c:v>
                </c:pt>
                <c:pt idx="17">
                  <c:v>800</c:v>
                </c:pt>
                <c:pt idx="18">
                  <c:v>846.77419354838707</c:v>
                </c:pt>
                <c:pt idx="19">
                  <c:v>1221.4285714285716</c:v>
                </c:pt>
                <c:pt idx="20">
                  <c:v>2115.3846153846152</c:v>
                </c:pt>
                <c:pt idx="21">
                  <c:v>2069.6721311475412</c:v>
                </c:pt>
                <c:pt idx="22">
                  <c:v>1233.695652173913</c:v>
                </c:pt>
                <c:pt idx="23">
                  <c:v>1091.9220055710307</c:v>
                </c:pt>
                <c:pt idx="24">
                  <c:v>2000</c:v>
                </c:pt>
                <c:pt idx="25">
                  <c:v>2000</c:v>
                </c:pt>
                <c:pt idx="26">
                  <c:v>2091.666666666667</c:v>
                </c:pt>
                <c:pt idx="27">
                  <c:v>2060.483870967742</c:v>
                </c:pt>
                <c:pt idx="28">
                  <c:v>2068.181818181818</c:v>
                </c:pt>
                <c:pt idx="29">
                  <c:v>2126.7123287671229</c:v>
                </c:pt>
                <c:pt idx="30">
                  <c:v>2116.6666666666665</c:v>
                </c:pt>
                <c:pt idx="31">
                  <c:v>2142.8571428571427</c:v>
                </c:pt>
                <c:pt idx="32">
                  <c:v>2286.4583333333335</c:v>
                </c:pt>
                <c:pt idx="33">
                  <c:v>1375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6-40E8-81D9-ADAE0C30BCB3}"/>
            </c:ext>
          </c:extLst>
        </c:ser>
        <c:ser>
          <c:idx val="2"/>
          <c:order val="1"/>
          <c:tx>
            <c:v>ECO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VAGAS!$A$37:$A$86</c:f>
              <c:strCache>
                <c:ptCount val="50"/>
                <c:pt idx="0">
                  <c:v>Saint Rose</c:v>
                </c:pt>
                <c:pt idx="1">
                  <c:v>Residencial Lake Da Vinci</c:v>
                </c:pt>
                <c:pt idx="2">
                  <c:v>Residencial Autenticità</c:v>
                </c:pt>
                <c:pt idx="3">
                  <c:v>Residencial Lake Picasso</c:v>
                </c:pt>
                <c:pt idx="4">
                  <c:v>Gran Fornari</c:v>
                </c:pt>
                <c:pt idx="5">
                  <c:v>Real Park</c:v>
                </c:pt>
                <c:pt idx="6">
                  <c:v>Recanto Da Mata</c:v>
                </c:pt>
                <c:pt idx="7">
                  <c:v>Residencial Jardim Bonsai</c:v>
                </c:pt>
                <c:pt idx="8">
                  <c:v>Residence Park</c:v>
                </c:pt>
                <c:pt idx="9">
                  <c:v>Gran Essence</c:v>
                </c:pt>
                <c:pt idx="10">
                  <c:v>Eco Park</c:v>
                </c:pt>
                <c:pt idx="11">
                  <c:v>Residencial Lancelot</c:v>
                </c:pt>
                <c:pt idx="12">
                  <c:v>Residencial Recanto Das Árvores</c:v>
                </c:pt>
                <c:pt idx="13">
                  <c:v>Residencial Mirante Do Vale</c:v>
                </c:pt>
                <c:pt idx="14">
                  <c:v>Palmeira Boreal</c:v>
                </c:pt>
                <c:pt idx="15">
                  <c:v>Chapada Flamboyant</c:v>
                </c:pt>
                <c:pt idx="16">
                  <c:v>Residencial Dunas Do Horizonte</c:v>
                </c:pt>
                <c:pt idx="17">
                  <c:v>Castelo De Versalhes</c:v>
                </c:pt>
                <c:pt idx="18">
                  <c:v>Residencial Campo Di Ravena</c:v>
                </c:pt>
                <c:pt idx="19">
                  <c:v>Gran Luna</c:v>
                </c:pt>
                <c:pt idx="20">
                  <c:v>Residencial Poente Das Orquídeas</c:v>
                </c:pt>
                <c:pt idx="21">
                  <c:v>Residencial Mandacaru</c:v>
                </c:pt>
                <c:pt idx="22">
                  <c:v>Mirante Da Luz</c:v>
                </c:pt>
                <c:pt idx="23">
                  <c:v>Residencial Canoas</c:v>
                </c:pt>
                <c:pt idx="24">
                  <c:v>Reserva Dos Girassóis</c:v>
                </c:pt>
                <c:pt idx="25">
                  <c:v>Vila De Manguinhos</c:v>
                </c:pt>
                <c:pt idx="26">
                  <c:v>Residencial Reserva Dos Pássaros</c:v>
                </c:pt>
                <c:pt idx="27">
                  <c:v>Torre Do Mar</c:v>
                </c:pt>
                <c:pt idx="28">
                  <c:v>Reserva Da Lagoa</c:v>
                </c:pt>
                <c:pt idx="29">
                  <c:v>Vista Dos Jasmins</c:v>
                </c:pt>
                <c:pt idx="30">
                  <c:v>Reserva Dos Lírios</c:v>
                </c:pt>
                <c:pt idx="31">
                  <c:v>Solar Das Amoreiras</c:v>
                </c:pt>
                <c:pt idx="32">
                  <c:v>Alameda Do Cerrado</c:v>
                </c:pt>
                <c:pt idx="33">
                  <c:v>Residencial Real Prime</c:v>
                </c:pt>
                <c:pt idx="34">
                  <c:v>Parque Dos Marqueses</c:v>
                </c:pt>
                <c:pt idx="35">
                  <c:v>Residencial Horizonte</c:v>
                </c:pt>
                <c:pt idx="36">
                  <c:v>Residencial Flores De Évora</c:v>
                </c:pt>
                <c:pt idx="37">
                  <c:v>Residencial Campo Di Viena</c:v>
                </c:pt>
                <c:pt idx="38">
                  <c:v>Castelo De Windsor</c:v>
                </c:pt>
                <c:pt idx="39">
                  <c:v>Residencial Mirage</c:v>
                </c:pt>
                <c:pt idx="40">
                  <c:v>Residencial Cachoeira Dos Sinos</c:v>
                </c:pt>
                <c:pt idx="41">
                  <c:v>Residencial Olímpia</c:v>
                </c:pt>
                <c:pt idx="42">
                  <c:v>Condomínio Residencial Parque Dos Diamantes</c:v>
                </c:pt>
                <c:pt idx="43">
                  <c:v>Primavera Garden</c:v>
                </c:pt>
                <c:pt idx="44">
                  <c:v>Candeias Tulip</c:v>
                </c:pt>
                <c:pt idx="45">
                  <c:v>Jardim Tropical</c:v>
                </c:pt>
                <c:pt idx="46">
                  <c:v>Castello Di Francesco</c:v>
                </c:pt>
                <c:pt idx="47">
                  <c:v>Torres Do Aeroporto</c:v>
                </c:pt>
                <c:pt idx="48">
                  <c:v>Parque Sorrento</c:v>
                </c:pt>
                <c:pt idx="49">
                  <c:v>Residencial Martini</c:v>
                </c:pt>
              </c:strCache>
            </c:strRef>
          </c:xVal>
          <c:yVal>
            <c:numRef>
              <c:f>VAGAS!$B$37:$B$86</c:f>
              <c:numCache>
                <c:formatCode>_("R$"* #,##0.00_);_("R$"* \(#,##0.00\);_("R$"* "-"??_);_(@_)</c:formatCode>
                <c:ptCount val="50"/>
                <c:pt idx="0">
                  <c:v>421.875</c:v>
                </c:pt>
                <c:pt idx="1">
                  <c:v>2416.6666666666665</c:v>
                </c:pt>
                <c:pt idx="2">
                  <c:v>2239.1304347826085</c:v>
                </c:pt>
                <c:pt idx="3">
                  <c:v>2000</c:v>
                </c:pt>
                <c:pt idx="4">
                  <c:v>2241.830065359477</c:v>
                </c:pt>
                <c:pt idx="5">
                  <c:v>157.14285714285714</c:v>
                </c:pt>
                <c:pt idx="6">
                  <c:v>231.06060606060606</c:v>
                </c:pt>
                <c:pt idx="7">
                  <c:v>1302.7777777777778</c:v>
                </c:pt>
                <c:pt idx="8">
                  <c:v>1337.9310344827586</c:v>
                </c:pt>
                <c:pt idx="9">
                  <c:v>2000</c:v>
                </c:pt>
                <c:pt idx="10">
                  <c:v>2000</c:v>
                </c:pt>
                <c:pt idx="11">
                  <c:v>2021.4285714285713</c:v>
                </c:pt>
                <c:pt idx="12">
                  <c:v>2045.4545454545455</c:v>
                </c:pt>
                <c:pt idx="13">
                  <c:v>2103.5714285714284</c:v>
                </c:pt>
                <c:pt idx="14">
                  <c:v>2222.9166666666665</c:v>
                </c:pt>
                <c:pt idx="15">
                  <c:v>2227.5</c:v>
                </c:pt>
                <c:pt idx="16">
                  <c:v>2197.9166666666665</c:v>
                </c:pt>
                <c:pt idx="17">
                  <c:v>2270.833333333333</c:v>
                </c:pt>
                <c:pt idx="18">
                  <c:v>2243.0555555555557</c:v>
                </c:pt>
                <c:pt idx="19">
                  <c:v>2265.625</c:v>
                </c:pt>
                <c:pt idx="20">
                  <c:v>540.74074074074076</c:v>
                </c:pt>
                <c:pt idx="21">
                  <c:v>1500</c:v>
                </c:pt>
                <c:pt idx="22">
                  <c:v>527.77777777777783</c:v>
                </c:pt>
                <c:pt idx="23">
                  <c:v>1448.8636363636363</c:v>
                </c:pt>
                <c:pt idx="24">
                  <c:v>1728.5714285714287</c:v>
                </c:pt>
                <c:pt idx="25">
                  <c:v>1531.25</c:v>
                </c:pt>
                <c:pt idx="26">
                  <c:v>1647.7272727272727</c:v>
                </c:pt>
                <c:pt idx="27">
                  <c:v>1916.6666666666667</c:v>
                </c:pt>
                <c:pt idx="28">
                  <c:v>1981.1827956989248</c:v>
                </c:pt>
                <c:pt idx="29">
                  <c:v>2140.625</c:v>
                </c:pt>
                <c:pt idx="30">
                  <c:v>2172.6190476190477</c:v>
                </c:pt>
                <c:pt idx="31">
                  <c:v>2140</c:v>
                </c:pt>
                <c:pt idx="32">
                  <c:v>2100.8064516129034</c:v>
                </c:pt>
                <c:pt idx="33">
                  <c:v>2120</c:v>
                </c:pt>
                <c:pt idx="34">
                  <c:v>2137.5</c:v>
                </c:pt>
                <c:pt idx="35">
                  <c:v>2146.2264150943397</c:v>
                </c:pt>
                <c:pt idx="36">
                  <c:v>2201.086956521739</c:v>
                </c:pt>
                <c:pt idx="37">
                  <c:v>2208.3333333333335</c:v>
                </c:pt>
                <c:pt idx="38">
                  <c:v>2320.833333333333</c:v>
                </c:pt>
                <c:pt idx="39">
                  <c:v>2354.1666666666665</c:v>
                </c:pt>
                <c:pt idx="40">
                  <c:v>2458.3333333333335</c:v>
                </c:pt>
                <c:pt idx="41">
                  <c:v>4177.9411764705883</c:v>
                </c:pt>
                <c:pt idx="42">
                  <c:v>578.125</c:v>
                </c:pt>
                <c:pt idx="43">
                  <c:v>549.01960784313724</c:v>
                </c:pt>
                <c:pt idx="44">
                  <c:v>2005</c:v>
                </c:pt>
                <c:pt idx="45">
                  <c:v>2090.6862745098038</c:v>
                </c:pt>
                <c:pt idx="46">
                  <c:v>2179.166666666667</c:v>
                </c:pt>
                <c:pt idx="47">
                  <c:v>688.88888888888891</c:v>
                </c:pt>
                <c:pt idx="48">
                  <c:v>2000</c:v>
                </c:pt>
                <c:pt idx="49">
                  <c:v>2029.7619047619048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6-40E8-81D9-ADAE0C30BCB3}"/>
            </c:ext>
          </c:extLst>
        </c:ser>
        <c:ser>
          <c:idx val="3"/>
          <c:order val="2"/>
          <c:tx>
            <c:v>BIO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VAGAS!$A$87:$A$104</c:f>
              <c:strCache>
                <c:ptCount val="18"/>
                <c:pt idx="0">
                  <c:v>CAPRI VILLAGE</c:v>
                </c:pt>
                <c:pt idx="1">
                  <c:v>Residencial Bálsamo</c:v>
                </c:pt>
                <c:pt idx="2">
                  <c:v>Parque Canoas</c:v>
                </c:pt>
                <c:pt idx="3">
                  <c:v>Torres Dos Franceses</c:v>
                </c:pt>
                <c:pt idx="4">
                  <c:v>Condomínio Residencial Caminhos Do Lago</c:v>
                </c:pt>
                <c:pt idx="5">
                  <c:v>Residencial Camélias</c:v>
                </c:pt>
                <c:pt idx="6">
                  <c:v>BELGRANO</c:v>
                </c:pt>
                <c:pt idx="7">
                  <c:v>RESIDENCIAL CARVALHO</c:v>
                </c:pt>
                <c:pt idx="8">
                  <c:v>Residencial Callas</c:v>
                </c:pt>
                <c:pt idx="9">
                  <c:v>Reserva Das Flores</c:v>
                </c:pt>
                <c:pt idx="10">
                  <c:v>Spazio Imperatriz</c:v>
                </c:pt>
                <c:pt idx="11">
                  <c:v>Residencial Veredas</c:v>
                </c:pt>
                <c:pt idx="12">
                  <c:v>Residencial Giardino Di Bali</c:v>
                </c:pt>
                <c:pt idx="13">
                  <c:v>Epic</c:v>
                </c:pt>
                <c:pt idx="14">
                  <c:v>Chapada Redentori</c:v>
                </c:pt>
                <c:pt idx="15">
                  <c:v>Residencial Tokyo</c:v>
                </c:pt>
                <c:pt idx="16">
                  <c:v>Gran Porto</c:v>
                </c:pt>
                <c:pt idx="17">
                  <c:v>Mirante Dos Coqueiros</c:v>
                </c:pt>
              </c:strCache>
            </c:strRef>
          </c:xVal>
          <c:yVal>
            <c:numRef>
              <c:f>VAGAS!$B$87:$B$104</c:f>
              <c:numCache>
                <c:formatCode>_("R$"* #,##0.00_);_("R$"* \(#,##0.00\);_("R$"* "-"??_);_(@_)</c:formatCode>
                <c:ptCount val="18"/>
                <c:pt idx="0">
                  <c:v>18828.125</c:v>
                </c:pt>
                <c:pt idx="1">
                  <c:v>1121.875</c:v>
                </c:pt>
                <c:pt idx="2">
                  <c:v>9196.6019417475727</c:v>
                </c:pt>
                <c:pt idx="3">
                  <c:v>1119.4444444444443</c:v>
                </c:pt>
                <c:pt idx="4">
                  <c:v>1194.4444444444443</c:v>
                </c:pt>
                <c:pt idx="5">
                  <c:v>2000</c:v>
                </c:pt>
                <c:pt idx="6">
                  <c:v>2029.4117647058824</c:v>
                </c:pt>
                <c:pt idx="7">
                  <c:v>2044.4444444444443</c:v>
                </c:pt>
                <c:pt idx="8">
                  <c:v>2044.4444444444443</c:v>
                </c:pt>
                <c:pt idx="9">
                  <c:v>2078.125</c:v>
                </c:pt>
                <c:pt idx="10">
                  <c:v>2170.4545454545455</c:v>
                </c:pt>
                <c:pt idx="11">
                  <c:v>2081.521739130435</c:v>
                </c:pt>
                <c:pt idx="12">
                  <c:v>2244.791666666667</c:v>
                </c:pt>
                <c:pt idx="13">
                  <c:v>2156.25</c:v>
                </c:pt>
                <c:pt idx="14">
                  <c:v>2175</c:v>
                </c:pt>
                <c:pt idx="15">
                  <c:v>2250</c:v>
                </c:pt>
                <c:pt idx="16">
                  <c:v>2270.408163265306</c:v>
                </c:pt>
                <c:pt idx="17">
                  <c:v>2370.3703703703704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76-40E8-81D9-ADAE0C30B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467744"/>
        <c:axId val="892455744"/>
      </c:scatterChart>
      <c:valAx>
        <c:axId val="89246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455744"/>
        <c:crosses val="autoZero"/>
        <c:crossBetween val="midCat"/>
      </c:valAx>
      <c:valAx>
        <c:axId val="892455744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467744"/>
        <c:crosses val="autoZero"/>
        <c:crossBetween val="midCat"/>
        <c:majorUnit val="1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733697</xdr:colOff>
      <xdr:row>12</xdr:row>
      <xdr:rowOff>49257</xdr:rowOff>
    </xdr:from>
    <xdr:to>
      <xdr:col>4</xdr:col>
      <xdr:colOff>884464</xdr:colOff>
      <xdr:row>38</xdr:row>
      <xdr:rowOff>54428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0E0619-4844-5167-4829-8905BB7FB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598713</xdr:colOff>
      <xdr:row>12</xdr:row>
      <xdr:rowOff>16327</xdr:rowOff>
    </xdr:from>
    <xdr:to>
      <xdr:col>12</xdr:col>
      <xdr:colOff>827314</xdr:colOff>
      <xdr:row>37</xdr:row>
      <xdr:rowOff>185056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FF31AA4-1634-016F-009D-02B8C0E73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750569</xdr:colOff>
      <xdr:row>2</xdr:row>
      <xdr:rowOff>123825</xdr:rowOff>
    </xdr:from>
    <xdr:to>
      <xdr:col>8</xdr:col>
      <xdr:colOff>2714351</xdr:colOff>
      <xdr:row>17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3F6A3C-2EB6-B793-9885-3CC55D3A9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974271</xdr:colOff>
      <xdr:row>20</xdr:row>
      <xdr:rowOff>31568</xdr:rowOff>
    </xdr:from>
    <xdr:to>
      <xdr:col>6</xdr:col>
      <xdr:colOff>440871</xdr:colOff>
      <xdr:row>33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BAE46D-B64F-9FD5-BB05-73A9B2E3C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</xdr:colOff>
      <xdr:row>38</xdr:row>
      <xdr:rowOff>952</xdr:rowOff>
    </xdr:from>
    <xdr:to>
      <xdr:col>6</xdr:col>
      <xdr:colOff>666750</xdr:colOff>
      <xdr:row>51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E674FA0-E00E-EA98-D1D5-F96A67178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70</xdr:row>
      <xdr:rowOff>65722</xdr:rowOff>
    </xdr:from>
    <xdr:to>
      <xdr:col>17</xdr:col>
      <xdr:colOff>38100</xdr:colOff>
      <xdr:row>98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5D09E7-7400-4C52-B2D0-B8ABE94E0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70</xdr:row>
      <xdr:rowOff>65722</xdr:rowOff>
    </xdr:from>
    <xdr:to>
      <xdr:col>17</xdr:col>
      <xdr:colOff>38100</xdr:colOff>
      <xdr:row>98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F9BE8A-25B9-4740-A13D-6D57CDBF1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370114</xdr:colOff>
      <xdr:row>54</xdr:row>
      <xdr:rowOff>152807</xdr:rowOff>
    </xdr:from>
    <xdr:to>
      <xdr:col>16</xdr:col>
      <xdr:colOff>560614</xdr:colOff>
      <xdr:row>82</xdr:row>
      <xdr:rowOff>106135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1732DB-84B5-4E7D-A377-8DC8501DA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396240</xdr:colOff>
      <xdr:row>11</xdr:row>
      <xdr:rowOff>167640</xdr:rowOff>
    </xdr:from>
    <xdr:to>
      <xdr:col>8</xdr:col>
      <xdr:colOff>364590</xdr:colOff>
      <xdr:row>24</xdr:row>
      <xdr:rowOff>132023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728014F-5712-4BAC-A9A9-F51372792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840" y="2179320"/>
          <a:ext cx="4241265" cy="23532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rvengenhariasa-my.sharepoint.com/personal/barbara_cpadua_mrv_com_br/Documents/&#193;rea%20de%20Trabalho/DEMANDAS/DIMENS&#213;ES/Ferramenta%20dimens&#245;es%20V1.xlsx" TargetMode="External"/><Relationship Id="rId1" Type="http://schemas.openxmlformats.org/officeDocument/2006/relationships/externalLinkPath" Target="https://mrvengenhariasa.sharepoint.com/sites/produtos-mrv/Documentos%20Compartilhados/01_GEST&#195;O%20COP/01.%20CONCEP&#199;&#195;O/01.%20DIMENS&#213;ES%20DE%20PRODUTO/FERRAMENTA/DEMANDAS/DIMENS&#213;ES/Ferramenta%20dimens&#245;es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 DE PRODUTOS"/>
      <sheetName val="FERRAMENTA TESTES"/>
      <sheetName val="FERRAMENTA TESTES - V2"/>
      <sheetName val="LA VIENA 2"/>
      <sheetName val="BASE"/>
      <sheetName val="PILOTO"/>
      <sheetName val="BD_CUSTO"/>
      <sheetName val="BD_RÉGUAS"/>
      <sheetName val="Análise dados"/>
      <sheetName val="Planilha13"/>
      <sheetName val="Planilha3"/>
      <sheetName val="Analise de dados V3"/>
      <sheetName val="Análise de dados V2"/>
      <sheetName val="NOVAS RÉGUAS"/>
      <sheetName val="Planilha6"/>
      <sheetName val="Planilha4"/>
      <sheetName val="Planilha2"/>
      <sheetName val="FERRAMENTA TESTES - V3"/>
      <sheetName val="FERRAMENTA TESTES - V4"/>
      <sheetName val="FERRAMENTA TESTES - V5"/>
      <sheetName val="Planilh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I3" t="str">
            <v>LAZER</v>
          </cell>
          <cell r="J3"/>
        </row>
        <row r="4">
          <cell r="E4" t="str">
            <v>SEM PISO</v>
          </cell>
          <cell r="F4">
            <v>530</v>
          </cell>
          <cell r="I4" t="str">
            <v>PLAYGROUND</v>
          </cell>
          <cell r="J4">
            <v>23150</v>
          </cell>
          <cell r="M4" t="str">
            <v>COM SUÍTE</v>
          </cell>
          <cell r="N4">
            <v>6000</v>
          </cell>
          <cell r="Q4" t="str">
            <v>COM VAGA MOTO</v>
          </cell>
          <cell r="R4">
            <v>1000</v>
          </cell>
        </row>
        <row r="5">
          <cell r="F5">
            <v>2430</v>
          </cell>
          <cell r="I5" t="str">
            <v>PET PLACE</v>
          </cell>
          <cell r="J5">
            <v>6950</v>
          </cell>
          <cell r="N5">
            <v>0</v>
          </cell>
          <cell r="R5">
            <v>0</v>
          </cell>
        </row>
        <row r="6">
          <cell r="E6" t="str">
            <v>SEM PISO</v>
          </cell>
          <cell r="F6">
            <v>70</v>
          </cell>
          <cell r="I6" t="str">
            <v>PIQUENIQUE</v>
          </cell>
          <cell r="J6">
            <v>6960</v>
          </cell>
          <cell r="M6" t="str">
            <v>COM VARANDA</v>
          </cell>
          <cell r="N6">
            <v>3000</v>
          </cell>
        </row>
        <row r="7">
          <cell r="F7">
            <v>260</v>
          </cell>
          <cell r="I7" t="str">
            <v>FUNCIONAL</v>
          </cell>
          <cell r="J7">
            <v>10790</v>
          </cell>
          <cell r="Q7" t="str">
            <v>COM VAGA EM SOLO</v>
          </cell>
          <cell r="R7">
            <v>2000</v>
          </cell>
        </row>
        <row r="8">
          <cell r="E8" t="str">
            <v>1 FIADA</v>
          </cell>
          <cell r="F8">
            <v>600</v>
          </cell>
          <cell r="I8" t="str">
            <v>REDÁRIO</v>
          </cell>
          <cell r="J8">
            <v>7560</v>
          </cell>
          <cell r="R8">
            <v>0</v>
          </cell>
        </row>
        <row r="9">
          <cell r="F9">
            <v>900</v>
          </cell>
          <cell r="I9" t="str">
            <v>SOLARIUM</v>
          </cell>
          <cell r="J9">
            <v>12900</v>
          </cell>
        </row>
        <row r="10">
          <cell r="E10" t="str">
            <v>TEXT</v>
          </cell>
          <cell r="F10">
            <v>500</v>
          </cell>
          <cell r="I10" t="str">
            <v>BICICLETÁRIO</v>
          </cell>
          <cell r="J10">
            <v>5300</v>
          </cell>
        </row>
        <row r="11">
          <cell r="F11">
            <v>935</v>
          </cell>
          <cell r="I11" t="str">
            <v>GAZEBO</v>
          </cell>
          <cell r="J11">
            <v>16200</v>
          </cell>
        </row>
        <row r="12">
          <cell r="E12" t="str">
            <v>COMBO 01</v>
          </cell>
          <cell r="F12">
            <v>370</v>
          </cell>
          <cell r="I12" t="str">
            <v>PISCINA</v>
          </cell>
          <cell r="J12">
            <v>275167.58</v>
          </cell>
        </row>
        <row r="13">
          <cell r="F13">
            <v>930</v>
          </cell>
          <cell r="I13" t="str">
            <v>QUADRA DE AREIA</v>
          </cell>
          <cell r="J13">
            <v>98050</v>
          </cell>
          <cell r="Q13"/>
          <cell r="R13"/>
        </row>
        <row r="14">
          <cell r="E14" t="str">
            <v>ARDÓSIA</v>
          </cell>
          <cell r="F14">
            <v>90</v>
          </cell>
          <cell r="I14" t="str">
            <v>QUADRA RECREATIVA</v>
          </cell>
          <cell r="J14">
            <v>126068.64</v>
          </cell>
          <cell r="R14"/>
        </row>
        <row r="15">
          <cell r="F15">
            <v>240</v>
          </cell>
          <cell r="I15" t="str">
            <v>MINI Q. DE BASQUETE</v>
          </cell>
          <cell r="J15">
            <v>56908.88</v>
          </cell>
        </row>
        <row r="16">
          <cell r="E16" t="str">
            <v>VIDRO SIMPLE (2 FOLHAS)</v>
          </cell>
          <cell r="F16">
            <v>720</v>
          </cell>
          <cell r="I16" t="str">
            <v>CHURRASQUEIRA</v>
          </cell>
          <cell r="J16">
            <v>85149.119999999995</v>
          </cell>
        </row>
        <row r="17">
          <cell r="F17">
            <v>1320</v>
          </cell>
          <cell r="I17" t="str">
            <v>KIDS</v>
          </cell>
          <cell r="J17">
            <v>62156.32</v>
          </cell>
        </row>
        <row r="18">
          <cell r="I18" t="str">
            <v>LAVANDERIA</v>
          </cell>
          <cell r="J18">
            <v>123156.9</v>
          </cell>
        </row>
        <row r="19">
          <cell r="I19" t="str">
            <v>JOGOS</v>
          </cell>
          <cell r="J19">
            <v>79733.19</v>
          </cell>
        </row>
        <row r="20">
          <cell r="I20" t="str">
            <v>SALÃO DE FESTAS</v>
          </cell>
          <cell r="J20">
            <v>123156.9</v>
          </cell>
        </row>
        <row r="21">
          <cell r="I21" t="str">
            <v>HOME OFFICE</v>
          </cell>
          <cell r="J21">
            <v>82055.11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arbara Cristina Fernandes Padua" id="{B635E884-3FAB-4CF3-9D63-FB8019E06DF0}" userId="S::barbara.cpadua@mrv.com.br::340f00ba-238d-47db-86ae-aa7752c66fc1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rvengenhariasa.sharepoint.com/sites/produtos-mrv/Documentos%20Compartilhados/01_GEST&#195;O%20COP/01.%20CONCEP&#199;&#195;O/01.%20DIMENS&#213;ES%20DE%20PRODUTO/FERRAMENTA/Dimens&#245;es%20NV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ara Cristina Fernandes Padua" refreshedDate="45763.628365393517" createdVersion="8" refreshedVersion="8" minRefreshableVersion="3" recordCount="102" xr:uid="{7A47F1F4-1F6F-4E03-90D9-7A474A0F9930}">
  <cacheSource type="worksheet">
    <worksheetSource ref="A2:F104" sheet="Planilha16" r:id="rId2"/>
  </cacheSource>
  <cacheFields count="6">
    <cacheField name="EMPREENDIMENTO" numFmtId="0">
      <sharedItems/>
    </cacheField>
    <cacheField name="CLASSIFICAÇÃO_x000a_ACAB" numFmtId="0">
      <sharedItems count="3">
        <s v="ACAB 01"/>
        <s v="ACAB 02"/>
        <s v="ACAB 03"/>
      </sharedItems>
    </cacheField>
    <cacheField name="CLASSIFICAÇÃO _x000a_LAZER" numFmtId="0">
      <sharedItems count="4">
        <s v="LZ 03"/>
        <s v="LZ 01"/>
        <s v="LZ 02"/>
        <s v="LZ 04"/>
      </sharedItems>
    </cacheField>
    <cacheField name="CLASSIFICAÇÃO _x000a_TIPOLOGIA" numFmtId="0">
      <sharedItems count="3">
        <s v="TIP 01"/>
        <s v="TIP 02"/>
        <s v="TIP 03"/>
      </sharedItems>
    </cacheField>
    <cacheField name="CLASSIFICAÇÃO_x000a_VAGA" numFmtId="0">
      <sharedItems count="3">
        <s v="VAGA 01"/>
        <s v="VAGA 02"/>
        <s v="VAGA 03"/>
      </sharedItems>
    </cacheField>
    <cacheField name="R. INTERSEÇÃO" numFmtId="0">
      <sharedItems count="3">
        <s v="ESSENCIAL"/>
        <s v="ECO"/>
        <s v="B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ara Cristina Fernandes Padua" refreshedDate="45771.72468958333" createdVersion="8" refreshedVersion="8" minRefreshableVersion="3" recordCount="102" xr:uid="{F8935BC8-C69C-4E46-951B-D9778B0D1E3E}">
  <cacheSource type="worksheet">
    <worksheetSource name="Tabela1"/>
  </cacheSource>
  <cacheFields count="104">
    <cacheField name="Coluna1" numFmtId="0">
      <sharedItems containsSemiMixedTypes="0" containsString="0" containsNumber="1" containsInteger="1" minValue="1" maxValue="103"/>
    </cacheField>
    <cacheField name="EMPREENDIMENTO" numFmtId="0">
      <sharedItems/>
    </cacheField>
    <cacheField name="REG" numFmtId="0">
      <sharedItems containsBlank="1" count="9">
        <s v="NE"/>
        <s v="SP"/>
        <s v="RJ"/>
        <s v="SPI"/>
        <s v="SUL"/>
        <s v="MG-ES"/>
        <s v="CO/AM"/>
        <m/>
        <s v="RP" u="1"/>
      </sharedItems>
    </cacheField>
    <cacheField name="Nº UNDS" numFmtId="0">
      <sharedItems containsSemiMixedTypes="0" containsString="0" containsNumber="1" containsInteger="1" minValue="96" maxValue="1064"/>
    </cacheField>
    <cacheField name="INTERVALO UND" numFmtId="0">
      <sharedItems/>
    </cacheField>
    <cacheField name="TIPO" numFmtId="0">
      <sharedItems count="2">
        <s v="BLOCO"/>
        <s v="TORRE"/>
      </sharedItems>
    </cacheField>
    <cacheField name="QTD DE B/T" numFmtId="0">
      <sharedItems containsSemiMixedTypes="0" containsString="0" containsNumber="1" containsInteger="1" minValue="1" maxValue="37"/>
    </cacheField>
    <cacheField name="Nº PAV1" numFmtId="0">
      <sharedItems containsSemiMixedTypes="0" containsString="0" containsNumber="1" containsInteger="1" minValue="4" maxValue="24"/>
    </cacheField>
    <cacheField name="QTD DE B/T 2" numFmtId="0">
      <sharedItems containsString="0" containsBlank="1" containsNumber="1" containsInteger="1" minValue="1" maxValue="5"/>
    </cacheField>
    <cacheField name="Nº PAV2" numFmtId="0">
      <sharedItems containsString="0" containsBlank="1" containsNumber="1" containsInteger="1" minValue="12" maxValue="23"/>
    </cacheField>
    <cacheField name="BLOCO TOTAL" numFmtId="0">
      <sharedItems containsSemiMixedTypes="0" containsString="0" containsNumber="1" containsInteger="1" minValue="1" maxValue="37"/>
    </cacheField>
    <cacheField name="ELEVADOR" numFmtId="0">
      <sharedItems containsSemiMixedTypes="0" containsString="0" containsNumber="1" containsInteger="1" minValue="0" maxValue="23"/>
    </cacheField>
    <cacheField name="QTD DE ELEVADOR P/BLOCO/TORRE" numFmtId="0">
      <sharedItems containsSemiMixedTypes="0" containsString="0" containsNumber="1" minValue="0" maxValue="4"/>
    </cacheField>
    <cacheField name="PRODUTO ATUAL " numFmtId="0">
      <sharedItems count="3">
        <s v="Essencial"/>
        <s v="Eco"/>
        <s v="Bio"/>
      </sharedItems>
    </cacheField>
    <cacheField name="PISO SALA E QUARTO" numFmtId="0">
      <sharedItems/>
    </cacheField>
    <cacheField name="PISO COZINHA" numFmtId="0">
      <sharedItems/>
    </cacheField>
    <cacheField name="PAREDES HIDR." numFmtId="0">
      <sharedItems/>
    </cacheField>
    <cacheField name="TETO" numFmtId="0">
      <sharedItems/>
    </cacheField>
    <cacheField name="BANCADA" numFmtId="0">
      <sharedItems/>
    </cacheField>
    <cacheField name="PEDRAS" numFmtId="0">
      <sharedItems/>
    </cacheField>
    <cacheField name="ESQUADRIAS" numFmtId="0">
      <sharedItems containsBlank="1"/>
    </cacheField>
    <cacheField name="SOMA_PISO SALA E QUARTO" numFmtId="44">
      <sharedItems containsSemiMixedTypes="0" containsString="0" containsNumber="1" containsInteger="1" minValue="530" maxValue="2430"/>
    </cacheField>
    <cacheField name="SOMA_PISO COZINHA" numFmtId="44">
      <sharedItems containsSemiMixedTypes="0" containsString="0" containsNumber="1" containsInteger="1" minValue="70" maxValue="260"/>
    </cacheField>
    <cacheField name="SOMA_PAREDE HIDR" numFmtId="44">
      <sharedItems containsSemiMixedTypes="0" containsString="0" containsNumber="1" containsInteger="1" minValue="600" maxValue="900"/>
    </cacheField>
    <cacheField name="SOMA_TETO" numFmtId="44">
      <sharedItems containsSemiMixedTypes="0" containsString="0" containsNumber="1" containsInteger="1" minValue="500" maxValue="935"/>
    </cacheField>
    <cacheField name="SOMA_BANCADA" numFmtId="44">
      <sharedItems containsSemiMixedTypes="0" containsString="0" containsNumber="1" containsInteger="1" minValue="370" maxValue="930"/>
    </cacheField>
    <cacheField name="SOMA_PEDRAS" numFmtId="44">
      <sharedItems containsSemiMixedTypes="0" containsString="0" containsNumber="1" containsInteger="1" minValue="90" maxValue="240"/>
    </cacheField>
    <cacheField name="SOMA_ESQUADRAIS" numFmtId="44">
      <sharedItems containsSemiMixedTypes="0" containsString="0" containsNumber="1" containsInteger="1" minValue="720" maxValue="1320"/>
    </cacheField>
    <cacheField name="LZ 01" numFmtId="0">
      <sharedItems/>
    </cacheField>
    <cacheField name="QTD" numFmtId="0">
      <sharedItems containsSemiMixedTypes="0" containsString="0" containsNumber="1" containsInteger="1" minValue="1" maxValue="3"/>
    </cacheField>
    <cacheField name="LZ 02" numFmtId="0">
      <sharedItems/>
    </cacheField>
    <cacheField name="QTD2" numFmtId="0">
      <sharedItems containsSemiMixedTypes="0" containsString="0" containsNumber="1" containsInteger="1" minValue="1" maxValue="6"/>
    </cacheField>
    <cacheField name="LZ 03" numFmtId="0">
      <sharedItems/>
    </cacheField>
    <cacheField name="QTD3" numFmtId="0">
      <sharedItems containsSemiMixedTypes="0" containsString="0" containsNumber="1" containsInteger="1" minValue="1" maxValue="10"/>
    </cacheField>
    <cacheField name="LZ 04" numFmtId="0">
      <sharedItems containsBlank="1"/>
    </cacheField>
    <cacheField name="QTD4" numFmtId="0">
      <sharedItems containsString="0" containsBlank="1" containsNumber="1" containsInteger="1" minValue="1" maxValue="4"/>
    </cacheField>
    <cacheField name="LZ 05" numFmtId="0">
      <sharedItems containsBlank="1"/>
    </cacheField>
    <cacheField name="QTD5" numFmtId="0">
      <sharedItems containsString="0" containsBlank="1" containsNumber="1" containsInteger="1" minValue="1" maxValue="12"/>
    </cacheField>
    <cacheField name="LZ 06" numFmtId="0">
      <sharedItems containsBlank="1"/>
    </cacheField>
    <cacheField name="QTD6" numFmtId="0">
      <sharedItems containsString="0" containsBlank="1" containsNumber="1" containsInteger="1" minValue="0" maxValue="2"/>
    </cacheField>
    <cacheField name="LZ 07" numFmtId="0">
      <sharedItems containsBlank="1"/>
    </cacheField>
    <cacheField name="QTD7" numFmtId="0">
      <sharedItems containsString="0" containsBlank="1" containsNumber="1" containsInteger="1" minValue="0" maxValue="3"/>
    </cacheField>
    <cacheField name="LZ 08" numFmtId="0">
      <sharedItems containsBlank="1"/>
    </cacheField>
    <cacheField name="QTD9" numFmtId="0">
      <sharedItems containsString="0" containsBlank="1" containsNumber="1" containsInteger="1" minValue="0" maxValue="3"/>
    </cacheField>
    <cacheField name="LZ 09" numFmtId="0">
      <sharedItems containsBlank="1"/>
    </cacheField>
    <cacheField name="QTD92" numFmtId="0">
      <sharedItems containsString="0" containsBlank="1" containsNumber="1" containsInteger="1" minValue="1" maxValue="1"/>
    </cacheField>
    <cacheField name="LZ 10" numFmtId="0">
      <sharedItems containsBlank="1"/>
    </cacheField>
    <cacheField name="QTD922" numFmtId="0">
      <sharedItems containsString="0" containsBlank="1" containsNumber="1" containsInteger="1" minValue="1" maxValue="2"/>
    </cacheField>
    <cacheField name="SOMA_LZ 01" numFmtId="44">
      <sharedItems containsSemiMixedTypes="0" containsString="0" containsNumber="1" minValue="8.9527027027027035" maxValue="2866.3289583333335"/>
    </cacheField>
    <cacheField name="SOMA_LZ 02" numFmtId="44">
      <sharedItems containsSemiMixedTypes="0" containsString="0" containsNumber="1" minValue="9.4642857142857135" maxValue="1375.8379"/>
    </cacheField>
    <cacheField name="SOMA_LZ 03" numFmtId="44">
      <sharedItems containsSemiMixedTypes="0" containsString="0" containsNumber="1" minValue="14.012096774193548" maxValue="1433.1644791666668"/>
    </cacheField>
    <cacheField name="SOMA_LZ 04" numFmtId="44">
      <sharedItems containsSemiMixedTypes="0" containsString="0" containsNumber="1" minValue="0" maxValue="1348.8606862745098"/>
    </cacheField>
    <cacheField name="SOMA_LZ 05" numFmtId="44">
      <sharedItems containsSemiMixedTypes="0" containsString="0" containsNumber="1" minValue="0" maxValue="1433.1644791666668"/>
    </cacheField>
    <cacheField name="SOMA_LZ 06" numFmtId="44">
      <sharedItems containsSemiMixedTypes="0" containsString="0" containsNumber="1" minValue="0" maxValue="2023.2910294117648"/>
    </cacheField>
    <cacheField name="SOMA_LZ 07" numFmtId="44">
      <sharedItems containsSemiMixedTypes="0" containsString="0" containsNumber="1" minValue="0" maxValue="1146.5315833333334"/>
    </cacheField>
    <cacheField name="SOMA_LZ 08" numFmtId="44">
      <sharedItems containsSemiMixedTypes="0" containsString="0" containsNumber="1" minValue="0" maxValue="955.44298611111117"/>
    </cacheField>
    <cacheField name="SOMA_LZ 09" numFmtId="44">
      <sharedItems containsSemiMixedTypes="0" containsString="0" containsNumber="1" minValue="0" maxValue="859.89868750000005"/>
    </cacheField>
    <cacheField name="SOMA_LZ 10" numFmtId="44">
      <sharedItems containsSemiMixedTypes="0" containsString="0" containsNumber="1" minValue="0" maxValue="788.4177777777777"/>
    </cacheField>
    <cacheField name="VARANDA" numFmtId="0">
      <sharedItems/>
    </cacheField>
    <cacheField name="QTD10" numFmtId="9">
      <sharedItems containsSemiMixedTypes="0" containsString="0" containsNumber="1" minValue="0" maxValue="0.98124999999999996"/>
    </cacheField>
    <cacheField name="SUÍTE" numFmtId="0">
      <sharedItems/>
    </cacheField>
    <cacheField name="QTD11" numFmtId="9">
      <sharedItems containsString="0" containsBlank="1" containsNumber="1" minValue="0" maxValue="0.625"/>
    </cacheField>
    <cacheField name="SOMA_VARANDA" numFmtId="44">
      <sharedItems containsSemiMixedTypes="0" containsString="0" containsNumber="1" minValue="0" maxValue="2943.75"/>
    </cacheField>
    <cacheField name="SOMA_SUÍTE" numFmtId="44">
      <sharedItems containsSemiMixedTypes="0" containsString="0" containsNumber="1" minValue="0" maxValue="3750"/>
    </cacheField>
    <cacheField name="VAGA EM SOLO" numFmtId="0">
      <sharedItems/>
    </cacheField>
    <cacheField name="QTD " numFmtId="0">
      <sharedItems containsSemiMixedTypes="0" containsString="0" containsNumber="1" containsInteger="1" minValue="0" maxValue="609"/>
    </cacheField>
    <cacheField name="%" numFmtId="9">
      <sharedItems containsSemiMixedTypes="0" containsString="0" containsNumber="1" minValue="0" maxValue="1.2291666666666667"/>
    </cacheField>
    <cacheField name="VAGA DE MOTO" numFmtId="0">
      <sharedItems containsBlank="1"/>
    </cacheField>
    <cacheField name="QTD %13" numFmtId="0">
      <sharedItems containsString="0" containsBlank="1" containsNumber="1" containsInteger="1" minValue="0" maxValue="220"/>
    </cacheField>
    <cacheField name="VAGA PILOTIS" numFmtId="0">
      <sharedItems/>
    </cacheField>
    <cacheField name="QTD %14" numFmtId="0">
      <sharedItems containsSemiMixedTypes="0" containsString="0" containsNumber="1" containsInteger="1" minValue="0" maxValue="0"/>
    </cacheField>
    <cacheField name="VAGA ED GARAGEM" numFmtId="0">
      <sharedItems count="2">
        <s v="SEM VAGA ED. GARAGEM"/>
        <s v="COM VAGA EM ED. GARAGEM"/>
      </sharedItems>
    </cacheField>
    <cacheField name="QTD %15" numFmtId="0">
      <sharedItems containsSemiMixedTypes="0" containsString="0" containsNumber="1" containsInteger="1" minValue="0" maxValue="241"/>
    </cacheField>
    <cacheField name="SOMA_VAGA EM SOLO" numFmtId="44">
      <sharedItems containsSemiMixedTypes="0" containsString="0" containsNumber="1" minValue="0" maxValue="2458.3333333333335"/>
    </cacheField>
    <cacheField name="SOMA_VAGA MOTO" numFmtId="44">
      <sharedItems containsSemiMixedTypes="0" containsString="0" containsNumber="1" minValue="0" maxValue="588.23529411764707"/>
    </cacheField>
    <cacheField name="SOMA_VAGA PILOTIS" numFmtId="0">
      <sharedItems containsSemiMixedTypes="0" containsString="0" containsNumber="1" containsInteger="1" minValue="0" maxValue="0"/>
    </cacheField>
    <cacheField name="SOMA_VAGA ED GARAGEM" numFmtId="44">
      <sharedItems containsSemiMixedTypes="0" containsString="0" containsNumber="1" minValue="0" maxValue="18828.125"/>
    </cacheField>
    <cacheField name="TOTAL  ACAB" numFmtId="44">
      <sharedItems containsSemiMixedTypes="0" containsString="0" containsNumber="1" containsInteger="1" minValue="2090" maxValue="5435"/>
    </cacheField>
    <cacheField name="CLASSIFICAÇÃO_x000a_ACAB" numFmtId="0">
      <sharedItems/>
    </cacheField>
    <cacheField name="TOTAL LAZER " numFmtId="44">
      <sharedItems containsSemiMixedTypes="0" containsString="0" containsNumber="1" minValue="121.23287671232876" maxValue="4049.6531250000003"/>
    </cacheField>
    <cacheField name="CLASSIFICAÇÃO _x000a_LAZER" numFmtId="0">
      <sharedItems/>
    </cacheField>
    <cacheField name="TOTAL TIPOLOGIA" numFmtId="44">
      <sharedItems containsSemiMixedTypes="0" containsString="0" containsNumber="1" minValue="0" maxValue="6499.7999999999993"/>
    </cacheField>
    <cacheField name="CLASSIFICAÇÃO _x000a_TIPOLOGIA" numFmtId="0">
      <sharedItems/>
    </cacheField>
    <cacheField name="TOTAL VAGA" numFmtId="44">
      <sharedItems containsSemiMixedTypes="0" containsString="0" containsNumber="1" minValue="0" maxValue="18828.125"/>
    </cacheField>
    <cacheField name="CLASSIFICAÇÃO_x000a_VAGA" numFmtId="0">
      <sharedItems/>
    </cacheField>
    <cacheField name="TOTAL ELEVADOR" numFmtId="44">
      <sharedItems containsSemiMixedTypes="0" containsString="0" containsNumber="1" minValue="0" maxValue="11440.227272727272"/>
    </cacheField>
    <cacheField name="CLASSIFICAÇÃO ELEVADOR" numFmtId="44">
      <sharedItems/>
    </cacheField>
    <cacheField name="CUSTO_x000a_5D" numFmtId="44">
      <sharedItems containsSemiMixedTypes="0" containsString="0" containsNumber="1" minValue="4041.9611428571429" maxValue="41018.893750000003"/>
    </cacheField>
    <cacheField name="CLASSIFICAÇÃO _x000a_5D " numFmtId="0">
      <sharedItems/>
    </cacheField>
    <cacheField name="INTERVALO DE INTERSEÇÃO 5D" numFmtId="44">
      <sharedItems/>
    </cacheField>
    <cacheField name="CUSTO 4D" numFmtId="44">
      <sharedItems containsSemiMixedTypes="0" containsString="0" containsNumber="1" minValue="3168.3177631578947" maxValue="32629.393749999999"/>
    </cacheField>
    <cacheField name="CLASSIFICAÇÃO _x000a_4D" numFmtId="0">
      <sharedItems/>
    </cacheField>
    <cacheField name=" R. INTERSEÇÃO" numFmtId="0">
      <sharedItems/>
    </cacheField>
    <cacheField name="PRODUTO OPOSTO" numFmtId="0">
      <sharedItems/>
    </cacheField>
    <cacheField name="CLASSIFICAÇÃO FINAL 5D" numFmtId="0">
      <sharedItems/>
    </cacheField>
    <cacheField name="ADERENCIA 5D" numFmtId="0">
      <sharedItems/>
    </cacheField>
    <cacheField name="CUSTO 4D2" numFmtId="44">
      <sharedItems containsSemiMixedTypes="0" containsString="0" containsNumber="1" minValue="3168.3177631578947" maxValue="32629.393749999999"/>
    </cacheField>
    <cacheField name="CLASSIFICAÇÃO _x000a_4D2" numFmtId="0">
      <sharedItems/>
    </cacheField>
    <cacheField name="INTERSERÇÃO _x000a_4D" numFmtId="0">
      <sharedItems/>
    </cacheField>
    <cacheField name="CUSTO 2D" numFmtId="44">
      <sharedItems containsSemiMixedTypes="0" containsString="0" containsNumber="1" minValue="2511.2328767123286" maxValue="9050.4522222222222"/>
    </cacheField>
    <cacheField name="CLASSIFICAÇÃO 2D" numFmtId="0">
      <sharedItems/>
    </cacheField>
    <cacheField name="R. INTERSEÇÃO" numFmtId="0">
      <sharedItems count="3">
        <s v="ESSENCIAL"/>
        <s v="ECO"/>
        <s v="BIO"/>
      </sharedItems>
    </cacheField>
    <cacheField name="ADERENCIA 4D + 2D" numFmtId="0">
      <sharedItems count="2">
        <s v="ADERENTE"/>
        <s v="NÃO ADERENTE"/>
      </sharedItems>
    </cacheField>
    <cacheField name="ADERÊNCIA 4D" numFmtId="0">
      <sharedItems count="2">
        <s v="ADERENTE"/>
        <s v="NÃO ADERE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s v="Recanto Dos Sabiás"/>
    <x v="0"/>
    <x v="0"/>
    <x v="0"/>
    <x v="0"/>
    <x v="0"/>
  </r>
  <r>
    <s v="SAN LEVI"/>
    <x v="0"/>
    <x v="1"/>
    <x v="0"/>
    <x v="0"/>
    <x v="0"/>
  </r>
  <r>
    <s v="Jardim Das Amoreiras"/>
    <x v="0"/>
    <x v="1"/>
    <x v="1"/>
    <x v="0"/>
    <x v="0"/>
  </r>
  <r>
    <s v="CANTO DAS ÁGUIAS"/>
    <x v="0"/>
    <x v="1"/>
    <x v="0"/>
    <x v="1"/>
    <x v="0"/>
  </r>
  <r>
    <s v="Residencial Reserva Da Mata"/>
    <x v="1"/>
    <x v="2"/>
    <x v="0"/>
    <x v="0"/>
    <x v="0"/>
  </r>
  <r>
    <s v="Morada Dos Sonhos"/>
    <x v="0"/>
    <x v="0"/>
    <x v="1"/>
    <x v="1"/>
    <x v="0"/>
  </r>
  <r>
    <s v="Mirante Da Colina"/>
    <x v="0"/>
    <x v="1"/>
    <x v="0"/>
    <x v="1"/>
    <x v="0"/>
  </r>
  <r>
    <s v="Residencial Mazarello"/>
    <x v="0"/>
    <x v="0"/>
    <x v="0"/>
    <x v="1"/>
    <x v="0"/>
  </r>
  <r>
    <s v="Residencial Luz Da Aurora"/>
    <x v="0"/>
    <x v="2"/>
    <x v="0"/>
    <x v="1"/>
    <x v="0"/>
  </r>
  <r>
    <s v="Porto Bremen"/>
    <x v="0"/>
    <x v="1"/>
    <x v="0"/>
    <x v="1"/>
    <x v="0"/>
  </r>
  <r>
    <s v="Alameda Imperial"/>
    <x v="0"/>
    <x v="2"/>
    <x v="0"/>
    <x v="1"/>
    <x v="0"/>
  </r>
  <r>
    <s v="CAMEMBERT"/>
    <x v="0"/>
    <x v="1"/>
    <x v="0"/>
    <x v="1"/>
    <x v="0"/>
  </r>
  <r>
    <s v="Residencial Poente Do Buriti"/>
    <x v="0"/>
    <x v="2"/>
    <x v="1"/>
    <x v="0"/>
    <x v="0"/>
  </r>
  <r>
    <s v="VALE DO AMANHECER"/>
    <x v="1"/>
    <x v="2"/>
    <x v="0"/>
    <x v="1"/>
    <x v="0"/>
  </r>
  <r>
    <s v="San Miller"/>
    <x v="0"/>
    <x v="1"/>
    <x v="1"/>
    <x v="0"/>
    <x v="0"/>
  </r>
  <r>
    <s v="Gran Arena Itaquera"/>
    <x v="0"/>
    <x v="1"/>
    <x v="0"/>
    <x v="0"/>
    <x v="0"/>
  </r>
  <r>
    <s v="Residencial Liviero"/>
    <x v="0"/>
    <x v="1"/>
    <x v="1"/>
    <x v="0"/>
    <x v="0"/>
  </r>
  <r>
    <s v="Porto Versalhes"/>
    <x v="0"/>
    <x v="1"/>
    <x v="0"/>
    <x v="0"/>
    <x v="0"/>
  </r>
  <r>
    <s v="Palácio De Estocolmo"/>
    <x v="0"/>
    <x v="2"/>
    <x v="0"/>
    <x v="0"/>
    <x v="0"/>
  </r>
  <r>
    <s v="Cores Do Poente"/>
    <x v="0"/>
    <x v="1"/>
    <x v="0"/>
    <x v="0"/>
    <x v="0"/>
  </r>
  <r>
    <s v="Residencial Atlanta"/>
    <x v="1"/>
    <x v="1"/>
    <x v="0"/>
    <x v="1"/>
    <x v="0"/>
  </r>
  <r>
    <s v="Moradas Do Sol"/>
    <x v="1"/>
    <x v="1"/>
    <x v="0"/>
    <x v="1"/>
    <x v="0"/>
  </r>
  <r>
    <s v="Residencial Monte Das Colinas"/>
    <x v="0"/>
    <x v="2"/>
    <x v="0"/>
    <x v="0"/>
    <x v="0"/>
  </r>
  <r>
    <s v="Residencial Mauá"/>
    <x v="0"/>
    <x v="2"/>
    <x v="0"/>
    <x v="0"/>
    <x v="0"/>
  </r>
  <r>
    <s v="Residencial Lagoa De Safira"/>
    <x v="0"/>
    <x v="1"/>
    <x v="0"/>
    <x v="1"/>
    <x v="0"/>
  </r>
  <r>
    <s v="Residencial Loreto"/>
    <x v="0"/>
    <x v="2"/>
    <x v="0"/>
    <x v="1"/>
    <x v="0"/>
  </r>
  <r>
    <s v="Residencial Solar Da Ilha"/>
    <x v="0"/>
    <x v="1"/>
    <x v="0"/>
    <x v="1"/>
    <x v="0"/>
  </r>
  <r>
    <s v="Residencial Riviera"/>
    <x v="0"/>
    <x v="2"/>
    <x v="0"/>
    <x v="1"/>
    <x v="0"/>
  </r>
  <r>
    <s v="Jardim Di Turim"/>
    <x v="0"/>
    <x v="2"/>
    <x v="0"/>
    <x v="1"/>
    <x v="0"/>
  </r>
  <r>
    <s v="Piazza Sirena"/>
    <x v="0"/>
    <x v="1"/>
    <x v="0"/>
    <x v="1"/>
    <x v="0"/>
  </r>
  <r>
    <s v="Benissa Residencial"/>
    <x v="0"/>
    <x v="2"/>
    <x v="0"/>
    <x v="1"/>
    <x v="0"/>
  </r>
  <r>
    <s v="Residencial Bella Suécia"/>
    <x v="1"/>
    <x v="1"/>
    <x v="0"/>
    <x v="1"/>
    <x v="0"/>
  </r>
  <r>
    <s v="Gran Regence"/>
    <x v="1"/>
    <x v="2"/>
    <x v="0"/>
    <x v="1"/>
    <x v="0"/>
  </r>
  <r>
    <s v="Residencial Rio Mar"/>
    <x v="0"/>
    <x v="1"/>
    <x v="0"/>
    <x v="1"/>
    <x v="0"/>
  </r>
  <r>
    <s v="Saint Rose"/>
    <x v="0"/>
    <x v="2"/>
    <x v="1"/>
    <x v="0"/>
    <x v="1"/>
  </r>
  <r>
    <s v="Residencial Lake Da Vinci"/>
    <x v="0"/>
    <x v="3"/>
    <x v="0"/>
    <x v="1"/>
    <x v="1"/>
  </r>
  <r>
    <s v="Residencial Autenticità"/>
    <x v="0"/>
    <x v="3"/>
    <x v="0"/>
    <x v="1"/>
    <x v="1"/>
  </r>
  <r>
    <s v="Residencial Lake Picasso"/>
    <x v="0"/>
    <x v="0"/>
    <x v="1"/>
    <x v="1"/>
    <x v="1"/>
  </r>
  <r>
    <s v="Gran Fornari"/>
    <x v="1"/>
    <x v="0"/>
    <x v="1"/>
    <x v="1"/>
    <x v="1"/>
  </r>
  <r>
    <s v="Real Park"/>
    <x v="1"/>
    <x v="2"/>
    <x v="0"/>
    <x v="0"/>
    <x v="1"/>
  </r>
  <r>
    <s v="Recanto Da Mata"/>
    <x v="1"/>
    <x v="2"/>
    <x v="0"/>
    <x v="0"/>
    <x v="1"/>
  </r>
  <r>
    <s v="Residencial Jardim Bonsai"/>
    <x v="1"/>
    <x v="2"/>
    <x v="0"/>
    <x v="1"/>
    <x v="1"/>
  </r>
  <r>
    <s v="Residence Park"/>
    <x v="1"/>
    <x v="2"/>
    <x v="0"/>
    <x v="1"/>
    <x v="1"/>
  </r>
  <r>
    <s v="Gran Essence"/>
    <x v="1"/>
    <x v="1"/>
    <x v="0"/>
    <x v="1"/>
    <x v="1"/>
  </r>
  <r>
    <s v="Eco Park"/>
    <x v="1"/>
    <x v="3"/>
    <x v="0"/>
    <x v="1"/>
    <x v="1"/>
  </r>
  <r>
    <s v="Residencial Lancelot"/>
    <x v="1"/>
    <x v="2"/>
    <x v="1"/>
    <x v="1"/>
    <x v="1"/>
  </r>
  <r>
    <s v="Residencial Recanto Das Árvores"/>
    <x v="1"/>
    <x v="0"/>
    <x v="0"/>
    <x v="1"/>
    <x v="1"/>
  </r>
  <r>
    <s v="Residencial Mirante Do Vale"/>
    <x v="1"/>
    <x v="2"/>
    <x v="0"/>
    <x v="1"/>
    <x v="1"/>
  </r>
  <r>
    <s v="Palmeira Boreal"/>
    <x v="1"/>
    <x v="2"/>
    <x v="0"/>
    <x v="1"/>
    <x v="1"/>
  </r>
  <r>
    <s v="Chapada Flamboyant"/>
    <x v="1"/>
    <x v="2"/>
    <x v="0"/>
    <x v="1"/>
    <x v="1"/>
  </r>
  <r>
    <s v="Residencial Dunas Do Horizonte"/>
    <x v="1"/>
    <x v="3"/>
    <x v="0"/>
    <x v="1"/>
    <x v="1"/>
  </r>
  <r>
    <s v="Castelo De Versalhes"/>
    <x v="1"/>
    <x v="0"/>
    <x v="0"/>
    <x v="1"/>
    <x v="1"/>
  </r>
  <r>
    <s v="Residencial Campo Di Ravena"/>
    <x v="1"/>
    <x v="0"/>
    <x v="1"/>
    <x v="1"/>
    <x v="1"/>
  </r>
  <r>
    <s v="Gran Luna"/>
    <x v="1"/>
    <x v="1"/>
    <x v="0"/>
    <x v="1"/>
    <x v="1"/>
  </r>
  <r>
    <s v="Residencial Poente Das Orquídeas"/>
    <x v="1"/>
    <x v="2"/>
    <x v="1"/>
    <x v="0"/>
    <x v="1"/>
  </r>
  <r>
    <s v="Residencial Mandacaru"/>
    <x v="1"/>
    <x v="3"/>
    <x v="1"/>
    <x v="1"/>
    <x v="1"/>
  </r>
  <r>
    <s v="Mirante Da Luz"/>
    <x v="1"/>
    <x v="2"/>
    <x v="1"/>
    <x v="0"/>
    <x v="1"/>
  </r>
  <r>
    <s v="Residencial Canoas"/>
    <x v="1"/>
    <x v="0"/>
    <x v="1"/>
    <x v="1"/>
    <x v="1"/>
  </r>
  <r>
    <s v="Reserva Dos Girassóis"/>
    <x v="1"/>
    <x v="2"/>
    <x v="0"/>
    <x v="1"/>
    <x v="1"/>
  </r>
  <r>
    <s v="Vila De Manguinhos"/>
    <x v="1"/>
    <x v="1"/>
    <x v="0"/>
    <x v="1"/>
    <x v="1"/>
  </r>
  <r>
    <s v="Residencial Reserva Dos Pássaros"/>
    <x v="1"/>
    <x v="1"/>
    <x v="0"/>
    <x v="1"/>
    <x v="1"/>
  </r>
  <r>
    <s v="Torre Do Mar"/>
    <x v="1"/>
    <x v="2"/>
    <x v="1"/>
    <x v="1"/>
    <x v="1"/>
  </r>
  <r>
    <s v="Reserva Da Lagoa"/>
    <x v="1"/>
    <x v="2"/>
    <x v="1"/>
    <x v="1"/>
    <x v="1"/>
  </r>
  <r>
    <s v="Vista Dos Jasmins"/>
    <x v="1"/>
    <x v="0"/>
    <x v="1"/>
    <x v="1"/>
    <x v="1"/>
  </r>
  <r>
    <s v="Reserva Dos Lírios"/>
    <x v="1"/>
    <x v="3"/>
    <x v="0"/>
    <x v="1"/>
    <x v="1"/>
  </r>
  <r>
    <s v="Solar Das Amoreiras"/>
    <x v="1"/>
    <x v="2"/>
    <x v="0"/>
    <x v="1"/>
    <x v="1"/>
  </r>
  <r>
    <s v="Alameda Do Cerrado"/>
    <x v="1"/>
    <x v="2"/>
    <x v="0"/>
    <x v="1"/>
    <x v="1"/>
  </r>
  <r>
    <s v="Residencial Real Prime"/>
    <x v="1"/>
    <x v="0"/>
    <x v="0"/>
    <x v="1"/>
    <x v="1"/>
  </r>
  <r>
    <s v="Parque Dos Marqueses"/>
    <x v="1"/>
    <x v="0"/>
    <x v="0"/>
    <x v="1"/>
    <x v="1"/>
  </r>
  <r>
    <s v="Residencial Horizonte"/>
    <x v="1"/>
    <x v="2"/>
    <x v="0"/>
    <x v="1"/>
    <x v="1"/>
  </r>
  <r>
    <s v="Residencial Flores De Évora"/>
    <x v="1"/>
    <x v="2"/>
    <x v="0"/>
    <x v="1"/>
    <x v="1"/>
  </r>
  <r>
    <s v="Residencial Campo Di Viena"/>
    <x v="1"/>
    <x v="0"/>
    <x v="1"/>
    <x v="1"/>
    <x v="1"/>
  </r>
  <r>
    <s v="Castelo De Windsor"/>
    <x v="1"/>
    <x v="0"/>
    <x v="0"/>
    <x v="1"/>
    <x v="1"/>
  </r>
  <r>
    <s v="Residencial Mirage"/>
    <x v="1"/>
    <x v="3"/>
    <x v="0"/>
    <x v="1"/>
    <x v="1"/>
  </r>
  <r>
    <s v="Residencial Cachoeira Dos Sinos"/>
    <x v="1"/>
    <x v="2"/>
    <x v="1"/>
    <x v="1"/>
    <x v="1"/>
  </r>
  <r>
    <s v="Residencial Olímpia"/>
    <x v="2"/>
    <x v="2"/>
    <x v="0"/>
    <x v="2"/>
    <x v="1"/>
  </r>
  <r>
    <s v="Condomínio Residencial Parque Dos Diamantes"/>
    <x v="2"/>
    <x v="2"/>
    <x v="1"/>
    <x v="0"/>
    <x v="1"/>
  </r>
  <r>
    <s v="Primavera Garden"/>
    <x v="2"/>
    <x v="2"/>
    <x v="1"/>
    <x v="0"/>
    <x v="1"/>
  </r>
  <r>
    <s v="Candeias Tulip"/>
    <x v="2"/>
    <x v="2"/>
    <x v="0"/>
    <x v="1"/>
    <x v="1"/>
  </r>
  <r>
    <s v="Jardim Tropical"/>
    <x v="2"/>
    <x v="2"/>
    <x v="0"/>
    <x v="1"/>
    <x v="1"/>
  </r>
  <r>
    <s v="Castello Di Francesco"/>
    <x v="2"/>
    <x v="3"/>
    <x v="0"/>
    <x v="1"/>
    <x v="1"/>
  </r>
  <r>
    <s v="Torres Do Aeroporto"/>
    <x v="2"/>
    <x v="0"/>
    <x v="0"/>
    <x v="0"/>
    <x v="1"/>
  </r>
  <r>
    <s v="Parque Sorrento"/>
    <x v="2"/>
    <x v="2"/>
    <x v="0"/>
    <x v="1"/>
    <x v="1"/>
  </r>
  <r>
    <s v="Residencial Martini"/>
    <x v="2"/>
    <x v="2"/>
    <x v="1"/>
    <x v="1"/>
    <x v="1"/>
  </r>
  <r>
    <s v="CAPRI VILLAGE"/>
    <x v="2"/>
    <x v="3"/>
    <x v="2"/>
    <x v="2"/>
    <x v="2"/>
  </r>
  <r>
    <s v="Residencial Bálsamo"/>
    <x v="2"/>
    <x v="0"/>
    <x v="1"/>
    <x v="0"/>
    <x v="2"/>
  </r>
  <r>
    <s v="Parque Canoas"/>
    <x v="2"/>
    <x v="0"/>
    <x v="2"/>
    <x v="2"/>
    <x v="2"/>
  </r>
  <r>
    <s v="Torres Dos Franceses"/>
    <x v="1"/>
    <x v="2"/>
    <x v="2"/>
    <x v="0"/>
    <x v="2"/>
  </r>
  <r>
    <s v="Condomínio Residencial Caminhos Do Lago"/>
    <x v="1"/>
    <x v="2"/>
    <x v="2"/>
    <x v="0"/>
    <x v="2"/>
  </r>
  <r>
    <s v="Residencial Camélias"/>
    <x v="2"/>
    <x v="0"/>
    <x v="1"/>
    <x v="1"/>
    <x v="2"/>
  </r>
  <r>
    <s v="BELGRANO"/>
    <x v="2"/>
    <x v="3"/>
    <x v="2"/>
    <x v="1"/>
    <x v="2"/>
  </r>
  <r>
    <s v="RESIDENCIAL CARVALHO"/>
    <x v="2"/>
    <x v="2"/>
    <x v="1"/>
    <x v="1"/>
    <x v="2"/>
  </r>
  <r>
    <s v="Residencial Callas"/>
    <x v="2"/>
    <x v="0"/>
    <x v="1"/>
    <x v="1"/>
    <x v="2"/>
  </r>
  <r>
    <s v="Reserva Das Flores"/>
    <x v="2"/>
    <x v="2"/>
    <x v="1"/>
    <x v="1"/>
    <x v="2"/>
  </r>
  <r>
    <s v="Spazio Imperatriz"/>
    <x v="2"/>
    <x v="0"/>
    <x v="1"/>
    <x v="1"/>
    <x v="2"/>
  </r>
  <r>
    <s v="Residencial Veredas"/>
    <x v="1"/>
    <x v="2"/>
    <x v="2"/>
    <x v="1"/>
    <x v="2"/>
  </r>
  <r>
    <s v="Residencial Giardino Di Bali"/>
    <x v="2"/>
    <x v="2"/>
    <x v="2"/>
    <x v="1"/>
    <x v="2"/>
  </r>
  <r>
    <s v="Epic"/>
    <x v="2"/>
    <x v="3"/>
    <x v="2"/>
    <x v="1"/>
    <x v="2"/>
  </r>
  <r>
    <s v="Chapada Redentori"/>
    <x v="2"/>
    <x v="0"/>
    <x v="2"/>
    <x v="1"/>
    <x v="2"/>
  </r>
  <r>
    <s v="Residencial Tokyo"/>
    <x v="2"/>
    <x v="0"/>
    <x v="2"/>
    <x v="1"/>
    <x v="2"/>
  </r>
  <r>
    <s v="Gran Porto"/>
    <x v="2"/>
    <x v="2"/>
    <x v="2"/>
    <x v="1"/>
    <x v="2"/>
  </r>
  <r>
    <s v="Mirante Dos Coqueiros"/>
    <x v="2"/>
    <x v="3"/>
    <x v="2"/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n v="10"/>
    <s v="Recanto Dos Sabiás"/>
    <x v="0"/>
    <n v="260"/>
    <s v="De 200 a 400 und"/>
    <x v="0"/>
    <n v="13"/>
    <n v="5"/>
    <m/>
    <m/>
    <n v="13"/>
    <n v="1"/>
    <n v="7.6923076923076927E-2"/>
    <x v="0"/>
    <s v="SEM PISO"/>
    <s v="COM PISO (Cerâmica)"/>
    <s v="1 FIADA"/>
    <s v="TEXT"/>
    <s v="COMBO 01"/>
    <s v="ARDÓSIA"/>
    <s v="VIDRO SIMPLE (2 FOLHAS)"/>
    <n v="530"/>
    <n v="260"/>
    <n v="600"/>
    <n v="500"/>
    <n v="370"/>
    <n v="90"/>
    <n v="720"/>
    <s v="BICICLETÁRIO"/>
    <n v="1"/>
    <s v="CHURRASQUEIRA"/>
    <n v="2"/>
    <s v="GAZEBO"/>
    <n v="1"/>
    <s v="PISCINA"/>
    <n v="1"/>
    <s v="PLAYGROUND"/>
    <n v="1"/>
    <s v="REDÁRIO"/>
    <n v="1"/>
    <m/>
    <m/>
    <m/>
    <m/>
    <m/>
    <m/>
    <m/>
    <m/>
    <n v="20.384615384615383"/>
    <n v="654.99323076923076"/>
    <n v="62.307692307692307"/>
    <n v="1058.3368461538462"/>
    <n v="89.038461538461533"/>
    <n v="29.076923076923077"/>
    <n v="0"/>
    <n v="0"/>
    <n v="0"/>
    <n v="0"/>
    <s v="SEM VARANDA"/>
    <n v="0"/>
    <s v="SEM SUÍTE"/>
    <n v="0"/>
    <n v="0"/>
    <n v="0"/>
    <s v="COM VAGA EM SOLO"/>
    <n v="59"/>
    <n v="0.22692307692307692"/>
    <s v="COM VAGA MOTO"/>
    <n v="138"/>
    <s v="SEM VAGA PILOTIS"/>
    <n v="0"/>
    <x v="0"/>
    <n v="0"/>
    <n v="453.84615384615387"/>
    <n v="530.76923076923072"/>
    <n v="0"/>
    <n v="0"/>
    <n v="2090"/>
    <s v="ACAB 01"/>
    <n v="1914.137769230769"/>
    <s v="LZ 03"/>
    <n v="0"/>
    <s v="TIP 01"/>
    <n v="984.61538461538453"/>
    <s v="VAGA 01"/>
    <n v="577.46153846153845"/>
    <s v="ELEV 02"/>
    <n v="5566.2146923076916"/>
    <s v="ESSENCIAL"/>
    <s v="-"/>
    <n v="4988.7531538461535"/>
    <s v="ESSENCIAL"/>
    <s v="ESSENCIAL"/>
    <s v="-"/>
    <s v="ESSENCIAL"/>
    <s v="ADERÊNTE"/>
    <n v="4988.7531538461535"/>
    <s v="ESSENCIAL"/>
    <s v="-"/>
    <n v="4004.1377692307688"/>
    <s v="ESSENCIAL"/>
    <x v="0"/>
    <x v="0"/>
    <x v="0"/>
  </r>
  <r>
    <n v="3"/>
    <s v="SAN LEVI"/>
    <x v="1"/>
    <n v="432"/>
    <s v="Acima de 400 und"/>
    <x v="1"/>
    <n v="2"/>
    <n v="18"/>
    <m/>
    <m/>
    <n v="2"/>
    <n v="8"/>
    <n v="4"/>
    <x v="0"/>
    <s v="SEM PISO"/>
    <s v="COM PISO (Cerâmica)"/>
    <s v="1 FIADA"/>
    <s v="TEXT"/>
    <s v="COMBO 01"/>
    <s v="ARDÓSIA"/>
    <s v="VIDRO SIMPLE (2 FOLHAS)"/>
    <n v="530"/>
    <n v="260"/>
    <n v="600"/>
    <n v="500"/>
    <n v="370"/>
    <n v="90"/>
    <n v="720"/>
    <s v="BICICLETÁRIO"/>
    <n v="1"/>
    <s v="MINI Q. DE BASQUETE"/>
    <n v="1"/>
    <s v="PLAYGROUND"/>
    <n v="1"/>
    <s v="SALÃO DE FESTAS"/>
    <n v="1"/>
    <s v="CHURRASQUEIRA"/>
    <n v="1"/>
    <s v="PET PLACE"/>
    <n v="1"/>
    <m/>
    <n v="0"/>
    <m/>
    <n v="0"/>
    <m/>
    <m/>
    <m/>
    <m/>
    <n v="12.268518518518519"/>
    <n v="131.73351851851851"/>
    <n v="53.587962962962962"/>
    <n v="285.08541666666667"/>
    <n v="197.10444444444443"/>
    <n v="16.087962962962962"/>
    <n v="0"/>
    <n v="0"/>
    <n v="0"/>
    <n v="0"/>
    <s v="SEM VARANDA"/>
    <n v="0"/>
    <s v="SEM SUÍTE"/>
    <n v="0"/>
    <n v="0"/>
    <n v="0"/>
    <s v="COM VAGA EM SOLO"/>
    <n v="162"/>
    <n v="0.375"/>
    <s v="COM VAGA MOTO"/>
    <n v="5"/>
    <s v="SEM VAGA PILOTIS"/>
    <n v="0"/>
    <x v="0"/>
    <n v="0"/>
    <n v="750"/>
    <n v="11.574074074074074"/>
    <n v="0"/>
    <n v="0"/>
    <n v="2090"/>
    <s v="ACAB 01"/>
    <n v="695.86782407407406"/>
    <s v="LZ 01"/>
    <n v="0"/>
    <s v="TIP 01"/>
    <n v="761.57407407407402"/>
    <s v="VAGA 01"/>
    <n v="5593"/>
    <s v="ELEV 03"/>
    <n v="9140.4418981481485"/>
    <s v="ESSENCIAL"/>
    <s v="-"/>
    <n v="3547.4418981481481"/>
    <s v="ESSENCIAL"/>
    <s v="ESSENCIAL"/>
    <s v="-"/>
    <s v="ESSENCIAL"/>
    <s v="ADERÊNTE"/>
    <n v="3547.4418981481481"/>
    <s v="ESSENCIAL"/>
    <s v="-"/>
    <n v="2785.8678240740742"/>
    <s v="ESSENCIAL"/>
    <x v="0"/>
    <x v="0"/>
    <x v="0"/>
  </r>
  <r>
    <n v="11"/>
    <s v="Jardim Das Amoreiras"/>
    <x v="2"/>
    <n v="280"/>
    <s v="De 200 a 400 und"/>
    <x v="0"/>
    <n v="14"/>
    <n v="5"/>
    <m/>
    <m/>
    <n v="14"/>
    <n v="0"/>
    <n v="0"/>
    <x v="0"/>
    <s v="SEM PISO"/>
    <s v="COM PISO (Cerâmica)"/>
    <s v="1 FIADA"/>
    <s v="TEXT"/>
    <s v="COMBO 01"/>
    <s v="ARDÓSIA"/>
    <s v="VIDRO SIMPLE (2 FOLHAS)"/>
    <n v="530"/>
    <n v="260"/>
    <n v="600"/>
    <n v="500"/>
    <n v="370"/>
    <n v="90"/>
    <n v="720"/>
    <s v="PET PLACE"/>
    <n v="1"/>
    <s v="MINI Q. DE BASQUETE"/>
    <n v="1"/>
    <s v="CHURRASQUEIRA"/>
    <n v="1"/>
    <s v="PLAYGROUND"/>
    <n v="1"/>
    <s v="BICICLETÁRIO"/>
    <n v="1"/>
    <s v="GAZEBO"/>
    <n v="1"/>
    <s v="REDÁRIO"/>
    <n v="1"/>
    <m/>
    <m/>
    <m/>
    <m/>
    <m/>
    <m/>
    <n v="24.821428571428573"/>
    <n v="203.24599999999998"/>
    <n v="304.10399999999998"/>
    <n v="82.678571428571431"/>
    <n v="18.928571428571427"/>
    <n v="57.857142857142854"/>
    <n v="27"/>
    <n v="0"/>
    <n v="0"/>
    <n v="0"/>
    <s v="COM VARANDA"/>
    <n v="0.8"/>
    <s v="SEM SUÍTE"/>
    <n v="0"/>
    <n v="2400"/>
    <n v="0"/>
    <s v="COM VAGA EM SOLO"/>
    <n v="94"/>
    <n v="0.33571428571428569"/>
    <s v="COM VAGA MOTO"/>
    <n v="34"/>
    <s v="SEM VAGA PILOTIS"/>
    <n v="0"/>
    <x v="0"/>
    <n v="0"/>
    <n v="671.42857142857144"/>
    <n v="121.42857142857143"/>
    <n v="0"/>
    <n v="0"/>
    <n v="2090"/>
    <s v="ACAB 01"/>
    <n v="718.63571428571436"/>
    <s v="LZ 01"/>
    <n v="2400"/>
    <s v="TIP 02"/>
    <n v="792.85714285714289"/>
    <s v="VAGA 01"/>
    <n v="0"/>
    <s v="ELEV 01"/>
    <n v="6001.4928571428572"/>
    <s v="ESSENCIAL"/>
    <s v="-"/>
    <n v="6001.4928571428572"/>
    <s v="ESSENCIAL"/>
    <s v="ESSENCIAL"/>
    <s v="-"/>
    <s v="ESSENCIAL"/>
    <s v="ADERÊNTE"/>
    <n v="6001.4928571428572"/>
    <s v="ESSENCIAL"/>
    <s v="-"/>
    <n v="2808.6357142857141"/>
    <s v="ESSENCIAL"/>
    <x v="0"/>
    <x v="0"/>
    <x v="0"/>
  </r>
  <r>
    <n v="2"/>
    <s v="CANTO DAS ÁGUIAS"/>
    <x v="3"/>
    <n v="356"/>
    <s v="De 200 a 400 und"/>
    <x v="0"/>
    <n v="22"/>
    <n v="4"/>
    <m/>
    <m/>
    <n v="22"/>
    <n v="1"/>
    <n v="4.5454545454545456E-2"/>
    <x v="0"/>
    <s v="SEM PISO"/>
    <s v="COM PISO (Cerâmica)"/>
    <s v="1 FIADA"/>
    <s v="TEXT"/>
    <s v="COMBO 01"/>
    <s v="ARDÓSIA"/>
    <s v="Vidro simples"/>
    <n v="530"/>
    <n v="260"/>
    <n v="600"/>
    <n v="500"/>
    <n v="370"/>
    <n v="90"/>
    <n v="1320"/>
    <s v="PET PLACE"/>
    <n v="1"/>
    <s v="PLAYGROUND"/>
    <n v="1"/>
    <s v="BICICLETÁRIO"/>
    <n v="1"/>
    <s v="CHURRASQUEIRA"/>
    <n v="1"/>
    <s v="QUADRA RECREATIVA"/>
    <n v="1"/>
    <m/>
    <n v="0"/>
    <m/>
    <n v="0"/>
    <m/>
    <n v="0"/>
    <m/>
    <m/>
    <m/>
    <m/>
    <n v="19.522471910112358"/>
    <n v="65.028089887640448"/>
    <n v="14.887640449438202"/>
    <n v="239.18292134831461"/>
    <n v="354.12539325842698"/>
    <n v="0"/>
    <n v="0"/>
    <n v="0"/>
    <n v="0"/>
    <n v="0"/>
    <s v="SEM VARANDA"/>
    <n v="0"/>
    <s v="SEM SUÍTE"/>
    <n v="0"/>
    <n v="0"/>
    <n v="0"/>
    <s v="COM VAGA EM SOLO"/>
    <n v="216"/>
    <n v="0.6067415730337079"/>
    <s v="COM VAGA MOTO"/>
    <n v="131"/>
    <s v="SEM VAGA PILOTIS"/>
    <n v="0"/>
    <x v="0"/>
    <n v="0"/>
    <n v="1213.4831460674156"/>
    <n v="367.97752808988764"/>
    <n v="0"/>
    <n v="0"/>
    <n v="2090"/>
    <s v="ACAB 01"/>
    <n v="692.74651685393269"/>
    <s v="LZ 01"/>
    <n v="0"/>
    <s v="TIP 01"/>
    <n v="1581.4606741573034"/>
    <s v="VAGA 02"/>
    <n v="337.39325842696627"/>
    <s v="ELEV 02"/>
    <n v="4701.6004494382023"/>
    <s v="ESSENCIAL"/>
    <s v="-"/>
    <n v="4364.2071910112363"/>
    <s v="ESSENCIAL"/>
    <s v="ESSENCIAL"/>
    <s v="-"/>
    <s v="ESSENCIAL"/>
    <s v="ADERÊNTE"/>
    <n v="4364.2071910112363"/>
    <s v="ESSENCIAL"/>
    <s v="-"/>
    <n v="2782.7465168539329"/>
    <s v="ESSENCIAL"/>
    <x v="0"/>
    <x v="0"/>
    <x v="0"/>
  </r>
  <r>
    <n v="37"/>
    <s v="Residencial Reserva Da Mata"/>
    <x v="0"/>
    <n v="408"/>
    <s v="Acima de 400 und"/>
    <x v="1"/>
    <n v="3"/>
    <n v="17"/>
    <m/>
    <m/>
    <n v="3"/>
    <n v="6"/>
    <n v="2"/>
    <x v="0"/>
    <s v="COM PISO (Cerâmica)"/>
    <s v="COM PISO (Cerâmica)"/>
    <s v="1 FIADA"/>
    <s v="TEXT"/>
    <s v="COMBO 01"/>
    <s v="ARDÓSIA"/>
    <s v="VIDRO SIMPLE (2 FOLHAS)"/>
    <n v="2430"/>
    <n v="260"/>
    <n v="600"/>
    <n v="500"/>
    <n v="370"/>
    <n v="90"/>
    <n v="720"/>
    <s v="BICICLETÁRIO"/>
    <n v="1"/>
    <s v="PISCINA"/>
    <n v="1"/>
    <s v="PLAYGROUND"/>
    <n v="1"/>
    <s v="KIDS"/>
    <n v="1"/>
    <s v="SALÃO DE FESTAS"/>
    <n v="1"/>
    <s v="CHURRASQUEIRA"/>
    <n v="1"/>
    <s v="PET PLACE"/>
    <n v="1"/>
    <m/>
    <m/>
    <m/>
    <m/>
    <m/>
    <m/>
    <n v="12.990196078431373"/>
    <n v="674.43034313725491"/>
    <n v="56.740196078431374"/>
    <n v="152.34392156862745"/>
    <n v="301.85514705882349"/>
    <n v="208.69882352941175"/>
    <n v="17.034313725490197"/>
    <n v="0"/>
    <n v="0"/>
    <n v="0"/>
    <s v="SEM VARANDA"/>
    <n v="0"/>
    <s v="SEM SUÍTE"/>
    <n v="0"/>
    <n v="0"/>
    <n v="0"/>
    <s v="COM VAGA EM SOLO"/>
    <n v="80"/>
    <n v="0.19607843137254902"/>
    <s v="SEM VAGA MOTO"/>
    <n v="0"/>
    <s v="SEM VAGA PILOTIS"/>
    <n v="0"/>
    <x v="0"/>
    <n v="0"/>
    <n v="392.15686274509807"/>
    <n v="0"/>
    <n v="0"/>
    <n v="0"/>
    <n v="3990"/>
    <s v="ACAB 02"/>
    <n v="1424.0929411764705"/>
    <s v="LZ 02"/>
    <n v="0"/>
    <s v="TIP 01"/>
    <n v="392.15686274509807"/>
    <s v="VAGA 01"/>
    <n v="4194.75"/>
    <s v="ELEV 03"/>
    <n v="10000.999803921568"/>
    <s v="ESSENCIAL"/>
    <s v="ESSENCIAL-10%"/>
    <n v="5806.2498039215679"/>
    <s v="ESSENCIAL"/>
    <s v="ESSENCIAL"/>
    <s v="-"/>
    <s v="ESSENCIAL"/>
    <s v="ADERÊNTE"/>
    <n v="5806.2498039215679"/>
    <s v="ESSENCIAL"/>
    <s v="-"/>
    <n v="5414.09294117647"/>
    <s v="ECO"/>
    <x v="0"/>
    <x v="0"/>
    <x v="0"/>
  </r>
  <r>
    <n v="14"/>
    <s v="Morada Dos Sonhos"/>
    <x v="1"/>
    <n v="396"/>
    <s v="De 200 a 400 und"/>
    <x v="1"/>
    <n v="1"/>
    <n v="17"/>
    <n v="1"/>
    <n v="16"/>
    <n v="2"/>
    <n v="6"/>
    <n v="3"/>
    <x v="0"/>
    <s v="SEM PISO"/>
    <s v="COM PISO (Cerâmica)"/>
    <s v="1 FIADA"/>
    <s v="TEXT"/>
    <s v="COMBO 01"/>
    <s v="ARDÓSIA"/>
    <s v="VENEZIANA (3 FOLHAS)"/>
    <n v="530"/>
    <n v="260"/>
    <n v="600"/>
    <n v="500"/>
    <n v="370"/>
    <n v="90"/>
    <n v="1320"/>
    <s v="BICICLETÁRIO"/>
    <n v="1"/>
    <s v="CHURRASQUEIRA"/>
    <n v="1"/>
    <s v="PET PLACE"/>
    <n v="1"/>
    <s v="PLAYGROUND"/>
    <n v="1"/>
    <s v="PISCINA"/>
    <n v="1"/>
    <s v="KIDS"/>
    <n v="1"/>
    <s v="HOME OFFICE"/>
    <n v="1"/>
    <s v="SALÃO DE FESTAS"/>
    <n v="1"/>
    <m/>
    <m/>
    <m/>
    <m/>
    <n v="13.383838383838384"/>
    <n v="215.02303030303028"/>
    <n v="17.550505050505052"/>
    <n v="58.459595959595958"/>
    <n v="694.86762626262635"/>
    <n v="156.96040404040403"/>
    <n v="207.20987373737373"/>
    <n v="526.02525252525254"/>
    <n v="0"/>
    <n v="0"/>
    <s v="COM VARANDA"/>
    <n v="0.63"/>
    <s v="SEM SUÍTE"/>
    <n v="0"/>
    <n v="1890"/>
    <n v="0"/>
    <s v="COM VAGA EM SOLO"/>
    <n v="274"/>
    <n v="0.69191919191919193"/>
    <s v="COM VAGA MOTO"/>
    <n v="22"/>
    <s v="SEM VAGA PILOTIS"/>
    <n v="0"/>
    <x v="0"/>
    <n v="0"/>
    <n v="1383.8383838383838"/>
    <n v="55.555555555555557"/>
    <n v="0"/>
    <n v="0"/>
    <n v="2090"/>
    <s v="ACAB 01"/>
    <n v="1889.4801262626265"/>
    <s v="LZ 03"/>
    <n v="1890"/>
    <s v="TIP 02"/>
    <n v="1439.3939393939395"/>
    <s v="VAGA 02"/>
    <n v="8389.5"/>
    <s v="ELEV 03"/>
    <n v="15698.374065656566"/>
    <s v="BIO"/>
    <s v="-"/>
    <n v="7308.874065656566"/>
    <s v="ECO"/>
    <s v="BIO"/>
    <s v="-"/>
    <s v="BIO"/>
    <s v="NÃO ADERÊNTE"/>
    <n v="7308.874065656566"/>
    <s v="ECO"/>
    <s v="ESSENCIAL/ECO"/>
    <n v="3979.4801262626265"/>
    <s v="ESSENCIAL"/>
    <x v="0"/>
    <x v="0"/>
    <x v="1"/>
  </r>
  <r>
    <n v="47"/>
    <s v="Mirante Da Colina"/>
    <x v="1"/>
    <n v="480"/>
    <s v="Acima de 400 und"/>
    <x v="0"/>
    <n v="24"/>
    <n v="5"/>
    <m/>
    <m/>
    <n v="24"/>
    <n v="0"/>
    <n v="0"/>
    <x v="0"/>
    <s v="SEM PISO"/>
    <s v="COM PISO (Cerâmica)"/>
    <s v="1 FIADA"/>
    <s v="TEXT"/>
    <s v="COMBO 01"/>
    <s v="ARDÓSIA"/>
    <s v="VIDRO SIMPLE (2 FOLHAS)"/>
    <n v="530"/>
    <n v="260"/>
    <n v="600"/>
    <n v="500"/>
    <n v="370"/>
    <n v="90"/>
    <n v="720"/>
    <s v="SALÃO DE FESTAS"/>
    <n v="1"/>
    <s v="CHURRASQUEIRA"/>
    <n v="1"/>
    <s v="PLAYGROUND"/>
    <n v="2"/>
    <s v="KIDS"/>
    <n v="1"/>
    <s v="PET PLACE"/>
    <n v="1"/>
    <s v="BICICLETÁRIO"/>
    <n v="2"/>
    <m/>
    <m/>
    <m/>
    <m/>
    <m/>
    <m/>
    <m/>
    <m/>
    <n v="256.57687499999997"/>
    <n v="177.39399999999998"/>
    <n v="96.458333333333329"/>
    <n v="129.49233333333333"/>
    <n v="14.479166666666666"/>
    <n v="22.083333333333332"/>
    <n v="0"/>
    <n v="0"/>
    <n v="0"/>
    <n v="0"/>
    <s v="SEM VARANDA"/>
    <n v="0"/>
    <s v="SEM SUÍTE"/>
    <n v="0"/>
    <n v="0"/>
    <n v="0"/>
    <s v="COM VAGA EM SOLO"/>
    <n v="415"/>
    <n v="0.86458333333333337"/>
    <s v="SEM VAGA MOTO"/>
    <n v="0"/>
    <s v="SEM VAGA PILOTIS"/>
    <n v="0"/>
    <x v="0"/>
    <n v="0"/>
    <n v="1729.1666666666667"/>
    <n v="0"/>
    <n v="0"/>
    <n v="0"/>
    <n v="2090"/>
    <s v="ACAB 01"/>
    <n v="696.48404166666671"/>
    <s v="LZ 01"/>
    <n v="0"/>
    <s v="TIP 01"/>
    <n v="1729.1666666666667"/>
    <s v="VAGA 02"/>
    <n v="0"/>
    <s v="ELEV 01"/>
    <n v="4515.6507083333336"/>
    <s v="ESSENCIAL"/>
    <s v="-"/>
    <n v="4515.6507083333336"/>
    <s v="ESSENCIAL"/>
    <s v="ESSENCIAL"/>
    <s v="-"/>
    <s v="ESSENCIAL"/>
    <s v="ADERÊNTE"/>
    <n v="4515.6507083333336"/>
    <s v="ESSENCIAL"/>
    <s v="-"/>
    <n v="2786.4840416666666"/>
    <s v="ESSENCIAL"/>
    <x v="0"/>
    <x v="0"/>
    <x v="0"/>
  </r>
  <r>
    <n v="42"/>
    <s v="Residencial Mazarello"/>
    <x v="1"/>
    <n v="288"/>
    <s v="De 200 a 400 und"/>
    <x v="0"/>
    <n v="18"/>
    <n v="4"/>
    <m/>
    <m/>
    <n v="18"/>
    <n v="0"/>
    <n v="0"/>
    <x v="0"/>
    <s v="SEM PISO"/>
    <s v="COM PISO (Cerâmica)"/>
    <s v="1 FIADA"/>
    <s v="TEXT"/>
    <s v="COMBO 01"/>
    <s v="ARDÓSIA"/>
    <s v="VIDRO SIMPLE (2 FOLHAS)"/>
    <n v="530"/>
    <n v="260"/>
    <n v="600"/>
    <n v="500"/>
    <n v="370"/>
    <n v="90"/>
    <n v="720"/>
    <s v="BICICLETÁRIO"/>
    <n v="1"/>
    <s v="PET PLACE"/>
    <n v="1"/>
    <s v="PLAYGROUND"/>
    <n v="2"/>
    <s v="QUADRA RECREATIVA"/>
    <n v="1"/>
    <s v="CHURRASQUEIRA"/>
    <n v="1"/>
    <s v="SALÃO DE FESTAS"/>
    <n v="2"/>
    <m/>
    <m/>
    <m/>
    <m/>
    <m/>
    <m/>
    <m/>
    <m/>
    <n v="18.402777777777779"/>
    <n v="24.131944444444443"/>
    <n v="160.76388888888889"/>
    <n v="437.73833333333334"/>
    <n v="295.65666666666664"/>
    <n v="855.25624999999991"/>
    <n v="0"/>
    <n v="0"/>
    <n v="0"/>
    <n v="0"/>
    <s v="SEM VARANDA"/>
    <n v="0"/>
    <s v="SEM SUÍTE"/>
    <n v="0"/>
    <n v="0"/>
    <n v="0"/>
    <s v="COM VAGA EM SOLO"/>
    <n v="251"/>
    <n v="0.87152777777777779"/>
    <s v="COM VAGA MOTO"/>
    <n v="23"/>
    <s v="SEM VAGA PILOTIS"/>
    <n v="0"/>
    <x v="0"/>
    <n v="0"/>
    <n v="1743.0555555555557"/>
    <n v="79.861111111111114"/>
    <n v="0"/>
    <n v="0"/>
    <n v="2090"/>
    <s v="ACAB 01"/>
    <n v="1791.949861111111"/>
    <s v="LZ 03"/>
    <n v="0"/>
    <s v="TIP 01"/>
    <n v="1822.9166666666667"/>
    <s v="VAGA 02"/>
    <n v="0"/>
    <s v="ELEV 01"/>
    <n v="5704.8665277777782"/>
    <s v="ESSENCIAL"/>
    <s v="-"/>
    <n v="5704.8665277777782"/>
    <s v="ESSENCIAL"/>
    <s v="ESSENCIAL"/>
    <s v="-"/>
    <s v="ESSENCIAL"/>
    <s v="ADERÊNTE"/>
    <n v="5704.8665277777782"/>
    <s v="ESSENCIAL"/>
    <s v="-"/>
    <n v="3881.9498611111112"/>
    <s v="ESSENCIAL"/>
    <x v="0"/>
    <x v="0"/>
    <x v="0"/>
  </r>
  <r>
    <n v="49"/>
    <s v="Residencial Luz Da Aurora"/>
    <x v="3"/>
    <n v="360"/>
    <s v="De 200 a 400 und"/>
    <x v="0"/>
    <n v="18"/>
    <n v="5"/>
    <m/>
    <m/>
    <n v="18"/>
    <n v="18"/>
    <n v="1"/>
    <x v="0"/>
    <s v="SEM PISO"/>
    <s v="COM PISO (Cerâmica)"/>
    <s v="1 FIADA"/>
    <s v="TEXT"/>
    <s v="COMBO 01"/>
    <s v="ARDÓSIA"/>
    <s v="VIDRO SIMPLE (2 FOLHAS)"/>
    <n v="530"/>
    <n v="260"/>
    <n v="600"/>
    <n v="500"/>
    <n v="370"/>
    <n v="90"/>
    <n v="720"/>
    <s v="BICICLETÁRIO"/>
    <n v="1"/>
    <s v="CHURRASQUEIRA"/>
    <n v="2"/>
    <s v="PET PLACE"/>
    <n v="1"/>
    <s v="PISCINA"/>
    <n v="1"/>
    <s v="PLAYGROUND"/>
    <n v="1"/>
    <m/>
    <m/>
    <m/>
    <m/>
    <m/>
    <m/>
    <m/>
    <m/>
    <m/>
    <m/>
    <n v="14.722222222222221"/>
    <n v="473.05066666666664"/>
    <n v="19.305555555555557"/>
    <n v="764.35438888888893"/>
    <n v="64.305555555555557"/>
    <n v="0"/>
    <n v="0"/>
    <n v="0"/>
    <n v="0"/>
    <n v="0"/>
    <s v="COM VARANDA"/>
    <n v="0.34"/>
    <s v="SEM SUÍTE"/>
    <n v="0"/>
    <n v="1020.0000000000001"/>
    <n v="0"/>
    <s v="COM VAGA EM SOLO"/>
    <n v="367"/>
    <n v="1.0194444444444444"/>
    <s v="COM VAGA MOTO"/>
    <n v="36"/>
    <s v="SEM VAGA PILOTIS"/>
    <n v="0"/>
    <x v="0"/>
    <n v="0"/>
    <n v="2038.8888888888889"/>
    <n v="100"/>
    <n v="0"/>
    <n v="0"/>
    <n v="2090"/>
    <s v="ACAB 01"/>
    <n v="1335.7383888888889"/>
    <s v="LZ 02"/>
    <n v="1020.0000000000001"/>
    <s v="TIP 01"/>
    <n v="2138.8888888888887"/>
    <s v="VAGA 02"/>
    <n v="7507"/>
    <s v="ELEV 02"/>
    <n v="14091.627277777778"/>
    <s v="BIO"/>
    <s v="-"/>
    <n v="6584.6272777777776"/>
    <s v="ESSENCIAL"/>
    <s v="BIO"/>
    <s v="OPOSTO"/>
    <s v="ECO"/>
    <s v="NÃO ADERÊNTE"/>
    <n v="6584.6272777777776"/>
    <s v="ESSENCIAL"/>
    <s v="ESSENCIAL/ECO"/>
    <n v="3425.7383888888889"/>
    <s v="ESSENCIAL"/>
    <x v="0"/>
    <x v="0"/>
    <x v="0"/>
  </r>
  <r>
    <n v="18"/>
    <s v="Porto Bremen"/>
    <x v="4"/>
    <n v="180"/>
    <s v="Até 200 und"/>
    <x v="0"/>
    <n v="9"/>
    <n v="5"/>
    <m/>
    <m/>
    <n v="9"/>
    <n v="0"/>
    <n v="0"/>
    <x v="0"/>
    <s v="SEM PISO"/>
    <s v="COM PISO (Cerâmica)"/>
    <s v="1 FIADA"/>
    <s v="TEXT"/>
    <s v="COMBO 01"/>
    <s v="ARDÓSIA"/>
    <s v="VIDRO SIMPLE (2 FOLHAS)"/>
    <n v="530"/>
    <n v="260"/>
    <n v="600"/>
    <n v="500"/>
    <n v="370"/>
    <n v="90"/>
    <n v="720"/>
    <s v="CHURRASQUEIRA"/>
    <n v="1"/>
    <s v="PLAYGROUND"/>
    <n v="1"/>
    <s v="BICICLETÁRIO"/>
    <n v="1"/>
    <s v="PIQUENIQUE"/>
    <n v="1"/>
    <m/>
    <m/>
    <m/>
    <m/>
    <m/>
    <m/>
    <m/>
    <m/>
    <m/>
    <m/>
    <m/>
    <m/>
    <n v="473.05066666666664"/>
    <n v="128.61111111111111"/>
    <n v="29.444444444444443"/>
    <n v="38.666666666666664"/>
    <n v="0"/>
    <n v="0"/>
    <n v="0"/>
    <n v="0"/>
    <n v="0"/>
    <n v="0"/>
    <s v="SEM VARANDA"/>
    <n v="0"/>
    <s v="SEM SUÍTE"/>
    <n v="0"/>
    <n v="0"/>
    <n v="0"/>
    <s v="COM VAGA EM SOLO"/>
    <n v="184"/>
    <n v="1.0222222222222221"/>
    <s v="SEM VAGA MOTO"/>
    <n v="0"/>
    <s v="SEM VAGA PILOTIS"/>
    <n v="0"/>
    <x v="0"/>
    <n v="0"/>
    <n v="2044.4444444444443"/>
    <n v="0"/>
    <n v="0"/>
    <n v="0"/>
    <n v="2090"/>
    <s v="ACAB 01"/>
    <n v="669.77288888888882"/>
    <s v="LZ 01"/>
    <n v="0"/>
    <s v="TIP 01"/>
    <n v="2044.4444444444443"/>
    <s v="VAGA 02"/>
    <n v="0"/>
    <s v="ELEV 01"/>
    <n v="4804.217333333333"/>
    <s v="ESSENCIAL"/>
    <s v="-"/>
    <n v="4804.217333333333"/>
    <s v="ESSENCIAL"/>
    <s v="ESSENCIAL"/>
    <s v="-"/>
    <s v="ESSENCIAL"/>
    <s v="ADERÊNTE"/>
    <n v="4804.217333333333"/>
    <s v="ESSENCIAL"/>
    <s v="-"/>
    <n v="2759.7728888888887"/>
    <s v="ESSENCIAL"/>
    <x v="0"/>
    <x v="0"/>
    <x v="0"/>
  </r>
  <r>
    <n v="13"/>
    <s v="Alameda Imperial"/>
    <x v="0"/>
    <n v="332"/>
    <s v="De 200 a 400 und"/>
    <x v="0"/>
    <n v="20"/>
    <n v="5"/>
    <m/>
    <m/>
    <n v="20"/>
    <n v="3"/>
    <n v="0.15"/>
    <x v="0"/>
    <s v="SEM PISO"/>
    <s v="COM PISO (Cerâmica)"/>
    <s v="1 FIADA"/>
    <s v="TEXT"/>
    <s v="COMBO 01"/>
    <s v="ARDÓSIA"/>
    <s v="VIDRO SIMPLE (2 FOLHAS)"/>
    <n v="530"/>
    <n v="260"/>
    <n v="600"/>
    <n v="500"/>
    <n v="370"/>
    <n v="90"/>
    <n v="720"/>
    <s v="BICICLETÁRIO"/>
    <n v="1"/>
    <s v="CHURRASQUEIRA"/>
    <n v="1"/>
    <s v="PISCINA"/>
    <n v="1"/>
    <s v="PLAYGROUND"/>
    <n v="1"/>
    <m/>
    <m/>
    <m/>
    <m/>
    <m/>
    <m/>
    <m/>
    <m/>
    <m/>
    <m/>
    <m/>
    <m/>
    <n v="15.963855421686747"/>
    <n v="256.47325301204819"/>
    <n v="828.81801204819283"/>
    <n v="69.728915662650607"/>
    <n v="0"/>
    <n v="0"/>
    <n v="0"/>
    <n v="0"/>
    <n v="0"/>
    <n v="0"/>
    <s v="COM VARANDA"/>
    <n v="0.30722891566265059"/>
    <s v="SEM SUÍTE"/>
    <n v="0"/>
    <n v="921.68674698795178"/>
    <n v="0"/>
    <s v="COM VAGA EM SOLO"/>
    <n v="344"/>
    <n v="1.036144578313253"/>
    <s v="COM VAGA MOTO"/>
    <n v="24"/>
    <s v="SEM VAGA PILOTIS"/>
    <n v="0"/>
    <x v="0"/>
    <n v="0"/>
    <n v="2072.2891566265062"/>
    <n v="72.289156626506028"/>
    <n v="0"/>
    <n v="0"/>
    <n v="2090"/>
    <s v="ACAB 01"/>
    <n v="1170.9840361445786"/>
    <s v="LZ 02"/>
    <n v="921.68674698795178"/>
    <s v="TIP 01"/>
    <n v="2144.5783132530123"/>
    <s v="VAGA 02"/>
    <n v="1356.6867469879519"/>
    <s v="ELEV 02"/>
    <n v="7683.9358433734942"/>
    <s v="ESSENCIAL"/>
    <s v="ESSENCIAL-10%"/>
    <n v="6327.2490963855425"/>
    <s v="ESSENCIAL"/>
    <s v="ESSENCIAL"/>
    <s v="-"/>
    <s v="ESSENCIAL"/>
    <s v="ADERÊNTE"/>
    <n v="6327.2490963855425"/>
    <s v="ESSENCIAL"/>
    <s v="ESSENCIAL/ECO"/>
    <n v="3260.9840361445786"/>
    <s v="ESSENCIAL"/>
    <x v="0"/>
    <x v="0"/>
    <x v="0"/>
  </r>
  <r>
    <n v="1"/>
    <s v="CAMEMBERT"/>
    <x v="4"/>
    <n v="256"/>
    <s v="De 200 a 400 und"/>
    <x v="0"/>
    <n v="16"/>
    <n v="4"/>
    <m/>
    <m/>
    <n v="16"/>
    <n v="0"/>
    <n v="0"/>
    <x v="0"/>
    <s v="SEM PISO"/>
    <s v="COM PISO (Cerâmica)"/>
    <s v="1 FIADA"/>
    <s v="TEXT"/>
    <s v="COMBO 01"/>
    <s v="ARDÓSIA"/>
    <s v="VIDRO SIMPLE (2 FOLHAS)"/>
    <n v="530"/>
    <n v="260"/>
    <n v="600"/>
    <n v="500"/>
    <n v="370"/>
    <n v="90"/>
    <n v="720"/>
    <s v="GAZEBO"/>
    <n v="2"/>
    <s v="PLAYGROUND"/>
    <n v="1"/>
    <s v="SALÃO DE FESTAS"/>
    <n v="1"/>
    <s v="BICICLETÁRIO"/>
    <n v="1"/>
    <s v="REDÁRIO"/>
    <n v="3"/>
    <m/>
    <n v="0"/>
    <m/>
    <n v="0"/>
    <m/>
    <n v="0"/>
    <m/>
    <m/>
    <m/>
    <m/>
    <n v="126.5625"/>
    <n v="90.4296875"/>
    <n v="481.08164062499998"/>
    <n v="20.703125"/>
    <n v="88.59375"/>
    <n v="0"/>
    <n v="0"/>
    <n v="0"/>
    <n v="0"/>
    <n v="0"/>
    <s v="COM VARANDA"/>
    <n v="0.5"/>
    <s v="SEM SUÍTE"/>
    <n v="0"/>
    <n v="1500"/>
    <n v="0"/>
    <s v="COM VAGA EM SOLO"/>
    <n v="269"/>
    <n v="1.05078125"/>
    <s v="SEM VAGA MOTO"/>
    <n v="0"/>
    <s v="SEM VAGA PILOTIS"/>
    <n v="0"/>
    <x v="0"/>
    <n v="0"/>
    <n v="2101.5625"/>
    <n v="0"/>
    <n v="0"/>
    <n v="0"/>
    <n v="2090"/>
    <s v="ACAB 01"/>
    <n v="807.37070312499998"/>
    <s v="LZ 01"/>
    <n v="1500"/>
    <s v="TIP 01"/>
    <n v="2101.5625"/>
    <s v="VAGA 02"/>
    <n v="0"/>
    <s v="ELEV 01"/>
    <n v="6498.9332031249996"/>
    <s v="ESSENCIAL"/>
    <s v="-"/>
    <n v="6498.9332031249996"/>
    <s v="ESSENCIAL"/>
    <s v="ESSENCIAL"/>
    <s v="-"/>
    <s v="ESSENCIAL"/>
    <s v="ADERÊNTE"/>
    <n v="6498.9332031249996"/>
    <s v="ESSENCIAL"/>
    <s v="ESSENCIAL/ECO"/>
    <n v="2897.3707031250001"/>
    <s v="ESSENCIAL"/>
    <x v="0"/>
    <x v="0"/>
    <x v="0"/>
  </r>
  <r>
    <n v="26"/>
    <s v="Residencial Poente Do Buriti"/>
    <x v="1"/>
    <n v="360"/>
    <s v="De 200 a 400 und"/>
    <x v="1"/>
    <n v="3"/>
    <n v="10"/>
    <m/>
    <m/>
    <n v="3"/>
    <n v="6"/>
    <n v="2"/>
    <x v="0"/>
    <s v="SEM PISO"/>
    <s v="COM PISO (Cerâmica)"/>
    <s v="ATÉ 1,5"/>
    <s v="TEXT"/>
    <s v="COMBO 01"/>
    <s v="ARDÓSIA"/>
    <s v="VIDRO SIMPLE (2 FOLHAS)"/>
    <n v="530"/>
    <n v="260"/>
    <n v="900"/>
    <n v="500"/>
    <n v="370"/>
    <n v="90"/>
    <n v="720"/>
    <s v="BICICLETÁRIO"/>
    <n v="1"/>
    <s v="CHURRASQUEIRA"/>
    <n v="2"/>
    <s v="KIDS"/>
    <n v="1"/>
    <s v="PLAYGROUND"/>
    <n v="1"/>
    <s v="SALÃO DE FESTAS"/>
    <n v="1"/>
    <m/>
    <m/>
    <m/>
    <m/>
    <m/>
    <m/>
    <m/>
    <m/>
    <m/>
    <m/>
    <n v="14.722222222222221"/>
    <n v="473.05066666666664"/>
    <n v="172.65644444444445"/>
    <n v="64.305555555555557"/>
    <n v="342.10249999999996"/>
    <n v="0"/>
    <n v="0"/>
    <n v="0"/>
    <n v="0"/>
    <n v="0"/>
    <s v="COM VARANDA"/>
    <n v="0.66666666666666663"/>
    <s v="SEM SUÍTE"/>
    <n v="0"/>
    <n v="2000"/>
    <n v="0"/>
    <s v="SEM VAGA EM SOLO"/>
    <n v="0"/>
    <n v="0"/>
    <s v="SEM VAGA MOTO"/>
    <n v="0"/>
    <s v="SEM VAGA PILOTIS"/>
    <n v="0"/>
    <x v="0"/>
    <n v="0"/>
    <n v="0"/>
    <n v="0"/>
    <n v="0"/>
    <n v="0"/>
    <n v="2390"/>
    <s v="ACAB 01"/>
    <n v="1066.8373888888887"/>
    <s v="LZ 02"/>
    <n v="2000"/>
    <s v="TIP 02"/>
    <n v="0"/>
    <s v="VAGA 01"/>
    <n v="3290.8333333333335"/>
    <s v="ELEV 03"/>
    <n v="8747.670722222223"/>
    <s v="ESSENCIAL"/>
    <s v="-"/>
    <n v="5456.8373888888891"/>
    <s v="ESSENCIAL"/>
    <s v="ESSENCIAL"/>
    <s v="-"/>
    <s v="ESSENCIAL"/>
    <s v="ADERÊNTE"/>
    <n v="5456.8373888888891"/>
    <s v="ESSENCIAL"/>
    <s v="-"/>
    <n v="3456.8373888888887"/>
    <s v="ESSENCIAL"/>
    <x v="0"/>
    <x v="0"/>
    <x v="0"/>
  </r>
  <r>
    <n v="4"/>
    <s v="VALE DO AMANHECER"/>
    <x v="0"/>
    <n v="552"/>
    <s v="Acima de 400 und"/>
    <x v="1"/>
    <n v="1"/>
    <n v="13"/>
    <n v="4"/>
    <n v="14"/>
    <n v="5"/>
    <n v="10"/>
    <n v="2"/>
    <x v="0"/>
    <s v="COM PISO (Cerâmica)"/>
    <s v="COM PISO (Cerâmica)"/>
    <s v="1 FIADA"/>
    <s v="TEXT"/>
    <s v="COMBO 01"/>
    <s v="ARDÓSIA"/>
    <s v="VIDRO SIMPLE (2 FOLHAS)"/>
    <n v="2430"/>
    <n v="260"/>
    <n v="600"/>
    <n v="500"/>
    <n v="370"/>
    <n v="90"/>
    <n v="720"/>
    <s v="SALÃO DE FESTAS"/>
    <n v="1"/>
    <s v="CHURRASQUEIRA"/>
    <n v="2"/>
    <s v="PISCINA"/>
    <n v="1"/>
    <s v="PLAYGROUND"/>
    <n v="1"/>
    <s v="PET PLACE"/>
    <n v="1"/>
    <s v="GAZEBO"/>
    <n v="1"/>
    <s v="BICICLETÁRIO"/>
    <n v="1"/>
    <m/>
    <n v="0"/>
    <m/>
    <m/>
    <m/>
    <m/>
    <n v="223.11032608695652"/>
    <n v="308.51130434782607"/>
    <n v="498.49199275362321"/>
    <n v="41.938405797101453"/>
    <n v="12.590579710144928"/>
    <n v="29.347826086956523"/>
    <n v="9.6014492753623184"/>
    <n v="0"/>
    <n v="0"/>
    <n v="0"/>
    <s v="COM VARANDA"/>
    <n v="0.17"/>
    <s v="SEM SUÍTE"/>
    <n v="0"/>
    <n v="510.00000000000006"/>
    <n v="0"/>
    <s v="COM VAGA EM SOLO"/>
    <n v="376"/>
    <n v="0.6811594202898551"/>
    <s v="COM VAGA MOTO"/>
    <n v="28"/>
    <s v="SEM VAGA PILOTIS"/>
    <n v="0"/>
    <x v="0"/>
    <n v="0"/>
    <n v="1362.3188405797102"/>
    <n v="50.724637681159422"/>
    <n v="0"/>
    <n v="0"/>
    <n v="3990"/>
    <s v="ACAB 02"/>
    <n v="1123.5918840579709"/>
    <s v="LZ 02"/>
    <n v="510.00000000000006"/>
    <s v="TIP 01"/>
    <n v="1413.0434782608697"/>
    <s v="VAGA 02"/>
    <n v="8207.1195652173919"/>
    <s v="ELEV 03"/>
    <n v="15243.754927536233"/>
    <s v="BIO"/>
    <s v="BIO+10%"/>
    <n v="7036.6353623188406"/>
    <s v="ECO"/>
    <s v="ECO"/>
    <s v="-"/>
    <s v="ECO"/>
    <s v="NÃO ADERÊNTE"/>
    <n v="7036.6353623188406"/>
    <s v="ECO"/>
    <s v="ESSENCIAL/ECO"/>
    <n v="5113.5918840579707"/>
    <s v="ECO"/>
    <x v="1"/>
    <x v="1"/>
    <x v="1"/>
  </r>
  <r>
    <n v="39"/>
    <s v="San Miller"/>
    <x v="1"/>
    <n v="312"/>
    <s v="De 200 a 400 und"/>
    <x v="1"/>
    <n v="2"/>
    <n v="13"/>
    <m/>
    <m/>
    <n v="2"/>
    <n v="4"/>
    <n v="2"/>
    <x v="0"/>
    <s v="SEM PISO"/>
    <s v="COM PISO (Cerâmica)"/>
    <s v="ATÉ 1,5"/>
    <s v="TEXT"/>
    <s v="COMBO 01"/>
    <s v="ARDÓSIA"/>
    <s v="VIDRO SIMPLE (2 FOLHAS)"/>
    <n v="530"/>
    <n v="260"/>
    <n v="900"/>
    <n v="500"/>
    <n v="370"/>
    <n v="90"/>
    <n v="720"/>
    <s v="BICICLETÁRIO"/>
    <n v="1"/>
    <s v="CHURRASQUEIRA"/>
    <n v="1"/>
    <s v="SALÃO DE FESTAS"/>
    <n v="1"/>
    <s v="PET PLACE"/>
    <n v="1"/>
    <s v="PLAYGROUND"/>
    <n v="1"/>
    <m/>
    <m/>
    <m/>
    <m/>
    <m/>
    <m/>
    <m/>
    <m/>
    <m/>
    <m/>
    <n v="16.987179487179485"/>
    <n v="272.91384615384612"/>
    <n v="394.7336538461538"/>
    <n v="22.275641025641026"/>
    <n v="74.198717948717942"/>
    <n v="0"/>
    <n v="0"/>
    <n v="0"/>
    <n v="0"/>
    <n v="0"/>
    <s v="COM VARANDA"/>
    <n v="0.66666666666666663"/>
    <s v="SEM SUÍTE"/>
    <n v="0"/>
    <n v="2000"/>
    <n v="0"/>
    <s v="COM VAGA EM SOLO"/>
    <n v="33"/>
    <n v="0.10576923076923077"/>
    <s v="COM VAGA MOTO"/>
    <n v="2"/>
    <s v="SEM VAGA PILOTIS"/>
    <n v="0"/>
    <x v="0"/>
    <n v="0"/>
    <n v="211.53846153846155"/>
    <n v="6.4102564102564106"/>
    <n v="0"/>
    <n v="0"/>
    <n v="2390"/>
    <s v="ACAB 01"/>
    <n v="781.10903846153838"/>
    <s v="LZ 01"/>
    <n v="2000"/>
    <s v="TIP 02"/>
    <n v="217.94871794871796"/>
    <s v="VAGA 01"/>
    <n v="2796.5"/>
    <s v="ELEV 03"/>
    <n v="8185.5577564102559"/>
    <s v="ESSENCIAL"/>
    <s v="-"/>
    <n v="5389.0577564102559"/>
    <s v="ESSENCIAL"/>
    <s v="ESSENCIAL"/>
    <s v="-"/>
    <s v="ESSENCIAL"/>
    <s v="ADERÊNTE"/>
    <n v="5389.0577564102559"/>
    <s v="ESSENCIAL"/>
    <s v="-"/>
    <n v="3171.1090384615381"/>
    <s v="ESSENCIAL"/>
    <x v="0"/>
    <x v="0"/>
    <x v="0"/>
  </r>
  <r>
    <n v="35"/>
    <s v="Gran Arena Itaquera"/>
    <x v="1"/>
    <n v="1064"/>
    <s v="Acima de 400 und"/>
    <x v="1"/>
    <n v="5"/>
    <n v="18"/>
    <m/>
    <m/>
    <n v="5"/>
    <n v="20"/>
    <n v="4"/>
    <x v="0"/>
    <s v="SEM PISO"/>
    <s v="COM PISO (Cerâmica)"/>
    <s v="ATÉ 1,5"/>
    <s v="TEXT"/>
    <s v="COMBO 01"/>
    <s v="ARDÓSIA"/>
    <s v="VIDRO SIMPLE (2 FOLHAS)"/>
    <n v="530"/>
    <n v="260"/>
    <n v="900"/>
    <n v="500"/>
    <n v="370"/>
    <n v="90"/>
    <n v="720"/>
    <s v="QUADRA RECREATIVA"/>
    <n v="1"/>
    <s v="CHURRASQUEIRA"/>
    <n v="2"/>
    <s v="SALÃO DE FESTAS"/>
    <n v="1"/>
    <s v="KIDS"/>
    <n v="1"/>
    <s v="PLAYGROUND"/>
    <n v="1"/>
    <s v="BICICLETÁRIO"/>
    <n v="1"/>
    <m/>
    <m/>
    <m/>
    <m/>
    <m/>
    <m/>
    <m/>
    <m/>
    <n v="118.48556390977444"/>
    <n v="160.05473684210526"/>
    <n v="115.74896616541353"/>
    <n v="58.417593984962409"/>
    <n v="21.757518796992482"/>
    <n v="4.981203007518797"/>
    <n v="0"/>
    <n v="0"/>
    <n v="0"/>
    <n v="0"/>
    <s v="SEM VARANDA"/>
    <n v="0"/>
    <s v="SEM SUÍTE"/>
    <n v="0"/>
    <n v="0"/>
    <n v="0"/>
    <s v="COM VAGA EM SOLO"/>
    <n v="159"/>
    <n v="0.14943609022556392"/>
    <s v="SEM VAGA MOTO"/>
    <n v="0"/>
    <s v="SEM VAGA PILOTIS"/>
    <n v="0"/>
    <x v="0"/>
    <n v="0"/>
    <n v="298.8721804511278"/>
    <n v="0"/>
    <n v="0"/>
    <n v="0"/>
    <n v="2390"/>
    <s v="ACAB 01"/>
    <n v="479.44558270676697"/>
    <s v="LZ 01"/>
    <n v="0"/>
    <s v="TIP 01"/>
    <n v="298.8721804511278"/>
    <s v="VAGA 01"/>
    <n v="5677.105263157895"/>
    <s v="ELEV 03"/>
    <n v="8845.4230263157897"/>
    <s v="ESSENCIAL"/>
    <s v="-"/>
    <n v="3168.3177631578947"/>
    <s v="ESSENCIAL"/>
    <s v="ESSENCIAL"/>
    <s v="-"/>
    <s v="ESSENCIAL"/>
    <s v="ADERÊNTE"/>
    <n v="3168.3177631578947"/>
    <s v="ESSENCIAL"/>
    <s v="-"/>
    <n v="2869.4455827067668"/>
    <s v="ESSENCIAL"/>
    <x v="0"/>
    <x v="0"/>
    <x v="0"/>
  </r>
  <r>
    <n v="28"/>
    <s v="Residencial Liviero"/>
    <x v="1"/>
    <n v="709"/>
    <s v="Acima de 400 und"/>
    <x v="1"/>
    <n v="6"/>
    <n v="10"/>
    <m/>
    <m/>
    <n v="6"/>
    <n v="12"/>
    <n v="2"/>
    <x v="0"/>
    <s v="SEM PISO"/>
    <s v="COM PISO (Cerâmica)"/>
    <s v="ATÉ 1,5"/>
    <s v="TEXT"/>
    <s v="COMBO 01"/>
    <s v="ARDÓSIA"/>
    <s v="VIDRO SIMPLE (2 FOLHAS)"/>
    <n v="530"/>
    <n v="260"/>
    <n v="900"/>
    <n v="500"/>
    <n v="370"/>
    <n v="90"/>
    <n v="720"/>
    <s v="SALÃO DE FESTAS"/>
    <n v="1"/>
    <s v="CHURRASQUEIRA"/>
    <n v="2"/>
    <s v="PLAYGROUND"/>
    <n v="1"/>
    <s v="KIDS"/>
    <n v="1"/>
    <s v="JOGOS"/>
    <n v="1"/>
    <s v="PLAYGROUND"/>
    <n v="1"/>
    <s v="HOME OFFICE"/>
    <n v="1"/>
    <s v="BICICLETÁRIO"/>
    <n v="1"/>
    <m/>
    <m/>
    <m/>
    <m/>
    <n v="173.70507757404795"/>
    <n v="240.19497884344145"/>
    <n v="32.651622002820872"/>
    <n v="87.667588152327227"/>
    <n v="112.45866008462623"/>
    <n v="32.651622002820872"/>
    <n v="115.73358251057827"/>
    <n v="7.4753173483779971"/>
    <n v="0"/>
    <n v="0"/>
    <s v="COM VARANDA"/>
    <n v="0.64598025387870239"/>
    <s v="SEM SUÍTE"/>
    <n v="0"/>
    <n v="1937.9407616361073"/>
    <n v="0"/>
    <s v="COM VAGA EM SOLO"/>
    <n v="118"/>
    <n v="0.16643159379407615"/>
    <s v="SEM VAGA MOTO"/>
    <n v="0"/>
    <s v="SEM VAGA PILOTIS"/>
    <n v="0"/>
    <x v="0"/>
    <n v="0"/>
    <n v="332.8631875881523"/>
    <n v="0"/>
    <n v="0"/>
    <n v="0"/>
    <n v="2390"/>
    <s v="ACAB 01"/>
    <n v="802.5384485190408"/>
    <s v="LZ 01"/>
    <n v="1937.9407616361073"/>
    <s v="TIP 02"/>
    <n v="332.8631875881523"/>
    <s v="VAGA 01"/>
    <n v="3341.8899858956274"/>
    <s v="ELEV 03"/>
    <n v="8805.2323836389278"/>
    <s v="ESSENCIAL"/>
    <s v="-"/>
    <n v="5463.3423977433004"/>
    <s v="ESSENCIAL"/>
    <s v="ESSENCIAL"/>
    <s v="-"/>
    <s v="ESSENCIAL"/>
    <s v="ADERÊNTE"/>
    <n v="5463.3423977433004"/>
    <s v="ESSENCIAL"/>
    <s v="-"/>
    <n v="3192.5384485190407"/>
    <s v="ESSENCIAL"/>
    <x v="0"/>
    <x v="0"/>
    <x v="0"/>
  </r>
  <r>
    <n v="50"/>
    <s v="Porto Versalhes"/>
    <x v="4"/>
    <n v="220"/>
    <s v="De 200 a 400 und"/>
    <x v="0"/>
    <n v="11"/>
    <n v="5"/>
    <m/>
    <m/>
    <n v="11"/>
    <n v="0"/>
    <n v="0"/>
    <x v="0"/>
    <s v="SEM PISO"/>
    <s v="COM PISO (Cerâmica)"/>
    <s v="ATÉ 1,5"/>
    <s v="TEXT"/>
    <s v="COMBO 01"/>
    <s v="ARDÓSIA"/>
    <s v="VIDRO SIMPLE (2 FOLHAS)"/>
    <n v="530"/>
    <n v="260"/>
    <n v="900"/>
    <n v="500"/>
    <n v="370"/>
    <n v="90"/>
    <n v="720"/>
    <s v="BICICLETÁRIO"/>
    <n v="1"/>
    <s v="CHURRASQUEIRA"/>
    <n v="1"/>
    <s v="PIQUENIQUE"/>
    <n v="3"/>
    <s v="PLAYGROUND"/>
    <n v="2"/>
    <s v="GAZEBO"/>
    <n v="1"/>
    <m/>
    <m/>
    <m/>
    <m/>
    <m/>
    <m/>
    <m/>
    <m/>
    <m/>
    <m/>
    <n v="24.09090909090909"/>
    <n v="387.04145454545454"/>
    <n v="94.909090909090907"/>
    <n v="210.45454545454547"/>
    <n v="73.63636363636364"/>
    <n v="0"/>
    <n v="0"/>
    <n v="0"/>
    <n v="0"/>
    <n v="0"/>
    <s v="COM VARANDA"/>
    <n v="0.4"/>
    <s v="SEM SUÍTE"/>
    <n v="0"/>
    <n v="1200"/>
    <n v="0"/>
    <s v="COM VAGA EM SOLO"/>
    <n v="88"/>
    <n v="0.4"/>
    <s v="SEM VAGA MOTO"/>
    <n v="0"/>
    <s v="SEM VAGA PILOTIS"/>
    <n v="0"/>
    <x v="0"/>
    <n v="0"/>
    <n v="800"/>
    <n v="0"/>
    <n v="0"/>
    <n v="0"/>
    <n v="2390"/>
    <s v="ACAB 01"/>
    <n v="790.13236363636361"/>
    <s v="LZ 01"/>
    <n v="1200"/>
    <s v="TIP 01"/>
    <n v="800"/>
    <s v="VAGA 01"/>
    <n v="0"/>
    <s v="ELEV 01"/>
    <n v="5180.1323636363632"/>
    <s v="ESSENCIAL"/>
    <s v="-"/>
    <n v="5180.1323636363632"/>
    <s v="ESSENCIAL"/>
    <s v="ESSENCIAL"/>
    <s v="-"/>
    <s v="ESSENCIAL"/>
    <s v="ADERÊNTE"/>
    <n v="5180.1323636363632"/>
    <s v="ESSENCIAL"/>
    <s v="-"/>
    <n v="3180.1323636363636"/>
    <s v="ESSENCIAL"/>
    <x v="0"/>
    <x v="0"/>
    <x v="0"/>
  </r>
  <r>
    <n v="30"/>
    <s v="Palácio De Estocolmo"/>
    <x v="3"/>
    <n v="496"/>
    <s v="Acima de 400 und"/>
    <x v="0"/>
    <n v="31"/>
    <n v="4"/>
    <m/>
    <m/>
    <n v="31"/>
    <n v="1"/>
    <n v="3.2258064516129031E-2"/>
    <x v="0"/>
    <s v="SEM PISO"/>
    <s v="COM PISO (Cerâmica)"/>
    <s v="ATÉ 1,5"/>
    <s v="TEXT"/>
    <s v="COMBO 01"/>
    <s v="ARDÓSIA"/>
    <s v="VIDRO SIMPLE (2 FOLHAS)"/>
    <n v="530"/>
    <n v="260"/>
    <n v="900"/>
    <n v="500"/>
    <n v="370"/>
    <n v="90"/>
    <n v="720"/>
    <s v="PET PLACE"/>
    <n v="1"/>
    <s v="BICICLETÁRIO"/>
    <n v="1"/>
    <s v="CHURRASQUEIRA"/>
    <n v="1"/>
    <s v="SALÃO DE FESTAS"/>
    <n v="1"/>
    <s v="PISCINA"/>
    <n v="1"/>
    <s v="JOGOS"/>
    <n v="1"/>
    <s v="PLAYGROUND"/>
    <n v="1"/>
    <m/>
    <m/>
    <m/>
    <m/>
    <m/>
    <m/>
    <n v="14.012096774193548"/>
    <n v="10.685483870967742"/>
    <n v="171.67161290322579"/>
    <n v="248.30020161290321"/>
    <n v="554.77334677419356"/>
    <n v="160.7523991935484"/>
    <n v="46.673387096774192"/>
    <n v="0"/>
    <n v="0"/>
    <n v="0"/>
    <s v="COM VARANDA"/>
    <n v="0.36290322580645162"/>
    <s v="SEM SUÍTE"/>
    <n v="0"/>
    <n v="1088.7096774193549"/>
    <n v="0"/>
    <s v="COM VAGA EM SOLO"/>
    <n v="209"/>
    <n v="0.4213709677419355"/>
    <s v="COM VAGA MOTO"/>
    <n v="2"/>
    <s v="SEM VAGA PILOTIS"/>
    <n v="0"/>
    <x v="0"/>
    <n v="0"/>
    <n v="842.74193548387098"/>
    <n v="4.032258064516129"/>
    <n v="0"/>
    <n v="0"/>
    <n v="2390"/>
    <s v="ACAB 01"/>
    <n v="1206.8685282258064"/>
    <s v="LZ 02"/>
    <n v="1088.7096774193549"/>
    <s v="TIP 01"/>
    <n v="846.77419354838707"/>
    <s v="VAGA 01"/>
    <n v="242.16129032258064"/>
    <s v="ELEV 02"/>
    <n v="5774.5136895161295"/>
    <s v="ESSENCIAL"/>
    <s v="-"/>
    <n v="5532.352399193549"/>
    <s v="ESSENCIAL"/>
    <s v="ESSENCIAL"/>
    <s v="-"/>
    <s v="ESSENCIAL"/>
    <s v="ADERÊNTE"/>
    <n v="5532.352399193549"/>
    <s v="ESSENCIAL"/>
    <s v="-"/>
    <n v="3596.8685282258066"/>
    <s v="ESSENCIAL"/>
    <x v="0"/>
    <x v="0"/>
    <x v="0"/>
  </r>
  <r>
    <n v="19"/>
    <s v="Cores Do Poente"/>
    <x v="3"/>
    <n v="280"/>
    <s v="De 200 a 400 und"/>
    <x v="0"/>
    <n v="14"/>
    <n v="5"/>
    <m/>
    <m/>
    <n v="14"/>
    <n v="0"/>
    <n v="0"/>
    <x v="0"/>
    <s v="SEM PISO"/>
    <s v="COM PISO (Cerâmica)"/>
    <s v="ATÉ 1,5"/>
    <s v="TEXT"/>
    <s v="COMBO 01"/>
    <s v="ARDÓSIA"/>
    <s v="VIDRO SIMPLE (2 FOLHAS)"/>
    <n v="530"/>
    <n v="260"/>
    <n v="900"/>
    <n v="500"/>
    <n v="370"/>
    <n v="90"/>
    <n v="720"/>
    <s v="CHURRASQUEIRA"/>
    <n v="1"/>
    <s v="PLAYGROUND"/>
    <n v="1"/>
    <s v="PET PLACE"/>
    <n v="1"/>
    <s v="BICICLETÁRIO"/>
    <n v="1"/>
    <m/>
    <m/>
    <m/>
    <m/>
    <m/>
    <m/>
    <m/>
    <m/>
    <m/>
    <m/>
    <m/>
    <m/>
    <n v="304.10399999999998"/>
    <n v="82.678571428571431"/>
    <n v="24.821428571428573"/>
    <n v="18.928571428571427"/>
    <n v="0"/>
    <n v="0"/>
    <n v="0"/>
    <n v="0"/>
    <n v="0"/>
    <n v="0"/>
    <s v="SEM VARANDA"/>
    <n v="0"/>
    <s v="SEM SUÍTE"/>
    <n v="0"/>
    <n v="0"/>
    <n v="0"/>
    <s v="COM VAGA EM SOLO"/>
    <n v="160"/>
    <n v="0.5714285714285714"/>
    <s v="COM VAGA MOTO"/>
    <n v="22"/>
    <s v="SEM VAGA PILOTIS"/>
    <n v="0"/>
    <x v="0"/>
    <n v="0"/>
    <n v="1142.8571428571429"/>
    <n v="78.571428571428569"/>
    <n v="0"/>
    <n v="0"/>
    <n v="2390"/>
    <s v="ACAB 01"/>
    <n v="430.53257142857143"/>
    <s v="LZ 01"/>
    <n v="0"/>
    <s v="TIP 01"/>
    <n v="1221.4285714285716"/>
    <s v="VAGA 01"/>
    <n v="0"/>
    <s v="ELEV 01"/>
    <n v="4041.9611428571429"/>
    <s v="ESSENCIAL"/>
    <s v="-"/>
    <n v="4041.9611428571429"/>
    <s v="ESSENCIAL"/>
    <s v="ESSENCIAL"/>
    <s v="-"/>
    <s v="ESSENCIAL"/>
    <s v="ADERÊNTE"/>
    <n v="4041.9611428571429"/>
    <s v="ESSENCIAL"/>
    <s v="-"/>
    <n v="2820.5325714285714"/>
    <s v="ESSENCIAL"/>
    <x v="0"/>
    <x v="0"/>
    <x v="0"/>
  </r>
  <r>
    <n v="40"/>
    <s v="Residencial Atlanta"/>
    <x v="3"/>
    <n v="416"/>
    <s v="Acima de 400 und"/>
    <x v="0"/>
    <n v="26"/>
    <n v="4"/>
    <m/>
    <m/>
    <n v="26"/>
    <n v="0"/>
    <n v="0"/>
    <x v="0"/>
    <s v="COM PISO (Cerâmica)"/>
    <s v="COM PISO (Cerâmica)"/>
    <s v="ATÉ 1,5"/>
    <s v="TEXT"/>
    <s v="COMBO 01"/>
    <s v="ARDÓSIA"/>
    <s v="VIDRO SIMPLE (2 FOLHAS)"/>
    <n v="2430"/>
    <n v="260"/>
    <n v="900"/>
    <n v="500"/>
    <n v="370"/>
    <n v="90"/>
    <n v="720"/>
    <s v="BICICLETÁRIO"/>
    <n v="1"/>
    <s v="CHURRASQUEIRA"/>
    <n v="1"/>
    <s v="PLAYGROUND"/>
    <n v="1"/>
    <s v="PLAYGROUND"/>
    <n v="1"/>
    <s v="QUADRA RECREATIVA"/>
    <n v="1"/>
    <m/>
    <m/>
    <m/>
    <m/>
    <m/>
    <m/>
    <m/>
    <m/>
    <m/>
    <m/>
    <n v="12.740384615384615"/>
    <n v="204.68538461538461"/>
    <n v="55.64903846153846"/>
    <n v="55.64903846153846"/>
    <n v="303.04961538461538"/>
    <n v="0"/>
    <n v="0"/>
    <n v="0"/>
    <n v="0"/>
    <n v="0"/>
    <s v="SEM VARANDA"/>
    <n v="0"/>
    <s v="SEM SUÍTE"/>
    <n v="0"/>
    <n v="0"/>
    <n v="0"/>
    <s v="COM VAGA EM SOLO"/>
    <n v="419"/>
    <n v="1.0072115384615385"/>
    <s v="COM VAGA MOTO"/>
    <n v="42"/>
    <s v="SEM VAGA PILOTIS"/>
    <n v="0"/>
    <x v="0"/>
    <n v="0"/>
    <n v="2014.4230769230769"/>
    <n v="100.96153846153847"/>
    <n v="0"/>
    <n v="0"/>
    <n v="4290"/>
    <s v="ACAB 02"/>
    <n v="631.77346153846156"/>
    <s v="LZ 01"/>
    <n v="0"/>
    <s v="TIP 01"/>
    <n v="2115.3846153846152"/>
    <s v="VAGA 02"/>
    <n v="0"/>
    <s v="ELEV 01"/>
    <n v="7037.1580769230768"/>
    <s v="ESSENCIAL"/>
    <s v="-"/>
    <n v="7037.1580769230768"/>
    <s v="ECO"/>
    <s v="ESSENCIAL"/>
    <s v="-"/>
    <s v="ESSENCIAL"/>
    <s v="ADERÊNTE"/>
    <n v="7037.1580769230768"/>
    <s v="ECO"/>
    <s v="ESSENCIAL/ECO"/>
    <n v="4921.7734615384616"/>
    <s v="ECO"/>
    <x v="1"/>
    <x v="1"/>
    <x v="1"/>
  </r>
  <r>
    <n v="17"/>
    <s v="Moradas Do Sol"/>
    <x v="5"/>
    <n v="244"/>
    <s v="De 200 a 400 und"/>
    <x v="0"/>
    <n v="15"/>
    <n v="5"/>
    <m/>
    <m/>
    <n v="15"/>
    <n v="1"/>
    <n v="6.6666666666666666E-2"/>
    <x v="0"/>
    <s v="COM PISO (Cerâmica)"/>
    <s v="COM PISO (Cerâmica)"/>
    <s v="ATÉ 1,5"/>
    <s v="TEXT"/>
    <s v="COMBO 01"/>
    <s v="ARDÓSIA"/>
    <s v="VIDRO SIMPLE (2 FOLHAS)"/>
    <n v="2430"/>
    <n v="260"/>
    <n v="900"/>
    <n v="500"/>
    <n v="370"/>
    <n v="90"/>
    <n v="720"/>
    <s v="PLAYGROUND"/>
    <n v="1"/>
    <s v="CHURRASQUEIRA"/>
    <n v="1"/>
    <s v="PET PLACE"/>
    <n v="1"/>
    <s v="BICICLETÁRIO"/>
    <n v="1"/>
    <m/>
    <m/>
    <m/>
    <m/>
    <m/>
    <m/>
    <m/>
    <m/>
    <m/>
    <m/>
    <m/>
    <m/>
    <n v="94.877049180327873"/>
    <n v="348.97180327868853"/>
    <n v="28.483606557377048"/>
    <n v="21.721311475409838"/>
    <n v="0"/>
    <n v="0"/>
    <n v="0"/>
    <n v="0"/>
    <n v="0"/>
    <n v="0"/>
    <s v="SEM VARANDA"/>
    <n v="0"/>
    <s v="SEM SUÍTE"/>
    <n v="0"/>
    <n v="0"/>
    <n v="0"/>
    <s v="COM VAGA EM SOLO"/>
    <n v="247"/>
    <n v="1.0122950819672132"/>
    <s v="COM VAGA MOTO"/>
    <n v="11"/>
    <s v="SEM VAGA PILOTIS"/>
    <n v="0"/>
    <x v="0"/>
    <n v="0"/>
    <n v="2024.5901639344263"/>
    <n v="45.081967213114751"/>
    <n v="0"/>
    <n v="0"/>
    <n v="4290"/>
    <s v="ACAB 02"/>
    <n v="494.05377049180328"/>
    <s v="LZ 01"/>
    <n v="0"/>
    <s v="TIP 01"/>
    <n v="2069.6721311475412"/>
    <s v="VAGA 02"/>
    <n v="615.32786885245901"/>
    <s v="ELEV 02"/>
    <n v="7469.0537704918033"/>
    <s v="ESSENCIAL"/>
    <s v="ESSENCIAL-10%"/>
    <n v="6853.7259016393446"/>
    <s v="ECO"/>
    <s v="ECO"/>
    <s v="-"/>
    <s v="ECO"/>
    <s v="NÃO ADERÊNTE"/>
    <n v="6853.7259016393446"/>
    <s v="ECO"/>
    <s v="ESSENCIAL/ECO"/>
    <n v="4784.0537704918033"/>
    <s v="ECO"/>
    <x v="1"/>
    <x v="1"/>
    <x v="1"/>
  </r>
  <r>
    <n v="23"/>
    <s v="Residencial Monte Das Colinas"/>
    <x v="3"/>
    <n v="368"/>
    <s v="De 200 a 400 und"/>
    <x v="0"/>
    <n v="23"/>
    <n v="4"/>
    <m/>
    <m/>
    <n v="23"/>
    <n v="1"/>
    <n v="4.3478260869565216E-2"/>
    <x v="0"/>
    <s v="SEM PISO"/>
    <s v="COM PISO (Cerâmica)"/>
    <s v="ATÉ 1,5"/>
    <s v="TEXT"/>
    <s v="COMBO 01"/>
    <s v="ARDÓSIA"/>
    <s v="VIDRO SIMPLE (2 FOLHAS)"/>
    <n v="530"/>
    <n v="260"/>
    <n v="900"/>
    <n v="500"/>
    <n v="370"/>
    <n v="90"/>
    <n v="720"/>
    <s v="BICICLETÁRIO"/>
    <n v="1"/>
    <s v="PLAYGROUND"/>
    <n v="1"/>
    <s v="CHURRASQUEIRA"/>
    <n v="1"/>
    <s v="PISCINA"/>
    <n v="1"/>
    <s v="PET PLACE"/>
    <n v="1"/>
    <m/>
    <m/>
    <m/>
    <m/>
    <m/>
    <m/>
    <m/>
    <m/>
    <m/>
    <m/>
    <n v="14.402173913043478"/>
    <n v="62.907608695652172"/>
    <n v="231.38347826086957"/>
    <n v="747.73798913043481"/>
    <n v="18.885869565217391"/>
    <n v="0"/>
    <n v="0"/>
    <n v="0"/>
    <n v="0"/>
    <n v="0"/>
    <s v="COM VARANDA"/>
    <n v="0.37"/>
    <s v="SEM SUÍTE"/>
    <n v="0"/>
    <n v="1110"/>
    <n v="0"/>
    <s v="COM VAGA EM SOLO"/>
    <n v="227"/>
    <n v="0.61684782608695654"/>
    <s v="SEM VAGA MOTO"/>
    <n v="0"/>
    <s v="SEM VAGA PILOTIS"/>
    <n v="0"/>
    <x v="0"/>
    <n v="0"/>
    <n v="1233.695652173913"/>
    <n v="0"/>
    <n v="0"/>
    <n v="0"/>
    <n v="2390"/>
    <s v="ACAB 01"/>
    <n v="1075.3171195652176"/>
    <s v="LZ 02"/>
    <n v="1110"/>
    <s v="TIP 01"/>
    <n v="1233.695652173913"/>
    <s v="VAGA 01"/>
    <n v="326.39130434782606"/>
    <s v="ELEV 02"/>
    <n v="6135.4040760869566"/>
    <s v="ESSENCIAL"/>
    <s v="-"/>
    <n v="5809.0127717391306"/>
    <s v="ESSENCIAL"/>
    <s v="ESSENCIAL"/>
    <s v="-"/>
    <s v="ESSENCIAL"/>
    <s v="ADERÊNTE"/>
    <n v="5809.0127717391306"/>
    <s v="ESSENCIAL"/>
    <s v="-"/>
    <n v="3465.3171195652176"/>
    <s v="ESSENCIAL"/>
    <x v="0"/>
    <x v="0"/>
    <x v="0"/>
  </r>
  <r>
    <n v="44"/>
    <s v="Residencial Mauá"/>
    <x v="2"/>
    <n v="359"/>
    <s v="De 200 a 400 und"/>
    <x v="1"/>
    <n v="2"/>
    <n v="15"/>
    <m/>
    <m/>
    <n v="2"/>
    <n v="6"/>
    <n v="3"/>
    <x v="0"/>
    <s v="SEM PISO"/>
    <s v="COM PISO (Cerâmica)"/>
    <s v="ATÉ 1,5"/>
    <s v="TEXT"/>
    <s v="COMBO 01"/>
    <s v="ARDÓSIA"/>
    <s v="VIDRO SIMPLE (2 FOLHAS)"/>
    <n v="530"/>
    <n v="260"/>
    <n v="900"/>
    <n v="500"/>
    <n v="370"/>
    <n v="90"/>
    <n v="720"/>
    <s v="BICICLETÁRIO"/>
    <n v="1"/>
    <s v="CHURRASQUEIRA"/>
    <n v="1"/>
    <s v="PISCINA"/>
    <n v="1"/>
    <s v="GAZEBO"/>
    <n v="1"/>
    <s v="PET PLACE"/>
    <n v="1"/>
    <s v="PLAYGROUND"/>
    <n v="1"/>
    <s v="REDÁRIO"/>
    <n v="1"/>
    <m/>
    <m/>
    <m/>
    <m/>
    <m/>
    <m/>
    <n v="14.763231197771587"/>
    <n v="237.18417827298049"/>
    <n v="766.48350974930372"/>
    <n v="45.125348189415043"/>
    <n v="19.359331476323121"/>
    <n v="64.484679665738156"/>
    <n v="21.058495821727018"/>
    <n v="0"/>
    <n v="0"/>
    <n v="0"/>
    <s v="SEM VARANDA"/>
    <n v="0"/>
    <s v="SEM SUÍTE"/>
    <n v="0"/>
    <n v="0"/>
    <n v="0"/>
    <s v="COM VAGA EM SOLO"/>
    <n v="177"/>
    <n v="0.49303621169916434"/>
    <s v="COM VAGA MOTO"/>
    <n v="38"/>
    <s v="SEM VAGA PILOTIS"/>
    <n v="0"/>
    <x v="0"/>
    <n v="0"/>
    <n v="986.07242339832874"/>
    <n v="105.84958217270194"/>
    <n v="0"/>
    <n v="0"/>
    <n v="2390"/>
    <s v="ACAB 01"/>
    <n v="1168.4587743732593"/>
    <s v="LZ 02"/>
    <n v="0"/>
    <s v="TIP 01"/>
    <n v="1091.9220055710307"/>
    <s v="VAGA 01"/>
    <n v="4206.4345403899724"/>
    <s v="ELEV 03"/>
    <n v="8856.8153203342627"/>
    <s v="ESSENCIAL"/>
    <s v="-"/>
    <n v="4650.3807799442893"/>
    <s v="ESSENCIAL"/>
    <s v="ESSENCIAL"/>
    <s v="-"/>
    <s v="ESSENCIAL"/>
    <s v="ADERÊNTE"/>
    <n v="4650.3807799442893"/>
    <s v="ESSENCIAL"/>
    <s v="-"/>
    <n v="3558.4587743732591"/>
    <s v="ESSENCIAL"/>
    <x v="0"/>
    <x v="0"/>
    <x v="0"/>
  </r>
  <r>
    <n v="32"/>
    <s v="Residencial Lagoa De Safira"/>
    <x v="5"/>
    <n v="336"/>
    <s v="De 200 a 400 und"/>
    <x v="0"/>
    <n v="21"/>
    <n v="4"/>
    <m/>
    <m/>
    <n v="21"/>
    <n v="0"/>
    <n v="0"/>
    <x v="0"/>
    <s v="SEM PISO"/>
    <s v="COM PISO (Cerâmica)"/>
    <s v="ATÉ 1,5"/>
    <s v="TEXT"/>
    <s v="COMBO 01"/>
    <s v="ARDÓSIA"/>
    <s v="VIDRO SIMPLE (2 FOLHAS)"/>
    <n v="530"/>
    <n v="260"/>
    <n v="900"/>
    <n v="500"/>
    <n v="370"/>
    <n v="90"/>
    <n v="720"/>
    <s v="SALÃO DE FESTAS"/>
    <n v="1"/>
    <s v="CHURRASQUEIRA"/>
    <n v="1"/>
    <s v="PET PLACE"/>
    <n v="1"/>
    <s v="PLAYGROUND"/>
    <n v="1"/>
    <m/>
    <m/>
    <m/>
    <m/>
    <m/>
    <m/>
    <m/>
    <m/>
    <m/>
    <m/>
    <m/>
    <m/>
    <n v="366.53839285714287"/>
    <n v="253.42"/>
    <n v="20.68452380952381"/>
    <n v="68.898809523809518"/>
    <n v="0"/>
    <n v="0"/>
    <n v="0"/>
    <n v="0"/>
    <n v="0"/>
    <n v="0"/>
    <s v="SEM VARANDA"/>
    <n v="0"/>
    <s v="SEM SUÍTE"/>
    <n v="0"/>
    <n v="0"/>
    <n v="0"/>
    <s v="COM VAGA EM SOLO"/>
    <n v="336"/>
    <n v="1"/>
    <s v="SEM VAGA MOTO"/>
    <n v="0"/>
    <s v="SEM VAGA PILOTIS"/>
    <n v="0"/>
    <x v="0"/>
    <n v="0"/>
    <n v="2000"/>
    <n v="0"/>
    <n v="0"/>
    <n v="0"/>
    <n v="2390"/>
    <s v="ACAB 01"/>
    <n v="709.5417261904762"/>
    <s v="LZ 01"/>
    <n v="0"/>
    <s v="TIP 01"/>
    <n v="2000"/>
    <s v="VAGA 02"/>
    <n v="0"/>
    <s v="ELEV 01"/>
    <n v="5099.5417261904768"/>
    <s v="ESSENCIAL"/>
    <s v="-"/>
    <n v="5099.5417261904768"/>
    <s v="ESSENCIAL"/>
    <s v="ESSENCIAL"/>
    <s v="-"/>
    <s v="ESSENCIAL"/>
    <s v="ADERÊNTE"/>
    <n v="5099.5417261904768"/>
    <s v="ESSENCIAL"/>
    <s v="-"/>
    <n v="3099.5417261904763"/>
    <s v="ESSENCIAL"/>
    <x v="0"/>
    <x v="0"/>
    <x v="0"/>
  </r>
  <r>
    <n v="16"/>
    <s v="Residencial Loreto"/>
    <x v="4"/>
    <n v="436"/>
    <s v="Acima de 400 und"/>
    <x v="0"/>
    <n v="27"/>
    <n v="5"/>
    <m/>
    <m/>
    <n v="27"/>
    <n v="1"/>
    <n v="3.7037037037037035E-2"/>
    <x v="0"/>
    <s v="SEM PISO"/>
    <s v="COM PISO (Cerâmica)"/>
    <s v="ATÉ 1,5"/>
    <s v="TEXT"/>
    <s v="COMBO 01"/>
    <s v="ARDÓSIA"/>
    <s v="VIDRO SIMPLE (2 FOLHAS)"/>
    <n v="530"/>
    <n v="260"/>
    <n v="900"/>
    <n v="500"/>
    <n v="370"/>
    <n v="90"/>
    <n v="720"/>
    <s v="BICICLETÁRIO"/>
    <n v="1"/>
    <s v="CHURRASQUEIRA"/>
    <n v="2"/>
    <s v="GAZEBO"/>
    <n v="2"/>
    <s v="PET PLACE"/>
    <n v="1"/>
    <s v="PIQUENIQUE"/>
    <n v="12"/>
    <s v="PISCINA"/>
    <n v="1"/>
    <s v="PLAYGROUND"/>
    <n v="1"/>
    <s v="REDÁRIO"/>
    <n v="3"/>
    <m/>
    <m/>
    <m/>
    <m/>
    <n v="12.155963302752294"/>
    <n v="390.59229357798165"/>
    <n v="74.311926605504581"/>
    <n v="15.940366972477063"/>
    <n v="191.55963302752295"/>
    <n v="631.11830275229363"/>
    <n v="53.096330275229356"/>
    <n v="52.018348623853214"/>
    <n v="0"/>
    <n v="0"/>
    <s v="COM VARANDA"/>
    <n v="0.3577981651376147"/>
    <s v="SEM SUÍTE"/>
    <n v="0"/>
    <n v="1073.3944954128442"/>
    <n v="0"/>
    <s v="COM VAGA EM SOLO"/>
    <n v="436"/>
    <n v="1"/>
    <s v="SEM VAGA MOTO"/>
    <n v="0"/>
    <s v="SEM VAGA PILOTIS"/>
    <n v="0"/>
    <x v="0"/>
    <n v="0"/>
    <n v="2000"/>
    <n v="0"/>
    <n v="0"/>
    <n v="0"/>
    <n v="2390"/>
    <s v="ACAB 01"/>
    <n v="1420.7931651376146"/>
    <s v="LZ 02"/>
    <n v="1073.3944954128442"/>
    <s v="TIP 01"/>
    <n v="2000"/>
    <s v="VAGA 02"/>
    <n v="344.35779816513764"/>
    <s v="ELEV 02"/>
    <n v="7228.5454587155964"/>
    <s v="ESSENCIAL"/>
    <s v="ESSENCIAL-10%"/>
    <n v="6884.1876605504585"/>
    <s v="ECO"/>
    <s v="ECO"/>
    <s v="-"/>
    <s v="ECO"/>
    <s v="NÃO ADERÊNTE"/>
    <n v="6884.1876605504585"/>
    <s v="ECO"/>
    <s v="ESSENCIAL/ECO"/>
    <n v="3810.7931651376148"/>
    <s v="ESSENCIAL"/>
    <x v="0"/>
    <x v="0"/>
    <x v="1"/>
  </r>
  <r>
    <n v="31"/>
    <s v="Residencial Solar Da Ilha"/>
    <x v="3"/>
    <n v="240"/>
    <s v="De 200 a 400 und"/>
    <x v="0"/>
    <n v="12"/>
    <n v="5"/>
    <m/>
    <m/>
    <n v="12"/>
    <n v="0"/>
    <n v="0"/>
    <x v="0"/>
    <s v="SEM PISO"/>
    <s v="COM PISO (Cerâmica)"/>
    <s v="ATÉ 1,5"/>
    <s v="TEXT"/>
    <s v="COMBO 01"/>
    <s v="ARDÓSIA"/>
    <s v="VIDRO SIMPLE (2 FOLHAS)"/>
    <n v="530"/>
    <n v="260"/>
    <n v="900"/>
    <n v="500"/>
    <n v="370"/>
    <n v="90"/>
    <n v="720"/>
    <s v="REDÁRIO"/>
    <n v="2"/>
    <s v="GAZEBO"/>
    <n v="4"/>
    <s v="PLAYGROUND"/>
    <n v="1"/>
    <s v="PET PLACE"/>
    <n v="1"/>
    <s v="BICICLETÁRIO"/>
    <n v="1"/>
    <m/>
    <m/>
    <m/>
    <m/>
    <m/>
    <m/>
    <m/>
    <m/>
    <m/>
    <m/>
    <n v="63"/>
    <n v="270"/>
    <n v="96.458333333333329"/>
    <n v="28.958333333333332"/>
    <n v="22.083333333333332"/>
    <n v="0"/>
    <n v="0"/>
    <n v="0"/>
    <n v="0"/>
    <n v="0"/>
    <s v="SEM VARANDA"/>
    <n v="0"/>
    <s v="SEM SUÍTE"/>
    <n v="0"/>
    <n v="0"/>
    <n v="0"/>
    <s v="COM VAGA EM SOLO"/>
    <n v="247"/>
    <n v="1.0291666666666666"/>
    <s v="COM VAGA MOTO"/>
    <n v="8"/>
    <s v="SEM VAGA PILOTIS"/>
    <n v="0"/>
    <x v="0"/>
    <n v="0"/>
    <n v="2058.3333333333335"/>
    <n v="33.333333333333336"/>
    <n v="0"/>
    <n v="0"/>
    <n v="2390"/>
    <s v="ACAB 01"/>
    <n v="480.49999999999994"/>
    <s v="LZ 01"/>
    <n v="0"/>
    <s v="TIP 01"/>
    <n v="2091.666666666667"/>
    <s v="VAGA 02"/>
    <n v="0"/>
    <s v="ELEV 01"/>
    <n v="4962.166666666667"/>
    <s v="ESSENCIAL"/>
    <s v="-"/>
    <n v="4962.166666666667"/>
    <s v="ESSENCIAL"/>
    <s v="ESSENCIAL"/>
    <s v="-"/>
    <s v="ESSENCIAL"/>
    <s v="ADERÊNTE"/>
    <n v="4962.166666666667"/>
    <s v="ESSENCIAL"/>
    <s v="-"/>
    <n v="2870.5"/>
    <s v="ESSENCIAL"/>
    <x v="0"/>
    <x v="0"/>
    <x v="0"/>
  </r>
  <r>
    <n v="46"/>
    <s v="Residencial Riviera"/>
    <x v="3"/>
    <n v="496"/>
    <s v="Acima de 400 und"/>
    <x v="0"/>
    <n v="31"/>
    <n v="4"/>
    <m/>
    <m/>
    <n v="31"/>
    <n v="1"/>
    <n v="3.2258064516129031E-2"/>
    <x v="0"/>
    <s v="SEM PISO"/>
    <s v="COM PISO (Cerâmica)"/>
    <s v="ATÉ 1,5"/>
    <s v="TEXT"/>
    <s v="COMBO 01"/>
    <s v="ARDÓSIA"/>
    <s v="VIDRO SIMPLE (2 FOLHAS)"/>
    <n v="530"/>
    <n v="260"/>
    <n v="900"/>
    <n v="500"/>
    <n v="370"/>
    <n v="90"/>
    <n v="720"/>
    <s v="BICICLETÁRIO"/>
    <n v="1"/>
    <s v="CHURRASQUEIRA"/>
    <n v="2"/>
    <s v="PET PLACE"/>
    <n v="1"/>
    <s v="PISCINA"/>
    <n v="1"/>
    <s v="PLAYGROUND"/>
    <n v="1"/>
    <s v="MINI Q. DE BASQUETE"/>
    <n v="1"/>
    <m/>
    <m/>
    <m/>
    <m/>
    <m/>
    <m/>
    <m/>
    <m/>
    <n v="10.685483870967742"/>
    <n v="343.34322580645158"/>
    <n v="14.012096774193548"/>
    <n v="554.77334677419356"/>
    <n v="46.673387096774192"/>
    <n v="114.73564516129032"/>
    <n v="0"/>
    <n v="0"/>
    <n v="0"/>
    <n v="0"/>
    <s v="SEM VARANDA"/>
    <n v="0"/>
    <s v="SEM SUÍTE"/>
    <n v="0"/>
    <n v="0"/>
    <n v="0"/>
    <s v="COM VAGA EM SOLO"/>
    <n v="511"/>
    <n v="1.030241935483871"/>
    <s v="SEM VAGA MOTO"/>
    <n v="0"/>
    <s v="SEM VAGA PILOTIS"/>
    <n v="0"/>
    <x v="0"/>
    <n v="0"/>
    <n v="2060.483870967742"/>
    <n v="0"/>
    <n v="0"/>
    <n v="0"/>
    <n v="2390"/>
    <s v="ACAB 01"/>
    <n v="1084.2231854838708"/>
    <s v="LZ 02"/>
    <n v="0"/>
    <s v="TIP 01"/>
    <n v="2060.483870967742"/>
    <s v="VAGA 02"/>
    <n v="242.16129032258064"/>
    <s v="ELEV 02"/>
    <n v="5776.868346774193"/>
    <s v="ESSENCIAL"/>
    <s v="-"/>
    <n v="5534.7070564516125"/>
    <s v="ESSENCIAL"/>
    <s v="ESSENCIAL"/>
    <s v="-"/>
    <s v="ESSENCIAL"/>
    <s v="ADERÊNTE"/>
    <n v="5534.7070564516125"/>
    <s v="ESSENCIAL"/>
    <s v="-"/>
    <n v="3474.223185483871"/>
    <s v="ESSENCIAL"/>
    <x v="0"/>
    <x v="0"/>
    <x v="0"/>
  </r>
  <r>
    <n v="34"/>
    <s v="Jardim Di Turim"/>
    <x v="4"/>
    <n v="176"/>
    <s v="Até 200 und"/>
    <x v="0"/>
    <n v="9"/>
    <n v="5"/>
    <m/>
    <m/>
    <n v="9"/>
    <n v="0"/>
    <n v="0"/>
    <x v="0"/>
    <s v="SEM PISO"/>
    <s v="COM PISO (Cerâmica)"/>
    <s v="ATÉ 1,5"/>
    <s v="TEXT"/>
    <s v="COMBO 01"/>
    <s v="ARDÓSIA"/>
    <s v="VIDRO SIMPLE (2 FOLHAS)"/>
    <n v="530"/>
    <n v="260"/>
    <n v="900"/>
    <n v="500"/>
    <n v="370"/>
    <n v="90"/>
    <n v="720"/>
    <s v="PET PLACE"/>
    <n v="1"/>
    <s v="GAZEBO"/>
    <n v="1"/>
    <s v="BICICLETÁRIO"/>
    <n v="1"/>
    <s v="QUADRA DE AREIA"/>
    <n v="1"/>
    <s v="PLAYGROUND"/>
    <n v="1"/>
    <s v="CHURRASQUEIRA"/>
    <n v="1"/>
    <s v="PIQUENIQUE"/>
    <n v="1"/>
    <m/>
    <m/>
    <m/>
    <m/>
    <m/>
    <m/>
    <n v="39.488636363636367"/>
    <n v="92.045454545454547"/>
    <n v="30.113636363636363"/>
    <n v="557.10227272727275"/>
    <n v="131.53409090909091"/>
    <n v="483.80181818181813"/>
    <n v="39.545454545454547"/>
    <n v="0"/>
    <n v="0"/>
    <n v="0"/>
    <s v="SEM VARANDA"/>
    <n v="0"/>
    <s v="SEM SUÍTE"/>
    <n v="0"/>
    <n v="0"/>
    <n v="0"/>
    <s v="COM VAGA EM SOLO"/>
    <n v="182"/>
    <n v="1.0340909090909092"/>
    <s v="SEM VAGA MOTO"/>
    <n v="0"/>
    <s v="SEM VAGA PILOTIS"/>
    <n v="0"/>
    <x v="0"/>
    <n v="0"/>
    <n v="2068.181818181818"/>
    <n v="0"/>
    <n v="0"/>
    <n v="0"/>
    <n v="2390"/>
    <s v="ACAB 01"/>
    <n v="1373.6313636363634"/>
    <s v="LZ 02"/>
    <n v="0"/>
    <s v="TIP 01"/>
    <n v="2068.181818181818"/>
    <s v="VAGA 02"/>
    <n v="0"/>
    <s v="ELEV 01"/>
    <n v="5831.813181818181"/>
    <s v="ESSENCIAL"/>
    <s v="-"/>
    <n v="5831.813181818181"/>
    <s v="ESSENCIAL"/>
    <s v="ESSENCIAL"/>
    <s v="-"/>
    <s v="ESSENCIAL"/>
    <s v="ADERÊNTE"/>
    <n v="5831.813181818181"/>
    <s v="ESSENCIAL"/>
    <s v="-"/>
    <n v="3763.6313636363634"/>
    <s v="ESSENCIAL"/>
    <x v="0"/>
    <x v="0"/>
    <x v="0"/>
  </r>
  <r>
    <n v="36"/>
    <s v="Piazza Sirena"/>
    <x v="3"/>
    <n v="292"/>
    <s v="De 200 a 400 und"/>
    <x v="0"/>
    <n v="18"/>
    <n v="5"/>
    <m/>
    <m/>
    <n v="18"/>
    <n v="1"/>
    <n v="5.5555555555555552E-2"/>
    <x v="0"/>
    <s v="SEM PISO"/>
    <s v="COM PISO (Cerâmica)"/>
    <s v="ATÉ 1,5"/>
    <s v="TEXT"/>
    <s v="COMBO 01"/>
    <s v="ARDÓSIA"/>
    <s v="VIDRO SIMPLE (2 FOLHAS)"/>
    <n v="530"/>
    <n v="260"/>
    <n v="900"/>
    <n v="500"/>
    <n v="370"/>
    <n v="90"/>
    <n v="720"/>
    <s v="PLAYGROUND"/>
    <n v="1"/>
    <s v="PET PLACE"/>
    <n v="1"/>
    <s v="BICICLETÁRIO"/>
    <n v="1"/>
    <m/>
    <m/>
    <m/>
    <m/>
    <m/>
    <m/>
    <m/>
    <m/>
    <m/>
    <m/>
    <m/>
    <m/>
    <m/>
    <m/>
    <n v="79.280821917808225"/>
    <n v="23.801369863013697"/>
    <n v="18.150684931506849"/>
    <n v="0"/>
    <n v="0"/>
    <n v="0"/>
    <n v="0"/>
    <n v="0"/>
    <n v="0"/>
    <n v="0"/>
    <s v="SEM VARANDA"/>
    <n v="0"/>
    <s v="SEM SUÍTE"/>
    <n v="0"/>
    <n v="0"/>
    <n v="0"/>
    <s v="COM VAGA EM SOLO"/>
    <n v="306"/>
    <n v="1.047945205479452"/>
    <s v="COM VAGA MOTO"/>
    <n v="9"/>
    <s v="SEM VAGA PILOTIS"/>
    <n v="0"/>
    <x v="0"/>
    <n v="0"/>
    <n v="2095.8904109589039"/>
    <n v="30.82191780821918"/>
    <n v="0"/>
    <n v="0"/>
    <n v="2390"/>
    <s v="ACAB 01"/>
    <n v="121.23287671232876"/>
    <s v="LZ 01"/>
    <n v="0"/>
    <s v="TIP 01"/>
    <n v="2126.7123287671229"/>
    <s v="VAGA 02"/>
    <n v="514.17808219178085"/>
    <s v="ELEV 02"/>
    <n v="5152.123287671232"/>
    <s v="ESSENCIAL"/>
    <s v="-"/>
    <n v="4637.945205479451"/>
    <s v="ESSENCIAL"/>
    <s v="ESSENCIAL"/>
    <s v="-"/>
    <s v="ESSENCIAL"/>
    <s v="ADERÊNTE"/>
    <n v="4637.945205479451"/>
    <s v="ESSENCIAL"/>
    <s v="-"/>
    <n v="2511.2328767123286"/>
    <s v="ESSENCIAL"/>
    <x v="0"/>
    <x v="0"/>
    <x v="0"/>
  </r>
  <r>
    <n v="48"/>
    <s v="Benissa Residencial"/>
    <x v="3"/>
    <n v="120"/>
    <s v="Até 200 und"/>
    <x v="0"/>
    <n v="6"/>
    <n v="5"/>
    <m/>
    <m/>
    <n v="6"/>
    <n v="0"/>
    <n v="0"/>
    <x v="0"/>
    <s v="SEM PISO"/>
    <s v="COM PISO (Cerâmica)"/>
    <s v="ATÉ 1,5"/>
    <s v="TEXT"/>
    <s v="COMBO 01"/>
    <s v="ARDÓSIA"/>
    <s v="VIDRO SIMPLE (2 FOLHAS)"/>
    <n v="530"/>
    <n v="260"/>
    <n v="900"/>
    <n v="500"/>
    <n v="370"/>
    <n v="90"/>
    <n v="720"/>
    <s v="BICICLETÁRIO"/>
    <n v="1"/>
    <s v="CHURRASQUEIRA"/>
    <n v="1"/>
    <s v="PET PLACE"/>
    <n v="1"/>
    <s v="PLAYGROUND"/>
    <n v="1"/>
    <m/>
    <m/>
    <m/>
    <m/>
    <m/>
    <m/>
    <m/>
    <m/>
    <m/>
    <m/>
    <m/>
    <m/>
    <n v="44.166666666666664"/>
    <n v="709.57599999999991"/>
    <n v="57.916666666666664"/>
    <n v="192.91666666666666"/>
    <n v="0"/>
    <n v="0"/>
    <n v="0"/>
    <n v="0"/>
    <n v="0"/>
    <n v="0"/>
    <s v="COM VARANDA"/>
    <n v="0.4"/>
    <s v="SEM SUÍTE"/>
    <n v="0"/>
    <n v="1200"/>
    <n v="0"/>
    <s v="COM VAGA EM SOLO"/>
    <n v="127"/>
    <n v="1.0583333333333333"/>
    <s v="SEM VAGA MOTO"/>
    <n v="0"/>
    <s v="SEM VAGA PILOTIS"/>
    <n v="0"/>
    <x v="0"/>
    <n v="0"/>
    <n v="2116.6666666666665"/>
    <n v="0"/>
    <n v="0"/>
    <n v="0"/>
    <n v="2390"/>
    <s v="ACAB 01"/>
    <n v="1004.5759999999998"/>
    <s v="LZ 02"/>
    <n v="1200"/>
    <s v="TIP 01"/>
    <n v="2116.6666666666665"/>
    <s v="VAGA 02"/>
    <n v="0"/>
    <s v="ELEV 01"/>
    <n v="6711.242666666667"/>
    <s v="ESSENCIAL"/>
    <s v="-"/>
    <n v="6711.242666666667"/>
    <s v="ESSENCIAL"/>
    <s v="ESSENCIAL"/>
    <s v="-"/>
    <s v="ESSENCIAL"/>
    <s v="ADERÊNTE"/>
    <n v="6711.242666666667"/>
    <s v="ESSENCIAL"/>
    <s v="ESSENCIAL/ECO"/>
    <n v="3394.576"/>
    <s v="ESSENCIAL"/>
    <x v="0"/>
    <x v="0"/>
    <x v="0"/>
  </r>
  <r>
    <n v="22"/>
    <s v="Residencial Bella Suécia"/>
    <x v="3"/>
    <n v="224"/>
    <s v="De 200 a 400 und"/>
    <x v="0"/>
    <n v="13"/>
    <n v="4"/>
    <m/>
    <m/>
    <n v="13"/>
    <n v="0"/>
    <n v="0"/>
    <x v="0"/>
    <s v="COM PISO (Cerâmica)"/>
    <s v="COM PISO (Cerâmica)"/>
    <s v="ATÉ 1,5"/>
    <s v="TEXT"/>
    <s v="COMBO 01"/>
    <s v="ARDÓSIA"/>
    <s v="VIDRO SIMPLE (2 FOLHAS)"/>
    <n v="2430"/>
    <n v="260"/>
    <n v="900"/>
    <n v="500"/>
    <n v="370"/>
    <n v="90"/>
    <n v="720"/>
    <s v="CHURRASQUEIRA"/>
    <n v="1"/>
    <s v="PLAYGROUND"/>
    <n v="1"/>
    <s v="PET PLACE"/>
    <n v="1"/>
    <s v="BICICLETÁRIO"/>
    <n v="1"/>
    <m/>
    <m/>
    <m/>
    <m/>
    <m/>
    <m/>
    <m/>
    <m/>
    <m/>
    <m/>
    <m/>
    <m/>
    <n v="380.13"/>
    <n v="103.34821428571429"/>
    <n v="31.026785714285715"/>
    <n v="23.660714285714285"/>
    <n v="0"/>
    <n v="0"/>
    <n v="0"/>
    <n v="0"/>
    <n v="0"/>
    <n v="0"/>
    <s v="SEM VARANDA"/>
    <n v="0"/>
    <s v="SEM SUÍTE"/>
    <n v="0"/>
    <n v="0"/>
    <n v="0"/>
    <s v="COM VAGA EM SOLO"/>
    <n v="240"/>
    <n v="1.0714285714285714"/>
    <s v="SEM VAGA MOTO"/>
    <n v="0"/>
    <s v="SEM VAGA PILOTIS"/>
    <n v="0"/>
    <x v="0"/>
    <n v="0"/>
    <n v="2142.8571428571427"/>
    <n v="0"/>
    <n v="0"/>
    <n v="0"/>
    <n v="4290"/>
    <s v="ACAB 02"/>
    <n v="538.16571428571433"/>
    <s v="LZ 01"/>
    <n v="0"/>
    <s v="TIP 01"/>
    <n v="2142.8571428571427"/>
    <s v="VAGA 02"/>
    <n v="0"/>
    <s v="ELEV 01"/>
    <n v="6971.0228571428579"/>
    <s v="ESSENCIAL"/>
    <s v="-"/>
    <n v="6971.0228571428579"/>
    <s v="ECO"/>
    <s v="ESSENCIAL"/>
    <s v="-"/>
    <s v="ESSENCIAL"/>
    <s v="ADERÊNTE"/>
    <n v="6971.0228571428579"/>
    <s v="ECO"/>
    <s v="ESSENCIAL/ECO"/>
    <n v="4828.1657142857148"/>
    <s v="ECO"/>
    <x v="1"/>
    <x v="1"/>
    <x v="1"/>
  </r>
  <r>
    <n v="12"/>
    <s v="Gran Regence"/>
    <x v="6"/>
    <n v="384"/>
    <s v="De 200 a 400 und"/>
    <x v="0"/>
    <n v="24"/>
    <n v="4"/>
    <m/>
    <m/>
    <n v="24"/>
    <n v="0"/>
    <n v="0"/>
    <x v="0"/>
    <s v="COM PISO (Cerâmica)"/>
    <s v="COM PISO (Cerâmica)"/>
    <s v="1 FIADA"/>
    <s v="TEXT"/>
    <s v="COMBO 01"/>
    <s v="ARDÓSIA"/>
    <s v="VIDRO SIMPLE (2 FOLHAS)"/>
    <n v="2430"/>
    <n v="260"/>
    <n v="600"/>
    <n v="500"/>
    <n v="370"/>
    <n v="90"/>
    <n v="720"/>
    <s v="CHURRASQUEIRA"/>
    <n v="2"/>
    <s v="BICICLETÁRIO"/>
    <n v="1"/>
    <s v="GAZEBO"/>
    <n v="1"/>
    <s v="PLAYGROUND"/>
    <n v="1"/>
    <s v="QUADRA RECREATIVA"/>
    <n v="1"/>
    <s v="PET PLACE"/>
    <n v="1"/>
    <m/>
    <m/>
    <m/>
    <m/>
    <m/>
    <m/>
    <m/>
    <m/>
    <n v="443.48499999999996"/>
    <n v="13.802083333333334"/>
    <n v="42.1875"/>
    <n v="60.286458333333336"/>
    <n v="328.30374999999998"/>
    <n v="18.098958333333332"/>
    <n v="0"/>
    <n v="0"/>
    <n v="0"/>
    <n v="0"/>
    <s v="SEM VARANDA"/>
    <n v="0"/>
    <s v="SEM SUÍTE"/>
    <n v="0"/>
    <n v="0"/>
    <n v="0"/>
    <s v="COM VAGA EM SOLO"/>
    <n v="439"/>
    <n v="1.1432291666666667"/>
    <s v="SEM VAGA MOTO"/>
    <n v="0"/>
    <s v="SEM VAGA PILOTIS"/>
    <n v="0"/>
    <x v="0"/>
    <n v="0"/>
    <n v="2286.4583333333335"/>
    <n v="0"/>
    <n v="0"/>
    <n v="0"/>
    <n v="3990"/>
    <s v="ACAB 02"/>
    <n v="906.16375000000005"/>
    <s v="LZ 02"/>
    <n v="0"/>
    <s v="TIP 01"/>
    <n v="2286.4583333333335"/>
    <s v="VAGA 02"/>
    <n v="0"/>
    <s v="ELEV 01"/>
    <n v="7182.6220833333336"/>
    <s v="ESSENCIAL"/>
    <s v="-"/>
    <n v="7182.6220833333336"/>
    <s v="ECO"/>
    <s v="ESSENCIAL"/>
    <s v="-"/>
    <s v="ESSENCIAL"/>
    <s v="ADERÊNTE"/>
    <n v="7182.6220833333336"/>
    <s v="ECO"/>
    <s v="ESSENCIAL/ECO"/>
    <n v="4896.1637499999997"/>
    <s v="ECO"/>
    <x v="1"/>
    <x v="1"/>
    <x v="1"/>
  </r>
  <r>
    <n v="21"/>
    <s v="Residencial Rio Mar"/>
    <x v="2"/>
    <n v="160"/>
    <s v="Até 200 und"/>
    <x v="0"/>
    <n v="8"/>
    <n v="5"/>
    <m/>
    <m/>
    <n v="8"/>
    <n v="0"/>
    <n v="0"/>
    <x v="0"/>
    <s v="SEM PISO"/>
    <s v="COM PISO (Cerâmica)"/>
    <s v="ATÉ 1,5"/>
    <s v="TEXT"/>
    <s v="COMBO 01"/>
    <s v="ARDÓSIA"/>
    <s v="VIDRO SIMPLE (2 FOLHAS)"/>
    <n v="530"/>
    <n v="260"/>
    <n v="900"/>
    <n v="500"/>
    <n v="370"/>
    <n v="90"/>
    <n v="720"/>
    <s v="BICICLETÁRIO"/>
    <n v="1"/>
    <s v="PLAYGROUND"/>
    <n v="1"/>
    <s v="CHURRASQUEIRA"/>
    <n v="1"/>
    <m/>
    <m/>
    <m/>
    <m/>
    <m/>
    <m/>
    <m/>
    <m/>
    <m/>
    <m/>
    <m/>
    <m/>
    <m/>
    <m/>
    <n v="33.125"/>
    <n v="144.6875"/>
    <n v="532.18200000000002"/>
    <n v="0"/>
    <n v="0"/>
    <n v="0"/>
    <n v="0"/>
    <n v="0"/>
    <n v="0"/>
    <n v="0"/>
    <s v="SEM VARANDA"/>
    <n v="0"/>
    <s v="SEM SUÍTE"/>
    <n v="0"/>
    <n v="0"/>
    <n v="0"/>
    <s v="COM VAGA EM SOLO"/>
    <n v="110"/>
    <n v="0.6875"/>
    <s v="SEM VAGA MOTO"/>
    <n v="0"/>
    <s v="SEM VAGA PILOTIS"/>
    <n v="0"/>
    <x v="0"/>
    <n v="0"/>
    <n v="1375"/>
    <n v="0"/>
    <n v="0"/>
    <n v="0"/>
    <n v="2390"/>
    <s v="ACAB 01"/>
    <n v="709.99450000000002"/>
    <s v="LZ 01"/>
    <n v="0"/>
    <s v="TIP 01"/>
    <n v="1375"/>
    <s v="VAGA 02"/>
    <n v="0"/>
    <s v="ELEV 01"/>
    <n v="4474.9944999999998"/>
    <s v="ESSENCIAL"/>
    <s v="-"/>
    <n v="4474.9944999999998"/>
    <s v="ESSENCIAL"/>
    <s v="ESSENCIAL"/>
    <s v="-"/>
    <s v="ESSENCIAL"/>
    <s v="ADERÊNTE"/>
    <n v="4474.9944999999998"/>
    <s v="ESSENCIAL"/>
    <s v="-"/>
    <n v="3099.9944999999998"/>
    <s v="ESSENCIAL"/>
    <x v="0"/>
    <x v="0"/>
    <x v="0"/>
  </r>
  <r>
    <n v="43"/>
    <s v="Saint Rose"/>
    <x v="1"/>
    <n v="384"/>
    <s v="De 200 a 400 und"/>
    <x v="1"/>
    <n v="2"/>
    <n v="24"/>
    <m/>
    <m/>
    <n v="2"/>
    <n v="8"/>
    <n v="4"/>
    <x v="0"/>
    <s v="SEM PISO"/>
    <s v="SEM PISO"/>
    <s v="1 FIADA"/>
    <s v="TEXT"/>
    <s v="COMBO 01"/>
    <s v="ARDÓSIA"/>
    <s v="VIDRO SIMPLE (2 FOLHAS)"/>
    <n v="530"/>
    <n v="70"/>
    <n v="600"/>
    <n v="500"/>
    <n v="370"/>
    <n v="90"/>
    <n v="720"/>
    <s v="BICICLETÁRIO"/>
    <n v="1"/>
    <s v="PLAYGROUND"/>
    <n v="1"/>
    <s v="SALÃO DE FESTAS"/>
    <n v="1"/>
    <s v="JOGOS"/>
    <n v="1"/>
    <s v="CHURRASQUEIRA"/>
    <n v="1"/>
    <m/>
    <m/>
    <m/>
    <m/>
    <m/>
    <m/>
    <m/>
    <m/>
    <m/>
    <m/>
    <n v="13.802083333333334"/>
    <n v="60.286458333333336"/>
    <n v="320.72109374999997"/>
    <n v="207.638515625"/>
    <n v="221.74249999999998"/>
    <n v="0"/>
    <n v="0"/>
    <n v="0"/>
    <n v="0"/>
    <n v="0"/>
    <s v="COM VARANDA"/>
    <n v="0.95833333333333337"/>
    <s v="SEM SUÍTE"/>
    <n v="0"/>
    <n v="2875"/>
    <n v="0"/>
    <s v="COM VAGA EM SOLO"/>
    <n v="81"/>
    <n v="0.2109375"/>
    <s v="SEM VAGA MOTO"/>
    <n v="0"/>
    <s v="SEM VAGA PILOTIS"/>
    <n v="0"/>
    <x v="0"/>
    <n v="0"/>
    <n v="421.875"/>
    <n v="0"/>
    <n v="0"/>
    <n v="0"/>
    <n v="2090"/>
    <s v="ACAB 01"/>
    <n v="824.19065104166657"/>
    <s v="LZ 02"/>
    <n v="2875"/>
    <s v="TIP 02"/>
    <n v="421.875"/>
    <s v="VAGA 01"/>
    <n v="8389.5"/>
    <s v="ELEV 03"/>
    <n v="14600.565651041667"/>
    <s v="BIO"/>
    <s v="BIO+10%"/>
    <n v="6211.0656510416666"/>
    <s v="ESSENCIAL"/>
    <s v="ESSENCIAL"/>
    <s v="OPOSTO"/>
    <s v="ECO"/>
    <s v="NÃO ADERÊNTE"/>
    <n v="6211.0656510416666"/>
    <s v="ESSENCIAL"/>
    <s v="ESSENCIAL/ECO"/>
    <n v="2914.1906510416666"/>
    <s v="ESSENCIAL"/>
    <x v="0"/>
    <x v="0"/>
    <x v="0"/>
  </r>
  <r>
    <n v="33"/>
    <s v="Residencial Lake Da Vinci"/>
    <x v="4"/>
    <n v="96"/>
    <s v="Até 200 und"/>
    <x v="0"/>
    <n v="6"/>
    <n v="4"/>
    <m/>
    <m/>
    <n v="6"/>
    <n v="0"/>
    <n v="0"/>
    <x v="0"/>
    <s v="SEM PISO"/>
    <s v="COM PISO (Cerâmica)"/>
    <s v="1 FIADA"/>
    <s v="TEXT"/>
    <s v="COMBO 01"/>
    <s v="ARDÓSIA"/>
    <s v="VIDRO SIMPLE (2 FOLHAS)"/>
    <n v="530"/>
    <n v="260"/>
    <n v="600"/>
    <n v="500"/>
    <n v="370"/>
    <n v="90"/>
    <n v="720"/>
    <s v="PISCINA"/>
    <n v="1"/>
    <s v="PLAYGROUND"/>
    <n v="1"/>
    <s v="CHURRASQUEIRA"/>
    <n v="1"/>
    <s v="BICICLETÁRIO"/>
    <n v="1"/>
    <m/>
    <m/>
    <m/>
    <m/>
    <m/>
    <m/>
    <m/>
    <m/>
    <m/>
    <m/>
    <m/>
    <m/>
    <n v="2866.3289583333335"/>
    <n v="241.14583333333334"/>
    <n v="886.96999999999991"/>
    <n v="55.208333333333336"/>
    <n v="0"/>
    <n v="0"/>
    <n v="0"/>
    <n v="0"/>
    <n v="0"/>
    <n v="0"/>
    <s v="COM VARANDA"/>
    <n v="0.38"/>
    <s v="SEM SUÍTE"/>
    <n v="0"/>
    <n v="1140"/>
    <n v="0"/>
    <s v="COM VAGA EM SOLO"/>
    <n v="116"/>
    <n v="1.2083333333333333"/>
    <s v="SEM VAGA MOTO"/>
    <n v="0"/>
    <s v="SEM VAGA PILOTIS"/>
    <n v="0"/>
    <x v="0"/>
    <n v="0"/>
    <n v="2416.6666666666665"/>
    <n v="0"/>
    <n v="0"/>
    <n v="0"/>
    <n v="2090"/>
    <s v="ACAB 01"/>
    <n v="4049.6531250000003"/>
    <s v="LZ 04"/>
    <n v="1140"/>
    <s v="TIP 01"/>
    <n v="2416.6666666666665"/>
    <s v="VAGA 02"/>
    <n v="0"/>
    <s v="ELEV 01"/>
    <n v="9696.3197916666668"/>
    <s v="ECO"/>
    <s v="-"/>
    <n v="9696.3197916666668"/>
    <s v="ECO"/>
    <s v="ECO"/>
    <s v="-"/>
    <s v="ECO"/>
    <s v="NÃO ADERÊNTE"/>
    <n v="9696.3197916666668"/>
    <s v="ECO"/>
    <s v="-"/>
    <n v="6139.6531250000007"/>
    <s v="BIO"/>
    <x v="1"/>
    <x v="1"/>
    <x v="1"/>
  </r>
  <r>
    <n v="41"/>
    <s v="Real Park"/>
    <x v="0"/>
    <n v="140"/>
    <s v="Até 200 und"/>
    <x v="0"/>
    <n v="7"/>
    <n v="5"/>
    <m/>
    <m/>
    <n v="7"/>
    <n v="1"/>
    <n v="0.14285714285714285"/>
    <x v="0"/>
    <s v="COM PISO (Cerâmica)"/>
    <s v="COM PISO (Cerâmica)"/>
    <s v="1 FIADA"/>
    <s v="TEXT"/>
    <s v="COMBO 01"/>
    <s v="ARDÓSIA"/>
    <s v="VIDRO SIMPLE (2 FOLHAS)"/>
    <n v="2430"/>
    <n v="260"/>
    <n v="600"/>
    <n v="500"/>
    <n v="370"/>
    <n v="90"/>
    <n v="720"/>
    <s v="BICICLETÁRIO"/>
    <n v="1"/>
    <s v="GAZEBO"/>
    <n v="1"/>
    <s v="PET PLACE"/>
    <n v="1"/>
    <s v="PLAYGROUND"/>
    <n v="1"/>
    <s v="REDÁRIO"/>
    <n v="1"/>
    <s v="SALÃO DE FESTAS"/>
    <n v="1"/>
    <m/>
    <m/>
    <m/>
    <m/>
    <m/>
    <m/>
    <m/>
    <m/>
    <n v="37.857142857142854"/>
    <n v="115.71428571428571"/>
    <n v="49.642857142857146"/>
    <n v="165.35714285714286"/>
    <n v="54"/>
    <n v="879.69214285714281"/>
    <n v="0"/>
    <n v="0"/>
    <n v="0"/>
    <n v="0"/>
    <s v="COM VARANDA"/>
    <n v="0.34285714285714286"/>
    <s v="SEM SUÍTE"/>
    <n v="0"/>
    <n v="1028.5714285714287"/>
    <n v="0"/>
    <s v="COM VAGA EM SOLO"/>
    <n v="11"/>
    <n v="7.857142857142857E-2"/>
    <s v="SEM VAGA MOTO"/>
    <n v="0"/>
    <s v="SEM VAGA PILOTIS"/>
    <n v="0"/>
    <x v="0"/>
    <n v="0"/>
    <n v="157.14285714285714"/>
    <n v="0"/>
    <n v="0"/>
    <n v="0"/>
    <n v="3990"/>
    <s v="ACAB 02"/>
    <n v="1302.2635714285714"/>
    <s v="LZ 02"/>
    <n v="1028.5714285714287"/>
    <s v="TIP 01"/>
    <n v="157.14285714285714"/>
    <s v="VAGA 01"/>
    <n v="1072.4285714285713"/>
    <s v="ELEV 02"/>
    <n v="7550.4064285714285"/>
    <s v="ESSENCIAL"/>
    <s v="ESSENCIAL-10%"/>
    <n v="6477.9778571428569"/>
    <s v="ESSENCIAL"/>
    <s v="ESSENCIAL"/>
    <s v="-"/>
    <s v="ESSENCIAL"/>
    <s v="ADERÊNTE"/>
    <n v="6477.9778571428569"/>
    <s v="ESSENCIAL"/>
    <s v="ESSENCIAL/ECO"/>
    <n v="5292.2635714285716"/>
    <s v="ECO"/>
    <x v="1"/>
    <x v="1"/>
    <x v="0"/>
  </r>
  <r>
    <n v="20"/>
    <s v="Recanto Da Mata"/>
    <x v="1"/>
    <n v="528"/>
    <s v="Acima de 400 und"/>
    <x v="1"/>
    <n v="1"/>
    <n v="22"/>
    <n v="1"/>
    <n v="23"/>
    <n v="2"/>
    <n v="8"/>
    <n v="4"/>
    <x v="0"/>
    <s v="COM PISO (Cerâmica)"/>
    <s v="COM PISO (Cerâmica)"/>
    <s v="1 FIADA"/>
    <s v="TEXT"/>
    <s v="COMBO 01"/>
    <s v="ARDÓSIA"/>
    <s v="VIDRO SIMPLE (2 FOLHAS)"/>
    <n v="2430"/>
    <n v="260"/>
    <n v="600"/>
    <n v="500"/>
    <n v="370"/>
    <n v="90"/>
    <n v="720"/>
    <s v="HOME OFFICE"/>
    <n v="2"/>
    <s v="JOGOS"/>
    <n v="2"/>
    <s v="FUNCIONAL"/>
    <n v="3"/>
    <s v="CHURRASQUEIRA"/>
    <n v="3"/>
    <s v="KIDS"/>
    <n v="2"/>
    <s v="MINI Q. DE BASQUETE"/>
    <n v="1"/>
    <s v="PLAYGROUND"/>
    <n v="1"/>
    <m/>
    <m/>
    <m/>
    <m/>
    <m/>
    <m/>
    <n v="310.81481060606063"/>
    <n v="302.0196590909091"/>
    <n v="61.30681818181818"/>
    <n v="483.80181818181813"/>
    <n v="235.44060606060606"/>
    <n v="107.7819696969697"/>
    <n v="43.844696969696969"/>
    <n v="0"/>
    <n v="0"/>
    <n v="0"/>
    <s v="COM VARANDA"/>
    <n v="0.3"/>
    <s v="SEM SUÍTE"/>
    <n v="0"/>
    <n v="900"/>
    <n v="0"/>
    <s v="COM VAGA EM SOLO"/>
    <n v="61"/>
    <n v="0.11553030303030302"/>
    <s v="SEM VAGA MOTO"/>
    <n v="0"/>
    <s v="SEM VAGA PILOTIS"/>
    <n v="0"/>
    <x v="0"/>
    <n v="0"/>
    <n v="231.06060606060606"/>
    <n v="0"/>
    <n v="0"/>
    <n v="0"/>
    <n v="3990"/>
    <s v="ACAB 02"/>
    <n v="1545.0103787878791"/>
    <s v="LZ 02"/>
    <n v="900"/>
    <s v="TIP 01"/>
    <n v="231.06060606060606"/>
    <s v="VAGA 01"/>
    <n v="11440.227272727272"/>
    <s v="ELEV 03"/>
    <n v="18106.298257575756"/>
    <s v="BIO"/>
    <s v="-"/>
    <n v="6666.0709848484848"/>
    <s v="ESSENCIAL"/>
    <s v="BIO"/>
    <s v="OPOSTO"/>
    <s v="ECO"/>
    <s v="NÃO ADERÊNTE"/>
    <n v="6666.0709848484848"/>
    <s v="ESSENCIAL"/>
    <s v="ESSENCIAL/ECO"/>
    <n v="5535.0103787878788"/>
    <s v="ECO"/>
    <x v="1"/>
    <x v="1"/>
    <x v="0"/>
  </r>
  <r>
    <n v="27"/>
    <s v="Residencial Jardim Bonsai"/>
    <x v="6"/>
    <n v="720"/>
    <s v="Acima de 400 und"/>
    <x v="0"/>
    <n v="36"/>
    <n v="5"/>
    <m/>
    <m/>
    <n v="36"/>
    <n v="0"/>
    <n v="0"/>
    <x v="0"/>
    <s v="COM PISO (Cerâmica)"/>
    <s v="COM PISO (Cerâmica)"/>
    <s v="1 FIADA"/>
    <s v="TEXT"/>
    <s v="COMBO 01"/>
    <s v="ARDÓSIA"/>
    <s v="VIDRO SIMPLE (2 FOLHAS)"/>
    <n v="2430"/>
    <n v="260"/>
    <n v="600"/>
    <n v="500"/>
    <n v="370"/>
    <n v="90"/>
    <n v="720"/>
    <s v="PISCINA"/>
    <n v="1"/>
    <s v="PLAYGROUND"/>
    <n v="2"/>
    <s v="SALÃO DE FESTAS"/>
    <n v="1"/>
    <s v="BICICLETÁRIO"/>
    <n v="1"/>
    <s v="PET PLACE"/>
    <n v="1"/>
    <s v="GAZEBO"/>
    <n v="1"/>
    <s v="CHURRASQUEIRA"/>
    <n v="2"/>
    <m/>
    <m/>
    <m/>
    <m/>
    <m/>
    <m/>
    <n v="382.17719444444447"/>
    <n v="64.305555555555557"/>
    <n v="171.05124999999998"/>
    <n v="7.3611111111111107"/>
    <n v="9.6527777777777786"/>
    <n v="22.5"/>
    <n v="236.52533333333332"/>
    <n v="0"/>
    <n v="0"/>
    <n v="0"/>
    <s v="COM VARANDA"/>
    <n v="0.4"/>
    <s v="SEM SUÍTE"/>
    <n v="0"/>
    <n v="1200"/>
    <n v="0"/>
    <s v="COM VAGA EM SOLO"/>
    <n v="359"/>
    <n v="0.49861111111111112"/>
    <s v="COM VAGA MOTO"/>
    <n v="220"/>
    <s v="SEM VAGA PILOTIS"/>
    <n v="0"/>
    <x v="0"/>
    <n v="0"/>
    <n v="997.22222222222217"/>
    <n v="305.55555555555554"/>
    <n v="0"/>
    <n v="0"/>
    <n v="3990"/>
    <s v="ACAB 02"/>
    <n v="893.57322222222228"/>
    <s v="LZ 02"/>
    <n v="1200"/>
    <s v="TIP 01"/>
    <n v="1302.7777777777778"/>
    <s v="VAGA 02"/>
    <n v="0"/>
    <s v="ELEV 01"/>
    <n v="7386.3510000000006"/>
    <s v="ESSENCIAL"/>
    <s v="ESSENCIAL-10%"/>
    <n v="7386.3510000000006"/>
    <s v="ECO"/>
    <s v="ECO"/>
    <s v="-"/>
    <s v="ECO"/>
    <s v="NÃO ADERÊNTE"/>
    <n v="7386.3510000000006"/>
    <s v="ECO"/>
    <s v="ESSENCIAL/ECO"/>
    <n v="4883.5732222222223"/>
    <s v="ECO"/>
    <x v="1"/>
    <x v="1"/>
    <x v="1"/>
  </r>
  <r>
    <n v="29"/>
    <s v="Residence Park"/>
    <x v="0"/>
    <n v="580"/>
    <s v="Acima de 400 und"/>
    <x v="0"/>
    <n v="29"/>
    <n v="5"/>
    <m/>
    <m/>
    <n v="29"/>
    <n v="0"/>
    <n v="0"/>
    <x v="0"/>
    <s v="COM PISO (Cerâmica)"/>
    <s v="COM PISO (Cerâmica)"/>
    <s v="1 FIADA"/>
    <s v="TEXT"/>
    <s v="COMBO 01"/>
    <s v="ARDÓSIA"/>
    <s v="VIDRO SIMPLE (2 FOLHAS)"/>
    <n v="2430"/>
    <n v="260"/>
    <n v="600"/>
    <n v="500"/>
    <n v="370"/>
    <n v="90"/>
    <n v="720"/>
    <s v="BICICLETÁRIO"/>
    <n v="1"/>
    <s v="PLAYGROUND"/>
    <n v="1"/>
    <s v="PISCINA"/>
    <n v="1"/>
    <s v="CHURRASQUEIRA"/>
    <n v="1"/>
    <s v="MINI Q. DE BASQUETE"/>
    <n v="1"/>
    <s v="FUNCIONAL"/>
    <n v="1"/>
    <s v="REDÁRIO"/>
    <n v="1"/>
    <s v="SALÃO DE FESTAS"/>
    <n v="1"/>
    <m/>
    <m/>
    <m/>
    <m/>
    <n v="9.137931034482758"/>
    <n v="39.913793103448278"/>
    <n v="474.42686206896553"/>
    <n v="146.80882758620689"/>
    <n v="98.118758620689647"/>
    <n v="18.603448275862068"/>
    <n v="13.03448275862069"/>
    <n v="359.14827586206894"/>
    <n v="0"/>
    <n v="0"/>
    <s v="COM VARANDA"/>
    <n v="0.39"/>
    <s v="SEM SUÍTE"/>
    <n v="0"/>
    <n v="1170"/>
    <n v="0"/>
    <s v="COM VAGA EM SOLO"/>
    <n v="309"/>
    <n v="0.53275862068965518"/>
    <s v="COM VAGA MOTO"/>
    <n v="158"/>
    <s v="SEM VAGA PILOTIS"/>
    <n v="0"/>
    <x v="0"/>
    <n v="0"/>
    <n v="1065.5172413793102"/>
    <n v="272.41379310344826"/>
    <n v="0"/>
    <n v="0"/>
    <n v="3990"/>
    <s v="ACAB 02"/>
    <n v="1159.1923793103449"/>
    <s v="LZ 02"/>
    <n v="1170"/>
    <s v="TIP 01"/>
    <n v="1337.9310344827586"/>
    <s v="VAGA 02"/>
    <n v="0"/>
    <s v="ELEV 01"/>
    <n v="7657.1234137931042"/>
    <s v="ESSENCIAL"/>
    <s v="ESSENCIAL-10%"/>
    <n v="7657.1234137931042"/>
    <s v="ECO"/>
    <s v="ECO"/>
    <s v="-"/>
    <s v="ECO"/>
    <s v="NÃO ADERÊNTE"/>
    <n v="7657.1234137931042"/>
    <s v="ECO"/>
    <s v="-"/>
    <n v="5149.1923793103451"/>
    <s v="ECO"/>
    <x v="1"/>
    <x v="1"/>
    <x v="1"/>
  </r>
  <r>
    <n v="25"/>
    <s v="Gran Essence"/>
    <x v="6"/>
    <n v="592"/>
    <s v="Acima de 400 und"/>
    <x v="0"/>
    <n v="37"/>
    <n v="4"/>
    <m/>
    <m/>
    <n v="37"/>
    <n v="3"/>
    <n v="8.1081081081081086E-2"/>
    <x v="0"/>
    <s v="COM PISO (Cerâmica)"/>
    <s v="COM PISO (Cerâmica)"/>
    <s v="1 FIADA"/>
    <s v="TEXT"/>
    <s v="COMBO 01"/>
    <s v="ARDÓSIA"/>
    <s v="VIDRO SIMPLE (2 FOLHAS)"/>
    <n v="2430"/>
    <n v="260"/>
    <n v="600"/>
    <n v="500"/>
    <n v="370"/>
    <n v="90"/>
    <n v="720"/>
    <s v="BICICLETÁRIO"/>
    <n v="1"/>
    <s v="PLAYGROUND"/>
    <n v="1"/>
    <s v="GAZEBO"/>
    <n v="1"/>
    <s v="CHURRASQUEIRA"/>
    <n v="3"/>
    <s v="MINI Q. DE BASQUETE"/>
    <n v="1"/>
    <s v="PIQUENIQUE"/>
    <n v="2"/>
    <s v="REDÁRIO"/>
    <n v="1"/>
    <m/>
    <m/>
    <m/>
    <m/>
    <m/>
    <m/>
    <n v="8.9527027027027035"/>
    <n v="39.104729729729726"/>
    <n v="27.364864864864863"/>
    <n v="431.49891891891889"/>
    <n v="96.129864864864857"/>
    <n v="23.513513513513512"/>
    <n v="12.77027027027027"/>
    <n v="0"/>
    <n v="0"/>
    <n v="0"/>
    <s v="COM VARANDA"/>
    <n v="0.375"/>
    <s v="SEM SUÍTE"/>
    <n v="0"/>
    <n v="1125"/>
    <n v="0"/>
    <s v="COM VAGA EM SOLO"/>
    <n v="592"/>
    <n v="1"/>
    <s v="SEM VAGA MOTO"/>
    <n v="0"/>
    <s v="SEM VAGA PILOTIS"/>
    <n v="0"/>
    <x v="0"/>
    <n v="0"/>
    <n v="2000"/>
    <n v="0"/>
    <n v="0"/>
    <n v="0"/>
    <n v="3990"/>
    <s v="ACAB 02"/>
    <n v="639.33486486486493"/>
    <s v="LZ 01"/>
    <n v="1125"/>
    <s v="TIP 01"/>
    <n v="2000"/>
    <s v="VAGA 02"/>
    <n v="608.67567567567562"/>
    <s v="ELEV 02"/>
    <n v="8363.0105405405411"/>
    <s v="ECO"/>
    <s v="ECO+10%"/>
    <n v="7754.3348648648653"/>
    <s v="ECO"/>
    <s v="ECO"/>
    <s v="-"/>
    <s v="ECO"/>
    <s v="NÃO ADERÊNTE"/>
    <n v="7754.3348648648653"/>
    <s v="ECO"/>
    <s v="-"/>
    <n v="4629.3348648648653"/>
    <s v="ECO"/>
    <x v="1"/>
    <x v="1"/>
    <x v="1"/>
  </r>
  <r>
    <n v="45"/>
    <s v="Residencial Lancelot"/>
    <x v="4"/>
    <n v="560"/>
    <s v="Acima de 400 und"/>
    <x v="1"/>
    <n v="1"/>
    <n v="10"/>
    <n v="5"/>
    <n v="12"/>
    <n v="6"/>
    <n v="12"/>
    <n v="2"/>
    <x v="0"/>
    <s v="COM PISO (Cerâmica)"/>
    <s v="COM PISO (Cerâmica)"/>
    <s v="1 FIADA"/>
    <s v="TEXT"/>
    <s v="COMBO 01"/>
    <s v="ARDÓSIA"/>
    <s v="VIDRO SIMPLE (2 FOLHAS)"/>
    <n v="2430"/>
    <n v="260"/>
    <n v="600"/>
    <n v="500"/>
    <n v="370"/>
    <n v="90"/>
    <n v="720"/>
    <s v="BICICLETÁRIO"/>
    <n v="1"/>
    <s v="CHURRASQUEIRA"/>
    <n v="2"/>
    <s v="PISCINA"/>
    <n v="1"/>
    <s v="PLAYGROUND"/>
    <n v="1"/>
    <m/>
    <m/>
    <m/>
    <m/>
    <m/>
    <m/>
    <m/>
    <m/>
    <m/>
    <m/>
    <m/>
    <m/>
    <n v="9.4642857142857135"/>
    <n v="304.10399999999998"/>
    <n v="491.37067857142858"/>
    <n v="41.339285714285715"/>
    <n v="0"/>
    <n v="0"/>
    <n v="0"/>
    <n v="0"/>
    <n v="0"/>
    <n v="0"/>
    <s v="COM VARANDA"/>
    <n v="0.91428571428571426"/>
    <s v="SEM SUÍTE"/>
    <n v="0"/>
    <n v="2742.8571428571427"/>
    <n v="0"/>
    <s v="COM VAGA EM SOLO"/>
    <n v="564"/>
    <n v="1.0071428571428571"/>
    <s v="COM VAGA MOTO"/>
    <n v="4"/>
    <s v="SEM VAGA PILOTIS"/>
    <n v="0"/>
    <x v="0"/>
    <n v="0"/>
    <n v="2014.2857142857142"/>
    <n v="7.1428571428571432"/>
    <n v="0"/>
    <n v="0"/>
    <n v="3990"/>
    <s v="ACAB 02"/>
    <n v="846.27824999999996"/>
    <s v="LZ 02"/>
    <n v="2742.8571428571427"/>
    <s v="TIP 02"/>
    <n v="2021.4285714285713"/>
    <s v="VAGA 02"/>
    <n v="9308.3571428571431"/>
    <s v="ELEV 03"/>
    <n v="18908.921107142858"/>
    <s v="BIO"/>
    <s v="-"/>
    <n v="9600.5639642857132"/>
    <s v="ECO"/>
    <s v="BIO"/>
    <s v="-"/>
    <s v="BIO"/>
    <s v="NÃO ADERÊNTE"/>
    <n v="9600.5639642857132"/>
    <s v="ECO"/>
    <s v="-"/>
    <n v="4836.2782500000003"/>
    <s v="ECO"/>
    <x v="1"/>
    <x v="1"/>
    <x v="1"/>
  </r>
  <r>
    <n v="24"/>
    <s v="Residencial Recanto Das Árvores"/>
    <x v="0"/>
    <n v="220"/>
    <s v="De 200 a 400 und"/>
    <x v="0"/>
    <n v="11"/>
    <n v="5"/>
    <m/>
    <m/>
    <n v="11"/>
    <n v="0"/>
    <n v="0"/>
    <x v="0"/>
    <s v="COM PISO (Cerâmica)"/>
    <s v="COM PISO (Cerâmica)"/>
    <s v="1 FIADA"/>
    <s v="TEXT"/>
    <s v="COMBO 01"/>
    <s v="ARDÓSIA"/>
    <s v="VIDRO SIMPLE (2 FOLHAS)"/>
    <n v="2430"/>
    <n v="260"/>
    <n v="600"/>
    <n v="500"/>
    <n v="370"/>
    <n v="90"/>
    <n v="720"/>
    <s v="PET PLACE"/>
    <n v="1"/>
    <s v="BICICLETÁRIO"/>
    <n v="1"/>
    <s v="PLAYGROUND"/>
    <n v="1"/>
    <s v="CHURRASQUEIRA"/>
    <n v="1"/>
    <s v="PISCINA"/>
    <n v="1"/>
    <s v="GAZEBO"/>
    <n v="1"/>
    <m/>
    <m/>
    <m/>
    <m/>
    <m/>
    <m/>
    <m/>
    <m/>
    <n v="31.59090909090909"/>
    <n v="24.09090909090909"/>
    <n v="105.22727272727273"/>
    <n v="387.04145454545454"/>
    <n v="1250.7617272727273"/>
    <n v="73.63636363636364"/>
    <n v="0"/>
    <n v="0"/>
    <n v="0"/>
    <n v="0"/>
    <s v="COM VARANDA"/>
    <n v="0.46"/>
    <s v="SEM SUÍTE"/>
    <n v="0"/>
    <n v="1380"/>
    <n v="0"/>
    <s v="COM VAGA EM SOLO"/>
    <n v="225"/>
    <n v="1.0227272727272727"/>
    <s v="SEM VAGA MOTO"/>
    <n v="6"/>
    <s v="SEM VAGA PILOTIS"/>
    <n v="0"/>
    <x v="0"/>
    <n v="0"/>
    <n v="2045.4545454545455"/>
    <n v="0"/>
    <n v="0"/>
    <n v="0"/>
    <n v="3990"/>
    <s v="ACAB 02"/>
    <n v="1872.3486363636364"/>
    <s v="LZ 03"/>
    <n v="1380"/>
    <s v="TIP 01"/>
    <n v="2045.4545454545455"/>
    <s v="VAGA 02"/>
    <n v="0"/>
    <s v="ELEV 01"/>
    <n v="9287.8031818181826"/>
    <s v="ECO"/>
    <s v="-"/>
    <n v="9287.8031818181826"/>
    <s v="ECO"/>
    <s v="ECO"/>
    <s v="-"/>
    <s v="ECO"/>
    <s v="NÃO ADERÊNTE"/>
    <n v="9287.8031818181826"/>
    <s v="ECO"/>
    <s v="-"/>
    <n v="5862.3486363636366"/>
    <s v="ECO"/>
    <x v="1"/>
    <x v="1"/>
    <x v="1"/>
  </r>
  <r>
    <n v="15"/>
    <s v="Residencial Dunas Do Horizonte"/>
    <x v="0"/>
    <n v="192"/>
    <s v="Até 200 und"/>
    <x v="0"/>
    <n v="12"/>
    <n v="4"/>
    <m/>
    <m/>
    <n v="12"/>
    <n v="0"/>
    <n v="0"/>
    <x v="0"/>
    <s v="COM PISO (Cerâmica)"/>
    <s v="COM PISO (Cerâmica)"/>
    <s v="1 FIADA"/>
    <s v="TEXT"/>
    <s v="COMBO 01"/>
    <s v="ARDÓSIA"/>
    <s v="VIDRO SIMPLE (2 FOLHAS)"/>
    <n v="2430"/>
    <n v="260"/>
    <n v="600"/>
    <n v="500"/>
    <n v="370"/>
    <n v="90"/>
    <n v="720"/>
    <s v="GAZEBO"/>
    <n v="3"/>
    <s v="REDÁRIO"/>
    <n v="4"/>
    <s v="PLAYGROUND"/>
    <n v="1"/>
    <s v="CHURRASQUEIRA"/>
    <n v="1"/>
    <s v="PISCINA"/>
    <n v="1"/>
    <s v="FUNCIONAL"/>
    <n v="1"/>
    <m/>
    <m/>
    <m/>
    <m/>
    <m/>
    <m/>
    <m/>
    <m/>
    <n v="253.125"/>
    <n v="157.5"/>
    <n v="120.57291666666667"/>
    <n v="443.48499999999996"/>
    <n v="1433.1644791666668"/>
    <n v="56.197916666666664"/>
    <n v="0"/>
    <n v="0"/>
    <n v="0"/>
    <n v="0"/>
    <s v="COM VARANDA"/>
    <n v="0.375"/>
    <s v="SEM SUÍTE"/>
    <n v="0"/>
    <n v="1125"/>
    <n v="0"/>
    <s v="COM VAGA EM SOLO"/>
    <n v="211"/>
    <n v="1.0989583333333333"/>
    <s v="SEM VAGA MOTO"/>
    <n v="0"/>
    <s v="SEM VAGA PILOTIS"/>
    <n v="0"/>
    <x v="0"/>
    <n v="0"/>
    <n v="2197.9166666666665"/>
    <n v="0"/>
    <n v="0"/>
    <n v="0"/>
    <n v="3990"/>
    <s v="ACAB 02"/>
    <n v="2464.0453124999999"/>
    <s v="LZ 04"/>
    <n v="1125"/>
    <s v="TIP 01"/>
    <n v="2197.9166666666665"/>
    <s v="VAGA 02"/>
    <n v="0"/>
    <s v="ELEV 01"/>
    <n v="9776.9619791666664"/>
    <s v="ECO"/>
    <s v="-"/>
    <n v="9776.9619791666664"/>
    <s v="ECO"/>
    <s v="ECO"/>
    <s v="-"/>
    <s v="ECO"/>
    <s v="NÃO ADERÊNTE"/>
    <n v="9776.9619791666664"/>
    <s v="ECO"/>
    <s v="-"/>
    <n v="6454.0453125000004"/>
    <s v="BIO"/>
    <x v="1"/>
    <x v="1"/>
    <x v="1"/>
  </r>
  <r>
    <n v="38"/>
    <s v="Gran Luna"/>
    <x v="6"/>
    <n v="384"/>
    <s v="De 200 a 400 und"/>
    <x v="0"/>
    <n v="24"/>
    <n v="4"/>
    <m/>
    <m/>
    <n v="24"/>
    <n v="2"/>
    <n v="8.3333333333333329E-2"/>
    <x v="0"/>
    <s v="COM PISO (Cerâmica)"/>
    <s v="COM PISO (Cerâmica)"/>
    <s v="1 FIADA"/>
    <s v="TEXT"/>
    <s v="COMBO 01"/>
    <s v="ARDÓSIA"/>
    <s v="VIDRO SIMPLE (2 FOLHAS)"/>
    <n v="2430"/>
    <n v="260"/>
    <n v="600"/>
    <n v="500"/>
    <n v="370"/>
    <n v="90"/>
    <n v="720"/>
    <s v="CHURRASQUEIRA"/>
    <n v="2"/>
    <s v="PLAYGROUND"/>
    <n v="1"/>
    <s v="PET PLACE"/>
    <n v="1"/>
    <s v="BICICLETÁRIO"/>
    <n v="1"/>
    <s v="GAZEBO"/>
    <n v="1"/>
    <m/>
    <m/>
    <m/>
    <m/>
    <m/>
    <m/>
    <m/>
    <m/>
    <m/>
    <m/>
    <n v="443.48499999999996"/>
    <n v="60.286458333333336"/>
    <n v="18.098958333333332"/>
    <n v="13.802083333333334"/>
    <n v="42.1875"/>
    <n v="0"/>
    <n v="0"/>
    <n v="0"/>
    <n v="0"/>
    <n v="0"/>
    <s v="COM VARANDA"/>
    <n v="0.34375"/>
    <s v="SEM SUÍTE"/>
    <n v="0"/>
    <n v="1031.25"/>
    <n v="0"/>
    <s v="COM VAGA EM SOLO"/>
    <n v="435"/>
    <n v="1.1328125"/>
    <s v="SEM VAGA MOTO"/>
    <n v="0"/>
    <s v="SEM VAGA PILOTIS"/>
    <n v="0"/>
    <x v="0"/>
    <n v="0"/>
    <n v="2265.625"/>
    <n v="0"/>
    <n v="0"/>
    <n v="0"/>
    <n v="3990"/>
    <s v="ACAB 02"/>
    <n v="577.86"/>
    <s v="LZ 01"/>
    <n v="1031.25"/>
    <s v="TIP 01"/>
    <n v="2265.625"/>
    <s v="VAGA 02"/>
    <n v="625.58333333333337"/>
    <s v="ELEV 02"/>
    <n v="8490.3183333333327"/>
    <s v="ECO"/>
    <s v="ECO+10%"/>
    <n v="7864.7349999999997"/>
    <s v="ECO"/>
    <s v="ECO"/>
    <s v="-"/>
    <s v="ECO"/>
    <s v="NÃO ADERÊNTE"/>
    <n v="7864.7349999999997"/>
    <s v="ECO"/>
    <s v="-"/>
    <n v="4567.8599999999997"/>
    <s v="ECO"/>
    <x v="1"/>
    <x v="1"/>
    <x v="1"/>
  </r>
  <r>
    <n v="85"/>
    <s v="Residencial Autenticità"/>
    <x v="3"/>
    <n v="184"/>
    <s v="Até 200 und"/>
    <x v="1"/>
    <n v="2"/>
    <n v="12"/>
    <m/>
    <m/>
    <n v="2"/>
    <n v="4"/>
    <n v="2"/>
    <x v="1"/>
    <s v="SEM PISO"/>
    <s v="COM PISO (Cerâmica)"/>
    <s v="ATÉ 1,5"/>
    <s v="TEXT"/>
    <s v="COMBO 01"/>
    <s v="ARDÓSIA"/>
    <s v="VIDRO SIMPLE (2 FOLHAS)"/>
    <n v="530"/>
    <n v="260"/>
    <n v="900"/>
    <n v="500"/>
    <n v="370"/>
    <n v="90"/>
    <n v="720"/>
    <s v="PISCINA"/>
    <n v="1"/>
    <s v="CHURRASQUEIRA"/>
    <n v="1"/>
    <s v="SALÃO DE FESTAS"/>
    <n v="1"/>
    <s v="PLAYGROUND"/>
    <n v="1"/>
    <s v="BICICLETÁRIO"/>
    <n v="1"/>
    <m/>
    <m/>
    <m/>
    <m/>
    <m/>
    <m/>
    <m/>
    <m/>
    <m/>
    <m/>
    <n v="1495.4759782608696"/>
    <n v="462.76695652173913"/>
    <n v="669.33097826086953"/>
    <n v="125.81521739130434"/>
    <n v="28.804347826086957"/>
    <n v="0"/>
    <n v="0"/>
    <n v="0"/>
    <n v="0"/>
    <n v="0"/>
    <s v="COM VARANDA"/>
    <n v="0.45652173913043476"/>
    <s v="SEM SUÍTE"/>
    <n v="0"/>
    <n v="1369.5652173913043"/>
    <n v="0"/>
    <s v="COM VAGA EM SOLO"/>
    <n v="206"/>
    <n v="1.1195652173913044"/>
    <s v="SEM VAGA MOTO"/>
    <n v="0"/>
    <s v="SEM VAGA PILOTIS"/>
    <n v="0"/>
    <x v="0"/>
    <n v="0"/>
    <n v="2239.1304347826085"/>
    <n v="0"/>
    <n v="0"/>
    <n v="0"/>
    <n v="2390"/>
    <s v="ACAB 01"/>
    <n v="2782.1934782608696"/>
    <s v="LZ 04"/>
    <n v="1369.5652173913043"/>
    <s v="TIP 01"/>
    <n v="2239.1304347826085"/>
    <s v="VAGA 02"/>
    <n v="4377.130434782609"/>
    <s v="ELEV 03"/>
    <n v="13158.01956521739"/>
    <s v="ECO"/>
    <s v="ECO-10%"/>
    <n v="8780.8891304347817"/>
    <s v="ECO"/>
    <s v="ECO"/>
    <s v="-"/>
    <s v="ECO"/>
    <s v="ADERÊNTE"/>
    <n v="8780.8891304347817"/>
    <s v="ECO"/>
    <s v="-"/>
    <n v="5172.1934782608696"/>
    <s v="ECO"/>
    <x v="1"/>
    <x v="0"/>
    <x v="0"/>
  </r>
  <r>
    <n v="59"/>
    <s v="Residencial Lake Picasso"/>
    <x v="4"/>
    <n v="264"/>
    <s v="De 200 a 400 und"/>
    <x v="1"/>
    <n v="3"/>
    <n v="11"/>
    <m/>
    <m/>
    <n v="3"/>
    <n v="6"/>
    <n v="2"/>
    <x v="1"/>
    <s v="SEM PISO"/>
    <s v="COM PISO (Cerâmica)"/>
    <s v="ATÉ 1,5"/>
    <s v="LISO"/>
    <s v="COMBO 01"/>
    <s v="ARDÓSIA"/>
    <s v="VENEZIANA (3 FOLHAS)"/>
    <n v="530"/>
    <n v="260"/>
    <n v="900"/>
    <n v="935"/>
    <n v="370"/>
    <n v="90"/>
    <n v="1320"/>
    <s v="BICICLETÁRIO"/>
    <n v="1"/>
    <s v="PET PLACE"/>
    <n v="1"/>
    <s v="PISCINA"/>
    <n v="1"/>
    <s v="PLAYGROUND"/>
    <n v="1"/>
    <s v="GAZEBO"/>
    <n v="1"/>
    <s v="SALÃO DE FESTAS"/>
    <n v="1"/>
    <s v="CHURRASQUEIRA"/>
    <n v="1"/>
    <s v="QUADRA DE AREIA"/>
    <n v="1"/>
    <m/>
    <m/>
    <m/>
    <m/>
    <n v="20.075757575757574"/>
    <n v="26.325757575757574"/>
    <n v="1042.3014393939395"/>
    <n v="87.689393939393938"/>
    <n v="61.363636363636367"/>
    <n v="466.50340909090909"/>
    <n v="322.53454545454542"/>
    <n v="371.40151515151513"/>
    <n v="0"/>
    <n v="0"/>
    <s v="COM VARANDA"/>
    <n v="0.90909090909090906"/>
    <s v="SEM SUÍTE"/>
    <n v="0"/>
    <n v="2727.272727272727"/>
    <n v="0"/>
    <s v="COM VAGA EM SOLO"/>
    <n v="264"/>
    <n v="1"/>
    <s v="SEM VAGA MOTO"/>
    <n v="0"/>
    <s v="SEM VAGA PILOTIS"/>
    <n v="0"/>
    <x v="0"/>
    <n v="0"/>
    <n v="2000"/>
    <n v="0"/>
    <n v="0"/>
    <n v="0"/>
    <n v="2825"/>
    <s v="ACAB 01"/>
    <n v="2398.1954545454546"/>
    <s v="LZ 03"/>
    <n v="2727.272727272727"/>
    <s v="TIP 02"/>
    <n v="2000"/>
    <s v="VAGA 02"/>
    <n v="4936.25"/>
    <s v="ELEV 03"/>
    <n v="14886.718181818182"/>
    <s v="BIO"/>
    <s v="BIO+10%"/>
    <n v="9950.4681818181816"/>
    <s v="ECO"/>
    <s v="ECO"/>
    <s v="-"/>
    <s v="ECO"/>
    <s v="ADERÊNTE"/>
    <n v="9950.4681818181816"/>
    <s v="ECO"/>
    <s v="-"/>
    <n v="5223.1954545454546"/>
    <s v="ECO"/>
    <x v="1"/>
    <x v="0"/>
    <x v="0"/>
  </r>
  <r>
    <n v="58"/>
    <s v="Eco Park"/>
    <x v="0"/>
    <n v="200"/>
    <s v="Até 200 und"/>
    <x v="0"/>
    <n v="10"/>
    <n v="5"/>
    <m/>
    <m/>
    <n v="10"/>
    <n v="0"/>
    <n v="0"/>
    <x v="1"/>
    <s v="COM PISO (Cerâmica)"/>
    <s v="COM PISO (Cerâmica)"/>
    <s v="1 FIADA"/>
    <s v="TEXT"/>
    <s v="COMBO 01"/>
    <s v="ARDÓSIA"/>
    <s v="VIDRO SIMPLE (2 FOLHAS)"/>
    <n v="2430"/>
    <n v="260"/>
    <n v="600"/>
    <n v="500"/>
    <n v="370"/>
    <n v="90"/>
    <n v="720"/>
    <s v="PET PLACE"/>
    <n v="1"/>
    <s v="BICICLETÁRIO"/>
    <n v="1"/>
    <s v="PLAYGROUND"/>
    <n v="1"/>
    <s v="CHURRASQUEIRA"/>
    <n v="2"/>
    <s v="SALÃO DE FESTAS"/>
    <n v="1"/>
    <s v="PISCINA"/>
    <n v="1"/>
    <m/>
    <m/>
    <m/>
    <m/>
    <m/>
    <m/>
    <m/>
    <m/>
    <n v="34.75"/>
    <n v="26.5"/>
    <n v="115.75"/>
    <n v="851.49119999999994"/>
    <n v="615.78449999999998"/>
    <n v="1375.8379"/>
    <n v="0"/>
    <n v="0"/>
    <n v="0"/>
    <n v="0"/>
    <s v="COM VARANDA"/>
    <n v="0.4"/>
    <s v="SEM SUÍTE"/>
    <n v="0"/>
    <n v="1200"/>
    <n v="0"/>
    <s v="COM VAGA EM SOLO"/>
    <n v="200"/>
    <n v="1"/>
    <s v="SEM VAGA MOTO"/>
    <n v="0"/>
    <s v="SEM VAGA PILOTIS"/>
    <n v="0"/>
    <x v="0"/>
    <n v="0"/>
    <n v="2000"/>
    <n v="0"/>
    <n v="0"/>
    <n v="0"/>
    <n v="3990"/>
    <s v="ACAB 02"/>
    <n v="3020.1135999999997"/>
    <s v="LZ 04"/>
    <n v="1200"/>
    <s v="TIP 01"/>
    <n v="2000"/>
    <s v="VAGA 02"/>
    <n v="0"/>
    <s v="ELEV 01"/>
    <n v="10210.113600000001"/>
    <s v="ECO"/>
    <s v="-"/>
    <n v="10210.113600000001"/>
    <s v="ECO"/>
    <s v="ECO"/>
    <s v="-"/>
    <s v="ECO"/>
    <s v="ADERÊNTE"/>
    <n v="10210.113600000001"/>
    <s v="ECO"/>
    <s v="-"/>
    <n v="7010.1135999999997"/>
    <s v="BIO"/>
    <x v="1"/>
    <x v="0"/>
    <x v="0"/>
  </r>
  <r>
    <n v="86"/>
    <s v="Residencial Mirante Do Vale"/>
    <x v="3"/>
    <n v="560"/>
    <s v="Acima de 400 und"/>
    <x v="0"/>
    <n v="28"/>
    <n v="5"/>
    <m/>
    <m/>
    <n v="28"/>
    <n v="0"/>
    <n v="0"/>
    <x v="1"/>
    <s v="COM PISO (Cerâmica)"/>
    <s v="COM PISO (Cerâmica)"/>
    <s v="1 FIADA"/>
    <s v="TEXT"/>
    <s v="COMBO 01"/>
    <s v="ARDÓSIA"/>
    <s v="VENEZIANA (3 FOLHAS)"/>
    <n v="2430"/>
    <n v="260"/>
    <n v="600"/>
    <n v="500"/>
    <n v="370"/>
    <n v="90"/>
    <n v="1320"/>
    <s v="PISCINA"/>
    <n v="1"/>
    <s v="QUADRA DE AREIA"/>
    <n v="1"/>
    <s v="CHURRASQUEIRA"/>
    <n v="1"/>
    <s v="SALÃO DE FESTAS"/>
    <n v="1"/>
    <s v="JOGOS"/>
    <n v="1"/>
    <s v="PLAYGROUND"/>
    <n v="1"/>
    <s v="PET PLACE"/>
    <n v="1"/>
    <s v="GAZEBO"/>
    <n v="1"/>
    <s v="BICICLETÁRIO"/>
    <n v="1"/>
    <m/>
    <m/>
    <n v="491.37067857142858"/>
    <n v="175.08928571428572"/>
    <n v="152.05199999999999"/>
    <n v="219.9230357142857"/>
    <n v="142.38069642857144"/>
    <n v="41.339285714285715"/>
    <n v="12.410714285714286"/>
    <n v="28.928571428571427"/>
    <n v="9.4642857142857135"/>
    <n v="0"/>
    <s v="COM VARANDA"/>
    <n v="0.43571428571428572"/>
    <s v="SEM SUÍTE"/>
    <n v="0"/>
    <n v="1307.1428571428571"/>
    <n v="0"/>
    <s v="COM VAGA EM SOLO"/>
    <n v="577"/>
    <n v="1.0303571428571427"/>
    <s v="COM VAGA MOTO"/>
    <n v="24"/>
    <s v="SEM VAGA PILOTIS"/>
    <n v="0"/>
    <x v="0"/>
    <n v="0"/>
    <n v="2060.7142857142858"/>
    <n v="42.857142857142854"/>
    <n v="0"/>
    <n v="0"/>
    <n v="3990"/>
    <s v="ACAB 02"/>
    <n v="1272.9585535714284"/>
    <s v="LZ 02"/>
    <n v="1307.1428571428571"/>
    <s v="TIP 01"/>
    <n v="2103.5714285714284"/>
    <s v="VAGA 02"/>
    <n v="0"/>
    <s v="ELEV 01"/>
    <n v="8673.6728392857149"/>
    <s v="ECO"/>
    <s v="ECO+10%"/>
    <n v="8673.6728392857149"/>
    <s v="ECO"/>
    <s v="ECO"/>
    <s v="-"/>
    <s v="ECO"/>
    <s v="ADERÊNTE"/>
    <n v="8673.6728392857149"/>
    <s v="ECO"/>
    <s v="-"/>
    <n v="5262.9585535714286"/>
    <s v="ECO"/>
    <x v="1"/>
    <x v="0"/>
    <x v="0"/>
  </r>
  <r>
    <n v="72"/>
    <s v="Palmeira Boreal"/>
    <x v="6"/>
    <n v="480"/>
    <s v="Acima de 400 und"/>
    <x v="1"/>
    <n v="4"/>
    <n v="15"/>
    <m/>
    <m/>
    <n v="4"/>
    <n v="8"/>
    <n v="2"/>
    <x v="1"/>
    <s v="COM PISO (Cerâmica)"/>
    <s v="COM PISO (Cerâmica)"/>
    <s v="1 FIADA"/>
    <s v="TEXT"/>
    <s v="COMBO 01"/>
    <s v="ARDÓSIA"/>
    <s v="VIDRO SIMPLE (2 FOLHAS)"/>
    <n v="2430"/>
    <n v="260"/>
    <n v="600"/>
    <n v="500"/>
    <n v="370"/>
    <n v="90"/>
    <n v="720"/>
    <s v="PLAYGROUND"/>
    <n v="1"/>
    <s v="GAZEBO"/>
    <n v="1"/>
    <s v="BICICLETÁRIO"/>
    <n v="10"/>
    <s v="SALÃO DE FESTAS"/>
    <n v="1"/>
    <s v="PET PLACE"/>
    <n v="1"/>
    <s v="PISCINA"/>
    <n v="1"/>
    <s v="CHURRASQUEIRA"/>
    <n v="3"/>
    <m/>
    <m/>
    <m/>
    <m/>
    <m/>
    <m/>
    <n v="48.229166666666664"/>
    <n v="33.75"/>
    <n v="110.41666666666667"/>
    <n v="256.57687499999997"/>
    <n v="14.479166666666666"/>
    <n v="573.2657916666667"/>
    <n v="532.18200000000002"/>
    <n v="0"/>
    <n v="0"/>
    <n v="0"/>
    <s v="COM VARANDA"/>
    <n v="0.46"/>
    <s v="SEM SUÍTE"/>
    <n v="0"/>
    <n v="1380"/>
    <n v="0"/>
    <s v="COM VAGA EM SOLO"/>
    <n v="516"/>
    <n v="1.075"/>
    <s v="COM VAGA MOTO"/>
    <n v="35"/>
    <s v="SEM VAGA PILOTIS"/>
    <n v="0"/>
    <x v="0"/>
    <n v="0"/>
    <n v="2150"/>
    <n v="72.916666666666671"/>
    <n v="0"/>
    <n v="0"/>
    <n v="3990"/>
    <s v="ACAB 02"/>
    <n v="1568.8996666666667"/>
    <s v="LZ 02"/>
    <n v="1380"/>
    <s v="TIP 01"/>
    <n v="2222.9166666666665"/>
    <s v="VAGA 02"/>
    <n v="4194.75"/>
    <s v="ELEV 03"/>
    <n v="13356.566333333332"/>
    <s v="ECO"/>
    <s v="ECO-10%"/>
    <n v="9161.8163333333323"/>
    <s v="ECO"/>
    <s v="ECO"/>
    <s v="-"/>
    <s v="ECO"/>
    <s v="ADERÊNTE"/>
    <n v="9161.8163333333323"/>
    <s v="ECO"/>
    <s v="-"/>
    <n v="5558.8996666666662"/>
    <s v="ECO"/>
    <x v="1"/>
    <x v="0"/>
    <x v="0"/>
  </r>
  <r>
    <n v="53"/>
    <s v="Chapada Flamboyant"/>
    <x v="6"/>
    <n v="400"/>
    <s v="De 200 a 400 und"/>
    <x v="1"/>
    <n v="5"/>
    <n v="10"/>
    <m/>
    <m/>
    <n v="5"/>
    <n v="5"/>
    <n v="1"/>
    <x v="1"/>
    <s v="COM PISO (Cerâmica)"/>
    <s v="COM PISO (Cerâmica)"/>
    <s v="1 FIADA"/>
    <s v="TEXT"/>
    <s v="COMBO 01"/>
    <s v="ARDÓSIA"/>
    <s v="VIDRO SIMPLE (2 FOLHAS)"/>
    <n v="2430"/>
    <n v="260"/>
    <n v="600"/>
    <n v="500"/>
    <n v="370"/>
    <n v="90"/>
    <n v="720"/>
    <s v="CHURRASQUEIRA"/>
    <n v="1"/>
    <s v="PET PLACE"/>
    <n v="1"/>
    <s v="PISCINA"/>
    <n v="1"/>
    <s v="PLAYGROUND"/>
    <n v="1"/>
    <s v="GAZEBO"/>
    <n v="1"/>
    <s v="SALÃO DE FESTAS"/>
    <n v="1"/>
    <s v="CHURRASQUEIRA"/>
    <n v="1"/>
    <m/>
    <m/>
    <m/>
    <m/>
    <m/>
    <m/>
    <n v="212.87279999999998"/>
    <n v="17.375"/>
    <n v="687.91895"/>
    <n v="57.875"/>
    <n v="40.5"/>
    <n v="307.89224999999999"/>
    <n v="212.87279999999998"/>
    <n v="0"/>
    <n v="0"/>
    <n v="0"/>
    <s v="COM VARANDA"/>
    <n v="0.45"/>
    <s v="SEM SUÍTE"/>
    <n v="0"/>
    <n v="1350"/>
    <n v="0"/>
    <s v="COM VAGA EM SOLO"/>
    <n v="433"/>
    <n v="1.0825"/>
    <s v="COM VAGA MOTO"/>
    <n v="25"/>
    <s v="SEM VAGA PILOTIS"/>
    <n v="0"/>
    <x v="0"/>
    <n v="0"/>
    <n v="2165"/>
    <n v="62.5"/>
    <n v="0"/>
    <n v="0"/>
    <n v="3990"/>
    <s v="ACAB 02"/>
    <n v="1537.3067999999998"/>
    <s v="LZ 02"/>
    <n v="1350"/>
    <s v="TIP 01"/>
    <n v="2227.5"/>
    <s v="VAGA 02"/>
    <n v="2468.125"/>
    <s v="ELEV 01"/>
    <n v="11572.9318"/>
    <s v="ECO"/>
    <s v="-"/>
    <n v="9104.8068000000003"/>
    <s v="ECO"/>
    <s v="ECO"/>
    <s v="-"/>
    <s v="ECO"/>
    <s v="ADERÊNTE"/>
    <n v="9104.8068000000003"/>
    <s v="ECO"/>
    <s v="-"/>
    <n v="5527.3068000000003"/>
    <s v="ECO"/>
    <x v="1"/>
    <x v="0"/>
    <x v="0"/>
  </r>
  <r>
    <n v="78"/>
    <s v="Castelo De Versalhes"/>
    <x v="6"/>
    <n v="192"/>
    <s v="Até 200 und"/>
    <x v="0"/>
    <n v="12"/>
    <n v="4"/>
    <m/>
    <m/>
    <n v="12"/>
    <n v="0"/>
    <n v="0"/>
    <x v="1"/>
    <s v="COM PISO (Cerâmica)"/>
    <s v="COM PISO (Cerâmica)"/>
    <s v="1 FIADA"/>
    <s v="TEXT"/>
    <s v="COMBO 01"/>
    <s v="ARDÓSIA"/>
    <s v="VIDRO SIMPLE (2 FOLHAS)"/>
    <n v="2430"/>
    <n v="260"/>
    <n v="600"/>
    <n v="500"/>
    <n v="370"/>
    <n v="90"/>
    <n v="720"/>
    <s v="CHURRASQUEIRA"/>
    <n v="1"/>
    <s v="PET PLACE"/>
    <n v="1"/>
    <s v="PISCINA"/>
    <n v="1"/>
    <s v="BICICLETÁRIO"/>
    <n v="2"/>
    <m/>
    <m/>
    <m/>
    <m/>
    <m/>
    <m/>
    <m/>
    <m/>
    <m/>
    <m/>
    <m/>
    <m/>
    <n v="443.48499999999996"/>
    <n v="36.197916666666664"/>
    <n v="1433.1644791666668"/>
    <n v="55.208333333333336"/>
    <n v="0"/>
    <n v="0"/>
    <n v="0"/>
    <n v="0"/>
    <n v="0"/>
    <n v="0"/>
    <s v="COM VARANDA"/>
    <n v="0.375"/>
    <s v="SEM SUÍTE"/>
    <n v="0"/>
    <n v="1125"/>
    <n v="0"/>
    <s v="COM VAGA EM SOLO"/>
    <n v="211"/>
    <n v="1.0989583333333333"/>
    <s v="COM VAGA MOTO"/>
    <n v="14"/>
    <s v="SEM VAGA PILOTIS"/>
    <n v="0"/>
    <x v="0"/>
    <n v="0"/>
    <n v="2197.9166666666665"/>
    <n v="72.916666666666671"/>
    <n v="0"/>
    <n v="0"/>
    <n v="3990"/>
    <s v="ACAB 02"/>
    <n v="1968.0557291666667"/>
    <s v="LZ 03"/>
    <n v="1125"/>
    <s v="TIP 01"/>
    <n v="2270.833333333333"/>
    <s v="VAGA 02"/>
    <n v="0"/>
    <s v="ELEV 01"/>
    <n v="9353.8890624999985"/>
    <s v="ECO"/>
    <s v="-"/>
    <n v="9353.8890624999985"/>
    <s v="ECO"/>
    <s v="ECO"/>
    <s v="-"/>
    <s v="ECO"/>
    <s v="ADERÊNTE"/>
    <n v="9353.8890624999985"/>
    <s v="ECO"/>
    <s v="-"/>
    <n v="5958.0557291666664"/>
    <s v="BIO"/>
    <x v="1"/>
    <x v="0"/>
    <x v="0"/>
  </r>
  <r>
    <n v="79"/>
    <s v="Residencial Campo Di Ravena"/>
    <x v="1"/>
    <n v="288"/>
    <s v="De 200 a 400 und"/>
    <x v="1"/>
    <n v="1"/>
    <n v="24"/>
    <m/>
    <m/>
    <n v="1"/>
    <n v="4"/>
    <n v="4"/>
    <x v="1"/>
    <s v="COM PISO (Cerâmica)"/>
    <s v="COM PISO (Cerâmica)"/>
    <s v="1 FIADA"/>
    <s v="TEXT"/>
    <s v="COMBO 01"/>
    <s v="ARDÓSIA"/>
    <s v="VENEZIANA (3 FOLHAS)"/>
    <n v="2430"/>
    <n v="260"/>
    <n v="600"/>
    <n v="500"/>
    <n v="370"/>
    <n v="90"/>
    <n v="1320"/>
    <s v="PISCINA"/>
    <n v="1"/>
    <s v="PET PLACE"/>
    <n v="1"/>
    <s v="PLAYGROUND"/>
    <n v="1"/>
    <s v="BICICLETÁRIO"/>
    <n v="1"/>
    <s v="SALÃO DE FESTAS"/>
    <n v="1"/>
    <s v="CHURRASQUEIRA"/>
    <n v="1"/>
    <s v="GAZEBO"/>
    <n v="1"/>
    <m/>
    <m/>
    <m/>
    <m/>
    <m/>
    <m/>
    <n v="955.44298611111117"/>
    <n v="24.131944444444443"/>
    <n v="80.381944444444443"/>
    <n v="18.402777777777779"/>
    <n v="427.62812499999995"/>
    <n v="295.65666666666664"/>
    <n v="56.25"/>
    <n v="0"/>
    <n v="0"/>
    <n v="0"/>
    <s v="COM VARANDA"/>
    <n v="0.66666666666666663"/>
    <s v="SEM SUÍTE"/>
    <n v="0"/>
    <n v="2000"/>
    <n v="0"/>
    <s v="COM VAGA EM SOLO"/>
    <n v="318"/>
    <n v="1.1041666666666667"/>
    <s v="COM VAGA MOTO"/>
    <n v="10"/>
    <s v="SEM VAGA PILOTIS"/>
    <n v="0"/>
    <x v="0"/>
    <n v="0"/>
    <n v="2208.3333333333335"/>
    <n v="34.722222222222221"/>
    <n v="0"/>
    <n v="0"/>
    <n v="3990"/>
    <s v="ACAB 02"/>
    <n v="1857.8944444444446"/>
    <s v="LZ 03"/>
    <n v="2000"/>
    <s v="TIP 02"/>
    <n v="2243.0555555555557"/>
    <s v="VAGA 02"/>
    <n v="5593"/>
    <s v="ELEV 03"/>
    <n v="15683.95"/>
    <s v="BIO"/>
    <s v="-"/>
    <n v="10090.950000000001"/>
    <s v="ECO"/>
    <s v="BIO"/>
    <s v="-"/>
    <s v="BIO"/>
    <s v="NÃO ADERÊNTE"/>
    <n v="10090.950000000001"/>
    <s v="ECO"/>
    <s v="-"/>
    <n v="5847.8944444444442"/>
    <s v="ECO"/>
    <x v="1"/>
    <x v="0"/>
    <x v="0"/>
  </r>
  <r>
    <n v="62"/>
    <s v="Residencial Poente Das Orquídeas"/>
    <x v="1"/>
    <n v="540"/>
    <s v="Acima de 400 und"/>
    <x v="1"/>
    <n v="3"/>
    <n v="10"/>
    <m/>
    <m/>
    <n v="3"/>
    <n v="6"/>
    <n v="2"/>
    <x v="1"/>
    <s v="COM PISO (Cerâmica)"/>
    <s v="COM PISO (Cerâmica)"/>
    <s v="ATÉ 1,5"/>
    <s v="TEXT"/>
    <s v="COMBO 01"/>
    <s v="ARDÓSIA"/>
    <s v="VIDRO SIMPLE (2 FOLHAS)"/>
    <n v="2430"/>
    <n v="260"/>
    <n v="900"/>
    <n v="500"/>
    <n v="370"/>
    <n v="90"/>
    <n v="720"/>
    <s v="PISCINA"/>
    <n v="1"/>
    <s v="CHURRASQUEIRA"/>
    <n v="2"/>
    <s v="SALÃO DE FESTAS"/>
    <n v="2"/>
    <s v="PLAYGROUND"/>
    <n v="1"/>
    <s v="PET PLACE"/>
    <n v="1"/>
    <s v="BICICLETÁRIO"/>
    <n v="1"/>
    <m/>
    <m/>
    <m/>
    <m/>
    <m/>
    <m/>
    <m/>
    <m/>
    <n v="509.56959259259264"/>
    <n v="315.36711111111111"/>
    <n v="456.13666666666666"/>
    <n v="42.870370370370374"/>
    <n v="12.87037037037037"/>
    <n v="9.8148148148148149"/>
    <n v="0"/>
    <n v="0"/>
    <n v="0"/>
    <n v="0"/>
    <s v="COM VARANDA"/>
    <n v="0.66666666666666663"/>
    <s v="SEM SUÍTE"/>
    <n v="0"/>
    <n v="2000"/>
    <n v="0"/>
    <s v="COM VAGA EM SOLO"/>
    <n v="146"/>
    <n v="0.27037037037037037"/>
    <s v="SEM VAGA MOTO"/>
    <n v="0"/>
    <s v="SEM VAGA PILOTIS"/>
    <n v="0"/>
    <x v="0"/>
    <n v="0"/>
    <n v="540.74074074074076"/>
    <n v="0"/>
    <n v="0"/>
    <n v="0"/>
    <n v="4290"/>
    <s v="ACAB 02"/>
    <n v="1346.6289259259261"/>
    <s v="LZ 02"/>
    <n v="2000"/>
    <s v="TIP 02"/>
    <n v="540.74074074074076"/>
    <s v="VAGA 01"/>
    <n v="2193.8888888888887"/>
    <s v="ELEV 01"/>
    <n v="10371.258555555556"/>
    <s v="ESSENCIAL"/>
    <s v="ESSENCIAL-10%"/>
    <n v="8177.3696666666674"/>
    <s v="ECO"/>
    <s v="ECO"/>
    <s v="-"/>
    <s v="ECO"/>
    <s v="ADERÊNTE"/>
    <n v="8177.3696666666674"/>
    <s v="ECO"/>
    <s v="-"/>
    <n v="5636.6289259259265"/>
    <s v="ECO"/>
    <x v="1"/>
    <x v="0"/>
    <x v="0"/>
  </r>
  <r>
    <n v="73"/>
    <s v="Residencial Mandacaru"/>
    <x v="0"/>
    <n v="204"/>
    <s v="De 200 a 400 und"/>
    <x v="1"/>
    <n v="1"/>
    <n v="17"/>
    <m/>
    <m/>
    <n v="1"/>
    <n v="4"/>
    <n v="4"/>
    <x v="1"/>
    <s v="COM PISO (Cerâmica)"/>
    <s v="COM PISO (Cerâmica)"/>
    <s v="ATÉ 1,5"/>
    <s v="TEXT"/>
    <s v="COMBO 01"/>
    <s v="ARDÓSIA"/>
    <s v="VIDRO SIMPLE (2 FOLHAS)"/>
    <n v="2430"/>
    <n v="260"/>
    <n v="900"/>
    <n v="500"/>
    <n v="370"/>
    <n v="90"/>
    <n v="720"/>
    <s v="GAZEBO"/>
    <n v="1"/>
    <s v="BICICLETÁRIO"/>
    <n v="1"/>
    <s v="SALÃO DE FESTAS"/>
    <n v="2"/>
    <s v="PISCINA"/>
    <n v="1"/>
    <s v="CHURRASQUEIRA"/>
    <n v="1"/>
    <s v="PLAYGROUND"/>
    <n v="1"/>
    <s v="FUNCIONAL"/>
    <n v="1"/>
    <s v="PET PLACE"/>
    <n v="1"/>
    <m/>
    <m/>
    <m/>
    <m/>
    <n v="79.411764705882348"/>
    <n v="25.980392156862745"/>
    <n v="1207.420588235294"/>
    <n v="1348.8606862745098"/>
    <n v="417.39764705882351"/>
    <n v="113.48039215686275"/>
    <n v="52.892156862745097"/>
    <n v="34.068627450980394"/>
    <n v="0"/>
    <n v="0"/>
    <s v="COM VARANDA"/>
    <n v="0.62745098039215685"/>
    <s v="SEM SUÍTE"/>
    <n v="0"/>
    <n v="1882.3529411764705"/>
    <n v="0"/>
    <s v="COM VAGA EM SOLO"/>
    <n v="93"/>
    <n v="0.45588235294117646"/>
    <s v="COM VAGA MOTO"/>
    <n v="120"/>
    <s v="SEM VAGA PILOTIS"/>
    <n v="0"/>
    <x v="0"/>
    <n v="0"/>
    <n v="911.76470588235293"/>
    <n v="588.23529411764707"/>
    <n v="0"/>
    <n v="0"/>
    <n v="4290"/>
    <s v="ACAB 02"/>
    <n v="3279.5122549019611"/>
    <s v="LZ 04"/>
    <n v="1882.3529411764705"/>
    <s v="TIP 02"/>
    <n v="1500"/>
    <s v="VAGA 02"/>
    <n v="5593"/>
    <s v="ELEV 03"/>
    <n v="16544.865196078434"/>
    <s v="BIO"/>
    <s v="-"/>
    <n v="10951.865196078432"/>
    <s v="ECO"/>
    <s v="BIO"/>
    <s v="-"/>
    <s v="BIO"/>
    <s v="NÃO ADERÊNTE"/>
    <n v="10951.865196078432"/>
    <s v="ECO"/>
    <s v="ECO/BIO"/>
    <n v="7569.5122549019616"/>
    <s v="BIO"/>
    <x v="2"/>
    <x v="1"/>
    <x v="0"/>
  </r>
  <r>
    <n v="76"/>
    <s v="Mirante Da Luz"/>
    <x v="2"/>
    <n v="432"/>
    <s v="Acima de 400 und"/>
    <x v="1"/>
    <n v="2"/>
    <n v="18"/>
    <m/>
    <m/>
    <n v="2"/>
    <n v="8"/>
    <n v="4"/>
    <x v="1"/>
    <s v="COM PISO (Cerâmica)"/>
    <s v="COM PISO (Cerâmica)"/>
    <s v="ATÉ 1,5"/>
    <s v="TEXT"/>
    <s v="COMBO 01"/>
    <s v="ARDÓSIA"/>
    <s v="VIDRO SIMPLE (2 FOLHAS)"/>
    <n v="2430"/>
    <n v="260"/>
    <n v="900"/>
    <n v="500"/>
    <n v="370"/>
    <n v="90"/>
    <n v="720"/>
    <s v="PISCINA"/>
    <n v="1"/>
    <s v="GAZEBO"/>
    <n v="1"/>
    <s v="PLAYGROUND"/>
    <n v="1"/>
    <s v="REDÁRIO"/>
    <n v="1"/>
    <s v="SALÃO DE FESTAS"/>
    <n v="2"/>
    <s v="CHURRASQUEIRA"/>
    <n v="1"/>
    <m/>
    <m/>
    <m/>
    <m/>
    <m/>
    <m/>
    <m/>
    <m/>
    <n v="636.96199074074082"/>
    <n v="37.5"/>
    <n v="53.587962962962962"/>
    <n v="17.5"/>
    <n v="570.17083333333335"/>
    <n v="197.10444444444443"/>
    <n v="0"/>
    <n v="0"/>
    <n v="0"/>
    <n v="0"/>
    <s v="COM VARANDA"/>
    <n v="0.62962962962962965"/>
    <s v="SEM SUÍTE"/>
    <n v="0"/>
    <n v="1888.8888888888889"/>
    <n v="0"/>
    <s v="COM VAGA EM SOLO"/>
    <n v="114"/>
    <n v="0.2638888888888889"/>
    <s v="SEM VAGA MOTO"/>
    <n v="0"/>
    <s v="SEM VAGA PILOTIS"/>
    <n v="0"/>
    <x v="0"/>
    <n v="0"/>
    <n v="527.77777777777783"/>
    <n v="0"/>
    <n v="0"/>
    <n v="0"/>
    <n v="4290"/>
    <s v="ACAB 02"/>
    <n v="1512.8252314814815"/>
    <s v="LZ 02"/>
    <n v="1888.8888888888889"/>
    <s v="TIP 02"/>
    <n v="527.77777777777783"/>
    <s v="VAGA 01"/>
    <n v="5593"/>
    <s v="ELEV 03"/>
    <n v="13812.491898148148"/>
    <s v="ECO"/>
    <s v="ECO-10%"/>
    <n v="8219.4918981481478"/>
    <s v="ECO"/>
    <s v="ECO"/>
    <s v="-"/>
    <s v="ECO"/>
    <s v="ADERÊNTE"/>
    <n v="8219.4918981481478"/>
    <s v="ECO"/>
    <s v="-"/>
    <n v="5802.8252314814818"/>
    <s v="ECO"/>
    <x v="1"/>
    <x v="0"/>
    <x v="0"/>
  </r>
  <r>
    <n v="77"/>
    <s v="Residencial Canoas"/>
    <x v="3"/>
    <n v="176"/>
    <s v="Até 200 und"/>
    <x v="1"/>
    <n v="1"/>
    <n v="22"/>
    <m/>
    <m/>
    <n v="1"/>
    <n v="3"/>
    <n v="3"/>
    <x v="1"/>
    <s v="COM PISO (Cerâmica)"/>
    <s v="COM PISO (Cerâmica)"/>
    <s v="ATÉ 1,5"/>
    <s v="TEXT"/>
    <s v="COMBO 01"/>
    <s v="ARDÓSIA"/>
    <s v="VENEZIANA (3 FOLHAS)"/>
    <n v="2430"/>
    <n v="260"/>
    <n v="900"/>
    <n v="500"/>
    <n v="370"/>
    <n v="90"/>
    <n v="1320"/>
    <s v="PISCINA"/>
    <n v="1"/>
    <s v="CHURRASQUEIRA"/>
    <n v="1"/>
    <s v="PLAYGROUND"/>
    <n v="1"/>
    <s v="PET PLACE"/>
    <n v="1"/>
    <s v="BICICLETÁRIO"/>
    <n v="1"/>
    <m/>
    <m/>
    <m/>
    <m/>
    <m/>
    <m/>
    <m/>
    <m/>
    <m/>
    <m/>
    <n v="1563.4521590909092"/>
    <n v="483.80181818181813"/>
    <n v="131.53409090909091"/>
    <n v="39.488636363636367"/>
    <n v="30.113636363636363"/>
    <n v="0"/>
    <n v="0"/>
    <n v="0"/>
    <n v="0"/>
    <n v="0"/>
    <s v="COM VARANDA"/>
    <n v="0.95454545454545459"/>
    <s v="SEM SUÍTE"/>
    <n v="0"/>
    <n v="2863.636363636364"/>
    <n v="0"/>
    <s v="COM VAGA EM SOLO"/>
    <n v="122"/>
    <n v="0.69318181818181823"/>
    <s v="COM VAGA MOTO"/>
    <n v="11"/>
    <s v="SEM VAGA PILOTIS"/>
    <n v="0"/>
    <x v="0"/>
    <n v="0"/>
    <n v="1386.3636363636363"/>
    <n v="62.5"/>
    <n v="0"/>
    <n v="0"/>
    <n v="4290"/>
    <s v="ACAB 02"/>
    <n v="2248.3903409090913"/>
    <s v="LZ 03"/>
    <n v="2863.636363636364"/>
    <s v="TIP 02"/>
    <n v="1448.8636363636363"/>
    <s v="VAGA 02"/>
    <n v="6292.125"/>
    <s v="ELEV 03"/>
    <n v="17143.015340909093"/>
    <s v="BIO"/>
    <s v="-"/>
    <n v="10850.890340909091"/>
    <s v="ECO"/>
    <s v="BIO"/>
    <s v="-"/>
    <s v="BIO"/>
    <s v="NÃO ADERÊNTE"/>
    <n v="10850.890340909091"/>
    <s v="ECO"/>
    <s v="ECO/BIO"/>
    <n v="6538.3903409090908"/>
    <s v="BIO"/>
    <x v="2"/>
    <x v="1"/>
    <x v="0"/>
  </r>
  <r>
    <n v="82"/>
    <s v="Reserva Dos Girassóis"/>
    <x v="6"/>
    <n v="560"/>
    <s v="Acima de 400 und"/>
    <x v="0"/>
    <n v="35"/>
    <n v="4"/>
    <m/>
    <m/>
    <n v="35"/>
    <n v="0"/>
    <n v="0"/>
    <x v="1"/>
    <s v="COM PISO (Cerâmica)"/>
    <s v="COM PISO (Cerâmica)"/>
    <s v="ATÉ 1,5"/>
    <s v="TEXT"/>
    <s v="COMBO 01"/>
    <s v="ARDÓSIA"/>
    <s v="VIDRO SIMPLE (2 FOLHAS)"/>
    <n v="2430"/>
    <n v="260"/>
    <n v="900"/>
    <n v="500"/>
    <n v="370"/>
    <n v="90"/>
    <n v="720"/>
    <s v="CHURRASQUEIRA"/>
    <n v="3"/>
    <s v="BICICLETÁRIO"/>
    <n v="1"/>
    <s v="GAZEBO"/>
    <n v="1"/>
    <s v="PLAYGROUND"/>
    <n v="2"/>
    <s v="FUNCIONAL"/>
    <n v="1"/>
    <s v="PISCINA"/>
    <n v="1"/>
    <s v="REDÁRIO"/>
    <n v="1"/>
    <s v="PET PLACE"/>
    <n v="1"/>
    <m/>
    <m/>
    <m/>
    <m/>
    <n v="456.15599999999995"/>
    <n v="9.4642857142857135"/>
    <n v="28.928571428571427"/>
    <n v="82.678571428571431"/>
    <n v="19.267857142857142"/>
    <n v="491.37067857142858"/>
    <n v="13.5"/>
    <n v="12.410714285714286"/>
    <n v="0"/>
    <n v="0"/>
    <s v="COM VARANDA"/>
    <n v="0.375"/>
    <s v="SEM SUÍTE"/>
    <n v="0"/>
    <n v="1125"/>
    <n v="0"/>
    <s v="COM VAGA EM SOLO"/>
    <n v="400"/>
    <n v="0.7142857142857143"/>
    <s v="COM VAGA MOTO"/>
    <n v="168"/>
    <s v="SEM VAGA PILOTIS"/>
    <n v="0"/>
    <x v="0"/>
    <n v="0"/>
    <n v="1428.5714285714287"/>
    <n v="300"/>
    <n v="0"/>
    <n v="0"/>
    <n v="4290"/>
    <s v="ACAB 02"/>
    <n v="1113.7766785714284"/>
    <s v="LZ 02"/>
    <n v="1125"/>
    <s v="TIP 01"/>
    <n v="1728.5714285714287"/>
    <s v="VAGA 02"/>
    <n v="0"/>
    <s v="ELEV 01"/>
    <n v="8257.3481071428578"/>
    <s v="ECO"/>
    <s v="ECO+10%"/>
    <n v="8257.3481071428578"/>
    <s v="ECO"/>
    <s v="ECO"/>
    <s v="-"/>
    <s v="ECO"/>
    <s v="ADERÊNTE"/>
    <n v="8257.3481071428578"/>
    <s v="ECO"/>
    <s v="-"/>
    <n v="5403.7766785714284"/>
    <s v="ECO"/>
    <x v="1"/>
    <x v="0"/>
    <x v="0"/>
  </r>
  <r>
    <n v="54"/>
    <s v="Vila De Manguinhos"/>
    <x v="5"/>
    <n v="96"/>
    <s v="Até 200 und"/>
    <x v="0"/>
    <n v="6"/>
    <n v="4"/>
    <m/>
    <m/>
    <n v="6"/>
    <n v="0"/>
    <n v="0"/>
    <x v="1"/>
    <s v="COM PISO (Cerâmica)"/>
    <s v="COM PISO (Cerâmica)"/>
    <s v="ATÉ 1,5"/>
    <s v="TEXT"/>
    <s v="COMBO 01"/>
    <s v="ARDÓSIA"/>
    <m/>
    <n v="2430"/>
    <n v="260"/>
    <n v="900"/>
    <n v="500"/>
    <n v="370"/>
    <n v="90"/>
    <n v="1320"/>
    <s v="GAZEBO"/>
    <n v="1"/>
    <s v="PLAYGROUND"/>
    <n v="1"/>
    <s v="REDÁRIO"/>
    <n v="1"/>
    <s v="PET PLACE"/>
    <n v="1"/>
    <s v="BICICLETÁRIO"/>
    <n v="1"/>
    <m/>
    <m/>
    <m/>
    <m/>
    <m/>
    <m/>
    <m/>
    <m/>
    <m/>
    <m/>
    <n v="168.75"/>
    <n v="241.14583333333334"/>
    <n v="78.75"/>
    <n v="72.395833333333329"/>
    <n v="55.208333333333336"/>
    <n v="0"/>
    <n v="0"/>
    <n v="0"/>
    <n v="0"/>
    <n v="0"/>
    <s v="COM VARANDA"/>
    <n v="0.25"/>
    <s v="SEM SUÍTE"/>
    <n v="0"/>
    <n v="750"/>
    <n v="0"/>
    <s v="COM VAGA EM SOLO"/>
    <n v="69"/>
    <n v="0.71875"/>
    <s v="COM VAGA MOTO"/>
    <n v="9"/>
    <s v="SEM VAGA PILOTIS"/>
    <n v="0"/>
    <x v="0"/>
    <n v="0"/>
    <n v="1437.5"/>
    <n v="93.75"/>
    <n v="0"/>
    <n v="0"/>
    <n v="4290"/>
    <s v="ACAB 02"/>
    <n v="616.25000000000011"/>
    <s v="LZ 01"/>
    <n v="750"/>
    <s v="TIP 01"/>
    <n v="1531.25"/>
    <s v="VAGA 02"/>
    <n v="0"/>
    <s v="ELEV 01"/>
    <n v="7187.5"/>
    <s v="ESSENCIAL"/>
    <s v="-"/>
    <n v="7187.5"/>
    <s v="ECO"/>
    <s v="ESSENCIAL"/>
    <s v="-"/>
    <s v="ESSENCIAL"/>
    <s v="NÃO ADERÊNTE"/>
    <n v="7187.5"/>
    <s v="ECO"/>
    <s v="ESSENCIAL/ECO"/>
    <n v="4906.25"/>
    <s v="ECO"/>
    <x v="1"/>
    <x v="0"/>
    <x v="0"/>
  </r>
  <r>
    <n v="68"/>
    <s v="Residencial Reserva Dos Pássaros"/>
    <x v="5"/>
    <n v="176"/>
    <s v="Até 200 und"/>
    <x v="0"/>
    <n v="11"/>
    <n v="4"/>
    <m/>
    <m/>
    <n v="11"/>
    <n v="0"/>
    <n v="0"/>
    <x v="1"/>
    <s v="COM PISO (Cerâmica)"/>
    <s v="COM PISO (Cerâmica)"/>
    <s v="ATÉ 1,5"/>
    <s v="TEXT"/>
    <s v="COMBO 01"/>
    <s v="ARDÓSIA"/>
    <s v="VIDRO SIMPLE (2 FOLHAS)"/>
    <n v="2430"/>
    <n v="260"/>
    <n v="900"/>
    <n v="500"/>
    <n v="370"/>
    <n v="90"/>
    <n v="720"/>
    <s v="BICICLETÁRIO"/>
    <n v="1"/>
    <s v="CHURRASQUEIRA"/>
    <n v="1"/>
    <s v="PLAYGROUND"/>
    <n v="1"/>
    <m/>
    <m/>
    <m/>
    <m/>
    <m/>
    <m/>
    <m/>
    <m/>
    <m/>
    <m/>
    <m/>
    <m/>
    <m/>
    <m/>
    <n v="30.113636363636363"/>
    <n v="483.80181818181813"/>
    <n v="131.53409090909091"/>
    <n v="0"/>
    <n v="0"/>
    <n v="0"/>
    <n v="0"/>
    <n v="0"/>
    <n v="0"/>
    <n v="0"/>
    <s v="COM VARANDA"/>
    <n v="0.375"/>
    <s v="SEM SUÍTE"/>
    <n v="0"/>
    <n v="1125"/>
    <n v="0"/>
    <s v="COM VAGA EM SOLO"/>
    <n v="145"/>
    <n v="0.82386363636363635"/>
    <s v="SEM VAGA MOTO"/>
    <n v="0"/>
    <s v="SEM VAGA PILOTIS"/>
    <n v="0"/>
    <x v="0"/>
    <n v="0"/>
    <n v="1647.7272727272727"/>
    <n v="0"/>
    <n v="0"/>
    <n v="0"/>
    <n v="4290"/>
    <s v="ACAB 02"/>
    <n v="645.44954545454539"/>
    <s v="LZ 01"/>
    <n v="1125"/>
    <s v="TIP 01"/>
    <n v="1647.7272727272727"/>
    <s v="VAGA 02"/>
    <n v="0"/>
    <s v="ELEV 01"/>
    <n v="7708.1768181818179"/>
    <s v="ESSENCIAL"/>
    <s v="ESSENCIAL-10%"/>
    <n v="7708.1768181818179"/>
    <s v="ECO"/>
    <s v="ECO"/>
    <s v="-"/>
    <s v="ECO"/>
    <s v="ADERÊNTE"/>
    <n v="7708.1768181818179"/>
    <s v="ECO"/>
    <s v="-"/>
    <n v="4935.4495454545449"/>
    <s v="ECO"/>
    <x v="1"/>
    <x v="0"/>
    <x v="0"/>
  </r>
  <r>
    <n v="67"/>
    <s v="Torre Do Mar"/>
    <x v="0"/>
    <n v="384"/>
    <s v="De 200 a 400 und"/>
    <x v="1"/>
    <n v="2"/>
    <n v="16"/>
    <m/>
    <m/>
    <n v="2"/>
    <n v="8"/>
    <n v="4"/>
    <x v="1"/>
    <s v="COM PISO (Cerâmica)"/>
    <s v="COM PISO (Cerâmica)"/>
    <s v="ATÉ 1,5"/>
    <s v="TEXT"/>
    <s v="COMBO 01"/>
    <s v="ARDÓSIA"/>
    <s v="VIDRO SIMPLE (2 FOLHAS)"/>
    <n v="2430"/>
    <n v="260"/>
    <n v="900"/>
    <n v="500"/>
    <n v="370"/>
    <n v="90"/>
    <n v="720"/>
    <s v="BICICLETÁRIO"/>
    <n v="1"/>
    <s v="PLAYGROUND"/>
    <n v="1"/>
    <s v="SALÃO DE FESTAS"/>
    <n v="1"/>
    <s v="PISCINA"/>
    <n v="1"/>
    <s v="CHURRASQUEIRA"/>
    <n v="1"/>
    <s v="GAZEBO"/>
    <n v="1"/>
    <s v="PET PLACE"/>
    <n v="1"/>
    <m/>
    <m/>
    <m/>
    <m/>
    <m/>
    <m/>
    <n v="13.802083333333334"/>
    <n v="60.286458333333336"/>
    <n v="320.72109374999997"/>
    <n v="716.58223958333338"/>
    <n v="221.74249999999998"/>
    <n v="42.1875"/>
    <n v="18.098958333333332"/>
    <n v="0"/>
    <n v="0"/>
    <n v="0"/>
    <s v="COM VARANDA"/>
    <n v="0.625"/>
    <s v="SEM SUÍTE"/>
    <n v="0"/>
    <n v="1875"/>
    <n v="0"/>
    <s v="COM VAGA EM SOLO"/>
    <n v="327"/>
    <n v="0.8515625"/>
    <s v="COM VAGA MOTO"/>
    <n v="82"/>
    <s v="SEM VAGA PILOTIS"/>
    <n v="0"/>
    <x v="0"/>
    <n v="0"/>
    <n v="1703.125"/>
    <n v="213.54166666666666"/>
    <n v="0"/>
    <n v="0"/>
    <n v="4290"/>
    <s v="ACAB 02"/>
    <n v="1393.4208333333333"/>
    <s v="LZ 02"/>
    <n v="1875"/>
    <s v="TIP 02"/>
    <n v="1916.6666666666667"/>
    <s v="VAGA 02"/>
    <n v="5593"/>
    <s v="ELEV 03"/>
    <n v="15068.0875"/>
    <s v="BIO"/>
    <s v="BIO+10%"/>
    <n v="9475.0874999999996"/>
    <s v="ECO"/>
    <s v="ECO"/>
    <s v="-"/>
    <s v="ECO"/>
    <s v="ADERÊNTE"/>
    <n v="9475.0874999999996"/>
    <s v="ECO"/>
    <s v="-"/>
    <n v="5683.4208333333336"/>
    <s v="ECO"/>
    <x v="1"/>
    <x v="0"/>
    <x v="0"/>
  </r>
  <r>
    <n v="81"/>
    <s v="Reserva Da Lagoa"/>
    <x v="0"/>
    <n v="372"/>
    <s v="De 200 a 400 und"/>
    <x v="1"/>
    <n v="2"/>
    <n v="16"/>
    <m/>
    <m/>
    <n v="2"/>
    <n v="6"/>
    <n v="3"/>
    <x v="1"/>
    <s v="COM PISO (Cerâmica)"/>
    <s v="COM PISO (Cerâmica)"/>
    <s v="ATÉ 1,5"/>
    <s v="TEXT"/>
    <s v="COMBO 01"/>
    <s v="ARDÓSIA"/>
    <s v="VIDRO SIMPLE (2 FOLHAS)"/>
    <n v="2430"/>
    <n v="260"/>
    <n v="900"/>
    <n v="500"/>
    <n v="370"/>
    <n v="90"/>
    <n v="720"/>
    <s v="PISCINA"/>
    <n v="1"/>
    <s v="PLAYGROUND"/>
    <n v="1"/>
    <s v="SALÃO DE FESTAS"/>
    <n v="1"/>
    <s v="CHURRASQUEIRA"/>
    <n v="1"/>
    <s v="BICICLETÁRIO"/>
    <n v="1"/>
    <s v="PET PLACE"/>
    <n v="1"/>
    <m/>
    <m/>
    <m/>
    <m/>
    <m/>
    <m/>
    <m/>
    <m/>
    <n v="739.69779569892478"/>
    <n v="62.231182795698928"/>
    <n v="331.06693548387096"/>
    <n v="228.89548387096772"/>
    <n v="14.24731182795699"/>
    <n v="18.682795698924732"/>
    <n v="0"/>
    <n v="0"/>
    <n v="0"/>
    <n v="0"/>
    <s v="COM VARANDA"/>
    <n v="0.62365591397849462"/>
    <s v="SEM SUÍTE"/>
    <n v="0"/>
    <n v="1870.9677419354839"/>
    <n v="0"/>
    <s v="COM VAGA EM SOLO"/>
    <n v="350"/>
    <n v="0.94086021505376349"/>
    <s v="COM VAGA MOTO"/>
    <n v="37"/>
    <s v="SEM VAGA PILOTIS"/>
    <n v="0"/>
    <x v="0"/>
    <n v="0"/>
    <n v="1881.7204301075269"/>
    <n v="99.462365591397855"/>
    <n v="0"/>
    <n v="0"/>
    <n v="4290"/>
    <s v="ACAB 02"/>
    <n v="1394.8215053763442"/>
    <s v="LZ 02"/>
    <n v="1870.9677419354839"/>
    <s v="TIP 02"/>
    <n v="1981.1827956989248"/>
    <s v="VAGA 02"/>
    <n v="4330.0645161290322"/>
    <s v="ELEV 03"/>
    <n v="13867.036559139786"/>
    <s v="ECO"/>
    <s v="ECO-10%"/>
    <n v="9536.9720430107536"/>
    <s v="ECO"/>
    <s v="ECO"/>
    <s v="-"/>
    <s v="ECO"/>
    <s v="ADERÊNTE"/>
    <n v="9536.9720430107536"/>
    <s v="ECO"/>
    <s v="-"/>
    <n v="5684.8215053763442"/>
    <s v="ECO"/>
    <x v="1"/>
    <x v="0"/>
    <x v="0"/>
  </r>
  <r>
    <n v="56"/>
    <s v="Vista Dos Jasmins"/>
    <x v="6"/>
    <n v="320"/>
    <s v="De 200 a 400 und"/>
    <x v="1"/>
    <n v="5"/>
    <n v="8"/>
    <m/>
    <m/>
    <n v="5"/>
    <n v="5"/>
    <n v="1"/>
    <x v="1"/>
    <s v="COM PISO (Cerâmica)"/>
    <s v="COM PISO (Cerâmica)"/>
    <s v="ATÉ 1,5"/>
    <s v="TEXT"/>
    <s v="COMBO 01"/>
    <s v="ARDÓSIA"/>
    <s v="VIDRO SIMPLE (2 FOLHAS)"/>
    <n v="2430"/>
    <n v="260"/>
    <n v="900"/>
    <n v="500"/>
    <n v="370"/>
    <n v="90"/>
    <n v="720"/>
    <s v="BICICLETÁRIO"/>
    <n v="1"/>
    <s v="PET PLACE"/>
    <n v="1"/>
    <s v="QUADRA DE AREIA"/>
    <n v="1"/>
    <s v="GAZEBO"/>
    <n v="1"/>
    <s v="PLAYGROUND"/>
    <n v="1"/>
    <s v="SALÃO DE FESTAS"/>
    <n v="1"/>
    <s v="CHURRASQUEIRA"/>
    <n v="1"/>
    <s v="PISCINA"/>
    <n v="1"/>
    <m/>
    <m/>
    <m/>
    <m/>
    <n v="16.5625"/>
    <n v="21.71875"/>
    <n v="306.40625"/>
    <n v="50.625"/>
    <n v="72.34375"/>
    <n v="384.86531249999996"/>
    <n v="266.09100000000001"/>
    <n v="859.89868750000005"/>
    <n v="0"/>
    <n v="0"/>
    <s v="COM VARANDA"/>
    <n v="0.875"/>
    <s v="SEM SUÍTE"/>
    <n v="0"/>
    <n v="2625"/>
    <n v="0"/>
    <s v="COM VAGA EM SOLO"/>
    <n v="314"/>
    <n v="0.98124999999999996"/>
    <s v="COM VAGA MOTO"/>
    <n v="57"/>
    <s v="SEM VAGA PILOTIS"/>
    <n v="0"/>
    <x v="0"/>
    <n v="0"/>
    <n v="1962.5"/>
    <n v="178.125"/>
    <n v="0"/>
    <n v="0"/>
    <n v="4290"/>
    <s v="ACAB 02"/>
    <n v="1978.51125"/>
    <s v="LZ 03"/>
    <n v="2625"/>
    <s v="TIP 02"/>
    <n v="2140.625"/>
    <s v="VAGA 02"/>
    <n v="2468.125"/>
    <s v="ELEV 01"/>
    <n v="13502.26125"/>
    <s v="ECO"/>
    <s v="ECO-10%"/>
    <n v="11034.13625"/>
    <s v="ECO"/>
    <s v="ECO"/>
    <s v="-"/>
    <s v="ECO"/>
    <s v="ADERÊNTE"/>
    <n v="11034.13625"/>
    <s v="ECO"/>
    <s v="ECO/BIO"/>
    <n v="6268.5112499999996"/>
    <s v="BIO"/>
    <x v="2"/>
    <x v="1"/>
    <x v="0"/>
  </r>
  <r>
    <n v="60"/>
    <s v="Reserva Dos Lírios"/>
    <x v="3"/>
    <n v="336"/>
    <s v="De 200 a 400 und"/>
    <x v="0"/>
    <n v="24"/>
    <n v="4"/>
    <m/>
    <m/>
    <n v="24"/>
    <n v="1"/>
    <n v="4.1666666666666664E-2"/>
    <x v="1"/>
    <s v="COM PISO (Cerâmica)"/>
    <s v="COM PISO (Cerâmica)"/>
    <s v="ATÉ 1,5"/>
    <s v="TEXT"/>
    <s v="COMBO 01"/>
    <s v="ARDÓSIA"/>
    <s v="VENEZIANA (3 FOLHAS)"/>
    <n v="2430"/>
    <n v="260"/>
    <n v="900"/>
    <n v="500"/>
    <n v="370"/>
    <n v="90"/>
    <n v="1320"/>
    <s v="BICICLETÁRIO"/>
    <n v="1"/>
    <s v="SALÃO DE FESTAS"/>
    <n v="1"/>
    <s v="CHURRASQUEIRA"/>
    <n v="2"/>
    <s v="JOGOS"/>
    <n v="1"/>
    <s v="KIDS"/>
    <n v="1"/>
    <s v="PISCINA"/>
    <n v="1"/>
    <s v="PLAYGROUND"/>
    <n v="1"/>
    <s v="PET PLACE"/>
    <n v="1"/>
    <s v="QUADRA DE AREIA"/>
    <n v="1"/>
    <m/>
    <m/>
    <n v="15.773809523809524"/>
    <n v="366.53839285714287"/>
    <n v="506.84"/>
    <n v="237.30116071428571"/>
    <n v="184.98904761904762"/>
    <n v="818.95113095238105"/>
    <n v="68.898809523809518"/>
    <n v="20.68452380952381"/>
    <n v="291.8154761904762"/>
    <n v="0"/>
    <s v="COM VARANDA"/>
    <n v="0.35714285714285715"/>
    <s v="SEM SUÍTE"/>
    <n v="0"/>
    <n v="1071.4285714285716"/>
    <n v="0"/>
    <s v="COM VAGA EM SOLO"/>
    <n v="348"/>
    <n v="1.0357142857142858"/>
    <s v="COM VAGA MOTO"/>
    <n v="34"/>
    <s v="SEM VAGA PILOTIS"/>
    <n v="0"/>
    <x v="1"/>
    <n v="0"/>
    <n v="2071.4285714285716"/>
    <n v="101.19047619047619"/>
    <n v="0"/>
    <n v="0"/>
    <n v="4290"/>
    <s v="ACAB 02"/>
    <n v="2511.7923511904764"/>
    <s v="LZ 04"/>
    <n v="1071.4285714285716"/>
    <s v="TIP 01"/>
    <n v="2172.6190476190477"/>
    <s v="VAGA 02"/>
    <n v="357.47619047619048"/>
    <s v="ELEV 02"/>
    <n v="10403.316160714287"/>
    <s v="ECO"/>
    <s v="ECO-10%"/>
    <n v="10045.839970238096"/>
    <s v="ECO"/>
    <s v="ECO"/>
    <s v="-"/>
    <s v="ECO"/>
    <s v="ADERÊNTE"/>
    <n v="10045.839970238096"/>
    <s v="ECO"/>
    <s v="-"/>
    <n v="6801.7923511904764"/>
    <s v="BIO"/>
    <x v="1"/>
    <x v="0"/>
    <x v="0"/>
  </r>
  <r>
    <n v="51"/>
    <s v="Solar Das Amoreiras"/>
    <x v="0"/>
    <n v="400"/>
    <s v="De 200 a 400 und"/>
    <x v="0"/>
    <n v="20"/>
    <n v="5"/>
    <m/>
    <m/>
    <n v="20"/>
    <n v="2"/>
    <n v="0.1"/>
    <x v="1"/>
    <s v="COM PISO (Cerâmica)"/>
    <s v="COM PISO (Cerâmica)"/>
    <s v="ATÉ 1,5"/>
    <s v="TEXT"/>
    <s v="COMBO 01"/>
    <s v="ARDÓSIA"/>
    <s v="VIDRO SIMPLE (2 FOLHAS)"/>
    <n v="2430"/>
    <n v="260"/>
    <n v="900"/>
    <n v="500"/>
    <n v="370"/>
    <n v="90"/>
    <n v="720"/>
    <s v="PET PLACE"/>
    <n v="1"/>
    <s v="PLAYGROUND"/>
    <n v="1"/>
    <s v="KIDS"/>
    <n v="1"/>
    <s v="SALÃO DE FESTAS"/>
    <n v="1"/>
    <s v="CHURRASQUEIRA"/>
    <n v="1"/>
    <s v="PISCINA"/>
    <n v="1"/>
    <s v="BICICLETÁRIO"/>
    <n v="1"/>
    <m/>
    <m/>
    <m/>
    <m/>
    <m/>
    <m/>
    <n v="17.375"/>
    <n v="57.875"/>
    <n v="155.39080000000001"/>
    <n v="307.89224999999999"/>
    <n v="212.87279999999998"/>
    <n v="687.91895"/>
    <n v="13.25"/>
    <n v="0"/>
    <n v="0"/>
    <n v="0"/>
    <s v="COM VARANDA"/>
    <n v="0.36"/>
    <s v="SEM SUÍTE"/>
    <n v="0"/>
    <n v="1080"/>
    <n v="0"/>
    <s v="COM VAGA EM SOLO"/>
    <n v="417"/>
    <n v="1.0425"/>
    <s v="COM VAGA MOTO"/>
    <n v="22"/>
    <s v="SEM VAGA PILOTIS"/>
    <n v="0"/>
    <x v="0"/>
    <n v="0"/>
    <n v="2085"/>
    <n v="55"/>
    <n v="0"/>
    <n v="0"/>
    <n v="4290"/>
    <s v="ACAB 02"/>
    <n v="1452.5747999999999"/>
    <s v="LZ 02"/>
    <n v="1080"/>
    <s v="TIP 01"/>
    <n v="2140"/>
    <s v="VAGA 02"/>
    <n v="750.7"/>
    <s v="ELEV 02"/>
    <n v="9713.2748000000011"/>
    <s v="ECO"/>
    <s v="-"/>
    <n v="8962.5748000000003"/>
    <s v="ECO"/>
    <s v="ECO"/>
    <s v="-"/>
    <s v="ECO"/>
    <s v="ADERÊNTE"/>
    <n v="8962.5748000000003"/>
    <s v="ECO"/>
    <s v="-"/>
    <n v="5742.5748000000003"/>
    <s v="ECO"/>
    <x v="1"/>
    <x v="0"/>
    <x v="0"/>
  </r>
  <r>
    <n v="66"/>
    <s v="Alameda Do Cerrado"/>
    <x v="6"/>
    <n v="496"/>
    <s v="Acima de 400 und"/>
    <x v="0"/>
    <n v="31"/>
    <n v="4"/>
    <m/>
    <m/>
    <n v="31"/>
    <n v="0"/>
    <n v="0"/>
    <x v="1"/>
    <s v="COM PISO (Cerâmica)"/>
    <s v="COM PISO (Cerâmica)"/>
    <s v="ATÉ 1,5"/>
    <s v="TEXT"/>
    <s v="COMBO 01"/>
    <s v="ARDÓSIA"/>
    <s v="VIDRO SIMPLE (2 FOLHAS)"/>
    <n v="2430"/>
    <n v="260"/>
    <n v="900"/>
    <n v="500"/>
    <n v="370"/>
    <n v="90"/>
    <n v="720"/>
    <s v="PISCINA"/>
    <n v="1"/>
    <s v="PLAYGROUND"/>
    <n v="1"/>
    <s v="GAZEBO"/>
    <n v="2"/>
    <s v="CHURRASQUEIRA"/>
    <n v="4"/>
    <s v="PIQUENIQUE"/>
    <n v="1"/>
    <s v="REDÁRIO"/>
    <n v="1"/>
    <s v="BICICLETÁRIO"/>
    <n v="1"/>
    <s v="PET PLACE"/>
    <n v="1"/>
    <m/>
    <m/>
    <m/>
    <m/>
    <n v="554.77334677419356"/>
    <n v="46.673387096774192"/>
    <n v="65.322580645161295"/>
    <n v="686.68645161290317"/>
    <n v="14.03225806451613"/>
    <n v="15.241935483870968"/>
    <n v="10.685483870967742"/>
    <n v="14.012096774193548"/>
    <n v="0"/>
    <n v="0"/>
    <s v="COM VARANDA"/>
    <n v="0.375"/>
    <s v="SEM SUÍTE"/>
    <n v="0"/>
    <n v="1125"/>
    <n v="0"/>
    <s v="COM VAGA EM SOLO"/>
    <n v="521"/>
    <n v="1.0504032258064515"/>
    <s v="SEM VAGA MOTO"/>
    <n v="0"/>
    <s v="SEM VAGA PILOTIS"/>
    <n v="0"/>
    <x v="0"/>
    <n v="0"/>
    <n v="2100.8064516129034"/>
    <n v="0"/>
    <n v="0"/>
    <n v="0"/>
    <n v="4290"/>
    <s v="ACAB 02"/>
    <n v="1407.4275403225809"/>
    <s v="LZ 02"/>
    <n v="1125"/>
    <s v="TIP 01"/>
    <n v="2100.8064516129034"/>
    <s v="VAGA 02"/>
    <n v="0"/>
    <s v="ELEV 01"/>
    <n v="8923.2339919354854"/>
    <s v="ECO"/>
    <s v="-"/>
    <n v="8923.2339919354854"/>
    <s v="ECO"/>
    <s v="ECO"/>
    <s v="-"/>
    <s v="ECO"/>
    <s v="ADERÊNTE"/>
    <n v="8923.2339919354854"/>
    <s v="ECO"/>
    <s v="-"/>
    <n v="5697.4275403225811"/>
    <s v="ECO"/>
    <x v="1"/>
    <x v="0"/>
    <x v="0"/>
  </r>
  <r>
    <n v="80"/>
    <s v="Residencial Real Prime"/>
    <x v="7"/>
    <n v="200"/>
    <s v="Até 200 und"/>
    <x v="0"/>
    <n v="10"/>
    <n v="5"/>
    <m/>
    <m/>
    <n v="10"/>
    <n v="0"/>
    <n v="0"/>
    <x v="1"/>
    <s v="COM PISO (Cerâmica)"/>
    <s v="COM PISO (Cerâmica)"/>
    <s v="ATÉ 1,5"/>
    <s v="TEXT"/>
    <s v="COMBO 01"/>
    <s v="ARDÓSIA"/>
    <s v="VIDRO SIMPLE (2 FOLHAS)"/>
    <n v="2430"/>
    <n v="260"/>
    <n v="900"/>
    <n v="500"/>
    <n v="370"/>
    <n v="90"/>
    <n v="720"/>
    <s v="BICICLETÁRIO"/>
    <n v="1"/>
    <s v="PISCINA"/>
    <n v="1"/>
    <s v="PLAYGROUND"/>
    <n v="1"/>
    <s v="CHURRASQUEIRA"/>
    <n v="1"/>
    <m/>
    <m/>
    <m/>
    <m/>
    <m/>
    <m/>
    <m/>
    <m/>
    <m/>
    <m/>
    <m/>
    <m/>
    <n v="26.5"/>
    <n v="1375.8379"/>
    <n v="115.75"/>
    <n v="425.74559999999997"/>
    <n v="0"/>
    <n v="0"/>
    <n v="0"/>
    <n v="0"/>
    <n v="0"/>
    <n v="0"/>
    <s v="COM VARANDA"/>
    <n v="0.4"/>
    <s v="SEM SUÍTE"/>
    <n v="0"/>
    <n v="1200"/>
    <n v="0"/>
    <s v="COM VAGA EM SOLO"/>
    <n v="212"/>
    <n v="1.06"/>
    <s v="SEM VAGA MOTO"/>
    <n v="0"/>
    <s v="SEM VAGA PILOTIS"/>
    <n v="0"/>
    <x v="0"/>
    <n v="0"/>
    <n v="2120"/>
    <n v="0"/>
    <n v="0"/>
    <n v="0"/>
    <n v="4290"/>
    <s v="ACAB 02"/>
    <n v="1943.8335"/>
    <s v="LZ 03"/>
    <n v="1200"/>
    <s v="TIP 01"/>
    <n v="2120"/>
    <s v="VAGA 02"/>
    <n v="0"/>
    <s v="ELEV 01"/>
    <n v="9553.8335000000006"/>
    <s v="ECO"/>
    <s v="-"/>
    <n v="9553.8335000000006"/>
    <s v="ECO"/>
    <s v="ECO"/>
    <s v="-"/>
    <s v="ECO"/>
    <s v="ADERÊNTE"/>
    <n v="9553.8335000000006"/>
    <s v="ECO"/>
    <s v="-"/>
    <n v="6233.8334999999997"/>
    <s v="BIO"/>
    <x v="1"/>
    <x v="0"/>
    <x v="0"/>
  </r>
  <r>
    <n v="84"/>
    <s v="Parque Dos Marqueses"/>
    <x v="0"/>
    <n v="320"/>
    <s v="De 200 a 400 und"/>
    <x v="0"/>
    <n v="16"/>
    <n v="5"/>
    <m/>
    <m/>
    <n v="16"/>
    <n v="0"/>
    <n v="0"/>
    <x v="1"/>
    <s v="COM PISO (Cerâmica)"/>
    <s v="COM PISO (Cerâmica)"/>
    <s v="ATÉ 1,5"/>
    <s v="TEXT"/>
    <s v="COMBO 01"/>
    <s v="ARDÓSIA"/>
    <s v="VIDRO SIMPLE (2 FOLHAS)"/>
    <n v="2430"/>
    <n v="260"/>
    <n v="900"/>
    <n v="500"/>
    <n v="370"/>
    <n v="90"/>
    <n v="720"/>
    <s v="BICICLETÁRIO"/>
    <n v="1"/>
    <s v="CHURRASQUEIRA"/>
    <n v="1"/>
    <s v="SALÃO DE FESTAS"/>
    <n v="1"/>
    <s v="KIDS"/>
    <n v="1"/>
    <s v="PLAYGROUND"/>
    <n v="1"/>
    <s v="FUNCIONAL"/>
    <n v="1"/>
    <s v="PISCINA"/>
    <n v="1"/>
    <m/>
    <m/>
    <m/>
    <m/>
    <m/>
    <m/>
    <n v="16.5625"/>
    <n v="266.09100000000001"/>
    <n v="384.86531249999996"/>
    <n v="194.23849999999999"/>
    <n v="72.34375"/>
    <n v="33.71875"/>
    <n v="859.89868750000005"/>
    <n v="0"/>
    <n v="0"/>
    <n v="0"/>
    <s v="SEM VARANDA"/>
    <n v="0"/>
    <s v="SEM SUÍTE"/>
    <n v="0"/>
    <n v="0"/>
    <n v="0"/>
    <s v="COM VAGA EM SOLO"/>
    <n v="342"/>
    <n v="1.0687500000000001"/>
    <s v="SEM VAGA MOTO"/>
    <n v="0"/>
    <s v="SEM VAGA PILOTIS"/>
    <n v="0"/>
    <x v="0"/>
    <n v="0"/>
    <n v="2137.5"/>
    <n v="0"/>
    <n v="0"/>
    <n v="0"/>
    <n v="4290"/>
    <s v="ACAB 02"/>
    <n v="1827.7184999999999"/>
    <s v="LZ 03"/>
    <n v="0"/>
    <s v="TIP 01"/>
    <n v="2137.5"/>
    <s v="VAGA 02"/>
    <n v="0"/>
    <s v="ELEV 01"/>
    <n v="8255.218499999999"/>
    <s v="ECO"/>
    <s v="ECO+10%"/>
    <n v="8255.218499999999"/>
    <s v="ECO"/>
    <s v="ECO"/>
    <s v="-"/>
    <s v="ECO"/>
    <s v="ADERÊNTE"/>
    <n v="8255.218499999999"/>
    <s v="ECO"/>
    <s v="-"/>
    <n v="6117.7184999999999"/>
    <s v="BIO"/>
    <x v="1"/>
    <x v="0"/>
    <x v="0"/>
  </r>
  <r>
    <n v="74"/>
    <s v="Residencial Horizonte"/>
    <x v="6"/>
    <n v="424"/>
    <s v="Acima de 400 und"/>
    <x v="1"/>
    <n v="5"/>
    <n v="11"/>
    <m/>
    <m/>
    <n v="5"/>
    <n v="5"/>
    <n v="1"/>
    <x v="1"/>
    <s v="COM PISO (Cerâmica)"/>
    <s v="COM PISO (Cerâmica)"/>
    <s v="ATÉ 1,5"/>
    <s v="TEXT"/>
    <s v="COMBO 01"/>
    <s v="ARDÓSIA"/>
    <s v="VIDRO SIMPLE (2 FOLHAS)"/>
    <n v="2430"/>
    <n v="260"/>
    <n v="900"/>
    <n v="500"/>
    <n v="370"/>
    <n v="90"/>
    <n v="720"/>
    <s v="BICICLETÁRIO"/>
    <n v="1"/>
    <s v="PISCINA"/>
    <n v="1"/>
    <s v="KIDS"/>
    <n v="1"/>
    <s v="SALÃO DE FESTAS"/>
    <n v="1"/>
    <s v="CHURRASQUEIRA"/>
    <n v="2"/>
    <s v="PLAYGROUND"/>
    <n v="1"/>
    <m/>
    <m/>
    <m/>
    <m/>
    <m/>
    <m/>
    <m/>
    <m/>
    <n v="12.5"/>
    <n v="648.98014150943402"/>
    <n v="146.59509433962265"/>
    <n v="290.46438679245284"/>
    <n v="401.64679245283014"/>
    <n v="54.599056603773583"/>
    <n v="0"/>
    <n v="0"/>
    <n v="0"/>
    <n v="0"/>
    <s v="COM VARANDA"/>
    <n v="0.45283018867924529"/>
    <s v="SEM SUÍTE"/>
    <n v="0"/>
    <n v="1358.4905660377358"/>
    <n v="0"/>
    <s v="COM VAGA EM SOLO"/>
    <n v="455"/>
    <n v="1.0731132075471699"/>
    <s v="SEM VAGA MOTO"/>
    <n v="0"/>
    <s v="SEM VAGA PILOTIS"/>
    <n v="0"/>
    <x v="0"/>
    <n v="0"/>
    <n v="2146.2264150943397"/>
    <n v="0"/>
    <n v="0"/>
    <n v="0"/>
    <n v="4290"/>
    <s v="ACAB 02"/>
    <n v="1554.7854716981133"/>
    <s v="LZ 02"/>
    <n v="1358.4905660377358"/>
    <s v="TIP 01"/>
    <n v="2146.2264150943397"/>
    <s v="VAGA 02"/>
    <n v="2561.2617924528304"/>
    <s v="ELEV 03"/>
    <n v="11910.764245283019"/>
    <s v="ECO"/>
    <s v="-"/>
    <n v="9349.5024528301874"/>
    <s v="ECO"/>
    <s v="ECO"/>
    <s v="-"/>
    <s v="ECO"/>
    <s v="ADERÊNTE"/>
    <n v="9349.5024528301874"/>
    <s v="ECO"/>
    <s v="-"/>
    <n v="5844.7854716981128"/>
    <s v="ECO"/>
    <x v="1"/>
    <x v="0"/>
    <x v="0"/>
  </r>
  <r>
    <n v="63"/>
    <s v="Residencial Flores De Évora"/>
    <x v="4"/>
    <n v="368"/>
    <s v="De 200 a 400 und"/>
    <x v="0"/>
    <n v="23"/>
    <n v="4"/>
    <m/>
    <m/>
    <n v="23"/>
    <n v="0"/>
    <n v="0"/>
    <x v="1"/>
    <s v="COM PISO (Cerâmica)"/>
    <s v="COM PISO (Cerâmica)"/>
    <s v="ATÉ 1,5"/>
    <s v="TEXT"/>
    <s v="COMBO 01"/>
    <s v="ARDÓSIA"/>
    <s v="VIDRO SIMPLE (2 FOLHAS)"/>
    <n v="2430"/>
    <n v="260"/>
    <n v="900"/>
    <n v="500"/>
    <n v="370"/>
    <n v="90"/>
    <n v="720"/>
    <s v="QUADRA RECREATIVA"/>
    <n v="1"/>
    <s v="CHURRASQUEIRA"/>
    <n v="2"/>
    <s v="SALÃO DE FESTAS"/>
    <n v="1"/>
    <s v="GAZEBO"/>
    <n v="1"/>
    <s v="PET PLACE"/>
    <n v="1"/>
    <s v="PLAYGROUND"/>
    <n v="1"/>
    <s v="PIQUENIQUE"/>
    <n v="1"/>
    <s v="BICICLETÁRIO"/>
    <n v="1"/>
    <m/>
    <m/>
    <m/>
    <m/>
    <n v="342.57782608695652"/>
    <n v="462.76695652173913"/>
    <n v="334.66548913043476"/>
    <n v="44.021739130434781"/>
    <n v="18.885869565217391"/>
    <n v="62.907608695652172"/>
    <n v="18.913043478260871"/>
    <n v="14.402173913043478"/>
    <n v="0"/>
    <n v="0"/>
    <s v="COM VARANDA"/>
    <n v="0.375"/>
    <s v="SEM SUÍTE"/>
    <n v="0"/>
    <n v="1125"/>
    <n v="0"/>
    <s v="COM VAGA EM SOLO"/>
    <n v="405"/>
    <n v="1.1005434782608696"/>
    <s v="SEM VAGA MOTO"/>
    <n v="37"/>
    <s v="SEM VAGA PILOTIS"/>
    <n v="0"/>
    <x v="0"/>
    <n v="0"/>
    <n v="2201.086956521739"/>
    <n v="0"/>
    <n v="0"/>
    <n v="0"/>
    <n v="4290"/>
    <s v="ACAB 02"/>
    <n v="1299.140706521739"/>
    <s v="LZ 02"/>
    <n v="1125"/>
    <s v="TIP 01"/>
    <n v="2201.086956521739"/>
    <s v="VAGA 02"/>
    <n v="0"/>
    <s v="ELEV 01"/>
    <n v="8915.227663043479"/>
    <s v="ECO"/>
    <s v="-"/>
    <n v="8915.227663043479"/>
    <s v="ECO"/>
    <s v="ECO"/>
    <s v="-"/>
    <s v="ECO"/>
    <s v="ADERÊNTE"/>
    <n v="8915.227663043479"/>
    <s v="ECO"/>
    <s v="-"/>
    <n v="5589.140706521739"/>
    <s v="ECO"/>
    <x v="1"/>
    <x v="0"/>
    <x v="0"/>
  </r>
  <r>
    <n v="57"/>
    <s v="Residencial Campo Di Viena"/>
    <x v="1"/>
    <n v="288"/>
    <s v="De 200 a 400 und"/>
    <x v="1"/>
    <n v="1"/>
    <n v="24"/>
    <m/>
    <m/>
    <n v="1"/>
    <n v="4"/>
    <n v="4"/>
    <x v="1"/>
    <s v="COM PISO (Cerâmica)"/>
    <s v="COM PISO (Cerâmica)"/>
    <s v="ATÉ 1,5"/>
    <s v="TEXT"/>
    <s v="COMBO 01"/>
    <s v="ARDÓSIA"/>
    <s v="VENEZIANA (3 FOLHAS)"/>
    <n v="2430"/>
    <n v="260"/>
    <n v="900"/>
    <n v="500"/>
    <n v="370"/>
    <n v="90"/>
    <n v="1320"/>
    <s v="PET PLACE"/>
    <n v="1"/>
    <s v="MINI Q. DE BASQUETE"/>
    <n v="1"/>
    <s v="KIDS"/>
    <n v="1"/>
    <s v="BICICLETÁRIO"/>
    <n v="1"/>
    <s v="SALÃO DE FESTAS"/>
    <n v="1"/>
    <s v="CHURRASQUEIRA"/>
    <n v="1"/>
    <s v="PLAYGROUND"/>
    <n v="1"/>
    <s v="PISCINA"/>
    <n v="1"/>
    <s v="PIQUENIQUE"/>
    <n v="1"/>
    <m/>
    <m/>
    <n v="24.131944444444443"/>
    <n v="197.60027777777776"/>
    <n v="215.82055555555556"/>
    <n v="18.402777777777779"/>
    <n v="427.62812499999995"/>
    <n v="295.65666666666664"/>
    <n v="80.381944444444443"/>
    <n v="955.44298611111117"/>
    <n v="24.166666666666668"/>
    <n v="0"/>
    <s v="COM VARANDA"/>
    <n v="0.66666666666666663"/>
    <s v="SEM SUÍTE"/>
    <n v="0"/>
    <n v="2000"/>
    <n v="0"/>
    <s v="COM VAGA EM SOLO"/>
    <n v="318"/>
    <n v="1.1041666666666667"/>
    <s v="SEM VAGA MOTO"/>
    <n v="13"/>
    <s v="SEM VAGA PILOTIS"/>
    <n v="0"/>
    <x v="0"/>
    <n v="0"/>
    <n v="2208.3333333333335"/>
    <n v="0"/>
    <n v="0"/>
    <n v="0"/>
    <n v="4290"/>
    <s v="ACAB 02"/>
    <n v="2239.2319444444443"/>
    <s v="LZ 03"/>
    <n v="2000"/>
    <s v="TIP 02"/>
    <n v="2208.3333333333335"/>
    <s v="VAGA 02"/>
    <n v="5593"/>
    <s v="ELEV 03"/>
    <n v="16330.565277777778"/>
    <s v="BIO"/>
    <s v="-"/>
    <n v="10737.565277777778"/>
    <s v="ECO"/>
    <s v="BIO"/>
    <s v="-"/>
    <s v="BIO"/>
    <s v="NÃO ADERÊNTE"/>
    <n v="10737.565277777778"/>
    <s v="ECO"/>
    <s v="ECO/BIO"/>
    <n v="6529.2319444444438"/>
    <s v="BIO"/>
    <x v="2"/>
    <x v="1"/>
    <x v="0"/>
  </r>
  <r>
    <n v="71"/>
    <s v="Castelo De Windsor"/>
    <x v="6"/>
    <n v="240"/>
    <s v="De 200 a 400 und"/>
    <x v="0"/>
    <n v="15"/>
    <n v="4"/>
    <m/>
    <m/>
    <n v="15"/>
    <n v="0"/>
    <n v="0"/>
    <x v="1"/>
    <s v="COM PISO (Cerâmica)"/>
    <s v="COM PISO (Cerâmica)"/>
    <s v="ATÉ 1,5"/>
    <s v="TEXT"/>
    <s v="COMBO 01"/>
    <s v="ARDÓSIA"/>
    <s v="VIDRO SIMPLE (2 FOLHAS)"/>
    <n v="2430"/>
    <n v="260"/>
    <n v="900"/>
    <n v="500"/>
    <n v="370"/>
    <n v="90"/>
    <n v="720"/>
    <s v="BICICLETÁRIO"/>
    <n v="1"/>
    <s v="PLAYGROUND"/>
    <n v="1"/>
    <s v="CHURRASQUEIRA"/>
    <n v="2"/>
    <s v="PISCINA"/>
    <n v="1"/>
    <s v="PET PLACE"/>
    <n v="1"/>
    <m/>
    <m/>
    <m/>
    <m/>
    <m/>
    <m/>
    <m/>
    <m/>
    <m/>
    <m/>
    <n v="22.083333333333332"/>
    <n v="96.458333333333329"/>
    <n v="709.57599999999991"/>
    <n v="1146.5315833333334"/>
    <n v="28.958333333333332"/>
    <n v="0"/>
    <n v="0"/>
    <n v="0"/>
    <n v="0"/>
    <n v="0"/>
    <s v="COM VARANDA"/>
    <n v="0.375"/>
    <s v="SEM SUÍTE"/>
    <n v="0"/>
    <n v="1125"/>
    <n v="0"/>
    <s v="COM VAGA EM SOLO"/>
    <n v="266"/>
    <n v="1.1083333333333334"/>
    <s v="COM VAGA MOTO"/>
    <n v="25"/>
    <s v="SEM VAGA PILOTIS"/>
    <n v="0"/>
    <x v="0"/>
    <n v="0"/>
    <n v="2216.6666666666665"/>
    <n v="104.16666666666667"/>
    <n v="0"/>
    <n v="0"/>
    <n v="4290"/>
    <s v="ACAB 02"/>
    <n v="2003.6075833333332"/>
    <s v="LZ 03"/>
    <n v="1125"/>
    <s v="TIP 01"/>
    <n v="2320.833333333333"/>
    <s v="VAGA 02"/>
    <n v="0"/>
    <s v="ELEV 01"/>
    <n v="9739.4409166666665"/>
    <s v="ECO"/>
    <s v="-"/>
    <n v="9739.4409166666665"/>
    <s v="ECO"/>
    <s v="ECO"/>
    <s v="-"/>
    <s v="ECO"/>
    <s v="ADERÊNTE"/>
    <n v="9739.4409166666665"/>
    <s v="ECO"/>
    <s v="-"/>
    <n v="6293.6075833333334"/>
    <s v="BIO"/>
    <x v="1"/>
    <x v="0"/>
    <x v="0"/>
  </r>
  <r>
    <n v="61"/>
    <s v="Residencial Mirage"/>
    <x v="5"/>
    <n v="192"/>
    <s v="Até 200 und"/>
    <x v="0"/>
    <n v="12"/>
    <n v="4"/>
    <m/>
    <m/>
    <n v="12"/>
    <n v="1"/>
    <n v="8.3333333333333329E-2"/>
    <x v="1"/>
    <s v="COM PISO (Cerâmica)"/>
    <s v="COM PISO (Cerâmica)"/>
    <s v="ATÉ 1,5"/>
    <s v="TEXT"/>
    <s v="COMBO 01"/>
    <s v="ARDÓSIA"/>
    <s v="VIDRO SIMPLE (2 FOLHAS)"/>
    <n v="2430"/>
    <n v="260"/>
    <n v="900"/>
    <n v="500"/>
    <n v="370"/>
    <n v="90"/>
    <n v="720"/>
    <s v="PLAYGROUND"/>
    <n v="1"/>
    <s v="BICICLETÁRIO"/>
    <n v="1"/>
    <s v="PISCINA"/>
    <n v="1"/>
    <s v="PET PLACE"/>
    <n v="1"/>
    <s v="CHURRASQUEIRA"/>
    <n v="1"/>
    <s v="SALÃO DE FESTAS"/>
    <n v="1"/>
    <m/>
    <m/>
    <m/>
    <m/>
    <m/>
    <m/>
    <m/>
    <m/>
    <n v="120.57291666666667"/>
    <n v="27.604166666666668"/>
    <n v="1433.1644791666668"/>
    <n v="36.197916666666664"/>
    <n v="443.48499999999996"/>
    <n v="641.44218749999993"/>
    <n v="0"/>
    <n v="0"/>
    <n v="0"/>
    <n v="0"/>
    <s v="SEM VARANDA"/>
    <n v="0"/>
    <s v="SEM SUÍTE"/>
    <n v="0"/>
    <n v="0"/>
    <n v="0"/>
    <s v="COM VAGA EM SOLO"/>
    <n v="226"/>
    <n v="1.1770833333333333"/>
    <s v="SEM VAGA MOTO"/>
    <n v="0"/>
    <s v="SEM VAGA PILOTIS"/>
    <n v="0"/>
    <x v="0"/>
    <n v="0"/>
    <n v="2354.1666666666665"/>
    <n v="0"/>
    <n v="0"/>
    <n v="0"/>
    <n v="4290"/>
    <s v="ACAB 02"/>
    <n v="2702.4666666666667"/>
    <s v="LZ 04"/>
    <n v="0"/>
    <s v="TIP 01"/>
    <n v="2354.1666666666665"/>
    <s v="VAGA 02"/>
    <n v="625.58333333333337"/>
    <s v="ELEV 02"/>
    <n v="9972.2166666666672"/>
    <s v="ECO"/>
    <s v="-"/>
    <n v="9346.6333333333332"/>
    <s v="ECO"/>
    <s v="ECO"/>
    <s v="-"/>
    <s v="ECO"/>
    <s v="ADERÊNTE"/>
    <n v="9346.6333333333332"/>
    <s v="ECO"/>
    <s v="-"/>
    <n v="6992.4666666666672"/>
    <s v="BIO"/>
    <x v="1"/>
    <x v="0"/>
    <x v="0"/>
  </r>
  <r>
    <n v="75"/>
    <s v="Residencial Cachoeira Dos Sinos"/>
    <x v="5"/>
    <n v="480"/>
    <s v="Acima de 400 und"/>
    <x v="1"/>
    <n v="5"/>
    <n v="12"/>
    <m/>
    <m/>
    <n v="5"/>
    <n v="10"/>
    <n v="2"/>
    <x v="1"/>
    <s v="COM PISO (Cerâmica)"/>
    <s v="COM PISO (Cerâmica)"/>
    <s v="ATÉ 1,5"/>
    <s v="TEXT"/>
    <s v="COMBO 01"/>
    <s v="ARDÓSIA"/>
    <s v="VIDRO SIMPLE (2 FOLHAS)"/>
    <n v="2430"/>
    <n v="260"/>
    <n v="900"/>
    <n v="500"/>
    <n v="370"/>
    <n v="90"/>
    <n v="720"/>
    <s v="PISCINA"/>
    <n v="1"/>
    <s v="QUADRA RECREATIVA"/>
    <n v="1"/>
    <s v="FUNCIONAL"/>
    <n v="1"/>
    <s v="SALÃO DE FESTAS"/>
    <n v="1"/>
    <s v="CHURRASQUEIRA"/>
    <n v="1"/>
    <s v="KIDS"/>
    <n v="1"/>
    <s v="PLAYGROUND"/>
    <n v="1"/>
    <s v="GAZEBO"/>
    <n v="1"/>
    <m/>
    <m/>
    <m/>
    <m/>
    <n v="573.2657916666667"/>
    <n v="262.64299999999997"/>
    <n v="22.479166666666668"/>
    <n v="256.57687499999997"/>
    <n v="177.39399999999998"/>
    <n v="129.49233333333333"/>
    <n v="48.229166666666664"/>
    <n v="33.75"/>
    <n v="0"/>
    <n v="0"/>
    <s v="COM VARANDA"/>
    <n v="0.98124999999999996"/>
    <s v="SEM SUÍTE"/>
    <n v="0"/>
    <n v="2943.75"/>
    <n v="0"/>
    <s v="COM VAGA EM SOLO"/>
    <n v="590"/>
    <n v="1.2291666666666667"/>
    <s v="SEM VAGA MOTO"/>
    <n v="0"/>
    <s v="SEM VAGA PILOTIS"/>
    <n v="0"/>
    <x v="0"/>
    <n v="0"/>
    <n v="2458.3333333333335"/>
    <n v="0"/>
    <n v="0"/>
    <n v="0"/>
    <n v="4290"/>
    <s v="ACAB 02"/>
    <n v="1503.8303333333336"/>
    <s v="LZ 02"/>
    <n v="2943.75"/>
    <s v="TIP 02"/>
    <n v="2458.3333333333335"/>
    <s v="VAGA 02"/>
    <n v="4194.75"/>
    <s v="ELEV 03"/>
    <n v="15390.663666666667"/>
    <s v="BIO"/>
    <s v="-"/>
    <n v="11195.913666666667"/>
    <s v="ECO"/>
    <s v="BIO"/>
    <s v="-"/>
    <s v="BIO"/>
    <s v="NÃO ADERÊNTE"/>
    <n v="11195.913666666667"/>
    <s v="ECO"/>
    <s v="ECO/BIO"/>
    <n v="5793.8303333333333"/>
    <s v="ECO"/>
    <x v="1"/>
    <x v="0"/>
    <x v="0"/>
  </r>
  <r>
    <n v="52"/>
    <s v="Residencial Olímpia"/>
    <x v="1"/>
    <n v="680"/>
    <s v="Acima de 400 und"/>
    <x v="1"/>
    <n v="5"/>
    <n v="17"/>
    <m/>
    <m/>
    <n v="5"/>
    <n v="10"/>
    <n v="2"/>
    <x v="1"/>
    <s v="COM PISO (Cerâmica)"/>
    <s v="COM PISO (Cerâmica)"/>
    <s v="ATÉ 1,5"/>
    <s v="LISO"/>
    <s v="COMBO 01"/>
    <s v="ARDÓSIA"/>
    <s v="VIDRO SIMPLE (2 FOLHAS)"/>
    <n v="2430"/>
    <n v="260"/>
    <n v="900"/>
    <n v="935"/>
    <n v="370"/>
    <n v="90"/>
    <n v="720"/>
    <s v="PET PLACE"/>
    <n v="1"/>
    <s v="SALÃO DE FESTAS"/>
    <n v="2"/>
    <s v="CHURRASQUEIRA"/>
    <n v="3"/>
    <s v="PLAYGROUND"/>
    <n v="1"/>
    <s v="KIDS"/>
    <n v="1"/>
    <m/>
    <m/>
    <m/>
    <m/>
    <m/>
    <m/>
    <m/>
    <m/>
    <m/>
    <m/>
    <n v="10.220588235294118"/>
    <n v="362.2261764705882"/>
    <n v="375.65788235294116"/>
    <n v="34.044117647058826"/>
    <n v="91.406352941176465"/>
    <n v="0"/>
    <n v="0"/>
    <n v="0"/>
    <n v="0"/>
    <n v="0"/>
    <s v="SEM VARANDA"/>
    <n v="0"/>
    <s v="SEM SUÍTE"/>
    <n v="0"/>
    <n v="0"/>
    <n v="0"/>
    <s v="COM VAGA EM SOLO"/>
    <n v="138"/>
    <n v="0.20294117647058824"/>
    <m/>
    <m/>
    <s v="SEM VAGA PILOTIS"/>
    <n v="0"/>
    <x v="1"/>
    <n v="171"/>
    <n v="405.88235294117646"/>
    <n v="0"/>
    <n v="0"/>
    <n v="3772.0588235294117"/>
    <n v="4725"/>
    <s v="ACAB 03"/>
    <n v="873.55511764705875"/>
    <s v="LZ 02"/>
    <n v="0"/>
    <s v="TIP 01"/>
    <n v="4177.9411764705883"/>
    <s v="VAGA 03"/>
    <n v="4194.75"/>
    <s v="ELEV 03"/>
    <n v="13971.246294117647"/>
    <s v="BIO"/>
    <s v="BIO+10%"/>
    <n v="9776.4962941176473"/>
    <s v="ECO"/>
    <s v="ECO"/>
    <s v="-"/>
    <s v="ECO"/>
    <s v="ADERÊNTE"/>
    <n v="9776.4962941176473"/>
    <s v="ECO"/>
    <s v="-"/>
    <n v="5598.555117647059"/>
    <s v="ECO"/>
    <x v="1"/>
    <x v="0"/>
    <x v="0"/>
  </r>
  <r>
    <n v="83"/>
    <s v="Condomínio Residencial Parque Dos Diamantes"/>
    <x v="0"/>
    <n v="384"/>
    <s v="De 200 a 400 und"/>
    <x v="1"/>
    <n v="2"/>
    <n v="16"/>
    <m/>
    <m/>
    <n v="2"/>
    <n v="6"/>
    <n v="3"/>
    <x v="1"/>
    <s v="COM PISO (Cerâmica)"/>
    <s v="COM PISO (Cerâmica)"/>
    <s v="ATÉ 1,5"/>
    <s v="TEXT"/>
    <s v="COMBO 02"/>
    <s v="ARDÓSIA"/>
    <s v="VIDRO SIMPLE (2 FOLHAS)"/>
    <n v="2430"/>
    <n v="260"/>
    <n v="900"/>
    <n v="500"/>
    <n v="930"/>
    <n v="90"/>
    <n v="720"/>
    <s v="BICICLETÁRIO"/>
    <n v="1"/>
    <s v="REDÁRIO"/>
    <n v="1"/>
    <s v="CHURRASQUEIRA"/>
    <n v="1"/>
    <s v="GAZEBO"/>
    <n v="1"/>
    <s v="PLAYGROUND"/>
    <n v="1"/>
    <s v="PISCINA"/>
    <n v="1"/>
    <m/>
    <m/>
    <m/>
    <m/>
    <m/>
    <m/>
    <m/>
    <m/>
    <n v="13.802083333333334"/>
    <n v="19.6875"/>
    <n v="221.74249999999998"/>
    <n v="42.1875"/>
    <n v="60.286458333333336"/>
    <n v="716.58223958333338"/>
    <n v="0"/>
    <n v="0"/>
    <n v="0"/>
    <n v="0"/>
    <s v="COM VARANDA"/>
    <n v="0.625"/>
    <s v="SEM SUÍTE"/>
    <n v="0"/>
    <n v="1875"/>
    <n v="0"/>
    <s v="COM VAGA EM SOLO"/>
    <n v="111"/>
    <n v="0.2890625"/>
    <s v="SEM VAGA MOTO"/>
    <n v="0"/>
    <s v="SEM VAGA PILOTIS"/>
    <n v="0"/>
    <x v="0"/>
    <n v="0"/>
    <n v="578.125"/>
    <n v="0"/>
    <n v="0"/>
    <n v="0"/>
    <n v="4850"/>
    <s v="ACAB 03"/>
    <n v="1074.28828125"/>
    <s v="LZ 02"/>
    <n v="1875"/>
    <s v="TIP 02"/>
    <n v="578.125"/>
    <s v="VAGA 01"/>
    <n v="4194.75"/>
    <s v="ELEV 03"/>
    <n v="12572.163281249999"/>
    <s v="ECO"/>
    <s v="ECO-10%"/>
    <n v="8377.4132812499993"/>
    <s v="ECO"/>
    <s v="ECO"/>
    <s v="-"/>
    <s v="ECO"/>
    <s v="ADERÊNTE"/>
    <n v="8377.4132812499993"/>
    <s v="ECO"/>
    <s v="-"/>
    <n v="5924.2882812500002"/>
    <s v="ECO"/>
    <x v="1"/>
    <x v="0"/>
    <x v="0"/>
  </r>
  <r>
    <n v="69"/>
    <s v="Primavera Garden"/>
    <x v="2"/>
    <n v="612"/>
    <s v="Acima de 400 und"/>
    <x v="1"/>
    <n v="3"/>
    <n v="17"/>
    <m/>
    <m/>
    <n v="3"/>
    <n v="12"/>
    <n v="4"/>
    <x v="1"/>
    <s v="COM PISO (Cerâmica)"/>
    <s v="COM PISO (Cerâmica)"/>
    <s v="ATÉ 1,5"/>
    <s v="TEXT"/>
    <s v="COMBO 02"/>
    <s v="ARDÓSIA"/>
    <s v="VIDRO SIMPLE (2 FOLHAS)"/>
    <n v="2430"/>
    <n v="260"/>
    <n v="900"/>
    <n v="500"/>
    <n v="930"/>
    <n v="90"/>
    <n v="720"/>
    <s v="PISCINA"/>
    <n v="1"/>
    <s v="CHURRASQUEIRA"/>
    <n v="2"/>
    <s v="PLAYGROUND"/>
    <n v="1"/>
    <s v="QUADRA DE AREIA"/>
    <n v="1"/>
    <s v="SALÃO DE FESTAS"/>
    <n v="2"/>
    <s v="FUNCIONAL"/>
    <n v="1"/>
    <s v="BICICLETÁRIO"/>
    <n v="1"/>
    <s v="REDÁRIO"/>
    <n v="1"/>
    <m/>
    <m/>
    <m/>
    <m/>
    <n v="449.62022875816996"/>
    <n v="278.26509803921567"/>
    <n v="37.826797385620914"/>
    <n v="160.21241830065358"/>
    <n v="402.47352941176467"/>
    <n v="17.630718954248366"/>
    <n v="8.6601307189542478"/>
    <n v="12.352941176470589"/>
    <n v="0"/>
    <n v="0"/>
    <s v="COM VARANDA"/>
    <n v="0.62745098039215685"/>
    <s v="SEM SUÍTE"/>
    <n v="0"/>
    <n v="1882.3529411764705"/>
    <n v="0"/>
    <s v="COM VAGA EM SOLO"/>
    <n v="157"/>
    <n v="0.25653594771241828"/>
    <s v="COM VAGA MOTO"/>
    <n v="22"/>
    <s v="SEM VAGA PILOTIS"/>
    <n v="0"/>
    <x v="0"/>
    <n v="0"/>
    <n v="513.07189542483661"/>
    <n v="35.947712418300654"/>
    <n v="0"/>
    <n v="0"/>
    <n v="4850"/>
    <s v="ACAB 03"/>
    <n v="1367.0418627450979"/>
    <s v="LZ 02"/>
    <n v="1882.3529411764705"/>
    <s v="TIP 02"/>
    <n v="549.01960784313724"/>
    <s v="VAGA 01"/>
    <n v="5593"/>
    <s v="ELEV 03"/>
    <n v="14241.414411764705"/>
    <s v="BIO"/>
    <s v="BIO+10%"/>
    <n v="8648.4144117647047"/>
    <s v="ECO"/>
    <s v="ECO"/>
    <s v="-"/>
    <s v="ECO"/>
    <s v="ADERÊNTE"/>
    <n v="8648.4144117647047"/>
    <s v="ECO"/>
    <s v="-"/>
    <n v="6217.0418627450981"/>
    <s v="BIO"/>
    <x v="1"/>
    <x v="0"/>
    <x v="0"/>
  </r>
  <r>
    <n v="55"/>
    <s v="Candeias Tulip"/>
    <x v="0"/>
    <n v="400"/>
    <s v="De 200 a 400 und"/>
    <x v="0"/>
    <n v="20"/>
    <n v="5"/>
    <m/>
    <m/>
    <n v="20"/>
    <n v="20"/>
    <n v="1"/>
    <x v="1"/>
    <s v="COM PISO (Cerâmica)"/>
    <s v="COM PISO (Cerâmica)"/>
    <s v="ATÉ 1,5"/>
    <s v="TEXT"/>
    <s v="COMBO 02"/>
    <s v="ARDÓSIA"/>
    <s v="VIDRO SIMPLE (2 FOLHAS)"/>
    <n v="2430"/>
    <n v="260"/>
    <n v="900"/>
    <n v="500"/>
    <n v="930"/>
    <n v="90"/>
    <n v="720"/>
    <s v="BICICLETÁRIO"/>
    <n v="1"/>
    <s v="SALÃO DE FESTAS"/>
    <n v="1"/>
    <s v="CHURRASQUEIRA"/>
    <n v="1"/>
    <s v="PLAYGROUND"/>
    <n v="1"/>
    <s v="PISCINA"/>
    <n v="1"/>
    <m/>
    <m/>
    <m/>
    <m/>
    <m/>
    <m/>
    <m/>
    <m/>
    <m/>
    <m/>
    <n v="13.25"/>
    <n v="307.89224999999999"/>
    <n v="212.87279999999998"/>
    <n v="57.875"/>
    <n v="687.91895"/>
    <n v="0"/>
    <n v="0"/>
    <n v="0"/>
    <n v="0"/>
    <n v="0"/>
    <s v="COM VARANDA"/>
    <n v="0.36"/>
    <s v="SEM SUÍTE"/>
    <n v="0"/>
    <n v="1080"/>
    <n v="0"/>
    <s v="COM VAGA EM SOLO"/>
    <n v="401"/>
    <n v="1.0024999999999999"/>
    <s v="SEM VAGA MOTO"/>
    <n v="0"/>
    <s v="SEM VAGA PILOTIS"/>
    <n v="0"/>
    <x v="0"/>
    <n v="0"/>
    <n v="2005"/>
    <n v="0"/>
    <n v="0"/>
    <n v="0"/>
    <n v="4850"/>
    <s v="ACAB 03"/>
    <n v="1279.809"/>
    <s v="LZ 02"/>
    <n v="1080"/>
    <s v="TIP 01"/>
    <n v="2005"/>
    <s v="VAGA 02"/>
    <n v="7507"/>
    <s v="ELEV 02"/>
    <n v="16721.809000000001"/>
    <s v="BIO"/>
    <s v="-"/>
    <n v="9214.8090000000011"/>
    <s v="ECO"/>
    <s v="BIO"/>
    <s v="-"/>
    <s v="BIO"/>
    <s v="NÃO ADERÊNTE"/>
    <n v="9214.8090000000011"/>
    <s v="ECO"/>
    <s v="-"/>
    <n v="6129.8090000000002"/>
    <s v="BIO"/>
    <x v="1"/>
    <x v="0"/>
    <x v="0"/>
  </r>
  <r>
    <n v="65"/>
    <s v="Jardim Tropical"/>
    <x v="0"/>
    <n v="408"/>
    <s v="Acima de 400 und"/>
    <x v="1"/>
    <n v="3"/>
    <n v="17"/>
    <m/>
    <m/>
    <n v="3"/>
    <n v="3"/>
    <n v="1"/>
    <x v="1"/>
    <s v="COM PISO (Cerâmica)"/>
    <s v="COM PISO (Cerâmica)"/>
    <s v="ATÉ 1,5"/>
    <s v="TEXT"/>
    <s v="COMBO 02"/>
    <s v="ARDÓSIA"/>
    <s v="VIDRO SIMPLE (2 FOLHAS)"/>
    <n v="2430"/>
    <n v="260"/>
    <n v="900"/>
    <n v="500"/>
    <n v="930"/>
    <n v="90"/>
    <n v="720"/>
    <s v="BICICLETÁRIO"/>
    <n v="3"/>
    <s v="CHURRASQUEIRA"/>
    <n v="1"/>
    <s v="SALÃO DE FESTAS"/>
    <n v="1"/>
    <s v="PISCINA"/>
    <n v="1"/>
    <s v="PLAYGROUND"/>
    <n v="1"/>
    <s v="FUNCIONAL"/>
    <n v="1"/>
    <s v="PET PLACE"/>
    <n v="1"/>
    <m/>
    <m/>
    <m/>
    <m/>
    <m/>
    <m/>
    <n v="38.970588235294116"/>
    <n v="208.69882352941175"/>
    <n v="301.85514705882349"/>
    <n v="674.43034313725491"/>
    <n v="56.740196078431374"/>
    <n v="26.446078431372548"/>
    <n v="17.034313725490197"/>
    <n v="0"/>
    <n v="0"/>
    <n v="0"/>
    <s v="COM VARANDA"/>
    <n v="0.47"/>
    <s v="SEM SUÍTE"/>
    <n v="0"/>
    <n v="1410"/>
    <n v="0"/>
    <s v="COM VAGA EM SOLO"/>
    <n v="423"/>
    <n v="1.036764705882353"/>
    <s v="COM VAGA MOTO"/>
    <n v="7"/>
    <s v="SEM VAGA PILOTIS"/>
    <n v="0"/>
    <x v="0"/>
    <n v="0"/>
    <n v="2073.5294117647059"/>
    <n v="17.156862745098039"/>
    <n v="0"/>
    <n v="0"/>
    <n v="4850"/>
    <s v="ACAB 03"/>
    <n v="1324.1754901960785"/>
    <s v="LZ 02"/>
    <n v="1410"/>
    <s v="TIP 01"/>
    <n v="2090.6862745098038"/>
    <s v="VAGA 02"/>
    <n v="2097.375"/>
    <s v="ELEV 01"/>
    <n v="11772.236764705882"/>
    <s v="ECO"/>
    <s v="-"/>
    <n v="9674.8617647058818"/>
    <s v="ECO"/>
    <s v="ECO"/>
    <s v="-"/>
    <s v="ECO"/>
    <s v="ADERÊNTE"/>
    <n v="9674.8617647058818"/>
    <s v="ECO"/>
    <s v="-"/>
    <n v="6174.1754901960785"/>
    <s v="BIO"/>
    <x v="1"/>
    <x v="0"/>
    <x v="0"/>
  </r>
  <r>
    <n v="70"/>
    <s v="Residencial Bálsamo"/>
    <x v="2"/>
    <n v="320"/>
    <s v="De 200 a 400 und"/>
    <x v="0"/>
    <n v="4"/>
    <n v="5"/>
    <m/>
    <m/>
    <n v="4"/>
    <n v="0"/>
    <n v="0"/>
    <x v="1"/>
    <s v="COM PISO (Cerâmica)"/>
    <s v="COM PISO (Cerâmica)"/>
    <s v="ATÉ 1,5"/>
    <s v="TEXT"/>
    <s v="COMBO 02"/>
    <s v="ARDÓSIA"/>
    <s v="VIDRO SIMPLE (2 FOLHAS)"/>
    <n v="2430"/>
    <n v="260"/>
    <n v="900"/>
    <n v="500"/>
    <n v="930"/>
    <n v="90"/>
    <n v="720"/>
    <s v="MINI Q. DE BASQUETE"/>
    <n v="1"/>
    <s v="PET PLACE"/>
    <n v="1"/>
    <s v="FUNCIONAL"/>
    <n v="1"/>
    <s v="SALÃO DE FESTAS"/>
    <n v="1"/>
    <s v="PLAYGROUND"/>
    <n v="1"/>
    <s v="CHURRASQUEIRA"/>
    <n v="1"/>
    <s v="REDÁRIO"/>
    <n v="1"/>
    <s v="BICICLETÁRIO"/>
    <n v="1"/>
    <s v="PISCINA"/>
    <n v="1"/>
    <m/>
    <m/>
    <n v="177.84025"/>
    <n v="21.71875"/>
    <n v="33.71875"/>
    <n v="384.86531249999996"/>
    <n v="72.34375"/>
    <n v="266.09100000000001"/>
    <n v="23.625"/>
    <n v="16.5625"/>
    <n v="859.89868750000005"/>
    <n v="0"/>
    <s v="COM VARANDA"/>
    <n v="0.93125000000000002"/>
    <s v="COM SUÍTE"/>
    <m/>
    <n v="2793.75"/>
    <n v="0"/>
    <s v="COM VAGA EM SOLO"/>
    <n v="154"/>
    <n v="0.48125000000000001"/>
    <s v="COM VAGA MOTO"/>
    <n v="51"/>
    <s v="SEM VAGA PILOTIS"/>
    <n v="0"/>
    <x v="0"/>
    <n v="0"/>
    <n v="962.5"/>
    <n v="159.375"/>
    <n v="0"/>
    <n v="0"/>
    <n v="4850"/>
    <s v="ACAB 03"/>
    <n v="1856.664"/>
    <s v="LZ 03"/>
    <n v="2793.75"/>
    <s v="TIP 02"/>
    <n v="1121.875"/>
    <s v="VAGA 01"/>
    <n v="0"/>
    <s v="ELEV 01"/>
    <n v="10622.289000000001"/>
    <s v="ECO"/>
    <s v="ECO-10%"/>
    <n v="10622.289000000001"/>
    <s v="ECO"/>
    <s v="ECO"/>
    <s v="-"/>
    <s v="ECO"/>
    <s v="ADERÊNTE"/>
    <n v="10622.289000000001"/>
    <s v="ECO"/>
    <s v="ECO/BIO"/>
    <n v="6706.6639999999998"/>
    <s v="BIO"/>
    <x v="2"/>
    <x v="1"/>
    <x v="0"/>
  </r>
  <r>
    <n v="64"/>
    <s v="Torres Dos Franceses"/>
    <x v="0"/>
    <n v="360"/>
    <s v="De 200 a 400 und"/>
    <x v="1"/>
    <n v="2"/>
    <n v="15"/>
    <m/>
    <m/>
    <n v="2"/>
    <n v="6"/>
    <n v="3"/>
    <x v="1"/>
    <s v="COM PISO (Cerâmica)"/>
    <s v="COM PISO (Cerâmica)"/>
    <s v="ATÉ 1,5"/>
    <s v="TEXT"/>
    <s v="COMBO 01"/>
    <s v="ARDÓSIA"/>
    <s v="VIDRO SIMPLE (2 FOLHAS)"/>
    <n v="2430"/>
    <n v="260"/>
    <n v="900"/>
    <n v="500"/>
    <n v="370"/>
    <n v="90"/>
    <n v="720"/>
    <s v="CHURRASQUEIRA"/>
    <n v="1"/>
    <s v="SALÃO DE FESTAS"/>
    <n v="1"/>
    <s v="FUNCIONAL"/>
    <n v="1"/>
    <s v="PLAYGROUND"/>
    <n v="1"/>
    <s v="PISCINA"/>
    <n v="1"/>
    <s v="PET PLACE"/>
    <n v="1"/>
    <s v="BICICLETÁRIO"/>
    <n v="1"/>
    <m/>
    <m/>
    <m/>
    <m/>
    <m/>
    <m/>
    <n v="236.52533333333332"/>
    <n v="342.10249999999996"/>
    <n v="29.972222222222221"/>
    <n v="64.305555555555557"/>
    <n v="764.35438888888893"/>
    <n v="19.305555555555557"/>
    <n v="14.722222222222221"/>
    <n v="0"/>
    <n v="0"/>
    <n v="0"/>
    <s v="COM VARANDA"/>
    <n v="0.93333333333333335"/>
    <s v="COM SUÍTE"/>
    <n v="0.33333333333333331"/>
    <n v="2800"/>
    <n v="2000"/>
    <s v="COM VAGA EM SOLO"/>
    <n v="191"/>
    <n v="0.53055555555555556"/>
    <s v="COM VAGA MOTO"/>
    <n v="21"/>
    <s v="SEM VAGA PILOTIS"/>
    <n v="0"/>
    <x v="0"/>
    <n v="0"/>
    <n v="1061.1111111111111"/>
    <n v="58.333333333333336"/>
    <n v="0"/>
    <n v="0"/>
    <n v="4290"/>
    <s v="ACAB 02"/>
    <n v="1471.2877777777776"/>
    <s v="LZ 02"/>
    <n v="4800"/>
    <s v="TIP 03"/>
    <n v="1119.4444444444443"/>
    <s v="VAGA 01"/>
    <n v="4194.75"/>
    <s v="ELEV 03"/>
    <n v="15875.482222222221"/>
    <s v="BIO"/>
    <s v="-"/>
    <n v="11680.732222222221"/>
    <s v="BIO"/>
    <s v="BIO"/>
    <s v="-"/>
    <s v="BIO"/>
    <s v="NÃO ADERÊNTE"/>
    <n v="11680.732222222221"/>
    <s v="BIO"/>
    <s v="ECO/BIO"/>
    <n v="5761.2877777777776"/>
    <s v="ECO"/>
    <x v="1"/>
    <x v="0"/>
    <x v="1"/>
  </r>
  <r>
    <n v="5"/>
    <s v="Residencial Veredas"/>
    <x v="1"/>
    <n v="368"/>
    <s v="De 200 a 400 und"/>
    <x v="1"/>
    <n v="3"/>
    <n v="16"/>
    <m/>
    <m/>
    <n v="3"/>
    <n v="6"/>
    <n v="2"/>
    <x v="1"/>
    <s v="COM PISO (Cerâmica)"/>
    <s v="COM PISO (Cerâmica)"/>
    <s v="ATÉ 1,5"/>
    <s v="TEXT"/>
    <s v="COMBO 01"/>
    <s v="ARDÓSIA"/>
    <s v="VENEZIANA (3 FOLHAS)"/>
    <n v="2430"/>
    <n v="260"/>
    <n v="900"/>
    <n v="500"/>
    <n v="370"/>
    <n v="90"/>
    <n v="1320"/>
    <s v="PET PLACE"/>
    <n v="1"/>
    <s v="MINI Q. DE BASQUETE"/>
    <n v="1"/>
    <s v="SALÃO DE FESTAS"/>
    <n v="1"/>
    <s v="CHURRASQUEIRA"/>
    <n v="1"/>
    <s v="PLAYGROUND"/>
    <n v="1"/>
    <s v="PISCINA"/>
    <n v="1"/>
    <s v="BICICLETÁRIO"/>
    <n v="1"/>
    <m/>
    <n v="0"/>
    <m/>
    <m/>
    <m/>
    <m/>
    <n v="18.885869565217391"/>
    <n v="154.6436956521739"/>
    <n v="334.66548913043476"/>
    <n v="231.38347826086957"/>
    <n v="62.907608695652172"/>
    <n v="747.73798913043481"/>
    <n v="14.402173913043478"/>
    <n v="0"/>
    <n v="0"/>
    <n v="0"/>
    <s v="COM VARANDA"/>
    <n v="0.98"/>
    <s v="COM SUÍTE"/>
    <n v="0.52"/>
    <n v="2940"/>
    <n v="3120"/>
    <s v="COM VAGA EM SOLO"/>
    <n v="383"/>
    <n v="1.0407608695652173"/>
    <s v="SEM VAGA MOTO"/>
    <n v="0"/>
    <s v="SEM VAGA PILOTIS"/>
    <n v="0"/>
    <x v="0"/>
    <n v="0"/>
    <n v="2081.521739130435"/>
    <n v="0"/>
    <n v="0"/>
    <n v="0"/>
    <n v="4290"/>
    <s v="ACAB 02"/>
    <n v="1564.6263043478261"/>
    <s v="LZ 02"/>
    <n v="6060"/>
    <s v="TIP 03"/>
    <n v="2081.521739130435"/>
    <s v="VAGA 02"/>
    <n v="4377.130434782609"/>
    <s v="ELEV 03"/>
    <n v="18373.278478260869"/>
    <s v="BIO"/>
    <s v="-"/>
    <n v="13996.148043478261"/>
    <s v="BIO"/>
    <s v="BIO"/>
    <s v="-"/>
    <s v="BIO"/>
    <s v="NÃO ADERÊNTE"/>
    <n v="13996.148043478261"/>
    <s v="BIO"/>
    <s v="-"/>
    <n v="5854.6263043478266"/>
    <s v="ECO"/>
    <x v="2"/>
    <x v="1"/>
    <x v="1"/>
  </r>
  <r>
    <n v="102"/>
    <s v="Gran Fornari"/>
    <x v="3"/>
    <n v="306"/>
    <s v="De 200 a 400 und"/>
    <x v="1"/>
    <n v="2"/>
    <n v="17"/>
    <m/>
    <m/>
    <n v="2"/>
    <n v="4"/>
    <n v="2"/>
    <x v="2"/>
    <s v="SEM PISO"/>
    <s v="COM PISO (Cerâmica)"/>
    <s v="ATÉ 1,5"/>
    <s v="LISO"/>
    <s v="COMBO 02"/>
    <s v="ARDÓSIA"/>
    <s v="VENEZIANA (3 FOLHAS)"/>
    <n v="530"/>
    <n v="260"/>
    <n v="900"/>
    <n v="935"/>
    <n v="930"/>
    <n v="90"/>
    <n v="1320"/>
    <s v="PISCINA"/>
    <n v="1"/>
    <s v="PLAYGROUND"/>
    <n v="1"/>
    <s v="CHURRASQUEIRA"/>
    <n v="1"/>
    <s v="SALÃO DE FESTAS"/>
    <n v="1"/>
    <s v="BICICLETÁRIO"/>
    <n v="1"/>
    <s v="REDÁRIO"/>
    <n v="1"/>
    <s v="GAZEBO"/>
    <n v="1"/>
    <s v="PET PLACE"/>
    <n v="1"/>
    <m/>
    <m/>
    <m/>
    <m/>
    <n v="899.24045751633992"/>
    <n v="75.653594771241828"/>
    <n v="278.26509803921567"/>
    <n v="402.47352941176467"/>
    <n v="17.320261437908496"/>
    <n v="24.705882352941178"/>
    <n v="52.941176470588232"/>
    <n v="22.712418300653596"/>
    <n v="0"/>
    <n v="0"/>
    <s v="COM VARANDA"/>
    <n v="0.94"/>
    <s v="SEM SUÍTE"/>
    <n v="0"/>
    <n v="2820"/>
    <n v="0"/>
    <s v="COM VAGA EM SOLO"/>
    <n v="337"/>
    <n v="1.1013071895424837"/>
    <s v="COM VAGA MOTO"/>
    <n v="12"/>
    <s v="SEM VAGA PILOTIS"/>
    <n v="0"/>
    <x v="0"/>
    <n v="0"/>
    <n v="2202.6143790849674"/>
    <n v="39.215686274509807"/>
    <n v="0"/>
    <n v="0"/>
    <n v="3385"/>
    <s v="ACAB 02"/>
    <n v="1773.3124183006537"/>
    <s v="LZ 03"/>
    <n v="2820"/>
    <s v="TIP 02"/>
    <n v="2241.830065359477"/>
    <s v="VAGA 02"/>
    <n v="3728.6666666666665"/>
    <s v="ELEV 03"/>
    <n v="13948.809150326797"/>
    <s v="BIO"/>
    <s v="BIO+10%"/>
    <n v="10220.142483660131"/>
    <s v="ECO"/>
    <s v="ECO"/>
    <s v="-"/>
    <s v="ECO"/>
    <s v="NÃO ADERÊNTE"/>
    <n v="10220.142483660131"/>
    <s v="ECO"/>
    <s v="-"/>
    <n v="5158.3124183006539"/>
    <s v="ECO"/>
    <x v="1"/>
    <x v="1"/>
    <x v="1"/>
  </r>
  <r>
    <n v="88"/>
    <s v="Castello Di Francesco"/>
    <x v="6"/>
    <n v="240"/>
    <s v="De 200 a 400 und"/>
    <x v="1"/>
    <n v="3"/>
    <n v="10"/>
    <m/>
    <m/>
    <n v="3"/>
    <n v="3"/>
    <n v="1"/>
    <x v="2"/>
    <s v="COM PISO (Cerâmica)"/>
    <s v="COM PISO (Cerâmica)"/>
    <s v="1 FIADA"/>
    <s v="LISO"/>
    <s v="COMBO 02"/>
    <s v="GRANITO"/>
    <s v="VIDRO SIMPLE (2 FOLHAS)"/>
    <n v="2430"/>
    <n v="260"/>
    <n v="600"/>
    <n v="935"/>
    <n v="930"/>
    <n v="240"/>
    <n v="720"/>
    <s v="BICICLETÁRIO"/>
    <n v="1"/>
    <s v="PET PLACE"/>
    <n v="1"/>
    <s v="CHURRASQUEIRA"/>
    <n v="2"/>
    <s v="REDÁRIO"/>
    <n v="1"/>
    <s v="PLAYGROUND"/>
    <n v="1"/>
    <s v="SALÃO DE FESTAS"/>
    <n v="1"/>
    <s v="PISCINA"/>
    <n v="1"/>
    <s v="GAZEBO"/>
    <n v="1"/>
    <m/>
    <m/>
    <m/>
    <m/>
    <n v="22.083333333333332"/>
    <n v="28.958333333333332"/>
    <n v="709.57599999999991"/>
    <n v="31.5"/>
    <n v="96.458333333333329"/>
    <n v="513.15374999999995"/>
    <n v="1146.5315833333334"/>
    <n v="67.5"/>
    <n v="0"/>
    <n v="0"/>
    <s v="COM VARANDA"/>
    <n v="0.45"/>
    <s v="SEM SUÍTE"/>
    <n v="0.5"/>
    <n v="1350"/>
    <n v="0"/>
    <s v="COM VAGA EM SOLO"/>
    <n v="253"/>
    <n v="1.0541666666666667"/>
    <s v="COM VAGA MOTO"/>
    <n v="17"/>
    <s v="SEM VAGA PILOTIS"/>
    <n v="0"/>
    <x v="0"/>
    <n v="0"/>
    <n v="2108.3333333333335"/>
    <n v="70.833333333333329"/>
    <n v="0"/>
    <n v="0"/>
    <n v="5135"/>
    <s v="ACAB 03"/>
    <n v="2615.7613333333334"/>
    <s v="LZ 04"/>
    <n v="1350"/>
    <s v="TIP 01"/>
    <n v="2179.166666666667"/>
    <s v="VAGA 02"/>
    <n v="2468.125"/>
    <s v="ELEV 01"/>
    <n v="13748.053"/>
    <s v="ECO"/>
    <s v="ECO-10%"/>
    <n v="11279.928"/>
    <s v="ECO"/>
    <s v="ECO"/>
    <s v="-"/>
    <s v="ECO"/>
    <s v="NÃO ADERÊNTE"/>
    <n v="11279.928"/>
    <s v="ECO"/>
    <s v="ECO/BIO"/>
    <n v="7750.7613333333338"/>
    <s v="BIO"/>
    <x v="2"/>
    <x v="0"/>
    <x v="1"/>
  </r>
  <r>
    <n v="90"/>
    <s v="Torres Do Aeroporto"/>
    <x v="2"/>
    <n v="360"/>
    <s v="De 200 a 400 und"/>
    <x v="1"/>
    <n v="3"/>
    <n v="15"/>
    <m/>
    <m/>
    <n v="3"/>
    <n v="6"/>
    <n v="2"/>
    <x v="2"/>
    <s v="COM PISO (Cerâmica)"/>
    <s v="COM PISO (Cerâmica)"/>
    <s v="ATÉ 1,5"/>
    <s v="LISO"/>
    <s v="COMBO 02"/>
    <s v="GRANITO"/>
    <s v="VIDRO SIMPLE (2 FOLHAS)"/>
    <n v="2430"/>
    <n v="260"/>
    <n v="900"/>
    <n v="935"/>
    <n v="930"/>
    <n v="240"/>
    <n v="720"/>
    <s v="PISCINA"/>
    <n v="1"/>
    <s v="PLAYGROUND"/>
    <n v="1"/>
    <s v="FUNCIONAL"/>
    <n v="1"/>
    <s v="KIDS"/>
    <n v="1"/>
    <s v="SALÃO DE FESTAS"/>
    <n v="1"/>
    <s v="CHURRASQUEIRA"/>
    <n v="1"/>
    <s v="REDÁRIO"/>
    <n v="1"/>
    <s v="PET PLACE"/>
    <n v="1"/>
    <s v="BICICLETÁRIO"/>
    <n v="1"/>
    <m/>
    <m/>
    <n v="764.35438888888893"/>
    <n v="64.305555555555557"/>
    <n v="29.972222222222221"/>
    <n v="172.65644444444445"/>
    <n v="342.10249999999996"/>
    <n v="236.52533333333332"/>
    <n v="21"/>
    <n v="19.305555555555557"/>
    <n v="14.722222222222221"/>
    <n v="0"/>
    <s v="COM VARANDA"/>
    <n v="0.46660000000000001"/>
    <s v="SEM SUÍTE"/>
    <n v="0"/>
    <n v="1399.8"/>
    <n v="0"/>
    <s v="COM VAGA EM SOLO"/>
    <n v="124"/>
    <n v="0.34444444444444444"/>
    <s v="SEM VAGA MOTO"/>
    <n v="9"/>
    <s v="SEM VAGA PILOTIS"/>
    <n v="0"/>
    <x v="0"/>
    <n v="0"/>
    <n v="688.88888888888891"/>
    <n v="0"/>
    <n v="0"/>
    <n v="0"/>
    <n v="5435"/>
    <s v="ACAB 03"/>
    <n v="1664.9442222222222"/>
    <s v="LZ 03"/>
    <n v="1399.8"/>
    <s v="TIP 01"/>
    <n v="688.88888888888891"/>
    <s v="VAGA 01"/>
    <n v="4194.75"/>
    <s v="ELEV 03"/>
    <n v="13383.38311111111"/>
    <s v="ECO"/>
    <s v="ECO-10%"/>
    <n v="9188.6331111111103"/>
    <s v="ECO"/>
    <s v="ECO"/>
    <s v="-"/>
    <s v="ECO"/>
    <s v="NÃO ADERÊNTE"/>
    <n v="9188.6331111111103"/>
    <s v="ECO"/>
    <s v="-"/>
    <n v="7099.9442222222224"/>
    <s v="BIO"/>
    <x v="1"/>
    <x v="1"/>
    <x v="1"/>
  </r>
  <r>
    <n v="87"/>
    <s v="Parque Sorrento"/>
    <x v="3"/>
    <n v="460"/>
    <s v="Acima de 400 und"/>
    <x v="0"/>
    <n v="23"/>
    <n v="5"/>
    <m/>
    <m/>
    <n v="23"/>
    <n v="23"/>
    <n v="1"/>
    <x v="2"/>
    <s v="COM PISO (Cerâmica)"/>
    <s v="COM PISO (Cerâmica)"/>
    <s v="ATÉ 1,5"/>
    <s v="LISO"/>
    <s v="COMBO 02"/>
    <s v="GRANITO"/>
    <s v="VIDRO SIMPLE (2 FOLHAS)"/>
    <n v="2430"/>
    <n v="260"/>
    <n v="900"/>
    <n v="935"/>
    <n v="930"/>
    <n v="240"/>
    <n v="720"/>
    <s v="SALÃO DE FESTAS"/>
    <n v="1"/>
    <s v="CHURRASQUEIRA"/>
    <n v="1"/>
    <s v="PLAYGROUND"/>
    <n v="2"/>
    <s v="PISCINA"/>
    <n v="1"/>
    <s v="BICICLETÁRIO"/>
    <n v="1"/>
    <s v="PET PLACE"/>
    <n v="1"/>
    <s v="QUADRA RECREATIVA"/>
    <n v="1"/>
    <s v="KIDS"/>
    <n v="1"/>
    <s v="GAZEBO"/>
    <n v="1"/>
    <m/>
    <m/>
    <n v="267.7323913043478"/>
    <n v="185.10678260869565"/>
    <n v="100.65217391304348"/>
    <n v="598.19039130434783"/>
    <n v="11.521739130434783"/>
    <n v="15.108695652173912"/>
    <n v="274.06226086956519"/>
    <n v="135.12243478260871"/>
    <n v="35.217391304347828"/>
    <n v="0"/>
    <s v="COM VARANDA"/>
    <n v="0.4"/>
    <s v="SEM SUÍTE"/>
    <n v="0"/>
    <n v="1200"/>
    <n v="0"/>
    <s v="COM VAGA EM SOLO"/>
    <n v="460"/>
    <n v="1"/>
    <s v="SEM VAGA MOTO"/>
    <n v="0"/>
    <s v="SEM VAGA PILOTIS"/>
    <n v="0"/>
    <x v="0"/>
    <n v="0"/>
    <n v="2000"/>
    <n v="0"/>
    <n v="0"/>
    <n v="0"/>
    <n v="5435"/>
    <s v="ACAB 03"/>
    <n v="1622.7142608695651"/>
    <s v="LZ 02"/>
    <n v="1200"/>
    <s v="TIP 01"/>
    <n v="2000"/>
    <s v="VAGA 02"/>
    <n v="7507"/>
    <s v="ELEV 02"/>
    <n v="17764.714260869565"/>
    <s v="BIO"/>
    <s v="-"/>
    <n v="10257.714260869565"/>
    <s v="ECO"/>
    <s v="BIO"/>
    <s v="-"/>
    <s v="BIO"/>
    <s v="ADERÊNTE"/>
    <n v="10257.714260869565"/>
    <s v="ECO"/>
    <s v="-"/>
    <n v="7057.7142608695649"/>
    <s v="BIO"/>
    <x v="1"/>
    <x v="1"/>
    <x v="1"/>
  </r>
  <r>
    <n v="89"/>
    <s v="Residencial Martini"/>
    <x v="4"/>
    <n v="336"/>
    <s v="De 200 a 400 und"/>
    <x v="1"/>
    <n v="2"/>
    <n v="14"/>
    <m/>
    <m/>
    <n v="2"/>
    <n v="6"/>
    <n v="3"/>
    <x v="2"/>
    <s v="COM PISO (Cerâmica)"/>
    <s v="COM PISO (Cerâmica)"/>
    <s v="ATÉ 1,5"/>
    <s v="LISO"/>
    <s v="COMBO 02"/>
    <s v="GRANITO"/>
    <s v="VIDRO SIMPLE (2 FOLHAS)"/>
    <n v="2430"/>
    <n v="260"/>
    <n v="900"/>
    <n v="935"/>
    <n v="930"/>
    <n v="240"/>
    <n v="720"/>
    <s v="BICICLETÁRIO"/>
    <n v="1"/>
    <s v="PISCINA"/>
    <n v="1"/>
    <s v="GAZEBO"/>
    <n v="1"/>
    <s v="CHURRASQUEIRA"/>
    <n v="1"/>
    <s v="PLAYGROUND"/>
    <n v="1"/>
    <s v="PET PLACE"/>
    <n v="1"/>
    <s v="REDÁRIO"/>
    <n v="2"/>
    <s v="PIQUENIQUE"/>
    <n v="3"/>
    <m/>
    <m/>
    <m/>
    <m/>
    <n v="15.773809523809524"/>
    <n v="818.95113095238105"/>
    <n v="48.214285714285715"/>
    <n v="253.42"/>
    <n v="68.898809523809518"/>
    <n v="20.68452380952381"/>
    <n v="45"/>
    <n v="62.142857142857146"/>
    <n v="0"/>
    <n v="0"/>
    <s v="COM VARANDA"/>
    <n v="0.62"/>
    <s v="SEM SUÍTE"/>
    <n v="0"/>
    <n v="1860"/>
    <n v="0"/>
    <s v="COM VAGA EM SOLO"/>
    <n v="341"/>
    <n v="1.0148809523809523"/>
    <s v="SEM VAGA MOTO"/>
    <n v="0"/>
    <s v="SEM VAGA PILOTIS"/>
    <n v="0"/>
    <x v="0"/>
    <n v="0"/>
    <n v="2029.7619047619048"/>
    <n v="0"/>
    <n v="0"/>
    <n v="0"/>
    <n v="5435"/>
    <s v="ACAB 03"/>
    <n v="1333.0854166666666"/>
    <s v="LZ 02"/>
    <n v="1860"/>
    <s v="TIP 02"/>
    <n v="2029.7619047619048"/>
    <s v="VAGA 02"/>
    <n v="4194.75"/>
    <s v="ELEV 03"/>
    <n v="14852.597321428571"/>
    <s v="BIO"/>
    <s v="BIO+10%"/>
    <n v="10657.847321428571"/>
    <s v="ECO"/>
    <s v="ECO"/>
    <s v="-"/>
    <s v="ECO"/>
    <s v="NÃO ADERÊNTE"/>
    <n v="10657.847321428571"/>
    <s v="ECO"/>
    <s v="ECO/BIO"/>
    <n v="6768.0854166666668"/>
    <s v="BIO"/>
    <x v="2"/>
    <x v="0"/>
    <x v="1"/>
  </r>
  <r>
    <n v="7"/>
    <s v="CAPRI VILLAGE"/>
    <x v="3"/>
    <n v="192"/>
    <s v="Até 200 und"/>
    <x v="1"/>
    <n v="1"/>
    <n v="24"/>
    <m/>
    <m/>
    <n v="1"/>
    <n v="4"/>
    <n v="4"/>
    <x v="2"/>
    <s v="COM PISO (Cerâmica)"/>
    <s v="COM PISO (Cerâmica)"/>
    <s v="ATÉ 1,5"/>
    <s v="LISO"/>
    <s v="COMBO 02"/>
    <s v="GRANITO"/>
    <s v="VENEZIANA (3 FOLHAS)"/>
    <n v="2430"/>
    <n v="260"/>
    <n v="900"/>
    <n v="935"/>
    <n v="930"/>
    <n v="240"/>
    <n v="1320"/>
    <s v="PLAYGROUND"/>
    <n v="1"/>
    <s v="SALÃO DE FESTAS"/>
    <n v="1"/>
    <s v="PISCINA"/>
    <n v="1"/>
    <s v="BICICLETÁRIO"/>
    <n v="1"/>
    <s v="CHURRASQUEIRA"/>
    <n v="1"/>
    <m/>
    <n v="0"/>
    <m/>
    <n v="0"/>
    <m/>
    <n v="0"/>
    <m/>
    <m/>
    <m/>
    <m/>
    <n v="120.57291666666667"/>
    <n v="641.44218749999993"/>
    <n v="1433.1644791666668"/>
    <n v="27.604166666666668"/>
    <n v="443.48499999999996"/>
    <n v="0"/>
    <n v="0"/>
    <n v="0"/>
    <n v="0"/>
    <n v="0"/>
    <s v="COM VARANDA"/>
    <n v="0.9"/>
    <s v="COM SUÍTE"/>
    <n v="0.5"/>
    <n v="2700"/>
    <n v="3000"/>
    <s v="COM VAGA EM SOLO"/>
    <n v="0"/>
    <n v="0"/>
    <s v="SEM VAGA MOTO"/>
    <n v="0"/>
    <s v="SEM VAGA PILOTIS"/>
    <n v="0"/>
    <x v="1"/>
    <n v="241"/>
    <n v="0"/>
    <n v="0"/>
    <n v="0"/>
    <n v="18828.125"/>
    <n v="5435"/>
    <s v="ACAB 03"/>
    <n v="2666.2687500000002"/>
    <s v="LZ 04"/>
    <n v="5700"/>
    <s v="TIP 03"/>
    <n v="18828.125"/>
    <s v="VAGA 03"/>
    <n v="8389.5"/>
    <s v="ELEV 03"/>
    <n v="41018.893750000003"/>
    <s v="BIO"/>
    <s v="-"/>
    <n v="32629.393749999999"/>
    <s v="BIO"/>
    <s v="BIO"/>
    <s v="-"/>
    <s v="BIO"/>
    <s v="ADERÊNTE"/>
    <n v="32629.393749999999"/>
    <s v="BIO"/>
    <s v="-"/>
    <n v="8101.2687500000002"/>
    <s v="BIO"/>
    <x v="2"/>
    <x v="0"/>
    <x v="0"/>
  </r>
  <r>
    <n v="97"/>
    <s v="Parque Canoas"/>
    <x v="5"/>
    <n v="412"/>
    <s v="Acima de 400 und"/>
    <x v="1"/>
    <n v="3"/>
    <n v="18"/>
    <m/>
    <m/>
    <n v="3"/>
    <n v="6"/>
    <n v="2"/>
    <x v="2"/>
    <s v="COM PISO (Cerâmica)"/>
    <s v="COM PISO (Cerâmica)"/>
    <s v="1 FIADA"/>
    <s v="LISO"/>
    <s v="COMBO 02"/>
    <s v="GRANITO"/>
    <s v="VIDRO SIMPLE (2 FOLHAS)"/>
    <n v="2430"/>
    <n v="260"/>
    <n v="600"/>
    <n v="935"/>
    <n v="930"/>
    <n v="240"/>
    <n v="720"/>
    <s v="SALÃO DE FESTAS"/>
    <n v="2"/>
    <s v="CHURRASQUEIRA"/>
    <n v="2"/>
    <s v="PISCINA"/>
    <n v="1"/>
    <s v="PLAYGROUND"/>
    <n v="2"/>
    <s v="BICICLETÁRIO"/>
    <n v="1"/>
    <s v="JOGOS"/>
    <n v="1"/>
    <s v="FUNCIONAL"/>
    <n v="1"/>
    <s v="HOME OFFICE"/>
    <n v="1"/>
    <m/>
    <m/>
    <m/>
    <m/>
    <n v="597.84902912621351"/>
    <n v="413.34524271844657"/>
    <n v="667.88247572815533"/>
    <n v="112.37864077669903"/>
    <n v="12.864077669902912"/>
    <n v="193.52716019417477"/>
    <n v="26.189320388349515"/>
    <n v="199.16288834951456"/>
    <n v="0"/>
    <n v="0"/>
    <s v="COM VARANDA"/>
    <n v="0.93200000000000005"/>
    <s v="COM SUÍTE"/>
    <n v="0.49020000000000002"/>
    <n v="2796"/>
    <n v="2941.2000000000003"/>
    <s v="COM VAGA EM SOLO"/>
    <n v="117"/>
    <n v="0.28398058252427183"/>
    <s v="SEM VAGA MOTO"/>
    <n v="0"/>
    <s v="SEM VAGA PILOTIS"/>
    <n v="0"/>
    <x v="1"/>
    <n v="237"/>
    <n v="567.96116504854365"/>
    <n v="0"/>
    <n v="0"/>
    <n v="8628.6407766990287"/>
    <n v="5135"/>
    <s v="ACAB 03"/>
    <n v="2223.1988349514559"/>
    <s v="LZ 03"/>
    <n v="5737.2000000000007"/>
    <s v="TIP 03"/>
    <n v="9196.6019417475727"/>
    <s v="VAGA 03"/>
    <n v="4398.3786407766993"/>
    <s v="ELEV 03"/>
    <n v="26690.379417475731"/>
    <s v="BIO"/>
    <s v="-"/>
    <n v="22292.000776699031"/>
    <s v="BIO"/>
    <s v="BIO"/>
    <s v="-"/>
    <s v="BIO"/>
    <s v="ADERÊNTE"/>
    <n v="22292.000776699031"/>
    <s v="BIO"/>
    <s v="-"/>
    <n v="7358.1988349514559"/>
    <s v="BIO"/>
    <x v="2"/>
    <x v="0"/>
    <x v="0"/>
  </r>
  <r>
    <n v="98"/>
    <s v="Condomínio Residencial Caminhos Do Lago"/>
    <x v="5"/>
    <n v="288"/>
    <s v="De 200 a 400 und"/>
    <x v="1"/>
    <n v="2"/>
    <n v="18"/>
    <m/>
    <m/>
    <n v="2"/>
    <n v="4"/>
    <n v="2"/>
    <x v="2"/>
    <s v="SEM PISO"/>
    <s v="COM PISO (Cerâmica)"/>
    <s v="ATÉ 1,5"/>
    <s v="LISO"/>
    <s v="COMBO 02"/>
    <s v="GRANITO"/>
    <s v="VIDRO SIMPLE (2 FOLHAS)"/>
    <n v="530"/>
    <n v="260"/>
    <n v="900"/>
    <n v="935"/>
    <n v="930"/>
    <n v="240"/>
    <n v="720"/>
    <s v="CHURRASQUEIRA"/>
    <n v="1"/>
    <s v="PLAYGROUND"/>
    <n v="1"/>
    <s v="PISCINA"/>
    <n v="1"/>
    <s v="BICICLETÁRIO"/>
    <n v="1"/>
    <m/>
    <m/>
    <m/>
    <m/>
    <m/>
    <m/>
    <m/>
    <m/>
    <m/>
    <m/>
    <m/>
    <m/>
    <n v="295.65666666666664"/>
    <n v="80.381944444444443"/>
    <n v="955.44298611111117"/>
    <n v="18.402777777777779"/>
    <n v="0"/>
    <n v="0"/>
    <n v="0"/>
    <n v="0"/>
    <n v="0"/>
    <n v="0"/>
    <s v="COM VARANDA"/>
    <n v="0.94444444444444442"/>
    <s v="COM SUÍTE"/>
    <n v="0.5"/>
    <n v="2833.3333333333335"/>
    <n v="3000"/>
    <s v="COM VAGA EM SOLO"/>
    <n v="172"/>
    <n v="0.59722222222222221"/>
    <s v="SEM VAGA MOTO"/>
    <n v="0"/>
    <s v="SEM VAGA PILOTIS"/>
    <n v="0"/>
    <x v="0"/>
    <n v="0"/>
    <n v="1194.4444444444443"/>
    <n v="0"/>
    <n v="0"/>
    <n v="0"/>
    <n v="3535"/>
    <s v="ACAB 02"/>
    <n v="1349.8843750000001"/>
    <s v="LZ 02"/>
    <n v="5833.3333333333339"/>
    <s v="TIP 03"/>
    <n v="1194.4444444444443"/>
    <s v="VAGA 01"/>
    <n v="4194.75"/>
    <s v="ELEV 03"/>
    <n v="16107.412152777779"/>
    <s v="BIO"/>
    <s v="-"/>
    <n v="11912.662152777779"/>
    <s v="BIO"/>
    <s v="BIO"/>
    <s v="-"/>
    <s v="BIO"/>
    <s v="ADERÊNTE"/>
    <n v="11912.662152777779"/>
    <s v="BIO"/>
    <s v="ECO/BIO"/>
    <n v="4884.8843749999996"/>
    <s v="ECO"/>
    <x v="1"/>
    <x v="1"/>
    <x v="0"/>
  </r>
  <r>
    <n v="91"/>
    <s v="Residencial Camélias"/>
    <x v="4"/>
    <n v="360"/>
    <s v="De 200 a 400 und"/>
    <x v="1"/>
    <n v="2"/>
    <n v="15"/>
    <m/>
    <m/>
    <n v="2"/>
    <n v="6"/>
    <n v="3"/>
    <x v="2"/>
    <s v="COM PISO (Cerâmica)"/>
    <s v="COM PISO (Cerâmica)"/>
    <s v="ATÉ 1,5"/>
    <s v="LISO"/>
    <s v="COMBO 02"/>
    <s v="GRANITO"/>
    <s v="VIDRO SIMPLE (2 FOLHAS)"/>
    <n v="2430"/>
    <n v="260"/>
    <n v="900"/>
    <n v="935"/>
    <n v="930"/>
    <n v="240"/>
    <n v="720"/>
    <s v="PET PLACE"/>
    <n v="1"/>
    <s v="PLAYGROUND"/>
    <n v="1"/>
    <s v="SALÃO DE FESTAS"/>
    <n v="2"/>
    <s v="CHURRASQUEIRA"/>
    <n v="4"/>
    <s v="GAZEBO"/>
    <n v="2"/>
    <s v="HOME OFFICE"/>
    <n v="1"/>
    <s v="BICICLETÁRIO"/>
    <n v="1"/>
    <s v="FUNCIONAL"/>
    <n v="1"/>
    <s v="QUADRA RECREATIVA"/>
    <n v="1"/>
    <m/>
    <m/>
    <n v="19.305555555555557"/>
    <n v="64.305555555555557"/>
    <n v="684.20499999999993"/>
    <n v="946.10133333333329"/>
    <n v="90"/>
    <n v="227.93086111111111"/>
    <n v="14.722222222222221"/>
    <n v="29.972222222222221"/>
    <n v="350.19066666666669"/>
    <n v="0"/>
    <s v="COM VARANDA"/>
    <n v="0.67"/>
    <s v="SEM SUÍTE"/>
    <n v="0"/>
    <n v="2010.0000000000002"/>
    <n v="0"/>
    <s v="COM VAGA EM SOLO"/>
    <n v="360"/>
    <n v="1"/>
    <s v="SEM VAGA MOTO"/>
    <n v="0"/>
    <s v="SEM VAGA PILOTIS"/>
    <n v="0"/>
    <x v="0"/>
    <n v="0"/>
    <n v="2000"/>
    <n v="0"/>
    <n v="0"/>
    <n v="0"/>
    <n v="5435"/>
    <s v="ACAB 03"/>
    <n v="2426.7334166666669"/>
    <s v="LZ 03"/>
    <n v="2010.0000000000002"/>
    <s v="TIP 02"/>
    <n v="2000"/>
    <s v="VAGA 02"/>
    <n v="4194.75"/>
    <s v="ELEV 03"/>
    <n v="16066.483416666668"/>
    <s v="BIO"/>
    <s v="-"/>
    <n v="11871.733416666668"/>
    <s v="BIO"/>
    <s v="BIO"/>
    <s v="-"/>
    <s v="BIO"/>
    <s v="ADERÊNTE"/>
    <n v="11871.733416666668"/>
    <s v="BIO"/>
    <s v="ECO/BIO"/>
    <n v="7861.7334166666669"/>
    <s v="BIO"/>
    <x v="2"/>
    <x v="0"/>
    <x v="0"/>
  </r>
  <r>
    <n v="8"/>
    <s v="BELGRANO"/>
    <x v="3"/>
    <n v="136"/>
    <s v="Até 200 und"/>
    <x v="1"/>
    <n v="1"/>
    <n v="17"/>
    <m/>
    <m/>
    <n v="1"/>
    <n v="2"/>
    <n v="2"/>
    <x v="2"/>
    <s v="COM PISO (Cerâmica)"/>
    <s v="COM PISO (Cerâmica)"/>
    <s v="ATÉ 1,5"/>
    <s v="LISO"/>
    <s v="COMBO 02"/>
    <s v="GRANITO"/>
    <s v="VENEZIANA (3 FOLHAS)"/>
    <n v="2430"/>
    <n v="260"/>
    <n v="900"/>
    <n v="935"/>
    <n v="930"/>
    <n v="240"/>
    <n v="1320"/>
    <s v="BICICLETÁRIO"/>
    <n v="1"/>
    <s v="PLAYGROUND"/>
    <n v="1"/>
    <s v="PET PLACE"/>
    <n v="1"/>
    <s v="CHURRASQUEIRA"/>
    <n v="1"/>
    <s v="MINI Q. DE BASQUETE"/>
    <n v="1"/>
    <s v="PISCINA"/>
    <n v="1"/>
    <m/>
    <n v="0"/>
    <m/>
    <n v="0"/>
    <m/>
    <m/>
    <m/>
    <m/>
    <n v="38.970588235294116"/>
    <n v="170.22058823529412"/>
    <n v="51.102941176470587"/>
    <n v="626.09647058823521"/>
    <n v="418.44764705882352"/>
    <n v="2023.2910294117648"/>
    <n v="0"/>
    <n v="0"/>
    <n v="0"/>
    <n v="0"/>
    <s v="COM VARANDA"/>
    <n v="0.9"/>
    <s v="COM SUÍTE"/>
    <n v="0.5"/>
    <n v="2700"/>
    <n v="3000"/>
    <s v="COM VAGA EM SOLO"/>
    <n v="138"/>
    <n v="1.0147058823529411"/>
    <s v="SEM VAGA MOTO"/>
    <n v="0"/>
    <s v="SEM VAGA PILOTIS"/>
    <n v="0"/>
    <x v="0"/>
    <n v="0"/>
    <n v="2029.4117647058824"/>
    <n v="0"/>
    <n v="0"/>
    <n v="0"/>
    <n v="5435"/>
    <s v="ACAB 03"/>
    <n v="3328.1292647058826"/>
    <s v="LZ 04"/>
    <n v="5700"/>
    <s v="TIP 03"/>
    <n v="2029.4117647058824"/>
    <s v="VAGA 02"/>
    <n v="4194.75"/>
    <s v="ELEV 03"/>
    <n v="20687.291029411765"/>
    <s v="BIO"/>
    <s v="-"/>
    <n v="16492.541029411765"/>
    <s v="BIO"/>
    <s v="BIO"/>
    <s v="-"/>
    <s v="BIO"/>
    <s v="ADERÊNTE"/>
    <n v="16492.541029411765"/>
    <s v="BIO"/>
    <s v="-"/>
    <n v="8763.1292647058835"/>
    <s v="BIO"/>
    <x v="2"/>
    <x v="0"/>
    <x v="0"/>
  </r>
  <r>
    <n v="6"/>
    <s v="RESIDENCIAL CARVALHO"/>
    <x v="4"/>
    <n v="360"/>
    <s v="De 200 a 400 und"/>
    <x v="1"/>
    <n v="2"/>
    <n v="15"/>
    <m/>
    <m/>
    <n v="2"/>
    <n v="6"/>
    <n v="3"/>
    <x v="2"/>
    <s v="COM PISO (Cerâmica)"/>
    <s v="COM PISO (Cerâmica)"/>
    <s v="ATÉ 1,5"/>
    <s v="LISO"/>
    <s v="COMBO 02"/>
    <s v="GRANITO"/>
    <s v="VIDRO SIMPLE (2 FOLHAS)"/>
    <n v="2430"/>
    <n v="260"/>
    <n v="900"/>
    <n v="935"/>
    <n v="930"/>
    <n v="240"/>
    <n v="720"/>
    <s v="HOME OFFICE"/>
    <n v="1"/>
    <s v="PLAYGROUND"/>
    <n v="1"/>
    <s v="CHURRASQUEIRA"/>
    <n v="1"/>
    <s v="SALÃO DE FESTAS"/>
    <n v="2"/>
    <s v="QUADRA RECREATIVA"/>
    <n v="1"/>
    <s v="PET PLACE"/>
    <n v="1"/>
    <s v="BICICLETÁRIO"/>
    <n v="1"/>
    <m/>
    <n v="0"/>
    <m/>
    <m/>
    <m/>
    <m/>
    <n v="227.93086111111111"/>
    <n v="64.305555555555557"/>
    <n v="236.52533333333332"/>
    <n v="684.20499999999993"/>
    <n v="350.19066666666669"/>
    <n v="19.305555555555557"/>
    <n v="14.722222222222221"/>
    <n v="0"/>
    <n v="0"/>
    <n v="0"/>
    <s v="COM VARANDA"/>
    <n v="0.66600000000000004"/>
    <s v="SEM SUÍTE"/>
    <n v="0"/>
    <n v="1998"/>
    <n v="0"/>
    <s v="COM VAGA EM SOLO"/>
    <n v="368"/>
    <n v="1.0222222222222221"/>
    <s v="SEM VAGA MOTO"/>
    <n v="0"/>
    <s v="SEM VAGA PILOTIS"/>
    <n v="0"/>
    <x v="0"/>
    <n v="0"/>
    <n v="2044.4444444444443"/>
    <n v="0"/>
    <n v="0"/>
    <n v="0"/>
    <n v="5435"/>
    <s v="ACAB 03"/>
    <n v="1597.1851944444445"/>
    <s v="LZ 02"/>
    <n v="1998"/>
    <s v="TIP 02"/>
    <n v="2044.4444444444443"/>
    <s v="VAGA 02"/>
    <n v="4194.75"/>
    <s v="ELEV 03"/>
    <n v="15269.379638888888"/>
    <s v="BIO"/>
    <s v="BIO+10%"/>
    <n v="11074.629638888888"/>
    <s v="ECO"/>
    <s v="ECO"/>
    <s v="-"/>
    <s v="ECO"/>
    <s v="NÃO ADERÊNTE"/>
    <n v="11074.629638888888"/>
    <s v="ECO"/>
    <s v="ECO/BIO"/>
    <n v="7032.1851944444443"/>
    <s v="BIO"/>
    <x v="2"/>
    <x v="0"/>
    <x v="1"/>
  </r>
  <r>
    <n v="95"/>
    <s v="Residencial Callas"/>
    <x v="4"/>
    <n v="360"/>
    <s v="De 200 a 400 und"/>
    <x v="1"/>
    <n v="2"/>
    <n v="15"/>
    <m/>
    <m/>
    <n v="2"/>
    <n v="6"/>
    <n v="3"/>
    <x v="2"/>
    <s v="COM PISO (Cerâmica)"/>
    <s v="COM PISO (Cerâmica)"/>
    <s v="ATÉ 1,5"/>
    <s v="LISO"/>
    <s v="COMBO 02"/>
    <s v="GRANITO"/>
    <s v="VIDRO SIMPLE (2 FOLHAS)"/>
    <n v="2430"/>
    <n v="260"/>
    <n v="900"/>
    <n v="935"/>
    <n v="930"/>
    <n v="240"/>
    <n v="720"/>
    <s v="SALÃO DE FESTAS"/>
    <n v="2"/>
    <s v="JOGOS"/>
    <n v="1"/>
    <s v="CHURRASQUEIRA"/>
    <n v="1"/>
    <s v="PLAYGROUND"/>
    <n v="1"/>
    <s v="PET PLACE"/>
    <n v="1"/>
    <s v="GAZEBO"/>
    <n v="2"/>
    <s v="BICICLETÁRIO"/>
    <n v="1"/>
    <s v="HOME OFFICE"/>
    <n v="1"/>
    <s v="FUNCIONAL"/>
    <n v="1"/>
    <s v="QUADRA RECREATIVA"/>
    <n v="1"/>
    <n v="684.20499999999993"/>
    <n v="221.48108333333334"/>
    <n v="236.52533333333332"/>
    <n v="64.305555555555557"/>
    <n v="19.305555555555557"/>
    <n v="90"/>
    <n v="14.722222222222221"/>
    <n v="227.93086111111111"/>
    <n v="29.972222222222221"/>
    <n v="350.19066666666669"/>
    <s v="COM VARANDA"/>
    <n v="0.67"/>
    <s v="SEM SUÍTE"/>
    <n v="0"/>
    <n v="2010.0000000000002"/>
    <n v="0"/>
    <s v="COM VAGA EM SOLO"/>
    <n v="368"/>
    <n v="1.0222222222222221"/>
    <s v="SEM VAGA MOTO"/>
    <n v="0"/>
    <s v="SEM VAGA PILOTIS"/>
    <n v="0"/>
    <x v="0"/>
    <n v="0"/>
    <n v="2044.4444444444443"/>
    <n v="0"/>
    <n v="0"/>
    <n v="0"/>
    <n v="5435"/>
    <s v="ACAB 03"/>
    <n v="1938.6385"/>
    <s v="LZ 03"/>
    <n v="2010.0000000000002"/>
    <s v="TIP 02"/>
    <n v="2044.4444444444443"/>
    <s v="VAGA 02"/>
    <n v="4194.75"/>
    <s v="ELEV 03"/>
    <n v="15622.832944444446"/>
    <s v="BIO"/>
    <s v="-"/>
    <n v="11428.082944444446"/>
    <s v="ECO"/>
    <s v="BIO"/>
    <s v="-"/>
    <s v="BIO"/>
    <s v="ADERÊNTE"/>
    <n v="11428.082944444446"/>
    <s v="ECO"/>
    <s v="ECO/BIO"/>
    <n v="7373.6385"/>
    <s v="BIO"/>
    <x v="2"/>
    <x v="0"/>
    <x v="1"/>
  </r>
  <r>
    <n v="94"/>
    <s v="Reserva Das Flores"/>
    <x v="0"/>
    <n v="512"/>
    <s v="Acima de 400 und"/>
    <x v="1"/>
    <n v="4"/>
    <n v="16"/>
    <m/>
    <m/>
    <n v="4"/>
    <n v="12"/>
    <n v="3"/>
    <x v="2"/>
    <s v="COM PISO (Cerâmica)"/>
    <s v="COM PISO (Cerâmica)"/>
    <s v="ATÉ 1,5"/>
    <s v="LISO"/>
    <s v="COMBO 02"/>
    <s v="GRANITO"/>
    <s v="VIDRO SIMPLE (2 FOLHAS)"/>
    <n v="2430"/>
    <n v="260"/>
    <n v="900"/>
    <n v="935"/>
    <n v="930"/>
    <n v="240"/>
    <n v="720"/>
    <s v="BICICLETÁRIO"/>
    <n v="1"/>
    <s v="CHURRASQUEIRA"/>
    <n v="1"/>
    <s v="SALÃO DE FESTAS"/>
    <n v="1"/>
    <s v="KIDS"/>
    <n v="1"/>
    <s v="PISCINA"/>
    <n v="1"/>
    <s v="PLAYGROUND"/>
    <n v="1"/>
    <s v="PET PLACE"/>
    <n v="1"/>
    <m/>
    <m/>
    <m/>
    <m/>
    <m/>
    <m/>
    <n v="10.3515625"/>
    <n v="166.30687499999999"/>
    <n v="240.54082031249999"/>
    <n v="121.3990625"/>
    <n v="537.43667968750003"/>
    <n v="45.21484375"/>
    <n v="13.57421875"/>
    <n v="0"/>
    <n v="0"/>
    <n v="0"/>
    <s v="COM VARANDA"/>
    <n v="0.9375"/>
    <s v="SEM SUÍTE"/>
    <n v="0"/>
    <n v="2812.5"/>
    <n v="0"/>
    <s v="COM VAGA EM SOLO"/>
    <n v="528"/>
    <n v="1.03125"/>
    <s v="COM VAGA MOTO"/>
    <n v="8"/>
    <s v="SEM VAGA PILOTIS"/>
    <n v="0"/>
    <x v="0"/>
    <n v="0"/>
    <n v="2062.5"/>
    <n v="15.625"/>
    <n v="0"/>
    <n v="0"/>
    <n v="5435"/>
    <s v="ACAB 03"/>
    <n v="1134.8240624999999"/>
    <s v="LZ 02"/>
    <n v="2812.5"/>
    <s v="TIP 02"/>
    <n v="2078.125"/>
    <s v="VAGA 02"/>
    <n v="6292.125"/>
    <s v="ELEV 03"/>
    <n v="17752.5740625"/>
    <s v="BIO"/>
    <s v="-"/>
    <n v="11460.4490625"/>
    <s v="BIO"/>
    <s v="BIO"/>
    <s v="-"/>
    <s v="BIO"/>
    <s v="ADERÊNTE"/>
    <n v="11460.4490625"/>
    <s v="BIO"/>
    <s v="ECO/BIO"/>
    <n v="6569.8240624999999"/>
    <s v="BIO"/>
    <x v="2"/>
    <x v="0"/>
    <x v="0"/>
  </r>
  <r>
    <n v="100"/>
    <s v="Spazio Imperatriz"/>
    <x v="0"/>
    <n v="352"/>
    <s v="De 200 a 400 und"/>
    <x v="1"/>
    <n v="4"/>
    <n v="11"/>
    <m/>
    <m/>
    <n v="4"/>
    <n v="8"/>
    <n v="2"/>
    <x v="2"/>
    <s v="COM PISO (Cerâmica)"/>
    <s v="COM PISO (Cerâmica)"/>
    <s v="ATÉ 1,5"/>
    <s v="LISO"/>
    <s v="COMBO 02"/>
    <s v="GRANITO"/>
    <s v="VIDRO SIMPLE (2 FOLHAS)"/>
    <n v="2430"/>
    <n v="260"/>
    <n v="900"/>
    <n v="935"/>
    <n v="930"/>
    <n v="240"/>
    <n v="720"/>
    <s v="BICICLETÁRIO"/>
    <n v="1"/>
    <s v="CHURRASQUEIRA"/>
    <n v="2"/>
    <s v="PISCINA"/>
    <n v="1"/>
    <s v="SALÃO DE FESTAS"/>
    <n v="1"/>
    <s v="KIDS"/>
    <n v="1"/>
    <s v="JOGOS"/>
    <n v="1"/>
    <s v="FUNCIONAL"/>
    <n v="1"/>
    <s v="PLAYGROUND"/>
    <n v="1"/>
    <m/>
    <m/>
    <m/>
    <m/>
    <n v="15.056818181818182"/>
    <n v="483.80181818181813"/>
    <n v="781.72607954545458"/>
    <n v="349.8775568181818"/>
    <n v="176.58045454545456"/>
    <n v="226.51474431818181"/>
    <n v="30.65340909090909"/>
    <n v="65.767045454545453"/>
    <n v="0"/>
    <n v="0"/>
    <s v="COM VARANDA"/>
    <n v="0.91"/>
    <s v="SEM SUÍTE"/>
    <n v="0"/>
    <n v="2730"/>
    <n v="0"/>
    <s v="COM VAGA EM SOLO"/>
    <n v="365"/>
    <n v="1.0369318181818181"/>
    <s v="COM VAGA MOTO"/>
    <n v="34"/>
    <s v="SEM VAGA PILOTIS"/>
    <n v="0"/>
    <x v="0"/>
    <n v="0"/>
    <n v="2073.8636363636365"/>
    <n v="96.590909090909093"/>
    <n v="0"/>
    <n v="0"/>
    <n v="5435"/>
    <s v="ACAB 03"/>
    <n v="2129.9779261363637"/>
    <s v="LZ 03"/>
    <n v="2730"/>
    <s v="TIP 02"/>
    <n v="2170.4545454545455"/>
    <s v="VAGA 02"/>
    <n v="4936.25"/>
    <s v="ELEV 03"/>
    <n v="17401.68247159091"/>
    <s v="BIO"/>
    <s v="-"/>
    <n v="12465.43247159091"/>
    <s v="BIO"/>
    <s v="BIO"/>
    <s v="-"/>
    <s v="BIO"/>
    <s v="ADERÊNTE"/>
    <n v="12465.43247159091"/>
    <s v="BIO"/>
    <s v="ECO/BIO"/>
    <n v="7564.9779261363637"/>
    <s v="BIO"/>
    <x v="2"/>
    <x v="0"/>
    <x v="0"/>
  </r>
  <r>
    <n v="93"/>
    <s v="Residencial Giardino Di Bali"/>
    <x v="5"/>
    <n v="576"/>
    <s v="Acima de 400 und"/>
    <x v="1"/>
    <n v="6"/>
    <n v="13"/>
    <m/>
    <m/>
    <n v="6"/>
    <n v="12"/>
    <n v="2"/>
    <x v="2"/>
    <s v="COM PISO (Cerâmica)"/>
    <s v="COM PISO (Cerâmica)"/>
    <s v="ATÉ 1,5"/>
    <s v="LISO"/>
    <s v="COMBO 02"/>
    <s v="GRANITO"/>
    <s v="VIDRO SIMPLE (2 FOLHAS)"/>
    <n v="2430"/>
    <n v="260"/>
    <n v="900"/>
    <n v="935"/>
    <n v="930"/>
    <n v="240"/>
    <n v="720"/>
    <s v="PET PLACE"/>
    <n v="1"/>
    <s v="QUADRA RECREATIVA"/>
    <n v="1"/>
    <s v="PISCINA"/>
    <n v="1"/>
    <s v="SALÃO DE FESTAS"/>
    <n v="1"/>
    <s v="CHURRASQUEIRA"/>
    <n v="1"/>
    <s v="PLAYGROUND"/>
    <n v="2"/>
    <s v="BICICLETÁRIO"/>
    <n v="1"/>
    <m/>
    <m/>
    <m/>
    <m/>
    <m/>
    <m/>
    <n v="12.065972222222221"/>
    <n v="218.86916666666667"/>
    <n v="477.72149305555558"/>
    <n v="213.81406249999998"/>
    <n v="147.82833333333332"/>
    <n v="80.381944444444443"/>
    <n v="9.2013888888888893"/>
    <n v="0"/>
    <n v="0"/>
    <n v="0"/>
    <s v="COM VARANDA"/>
    <n v="0.91659999999999997"/>
    <s v="COM SUÍTE"/>
    <n v="0.625"/>
    <n v="2749.7999999999997"/>
    <n v="3750"/>
    <s v="COM VAGA EM SOLO"/>
    <n v="609"/>
    <n v="1.0572916666666667"/>
    <s v="COM VAGA MOTO"/>
    <n v="75"/>
    <s v="SEM VAGA PILOTIS"/>
    <n v="0"/>
    <x v="0"/>
    <n v="0"/>
    <n v="2114.5833333333335"/>
    <n v="130.20833333333334"/>
    <n v="0"/>
    <n v="0"/>
    <n v="5435"/>
    <s v="ACAB 03"/>
    <n v="1159.8823611111111"/>
    <s v="LZ 02"/>
    <n v="6499.7999999999993"/>
    <s v="TIP 03"/>
    <n v="2244.791666666667"/>
    <s v="VAGA 02"/>
    <n v="4544.3125"/>
    <s v="ELEV 03"/>
    <n v="19883.786527777778"/>
    <s v="BIO"/>
    <s v="-"/>
    <n v="15339.474027777778"/>
    <s v="BIO"/>
    <s v="BIO"/>
    <s v="-"/>
    <s v="BIO"/>
    <s v="ADERÊNTE"/>
    <n v="15339.474027777778"/>
    <s v="BIO"/>
    <s v="-"/>
    <n v="6594.8823611111111"/>
    <s v="BIO"/>
    <x v="2"/>
    <x v="0"/>
    <x v="0"/>
  </r>
  <r>
    <n v="103"/>
    <s v="Epic"/>
    <x v="6"/>
    <n v="256"/>
    <s v="De 200 a 400 und"/>
    <x v="1"/>
    <n v="3"/>
    <n v="11"/>
    <m/>
    <m/>
    <n v="3"/>
    <n v="3"/>
    <n v="1"/>
    <x v="2"/>
    <s v="COM PISO (Cerâmica)"/>
    <s v="COM PISO (Cerâmica)"/>
    <s v="ATÉ 1,5"/>
    <s v="LISO"/>
    <s v="COMBO 02"/>
    <s v="GRANITO"/>
    <s v="VIDRO SIMPLE (2 FOLHAS)"/>
    <n v="2430"/>
    <n v="260"/>
    <n v="900"/>
    <n v="935"/>
    <n v="930"/>
    <n v="240"/>
    <n v="720"/>
    <s v="CHURRASQUEIRA"/>
    <n v="2"/>
    <s v="PISCINA"/>
    <n v="1"/>
    <s v="SALÃO DE FESTAS"/>
    <n v="2"/>
    <s v="PLAYGROUND"/>
    <n v="1"/>
    <s v="PET PLACE"/>
    <n v="1"/>
    <s v="PIQUENIQUE"/>
    <n v="1"/>
    <s v="BICICLETÁRIO"/>
    <n v="1"/>
    <m/>
    <m/>
    <m/>
    <m/>
    <m/>
    <m/>
    <n v="665.22749999999996"/>
    <n v="1074.8733593750001"/>
    <n v="962.16328124999995"/>
    <n v="90.4296875"/>
    <n v="27.1484375"/>
    <n v="27.1875"/>
    <n v="20.703125"/>
    <n v="0"/>
    <n v="0"/>
    <n v="0"/>
    <s v="COM VARANDA"/>
    <n v="0.90625"/>
    <s v="COM SUÍTE"/>
    <n v="0.5"/>
    <n v="2718.75"/>
    <n v="3000"/>
    <s v="COM VAGA EM SOLO"/>
    <n v="276"/>
    <n v="1.078125"/>
    <s v="SEM VAGA MOTO"/>
    <n v="0"/>
    <s v="SEM VAGA PILOTIS"/>
    <n v="0"/>
    <x v="0"/>
    <n v="0"/>
    <n v="2156.25"/>
    <n v="0"/>
    <n v="0"/>
    <n v="0"/>
    <n v="5435"/>
    <s v="ACAB 03"/>
    <n v="2867.732890625"/>
    <s v="LZ 04"/>
    <n v="5718.75"/>
    <s v="TIP 03"/>
    <n v="2156.25"/>
    <s v="VAGA 02"/>
    <n v="2545.25390625"/>
    <s v="ELEV 03"/>
    <n v="18722.986796875"/>
    <s v="BIO"/>
    <s v="-"/>
    <n v="16177.732890625"/>
    <s v="BIO"/>
    <s v="BIO"/>
    <s v="-"/>
    <s v="BIO"/>
    <s v="ADERÊNTE"/>
    <n v="16177.732890625"/>
    <s v="BIO"/>
    <s v="-"/>
    <n v="8302.7328906250004"/>
    <s v="BIO"/>
    <x v="2"/>
    <x v="0"/>
    <x v="0"/>
  </r>
  <r>
    <n v="99"/>
    <s v="Chapada Redentori"/>
    <x v="6"/>
    <n v="320"/>
    <s v="De 200 a 400 und"/>
    <x v="1"/>
    <n v="4"/>
    <n v="10"/>
    <m/>
    <m/>
    <n v="4"/>
    <n v="4"/>
    <n v="1"/>
    <x v="2"/>
    <s v="COM PISO (Cerâmica)"/>
    <s v="COM PISO (Cerâmica)"/>
    <s v="ATÉ 1,5"/>
    <s v="LISO"/>
    <s v="COMBO 02"/>
    <s v="GRANITO"/>
    <s v="VIDRO SIMPLE (2 FOLHAS)"/>
    <n v="2430"/>
    <n v="260"/>
    <n v="900"/>
    <n v="935"/>
    <n v="930"/>
    <n v="240"/>
    <n v="720"/>
    <s v="PISCINA"/>
    <n v="1"/>
    <s v="MINI Q. DE BASQUETE"/>
    <n v="1"/>
    <s v="PLAYGROUND"/>
    <n v="1"/>
    <s v="CHURRASQUEIRA"/>
    <n v="1"/>
    <s v="SALÃO DE FESTAS"/>
    <n v="1"/>
    <s v="PET PLACE"/>
    <n v="1"/>
    <s v="BICICLETÁRIO"/>
    <n v="1"/>
    <m/>
    <m/>
    <m/>
    <m/>
    <m/>
    <m/>
    <n v="859.89868750000005"/>
    <n v="177.84025"/>
    <n v="72.34375"/>
    <n v="266.09100000000001"/>
    <n v="384.86531249999996"/>
    <n v="21.71875"/>
    <n v="16.5625"/>
    <n v="0"/>
    <n v="0"/>
    <n v="0"/>
    <s v="COM VARANDA"/>
    <n v="0.5"/>
    <s v="COM SUÍTE"/>
    <n v="0.5"/>
    <n v="1500"/>
    <n v="3000"/>
    <s v="COM VAGA EM SOLO"/>
    <n v="348"/>
    <n v="1.0874999999999999"/>
    <s v="SEM VAGA MOTO"/>
    <n v="58"/>
    <s v="SEM VAGA PILOTIS"/>
    <n v="0"/>
    <x v="0"/>
    <n v="0"/>
    <n v="2175"/>
    <n v="0"/>
    <n v="0"/>
    <n v="0"/>
    <n v="5435"/>
    <s v="ACAB 03"/>
    <n v="1799.3202500000002"/>
    <s v="LZ 03"/>
    <n v="4500"/>
    <s v="TIP 03"/>
    <n v="2175"/>
    <s v="VAGA 02"/>
    <n v="2468.125"/>
    <s v="ELEV 01"/>
    <n v="16377.445250000001"/>
    <s v="BIO"/>
    <s v="-"/>
    <n v="13909.320250000001"/>
    <s v="BIO"/>
    <s v="BIO"/>
    <s v="-"/>
    <s v="BIO"/>
    <s v="ADERÊNTE"/>
    <n v="13909.320250000001"/>
    <s v="BIO"/>
    <s v="-"/>
    <n v="7234.3202500000007"/>
    <s v="BIO"/>
    <x v="2"/>
    <x v="0"/>
    <x v="0"/>
  </r>
  <r>
    <n v="92"/>
    <s v="Residencial Tokyo"/>
    <x v="6"/>
    <n v="320"/>
    <s v="De 200 a 400 und"/>
    <x v="1"/>
    <n v="5"/>
    <n v="8"/>
    <m/>
    <m/>
    <n v="5"/>
    <n v="5"/>
    <n v="1"/>
    <x v="2"/>
    <s v="COM PISO (Cerâmica)"/>
    <s v="COM PISO (Cerâmica)"/>
    <s v="ATÉ 1,5"/>
    <s v="LISO"/>
    <s v="COMBO 02"/>
    <s v="GRANITO"/>
    <s v="VIDRO SIMPLE (2 FOLHAS)"/>
    <n v="2430"/>
    <n v="260"/>
    <n v="900"/>
    <n v="935"/>
    <n v="930"/>
    <n v="240"/>
    <n v="720"/>
    <s v="SALÃO DE FESTAS"/>
    <n v="1"/>
    <s v="CHURRASQUEIRA"/>
    <n v="1"/>
    <s v="QUADRA RECREATIVA"/>
    <n v="1"/>
    <s v="PET PLACE"/>
    <n v="1"/>
    <s v="FUNCIONAL"/>
    <n v="1"/>
    <s v="PISCINA"/>
    <n v="1"/>
    <s v="PLAYGROUND"/>
    <n v="1"/>
    <s v="BICICLETÁRIO"/>
    <n v="1"/>
    <m/>
    <m/>
    <m/>
    <m/>
    <n v="384.86531249999996"/>
    <n v="266.09100000000001"/>
    <n v="393.96449999999999"/>
    <n v="21.71875"/>
    <n v="33.71875"/>
    <n v="859.89868750000005"/>
    <n v="72.34375"/>
    <n v="16.5625"/>
    <n v="0"/>
    <n v="0"/>
    <s v="COM VARANDA"/>
    <n v="0.9375"/>
    <s v="COM SUÍTE"/>
    <n v="0.5"/>
    <n v="2812.5"/>
    <n v="3000"/>
    <s v="COM VAGA EM SOLO"/>
    <n v="348"/>
    <n v="1.0874999999999999"/>
    <s v="COM VAGA MOTO"/>
    <n v="24"/>
    <s v="SEM VAGA PILOTIS"/>
    <n v="0"/>
    <x v="0"/>
    <n v="0"/>
    <n v="2175"/>
    <n v="75"/>
    <n v="0"/>
    <n v="0"/>
    <n v="5435"/>
    <s v="ACAB 03"/>
    <n v="2049.1632500000001"/>
    <s v="LZ 03"/>
    <n v="5812.5"/>
    <s v="TIP 03"/>
    <n v="2250"/>
    <s v="VAGA 02"/>
    <n v="2468.125"/>
    <s v="ELEV 01"/>
    <n v="18014.788249999998"/>
    <s v="BIO"/>
    <s v="-"/>
    <n v="15546.66325"/>
    <s v="BIO"/>
    <s v="BIO"/>
    <s v="-"/>
    <s v="BIO"/>
    <s v="ADERÊNTE"/>
    <n v="15546.66325"/>
    <s v="BIO"/>
    <s v="-"/>
    <n v="7484.1632499999996"/>
    <s v="BIO"/>
    <x v="2"/>
    <x v="0"/>
    <x v="0"/>
  </r>
  <r>
    <n v="96"/>
    <s v="Gran Porto"/>
    <x v="6"/>
    <n v="392"/>
    <s v="De 200 a 400 und"/>
    <x v="1"/>
    <n v="4"/>
    <n v="13"/>
    <m/>
    <m/>
    <n v="4"/>
    <n v="8"/>
    <n v="2"/>
    <x v="2"/>
    <s v="COM PISO (Cerâmica)"/>
    <s v="COM PISO (Cerâmica)"/>
    <s v="ATÉ 1,5"/>
    <s v="LISO"/>
    <s v="COMBO 02"/>
    <s v="GRANITO"/>
    <s v="VIDRO SIMPLE (2 FOLHAS)"/>
    <n v="2430"/>
    <n v="260"/>
    <n v="900"/>
    <n v="935"/>
    <n v="930"/>
    <n v="240"/>
    <n v="720"/>
    <s v="BICICLETÁRIO"/>
    <n v="2"/>
    <s v="PISCINA"/>
    <n v="1"/>
    <s v="PLAYGROUND"/>
    <n v="1"/>
    <s v="PET PLACE"/>
    <n v="1"/>
    <s v="CHURRASQUEIRA"/>
    <n v="1"/>
    <s v="SALÃO DE FESTAS"/>
    <n v="1"/>
    <m/>
    <m/>
    <m/>
    <m/>
    <m/>
    <m/>
    <m/>
    <m/>
    <n v="27.040816326530614"/>
    <n v="701.95811224489796"/>
    <n v="59.056122448979593"/>
    <n v="17.729591836734695"/>
    <n v="217.21714285714285"/>
    <n v="314.17576530612246"/>
    <n v="0"/>
    <n v="0"/>
    <n v="0"/>
    <n v="0"/>
    <s v="COM VARANDA"/>
    <n v="0.97"/>
    <s v="COM SUÍTE"/>
    <n v="0.53"/>
    <n v="2910"/>
    <n v="3180"/>
    <s v="COM VAGA EM SOLO"/>
    <n v="445"/>
    <n v="1.135204081632653"/>
    <s v="SEM VAGA MOTO"/>
    <n v="0"/>
    <s v="SEM VAGA PILOTIS"/>
    <n v="0"/>
    <x v="0"/>
    <n v="0"/>
    <n v="2270.408163265306"/>
    <n v="0"/>
    <n v="0"/>
    <n v="0"/>
    <n v="5435"/>
    <s v="ACAB 03"/>
    <n v="1337.1775510204081"/>
    <s v="LZ 02"/>
    <n v="6090"/>
    <s v="TIP 03"/>
    <n v="2270.408163265306"/>
    <s v="VAGA 02"/>
    <n v="4451.5714285714284"/>
    <s v="ELEV 03"/>
    <n v="19584.157142857141"/>
    <s v="BIO"/>
    <s v="-"/>
    <n v="15132.585714285713"/>
    <s v="BIO"/>
    <s v="BIO"/>
    <s v="-"/>
    <s v="BIO"/>
    <s v="ADERÊNTE"/>
    <n v="15132.585714285713"/>
    <s v="BIO"/>
    <s v="-"/>
    <n v="6772.1775510204079"/>
    <s v="BIO"/>
    <x v="2"/>
    <x v="0"/>
    <x v="0"/>
  </r>
  <r>
    <n v="101"/>
    <s v="Mirante Dos Coqueiros"/>
    <x v="0"/>
    <n v="216"/>
    <s v="De 200 a 400 und"/>
    <x v="1"/>
    <n v="2"/>
    <n v="9"/>
    <m/>
    <m/>
    <n v="2"/>
    <n v="4"/>
    <n v="2"/>
    <x v="2"/>
    <s v="COM PISO (Cerâmica)"/>
    <s v="COM PISO (Cerâmica)"/>
    <s v="1 FIADA"/>
    <s v="LISO"/>
    <s v="COMBO 02"/>
    <s v="GRANITO"/>
    <s v="VIDRO SIMPLE (2 FOLHAS)"/>
    <n v="2430"/>
    <n v="260"/>
    <n v="600"/>
    <n v="935"/>
    <n v="930"/>
    <n v="240"/>
    <n v="720"/>
    <s v="PLAYGROUND"/>
    <n v="1"/>
    <s v="BICICLETÁRIO"/>
    <n v="6"/>
    <s v="SALÃO DE FESTAS"/>
    <n v="1"/>
    <s v="FUNCIONAL"/>
    <n v="1"/>
    <s v="PET PLACE"/>
    <n v="1"/>
    <s v="PISCINA"/>
    <n v="1"/>
    <s v="KIDS"/>
    <n v="1"/>
    <s v="QUADRA RECREATIVA"/>
    <n v="1"/>
    <s v="GAZEBO"/>
    <n v="1"/>
    <s v="CHURRASQUEIRA"/>
    <n v="2"/>
    <n v="107.17592592592592"/>
    <n v="147.22222222222223"/>
    <n v="570.17083333333335"/>
    <n v="49.953703703703702"/>
    <n v="32.175925925925924"/>
    <n v="1273.9239814814816"/>
    <n v="287.76074074074074"/>
    <n v="583.65111111111116"/>
    <n v="75"/>
    <n v="788.4177777777777"/>
    <s v="COM VARANDA"/>
    <n v="0.89"/>
    <s v="COM SUÍTE"/>
    <n v="0.33"/>
    <n v="2670"/>
    <n v="1980"/>
    <s v="COM VAGA EM SOLO"/>
    <n v="253"/>
    <n v="1.1712962962962963"/>
    <s v="COM VAGA MOTO"/>
    <n v="6"/>
    <s v="SEM VAGA PILOTIS"/>
    <n v="0"/>
    <x v="0"/>
    <n v="0"/>
    <n v="2342.5925925925926"/>
    <n v="27.777777777777779"/>
    <n v="0"/>
    <n v="0"/>
    <n v="5135"/>
    <s v="ACAB 03"/>
    <n v="3915.4522222222226"/>
    <s v="LZ 04"/>
    <n v="4650"/>
    <s v="TIP 03"/>
    <n v="2370.3703703703704"/>
    <s v="VAGA 02"/>
    <n v="3290.8333333333335"/>
    <s v="ELEV 03"/>
    <n v="19361.655925925927"/>
    <s v="BIO"/>
    <s v="-"/>
    <n v="16070.822592592593"/>
    <s v="BIO"/>
    <s v="BIO"/>
    <s v="-"/>
    <s v="BIO"/>
    <s v="ADERÊNTE"/>
    <n v="16070.822592592593"/>
    <s v="BIO"/>
    <s v="-"/>
    <n v="9050.4522222222222"/>
    <s v="BIO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52AB9-60E4-4433-AD58-184C55469C7F}" name="Tabela dinâmica3" cacheId="1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>
  <location ref="I45:M47" firstHeaderRow="1" firstDataRow="2" firstDataCol="1" rowPageCount="2" colPageCount="1"/>
  <pivotFields count="104"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showAll="0"/>
    <pivotField numFmtId="9" showAll="0"/>
    <pivotField showAll="0"/>
    <pivotField showAll="0"/>
    <pivotField numFmtId="44" showAll="0"/>
    <pivotField numFmtId="44" showAll="0"/>
    <pivotField showAll="0"/>
    <pivotField showAll="0"/>
    <pivotField numFmtId="9" showAll="0"/>
    <pivotField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numFmtId="44" showAll="0"/>
    <pivotField numFmtId="44" showAll="0"/>
    <pivotField showAll="0"/>
    <pivotField numFmtId="44" showAll="0"/>
    <pivotField numFmtId="44" showAll="0"/>
    <pivotField showAll="0"/>
    <pivotField numFmtId="44" showAll="0"/>
    <pivotField showAll="0"/>
    <pivotField numFmtId="44" showAll="0"/>
    <pivotField showAll="0"/>
    <pivotField numFmtId="44" showAll="0"/>
    <pivotField showAll="0"/>
    <pivotField numFmtId="44" showAll="0"/>
    <pivotField showAll="0"/>
    <pivotField numFmtId="44"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  <pivotField showAll="0"/>
  </pivotFields>
  <rowItems count="1">
    <i/>
  </rowItems>
  <colFields count="1">
    <field x="101"/>
  </colFields>
  <colItems count="4">
    <i>
      <x/>
    </i>
    <i>
      <x v="1"/>
    </i>
    <i>
      <x v="2"/>
    </i>
    <i t="grand">
      <x/>
    </i>
  </colItems>
  <pageFields count="2">
    <pageField fld="5" hier="-1"/>
    <pageField fld="71" hier="-1"/>
  </pageFields>
  <dataFields count="1">
    <dataField name="Contagem de R. INTERSEÇÃO" fld="10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12CC4-1A29-4589-B786-49331470B437}" name="Tabela dinâmica5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E8" firstHeaderRow="1" firstDataRow="2" firstDataCol="1"/>
  <pivotFields count="6"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 sortType="descending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ntagem de EMPREENDIMENTO" fld="0" subtotal="count" showDataAs="percentOfCol" baseField="1" baseItem="1" numFmtId="10"/>
  </dataFields>
  <formats count="8">
    <format dxfId="73">
      <pivotArea field="1" type="button" dataOnly="0" labelOnly="1" outline="0" axis="axisRow" fieldPosition="0"/>
    </format>
    <format dxfId="72">
      <pivotArea dataOnly="0" labelOnly="1" fieldPosition="0">
        <references count="1">
          <reference field="1" count="0"/>
        </references>
      </pivotArea>
    </format>
    <format dxfId="71">
      <pivotArea dataOnly="0" labelOnly="1" grandRow="1" outline="0" fieldPosition="0"/>
    </format>
    <format dxfId="70">
      <pivotArea dataOnly="0" labelOnly="1" fieldPosition="0">
        <references count="1">
          <reference field="5" count="0"/>
        </references>
      </pivotArea>
    </format>
    <format dxfId="69">
      <pivotArea dataOnly="0" labelOnly="1" grandCol="1" outline="0" fieldPosition="0"/>
    </format>
    <format dxfId="68">
      <pivotArea outline="0" fieldPosition="0">
        <references count="1">
          <reference field="4294967294" count="1">
            <x v="0"/>
          </reference>
        </references>
      </pivotArea>
    </format>
    <format dxfId="67">
      <pivotArea outline="0" collapsedLevelsAreSubtotals="1" fieldPosition="0"/>
    </format>
    <format dxfId="66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656E73-14CB-47B2-AC5A-A684E0848687}" name="Tabela dinâmica5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5:B39" firstHeaderRow="1" firstDataRow="1" firstDataCol="1"/>
  <pivotFields count="6">
    <pivotField dataField="1" showAll="0"/>
    <pivotField showAll="0">
      <items count="4">
        <item x="0"/>
        <item x="1"/>
        <item x="2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 sortType="descending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EMPREENDIMENTO" fld="0" subtotal="count" baseField="1" baseItem="1"/>
  </dataFields>
  <formats count="6">
    <format dxfId="79">
      <pivotArea field="1" type="button" dataOnly="0" labelOnly="1" outline="0"/>
    </format>
    <format dxfId="78">
      <pivotArea dataOnly="0" labelOnly="1" grandRow="1" outline="0" fieldPosition="0"/>
    </format>
    <format dxfId="77">
      <pivotArea dataOnly="0" labelOnly="1" fieldPosition="0">
        <references count="1">
          <reference field="5" count="0"/>
        </references>
      </pivotArea>
    </format>
    <format dxfId="76">
      <pivotArea dataOnly="0" labelOnly="1" grandCol="1" outline="0" fieldPosition="0"/>
    </format>
    <format dxfId="75">
      <pivotArea outline="0" collapsedLevelsAreSubtotals="1" fieldPosition="0"/>
    </format>
    <format dxfId="7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491D2-BD17-48BF-B3F3-5B3927D71563}" name="Tabela dinâmica5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27:E32" firstHeaderRow="1" firstDataRow="2" firstDataCol="1"/>
  <pivotFields count="6">
    <pivotField dataField="1" showAll="0"/>
    <pivotField showAll="0">
      <items count="4">
        <item x="0"/>
        <item x="1"/>
        <item x="2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 sortType="descending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ntagem de EMPREENDIMENTO" fld="0" subtotal="count" showDataAs="percentOfCol" baseField="1" baseItem="1" numFmtId="10"/>
  </dataFields>
  <formats count="7">
    <format dxfId="86">
      <pivotArea field="1" type="button" dataOnly="0" labelOnly="1" outline="0"/>
    </format>
    <format dxfId="85">
      <pivotArea dataOnly="0" labelOnly="1" grandRow="1" outline="0" fieldPosition="0"/>
    </format>
    <format dxfId="84">
      <pivotArea dataOnly="0" labelOnly="1" fieldPosition="0">
        <references count="1">
          <reference field="5" count="0"/>
        </references>
      </pivotArea>
    </format>
    <format dxfId="83">
      <pivotArea dataOnly="0" labelOnly="1" grandCol="1" outline="0" fieldPosition="0"/>
    </format>
    <format dxfId="82">
      <pivotArea outline="0" fieldPosition="0">
        <references count="1">
          <reference field="4294967294" count="1">
            <x v="0"/>
          </reference>
        </references>
      </pivotArea>
    </format>
    <format dxfId="81">
      <pivotArea outline="0" collapsedLevelsAreSubtotals="1" fieldPosition="0"/>
    </format>
    <format dxfId="80">
      <pivotArea collapsedLevelsAreSubtotals="1" fieldPosition="0">
        <references count="2">
          <reference field="4" count="0"/>
          <reference field="5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FCA05-EA20-4E6A-A117-DD5B25F32B58}" name="Tabela dinâmica1" cacheId="1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8">
  <location ref="A45:E47" firstHeaderRow="1" firstDataRow="2" firstDataCol="1" rowPageCount="2" colPageCount="1"/>
  <pivotFields count="104"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showAll="0"/>
    <pivotField numFmtId="9" showAll="0"/>
    <pivotField showAll="0"/>
    <pivotField showAll="0"/>
    <pivotField numFmtId="44" showAll="0"/>
    <pivotField numFmtId="44" showAll="0"/>
    <pivotField showAll="0"/>
    <pivotField showAll="0"/>
    <pivotField numFmtId="9" showAll="0"/>
    <pivotField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numFmtId="44" showAll="0"/>
    <pivotField numFmtId="44" showAll="0"/>
    <pivotField showAll="0"/>
    <pivotField numFmtId="44" showAll="0"/>
    <pivotField numFmtId="44" showAll="0"/>
    <pivotField showAll="0"/>
    <pivotField numFmtId="44" showAll="0"/>
    <pivotField showAll="0"/>
    <pivotField numFmtId="44" showAll="0"/>
    <pivotField showAll="0"/>
    <pivotField numFmtId="44" showAll="0"/>
    <pivotField showAll="0"/>
    <pivotField numFmtId="44" showAll="0"/>
    <pivotField showAll="0"/>
    <pivotField numFmtId="44"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3"/>
  </colFields>
  <colItems count="4">
    <i>
      <x/>
    </i>
    <i>
      <x v="1"/>
    </i>
    <i>
      <x v="2"/>
    </i>
    <i t="grand">
      <x/>
    </i>
  </colItems>
  <pageFields count="2">
    <pageField fld="5" hier="-1"/>
    <pageField fld="71" hier="-1"/>
  </pageFields>
  <dataFields count="1">
    <dataField name="Contagem de PRODUTO ATUAL 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9A3B1-F4F2-4F58-816C-30AC2659677D}" name="Tabela dinâmica2" cacheId="1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8">
  <location ref="A5:E10" firstHeaderRow="1" firstDataRow="2" firstDataCol="1" rowPageCount="2" colPageCount="1"/>
  <pivotFields count="104"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showAll="0"/>
    <pivotField numFmtId="9" showAll="0"/>
    <pivotField showAll="0"/>
    <pivotField showAll="0"/>
    <pivotField numFmtId="44" showAll="0"/>
    <pivotField numFmtId="44" showAll="0"/>
    <pivotField showAll="0"/>
    <pivotField showAll="0"/>
    <pivotField numFmtId="9" showAll="0"/>
    <pivotField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numFmtId="44" showAll="0"/>
    <pivotField numFmtId="44" showAll="0"/>
    <pivotField showAll="0"/>
    <pivotField numFmtId="44" showAll="0"/>
    <pivotField dataField="1" numFmtId="44" showAll="0"/>
    <pivotField showAll="0"/>
    <pivotField dataField="1" numFmtId="44" showAll="0"/>
    <pivotField showAll="0"/>
    <pivotField dataField="1" numFmtId="44" showAll="0"/>
    <pivotField showAll="0"/>
    <pivotField dataField="1" numFmtId="44" showAll="0"/>
    <pivotField showAll="0"/>
    <pivotField numFmtId="44" showAll="0"/>
    <pivotField showAll="0"/>
    <pivotField numFmtId="44"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13"/>
  </colFields>
  <colItems count="4">
    <i>
      <x/>
    </i>
    <i>
      <x v="1"/>
    </i>
    <i>
      <x v="2"/>
    </i>
    <i t="grand">
      <x/>
    </i>
  </colItems>
  <pageFields count="2">
    <pageField fld="5" hier="-1"/>
    <pageField fld="71" hier="-1"/>
  </pageFields>
  <dataFields count="4">
    <dataField name="Média de TOTAL  ACAB" fld="77" subtotal="average" baseField="0" baseItem="1" numFmtId="44"/>
    <dataField name="Média de TOTAL LAZER " fld="79" subtotal="average" baseField="0" baseItem="1" numFmtId="44"/>
    <dataField name="Média de TOTAL TIPOLOGIA" fld="81" subtotal="average" baseField="0" baseItem="1" numFmtId="44"/>
    <dataField name="Média de TOTAL VAGA" fld="83" subtotal="average" baseField="0" baseItem="1" numFmtId="44"/>
  </dataFields>
  <chartFormats count="3"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787BC-00CE-4B59-9AA0-94832428B394}" name="Tabela dinâmica5" cacheId="1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>
  <location ref="I5:M10" firstHeaderRow="1" firstDataRow="2" firstDataCol="1" rowPageCount="2" colPageCount="1"/>
  <pivotFields count="104"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showAll="0"/>
    <pivotField numFmtId="9" showAll="0"/>
    <pivotField showAll="0"/>
    <pivotField showAll="0"/>
    <pivotField numFmtId="44" showAll="0"/>
    <pivotField numFmtId="44" showAll="0"/>
    <pivotField showAll="0"/>
    <pivotField showAll="0"/>
    <pivotField numFmtId="9" showAll="0"/>
    <pivotField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numFmtId="44" showAll="0"/>
    <pivotField numFmtId="44" showAll="0"/>
    <pivotField showAll="0"/>
    <pivotField numFmtId="44" showAll="0"/>
    <pivotField dataField="1" numFmtId="44" showAll="0"/>
    <pivotField showAll="0"/>
    <pivotField dataField="1" numFmtId="44" showAll="0"/>
    <pivotField showAll="0"/>
    <pivotField dataField="1" numFmtId="44" showAll="0"/>
    <pivotField showAll="0"/>
    <pivotField dataField="1" numFmtId="44" showAll="0"/>
    <pivotField showAll="0"/>
    <pivotField numFmtId="44" showAll="0"/>
    <pivotField showAll="0"/>
    <pivotField numFmtId="44"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101"/>
  </colFields>
  <colItems count="4">
    <i>
      <x/>
    </i>
    <i>
      <x v="1"/>
    </i>
    <i>
      <x v="2"/>
    </i>
    <i t="grand">
      <x/>
    </i>
  </colItems>
  <pageFields count="2">
    <pageField fld="5" hier="-1"/>
    <pageField fld="71" hier="-1"/>
  </pageFields>
  <dataFields count="4">
    <dataField name="Média de TOTAL  ACAB" fld="77" subtotal="average" baseField="0" baseItem="1" numFmtId="44"/>
    <dataField name="Média de TOTAL LAZER " fld="79" subtotal="average" baseField="0" baseItem="1" numFmtId="44"/>
    <dataField name="Média de TOTAL TIPOLOGIA" fld="81" subtotal="average" baseField="0" baseItem="1" numFmtId="44"/>
    <dataField name="Média de TOTAL VAGA" fld="83" subtotal="average" baseField="0" baseItem="1" numFmtId="44"/>
  </dataFields>
  <chartFormats count="5"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101" count="1" selected="0">
            <x v="1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101" count="1" selected="0">
            <x v="2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10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95E51-8E58-4DD2-83E0-0581621CCF82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0">
  <location ref="A21:B24" firstHeaderRow="1" firstDataRow="1" firstDataCol="1"/>
  <pivotFields count="104">
    <pivotField showAll="0"/>
    <pivotField dataField="1" showAll="0"/>
    <pivotField multipleItemSelectionAllowed="1"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showAll="0"/>
    <pivotField numFmtId="9" showAll="0"/>
    <pivotField showAll="0"/>
    <pivotField showAll="0"/>
    <pivotField numFmtId="44" showAll="0"/>
    <pivotField numFmtId="44"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showAll="0"/>
    <pivotField numFmtId="44" showAll="0"/>
    <pivotField numFmtId="44" showAll="0"/>
    <pivotField showAll="0"/>
    <pivotField numFmtId="44" showAll="0"/>
    <pivotField showAll="0"/>
    <pivotField numFmtId="44" showAll="0"/>
    <pivotField showAll="0"/>
    <pivotField numFmtId="44" showAll="0"/>
    <pivotField showAll="0"/>
    <pivotField numFmtId="44" showAll="0"/>
    <pivotField showAll="0"/>
    <pivotField numFmtId="44"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102"/>
  </rowFields>
  <rowItems count="3">
    <i>
      <x/>
    </i>
    <i>
      <x v="1"/>
    </i>
    <i t="grand">
      <x/>
    </i>
  </rowItems>
  <colItems count="1">
    <i/>
  </colItems>
  <dataFields count="1">
    <dataField name="Contagem de EMPREENDIMENTO" fld="1" subtotal="count" baseField="0" baseItem="0"/>
  </dataFields>
  <chartFormats count="3">
    <chartFormat chart="2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8">
      <pivotArea type="data" outline="0" fieldPosition="0">
        <references count="2">
          <reference field="4294967294" count="1" selected="0">
            <x v="0"/>
          </reference>
          <reference field="102" count="1" selected="0">
            <x v="0"/>
          </reference>
        </references>
      </pivotArea>
    </chartFormat>
    <chartFormat chart="21" format="9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047BD-4171-4CBA-90BF-38F2F309B74A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6">
  <location ref="A40:B43" firstHeaderRow="1" firstDataRow="1" firstDataCol="1"/>
  <pivotFields count="104">
    <pivotField showAll="0"/>
    <pivotField dataField="1" showAll="0"/>
    <pivotField multipleItemSelectionAllowed="1"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showAll="0"/>
    <pivotField numFmtId="9" showAll="0"/>
    <pivotField showAll="0"/>
    <pivotField showAll="0"/>
    <pivotField numFmtId="44" showAll="0"/>
    <pivotField numFmtId="44"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showAll="0"/>
    <pivotField numFmtId="44" showAll="0"/>
    <pivotField numFmtId="44" showAll="0"/>
    <pivotField showAll="0"/>
    <pivotField numFmtId="44" showAll="0"/>
    <pivotField showAll="0"/>
    <pivotField numFmtId="44" showAll="0"/>
    <pivotField showAll="0"/>
    <pivotField numFmtId="44" showAll="0"/>
    <pivotField showAll="0"/>
    <pivotField numFmtId="44" showAll="0"/>
    <pivotField showAll="0"/>
    <pivotField numFmtId="44"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03"/>
  </rowFields>
  <rowItems count="3">
    <i>
      <x/>
    </i>
    <i>
      <x v="1"/>
    </i>
    <i t="grand">
      <x/>
    </i>
  </rowItems>
  <colItems count="1">
    <i/>
  </colItems>
  <dataFields count="1">
    <dataField name="Contagem de EMPREENDIMENTO" fld="1" subtotal="count" baseField="0" baseItem="0"/>
  </dataFields>
  <chartFormats count="4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>
      <pivotArea type="data" outline="0" fieldPosition="0">
        <references count="2">
          <reference field="4294967294" count="1" selected="0">
            <x v="0"/>
          </reference>
          <reference field="103" count="1" selected="0">
            <x v="0"/>
          </reference>
        </references>
      </pivotArea>
    </chartFormat>
    <chartFormat chart="32" format="2">
      <pivotArea type="data" outline="0" fieldPosition="0">
        <references count="2">
          <reference field="4294967294" count="1" selected="0">
            <x v="0"/>
          </reference>
          <reference field="10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E956C7-3F07-41C7-AA5E-56C5117FDD0D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6">
  <location ref="A6:D15" firstHeaderRow="1" firstDataRow="2" firstDataCol="1"/>
  <pivotFields count="104">
    <pivotField showAll="0"/>
    <pivotField dataField="1" showAll="0"/>
    <pivotField axis="axisRow" multipleItemSelectionAllowed="1" showAll="0">
      <items count="10">
        <item x="6"/>
        <item x="5"/>
        <item m="1" x="8"/>
        <item x="0"/>
        <item x="2"/>
        <item x="1"/>
        <item x="3"/>
        <item x="4"/>
        <item h="1" x="7"/>
        <item t="default"/>
      </items>
    </pivotField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showAll="0"/>
    <pivotField numFmtId="9" showAll="0"/>
    <pivotField showAll="0"/>
    <pivotField showAll="0"/>
    <pivotField numFmtId="44" showAll="0"/>
    <pivotField numFmtId="44"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showAll="0"/>
    <pivotField numFmtId="44" showAll="0"/>
    <pivotField numFmtId="44" showAll="0"/>
    <pivotField showAll="0"/>
    <pivotField numFmtId="44" showAll="0"/>
    <pivotField showAll="0"/>
    <pivotField numFmtId="44" showAll="0"/>
    <pivotField showAll="0"/>
    <pivotField numFmtId="44" showAll="0"/>
    <pivotField showAll="0"/>
    <pivotField numFmtId="44" showAll="0"/>
    <pivotField showAll="0"/>
    <pivotField numFmtId="44"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2"/>
  </rowFields>
  <rowItems count="8">
    <i>
      <x/>
    </i>
    <i>
      <x v="1"/>
    </i>
    <i>
      <x v="3"/>
    </i>
    <i>
      <x v="4"/>
    </i>
    <i>
      <x v="5"/>
    </i>
    <i>
      <x v="6"/>
    </i>
    <i>
      <x v="7"/>
    </i>
    <i t="grand">
      <x/>
    </i>
  </rowItems>
  <colFields count="1">
    <field x="102"/>
  </colFields>
  <colItems count="3">
    <i>
      <x/>
    </i>
    <i>
      <x v="1"/>
    </i>
    <i t="grand">
      <x/>
    </i>
  </colItems>
  <dataFields count="1">
    <dataField name="Contagem de EMPREENDIMENTO" fld="1" subtotal="count" showDataAs="percentOfRow" baseField="2" baseItem="1" numFmtId="10"/>
  </dataFields>
  <formats count="1">
    <format dxfId="87">
      <pivotArea collapsedLevelsAreSubtotals="1" fieldPosition="0">
        <references count="1">
          <reference field="2" count="0"/>
        </references>
      </pivotArea>
    </format>
  </formats>
  <chartFormats count="2"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0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9B644-A7D7-44CB-B015-ADB01E19D9C5}" name="Tabela dinâmica5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20:E25" firstHeaderRow="1" firstDataRow="2" firstDataCol="1"/>
  <pivotFields count="6">
    <pivotField dataField="1" showAll="0"/>
    <pivotField showAll="0">
      <items count="4">
        <item x="0"/>
        <item x="1"/>
        <item x="2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Col" showAll="0" sortType="descending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ntagem de EMPREENDIMENTO" fld="0" subtotal="count" showDataAs="percentOfCol" baseField="1" baseItem="1" numFmtId="10"/>
  </dataFields>
  <formats count="7">
    <format dxfId="58">
      <pivotArea field="1" type="button" dataOnly="0" labelOnly="1" outline="0"/>
    </format>
    <format dxfId="57">
      <pivotArea dataOnly="0" labelOnly="1" grandRow="1" outline="0" fieldPosition="0"/>
    </format>
    <format dxfId="56">
      <pivotArea dataOnly="0" labelOnly="1" fieldPosition="0">
        <references count="1">
          <reference field="5" count="0"/>
        </references>
      </pivotArea>
    </format>
    <format dxfId="55">
      <pivotArea dataOnly="0" labelOnly="1" grandCol="1" outline="0" fieldPosition="0"/>
    </format>
    <format dxfId="54">
      <pivotArea outline="0" fieldPosition="0">
        <references count="1">
          <reference field="4294967294" count="1">
            <x v="0"/>
          </reference>
        </references>
      </pivotArea>
    </format>
    <format dxfId="53">
      <pivotArea outline="0" collapsedLevelsAreSubtotals="1" fieldPosition="0"/>
    </format>
    <format dxfId="52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DFEEAC-0DF3-435A-B057-2B1F3BC31A88}" name="Tabela dinâmica5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11:E17" firstHeaderRow="1" firstDataRow="2" firstDataCol="1"/>
  <pivotFields count="6">
    <pivotField dataField="1" showAll="0"/>
    <pivotField showAll="0">
      <items count="4">
        <item x="0"/>
        <item x="1"/>
        <item x="2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axis="axisCol" showAll="0" sortType="descending">
      <items count="4">
        <item x="0"/>
        <item x="1"/>
        <item x="2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ntagem de EMPREENDIMENTO" fld="0" subtotal="count" showDataAs="percentOfCol" baseField="1" baseItem="1" numFmtId="10"/>
  </dataFields>
  <formats count="7">
    <format dxfId="65">
      <pivotArea field="1" type="button" dataOnly="0" labelOnly="1" outline="0"/>
    </format>
    <format dxfId="64">
      <pivotArea dataOnly="0" labelOnly="1" grandRow="1" outline="0" fieldPosition="0"/>
    </format>
    <format dxfId="63">
      <pivotArea dataOnly="0" labelOnly="1" fieldPosition="0">
        <references count="1">
          <reference field="5" count="0"/>
        </references>
      </pivotArea>
    </format>
    <format dxfId="62">
      <pivotArea dataOnly="0" labelOnly="1" grandCol="1" outline="0" fieldPosition="0"/>
    </format>
    <format dxfId="61">
      <pivotArea outline="0" fieldPosition="0">
        <references count="1">
          <reference field="4294967294" count="1">
            <x v="0"/>
          </reference>
        </references>
      </pivotArea>
    </format>
    <format dxfId="60">
      <pivotArea outline="0" collapsedLevelsAreSubtotals="1" fieldPosition="0"/>
    </format>
    <format dxfId="59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ED1307-5A7C-44CB-A2FE-8386FE9D87F4}" name="Tabela13" displayName="Tabela13" ref="B2:DA104" totalsRowShown="0" headerRowDxfId="301" dataDxfId="300" tableBorderDxfId="299">
  <autoFilter ref="B2:DA104" xr:uid="{840BE4D2-AACD-4237-B1B4-A855673C6E91}">
    <filterColumn colId="98">
      <filters>
        <filter val="ECO/BIO"/>
        <filter val="ESSENCIAL/ECO"/>
      </filters>
    </filterColumn>
  </autoFilter>
  <tableColumns count="104">
    <tableColumn id="1" xr3:uid="{91216FC9-5A0F-412C-91D7-F3593CBA090B}" name="Coluna1" dataDxfId="298"/>
    <tableColumn id="2" xr3:uid="{FEDCBB01-8E1C-4980-B294-C181354AEC5C}" name="EMPREENDIMENTO" dataDxfId="297"/>
    <tableColumn id="3" xr3:uid="{E8F2E4A2-6B8E-440D-BA23-917E62EADB8F}" name="REG" dataDxfId="296"/>
    <tableColumn id="4" xr3:uid="{6855362D-2CD8-4CAC-AA76-42B0E6B02739}" name="Nº UNDS" dataDxfId="295"/>
    <tableColumn id="5" xr3:uid="{CF115EB4-646C-4AC1-8D0A-10DEAA69AC25}" name="INTERVALO UND" dataDxfId="294">
      <calculatedColumnFormula>IF(E3&lt;=200,"Até 200 und",IF(E3&lt;=400,"De 200 a 400 und",IF(E3&gt;=401,"Acima de 400 und")))</calculatedColumnFormula>
    </tableColumn>
    <tableColumn id="78" xr3:uid="{393D4036-7724-437A-B103-4B6C43FACCEE}" name="TIPO" dataDxfId="293"/>
    <tableColumn id="79" xr3:uid="{3876581C-CC27-43BA-A431-7430767346D0}" name="QTD DE B/T" dataDxfId="292" dataCellStyle="Moeda"/>
    <tableColumn id="84" xr3:uid="{9117934B-56FB-493B-96E4-00BCBDF697AC}" name="Nº PAV1" dataDxfId="291" dataCellStyle="Moeda"/>
    <tableColumn id="75" xr3:uid="{7EFF1E66-C11E-40A8-8A55-E7A9A233B0AC}" name="QTD DE B/T 2" dataDxfId="290" dataCellStyle="Moeda"/>
    <tableColumn id="52" xr3:uid="{BFE7DDB5-3C56-4467-9F20-513B81903FF1}" name="Nº PAV2" dataDxfId="289" dataCellStyle="Moeda"/>
    <tableColumn id="76" xr3:uid="{22940D7A-E69D-40A8-844F-CD07C41A4348}" name="BLOCO TOTAL" dataDxfId="288" dataCellStyle="Moeda">
      <calculatedColumnFormula>SUM(Tabela13[[#This Row],[QTD DE B/T 2]],Tabela13[[#This Row],[QTD DE B/T]])</calculatedColumnFormula>
    </tableColumn>
    <tableColumn id="83" xr3:uid="{F7106AF8-9708-455A-A84D-DE9F038DD46B}" name="ELEVADOR" dataDxfId="287"/>
    <tableColumn id="67" xr3:uid="{AFE4CCB7-66EA-48C8-A8E6-26BBBEC9F876}" name="QTD DE ELEVADOR P/BLOCO/TORRE" dataDxfId="286">
      <calculatedColumnFormula>Tabela13[[#This Row],[ELEVADOR]]/Tabela13[[#This Row],[BLOCO TOTAL]]</calculatedColumnFormula>
    </tableColumn>
    <tableColumn id="6" xr3:uid="{B077FF3B-539C-47E3-A284-6CD4BD97163F}" name="PRODUTO ATUAL " dataDxfId="285"/>
    <tableColumn id="7" xr3:uid="{2CAD0321-09C7-40F8-A86C-1D980E7D2E6D}" name="PISO SALA E QUARTO" dataDxfId="284"/>
    <tableColumn id="8" xr3:uid="{469F9284-99D3-4197-9C26-E5360DB545BB}" name="PISO COZINHA" dataDxfId="283"/>
    <tableColumn id="9" xr3:uid="{800E7939-A469-4DEF-9BBA-D97E5E9BAF62}" name="PAREDES HIDR." dataDxfId="282"/>
    <tableColumn id="10" xr3:uid="{0C24088E-DD9B-4308-8290-095788C5C5EF}" name="TETO" dataDxfId="281"/>
    <tableColumn id="11" xr3:uid="{E105B0F6-2811-4AD3-B037-0F095742CBCD}" name="BANCADA" dataDxfId="280"/>
    <tableColumn id="12" xr3:uid="{BC7BED81-F738-4B39-BF22-52F13AE9D179}" name="PEDRAS" dataDxfId="279"/>
    <tableColumn id="13" xr3:uid="{D2904514-60ED-46DF-95B4-AB15D79836A0}" name="ESQUADRIAS" dataDxfId="278"/>
    <tableColumn id="14" xr3:uid="{0343E82B-D637-45F3-970C-B1BA4CAE505E}" name="SOMA_PISO SALA E QUARTO" dataDxfId="277" dataCellStyle="Moeda">
      <calculatedColumnFormula>IF(P3=[1]BD_CUSTO!$E$4,[1]BD_CUSTO!$F$4,[1]BD_CUSTO!$F$5)</calculatedColumnFormula>
    </tableColumn>
    <tableColumn id="15" xr3:uid="{82457BEC-789F-4409-B4CB-FB5907F184BB}" name="SOMA_PISO COZINHA" dataDxfId="276" dataCellStyle="Moeda">
      <calculatedColumnFormula>IF(Q3=[1]BD_CUSTO!$E$6,[1]BD_CUSTO!$F$6,[1]BD_CUSTO!$F$7)</calculatedColumnFormula>
    </tableColumn>
    <tableColumn id="16" xr3:uid="{DC3E2482-1C9C-464F-8E30-C0E3B928287E}" name="SOMA_PAREDE HIDR" dataDxfId="275">
      <calculatedColumnFormula>IF(R3=[1]BD_CUSTO!$E$8,[1]BD_CUSTO!$F$8,[1]BD_CUSTO!$F$9)</calculatedColumnFormula>
    </tableColumn>
    <tableColumn id="17" xr3:uid="{085B885F-9821-48ED-B267-073C5BA60725}" name="SOMA_TETO" dataDxfId="274">
      <calculatedColumnFormula>IF(S3=[1]BD_CUSTO!$E$10,[1]BD_CUSTO!$F$10,[1]BD_CUSTO!$F$11)</calculatedColumnFormula>
    </tableColumn>
    <tableColumn id="18" xr3:uid="{45EC72A7-FE7F-4E22-B0A3-6D301281E697}" name="SOMA_BANCADA" dataDxfId="273">
      <calculatedColumnFormula>IF(T3=[1]BD_CUSTO!$E$12,[1]BD_CUSTO!$F$12,[1]BD_CUSTO!$F$13)</calculatedColumnFormula>
    </tableColumn>
    <tableColumn id="19" xr3:uid="{681AE13D-A650-4AD2-BE4B-DA7A31C4F9AC}" name="SOMA_PEDRAS" dataDxfId="272">
      <calculatedColumnFormula>IF(U3=[1]BD_CUSTO!$E$14,[1]BD_CUSTO!$F$14,[1]BD_CUSTO!$F$15)</calculatedColumnFormula>
    </tableColumn>
    <tableColumn id="20" xr3:uid="{541F4326-8150-4E06-957A-3FFC104FD163}" name="SOMA_ESQUADRAIS" dataDxfId="271">
      <calculatedColumnFormula>IF(V3=[1]BD_CUSTO!$E$16,[1]BD_CUSTO!$F$16,[1]BD_CUSTO!$F$17)</calculatedColumnFormula>
    </tableColumn>
    <tableColumn id="21" xr3:uid="{851BBC13-1306-45D2-B73D-0B9E84DD9D3D}" name="LZ 01" dataDxfId="270"/>
    <tableColumn id="22" xr3:uid="{552AD58F-A285-49E1-8633-FD957E683155}" name="QTD" dataDxfId="269"/>
    <tableColumn id="23" xr3:uid="{36554766-67A4-41CB-8C74-291C96A44D1D}" name="LZ 02" dataDxfId="268"/>
    <tableColumn id="24" xr3:uid="{08C178E0-8756-4956-AB8F-44EA4E7B5999}" name="QTD2" dataDxfId="267"/>
    <tableColumn id="25" xr3:uid="{1F360340-9842-4C09-99A7-DF15327F6EE4}" name="LZ 03" dataDxfId="266"/>
    <tableColumn id="26" xr3:uid="{E21D52DE-0E2B-4A77-859E-42F5E81983EC}" name="QTD3" dataDxfId="265"/>
    <tableColumn id="27" xr3:uid="{ADA9CDEA-6363-4572-8A32-09947B49A077}" name="LZ 04" dataDxfId="264"/>
    <tableColumn id="28" xr3:uid="{1159B880-4CA2-430F-93F2-94018EA4E463}" name="QTD4" dataDxfId="263"/>
    <tableColumn id="29" xr3:uid="{F8E9B090-7312-4B19-AB7B-D1A6284F4FEB}" name="LZ 05" dataDxfId="262"/>
    <tableColumn id="30" xr3:uid="{64720E25-D03B-460E-A6D8-31F1A1A0A47A}" name="QTD5" dataDxfId="261"/>
    <tableColumn id="31" xr3:uid="{C6229F80-8A65-475F-A28D-8093C95B53B1}" name="LZ 06" dataDxfId="260"/>
    <tableColumn id="32" xr3:uid="{C48DAD86-5850-49DF-B5F9-2ED3DF162D4D}" name="QTD6" dataDxfId="259"/>
    <tableColumn id="33" xr3:uid="{6180C08B-AD9B-41E3-841B-2C3C917D5B0B}" name="LZ 07" dataDxfId="258"/>
    <tableColumn id="34" xr3:uid="{DE1E540E-5A98-48CD-912C-548573055265}" name="QTD7" dataDxfId="257"/>
    <tableColumn id="35" xr3:uid="{900F202D-24FC-4328-A7DB-4DBF33FD09BD}" name="LZ 08" dataDxfId="256"/>
    <tableColumn id="36" xr3:uid="{E838A392-FA99-428E-BB18-161A3A09E64A}" name="QTD9" dataDxfId="255"/>
    <tableColumn id="81" xr3:uid="{37A7DC39-3DCF-4906-BB19-28315AAEB7B5}" name="LZ 09" dataDxfId="254"/>
    <tableColumn id="80" xr3:uid="{26CD5336-1BBE-4DF5-BF52-41FBA0ADB2FE}" name="QTD92" dataDxfId="253"/>
    <tableColumn id="85" xr3:uid="{5A1E3D3A-0467-4ACA-9AD4-247F50412302}" name="LZ 10" dataDxfId="252"/>
    <tableColumn id="86" xr3:uid="{FF7DC8EB-F86F-4CC6-980D-888E0F995163}" name="QTD922" dataDxfId="251"/>
    <tableColumn id="37" xr3:uid="{D37CDD9D-2B92-4C2A-AA76-8474C8AC086B}" name="SOMA_LZ 01" dataDxfId="250">
      <calculatedColumnFormula>IF(AD3="",0,VLOOKUP(AD3,[1]BD_CUSTO!I:J,2,0)*AE3/E3)</calculatedColumnFormula>
    </tableColumn>
    <tableColumn id="38" xr3:uid="{D268B3B3-872D-43E2-9155-7E415F48EFC6}" name="SOMA_LZ 02" dataDxfId="249">
      <calculatedColumnFormula>IF(AF3="",0,VLOOKUP(AF3,[1]BD_CUSTO!I:J,2,0)*AG3/E3)</calculatedColumnFormula>
    </tableColumn>
    <tableColumn id="39" xr3:uid="{D493059D-0434-4BE1-B76A-806106C9320E}" name="SOMA_LZ 03" dataDxfId="248">
      <calculatedColumnFormula>IF(AH3="",0,VLOOKUP(AH3,[1]BD_CUSTO!I:J,2,0)*AI3/E3)</calculatedColumnFormula>
    </tableColumn>
    <tableColumn id="40" xr3:uid="{D99DCFB0-B349-4618-9981-823457D06F2F}" name="SOMA_LZ 04" dataDxfId="247">
      <calculatedColumnFormula>IF(AJ3="",0,VLOOKUP(AJ3,[1]BD_CUSTO!I:J,2,0)*AK3/E3)</calculatedColumnFormula>
    </tableColumn>
    <tableColumn id="41" xr3:uid="{E8EB5069-E076-4FFA-98BC-2EF448D5FEEC}" name="SOMA_LZ 05" dataDxfId="246">
      <calculatedColumnFormula>IF(AL3="",0,VLOOKUP(AL3,[1]BD_CUSTO!I:J,2,0)*AM3/E3)</calculatedColumnFormula>
    </tableColumn>
    <tableColumn id="42" xr3:uid="{3EBE0270-A319-499F-9207-2F1CE67EDF05}" name="SOMA_LZ 06" dataDxfId="245">
      <calculatedColumnFormula>IF(AN3="",0,VLOOKUP(AN3,[1]BD_CUSTO!I:J,2,0)*AO3/E3)</calculatedColumnFormula>
    </tableColumn>
    <tableColumn id="43" xr3:uid="{46DFF909-0096-4654-BA48-A38BF4829CB4}" name="SOMA_LZ 07" dataDxfId="244">
      <calculatedColumnFormula>IF(AP3="",0,VLOOKUP(AP3,[1]BD_CUSTO!I:J,2,0)*AQ3/E3)</calculatedColumnFormula>
    </tableColumn>
    <tableColumn id="44" xr3:uid="{E6BD0A6D-7C2A-46CE-98E9-B0D6835CC70E}" name="SOMA_LZ 08" dataDxfId="243">
      <calculatedColumnFormula>IF(AR3="",0,VLOOKUP(AR3,CUSTO!I:J,2,0)*AS3/E3)</calculatedColumnFormula>
    </tableColumn>
    <tableColumn id="82" xr3:uid="{5A60CC8E-46EB-4F66-8581-D588A3A294CE}" name="SOMA_LZ 09" dataDxfId="242">
      <calculatedColumnFormula>IF(AT3="",0,VLOOKUP(AT3,[1]BD_CUSTO!I:J,2,0)*AU3/E3)</calculatedColumnFormula>
    </tableColumn>
    <tableColumn id="87" xr3:uid="{A20F2D78-4436-48E9-B19D-F62EEDF43998}" name="SOMA_LZ 10" dataDxfId="241" dataCellStyle="Moeda">
      <calculatedColumnFormula>IF(Tabela13[[#This Row],[LZ 10]]="",0,VLOOKUP(Tabela13[[#This Row],[LZ 10]],[1]BD_CUSTO!I:J,2,0)*Tabela13[[#This Row],[QTD922]]/E3)</calculatedColumnFormula>
    </tableColumn>
    <tableColumn id="45" xr3:uid="{5C6BEBC5-EDC0-42F0-B944-536006A5D370}" name="VARANDA" dataDxfId="240"/>
    <tableColumn id="46" xr3:uid="{8FC99DBD-8400-4E17-9758-0EA8C84BD288}" name="QTD10" dataDxfId="239" dataCellStyle="Porcentagem"/>
    <tableColumn id="47" xr3:uid="{AC7E7593-B74D-4732-A442-872C969FE96F}" name="SUÍTE" dataDxfId="238"/>
    <tableColumn id="48" xr3:uid="{8C6C1659-3AA0-4DA3-8782-49E3839FEBC5}" name="QTD11" dataDxfId="237" dataCellStyle="Porcentagem"/>
    <tableColumn id="49" xr3:uid="{029A78DB-5A69-44F9-84F0-4E09AC7D599A}" name="SOMA_VARANDA" dataDxfId="236">
      <calculatedColumnFormula>IF(BH3=[1]BD_CUSTO!$M$6,[1]BD_CUSTO!$N$6)*BI3</calculatedColumnFormula>
    </tableColumn>
    <tableColumn id="50" xr3:uid="{7ADAC2CC-6A4D-4F83-8EA4-FBDFD7DBCEC6}" name="SOMA_SUÍTE" dataDxfId="235" dataCellStyle="Moeda">
      <calculatedColumnFormula>IF(BJ3=[1]BD_CUSTO!$M$4,[1]BD_CUSTO!$N$4,[1]BD_CUSTO!$N$5)*BK3</calculatedColumnFormula>
    </tableColumn>
    <tableColumn id="53" xr3:uid="{1EA765D6-0B10-4B6A-9918-F7A1037922C8}" name="VAGA EM SOLO" dataDxfId="234"/>
    <tableColumn id="54" xr3:uid="{CC0E6571-80FA-4EA4-80FB-09345898C25C}" name="QTD " dataDxfId="233"/>
    <tableColumn id="69" xr3:uid="{1CBCCA52-E58C-4B4D-950F-598204A5675B}" name="%" dataDxfId="232">
      <calculatedColumnFormula>Tabela13[[#This Row],[QTD ]]/Tabela13[[#This Row],[Nº UNDS]]</calculatedColumnFormula>
    </tableColumn>
    <tableColumn id="55" xr3:uid="{86329E59-884C-4008-A5AB-70E1ECC9B0BD}" name="VAGA DE MOTO" dataDxfId="231"/>
    <tableColumn id="56" xr3:uid="{A5C510FE-4B49-45AC-93F0-27823DFA8924}" name="QTD %13" dataDxfId="230"/>
    <tableColumn id="57" xr3:uid="{2F2D5D71-D6F9-436E-BD2A-D05F39F253D7}" name="VAGA PILOTIS" dataDxfId="229"/>
    <tableColumn id="58" xr3:uid="{83CFDC60-6623-4378-9063-5A200761FE8B}" name="QTD %14" dataDxfId="228"/>
    <tableColumn id="59" xr3:uid="{F72BFC7C-B750-4A75-ABFF-5407084CA7B9}" name="VAGA ED GARAGEM" dataDxfId="227"/>
    <tableColumn id="60" xr3:uid="{F0F927DA-AC61-462A-9BBB-19D417614AD4}" name="QTD %15" dataDxfId="226"/>
    <tableColumn id="61" xr3:uid="{0ED60127-28F2-439A-8B16-3C0C0C182092}" name="SOMA_VAGA EM SOLO" dataDxfId="225">
      <calculatedColumnFormula>IF(BN3=[1]BD_CUSTO!$Q$7,[1]BD_CUSTO!$R$7,[1]BD_CUSTO!$R$8)*BO3/E3</calculatedColumnFormula>
    </tableColumn>
    <tableColumn id="62" xr3:uid="{438EBE49-4952-406C-9FB3-73CAE958BA3B}" name="SOMA_VAGA MOTO" dataDxfId="224" dataCellStyle="Moeda">
      <calculatedColumnFormula>IF(BQ3=[1]BD_CUSTO!$Q$4,[1]BD_CUSTO!$R$4,[1]BD_CUSTO!$R$5)*BR3/E3</calculatedColumnFormula>
    </tableColumn>
    <tableColumn id="63" xr3:uid="{C7555907-C8DE-45F6-821A-E553C8007098}" name="SOMA_VAGA PILOTIS" dataDxfId="223">
      <calculatedColumnFormula>IF(BS3=[1]BD_CUSTO!$Q$13,[1]BD_CUSTO!$R$13,[1]BD_CUSTO!$R$14)*BT3/E3</calculatedColumnFormula>
    </tableColumn>
    <tableColumn id="64" xr3:uid="{FC0E2CB0-7ABE-48CE-8E22-8B8DECE26E88}" name="SOMA_VAGA ED GARAGEM" dataDxfId="222" dataCellStyle="Moeda">
      <calculatedColumnFormula>BV3*CUSTO!$R$10/E3</calculatedColumnFormula>
    </tableColumn>
    <tableColumn id="65" xr3:uid="{A7C1C5DD-06F1-44DB-8FF7-5B552DAF80FF}" name="TOTAL  ACAB" dataDxfId="221">
      <calculatedColumnFormula>SUM(Tabela13[[#This Row],[SOMA_PISO SALA E QUARTO]],Tabela13[[#This Row],[SOMA_PAREDE HIDR]],Tabela13[[#This Row],[SOMA_TETO]],Tabela13[[#This Row],[SOMA_BANCADA]],Tabela13[[#This Row],[SOMA_PEDRAS]])</calculatedColumnFormula>
    </tableColumn>
    <tableColumn id="68" xr3:uid="{0F9A100E-ED84-4C88-9726-33CD0D6C206D}" name="CLASSIFICAÇÃO_x000a_ACAB" dataDxfId="220">
      <calculatedColumnFormula>IF(CA3&lt;=RÉGUAS!$D$4,"ACAB 01",IF(CA3&lt;=RÉGUAS!$F$4,"ACAB 02",IF(CA3&gt;RÉGUAS!$F$4,"ACAB 03",)))</calculatedColumnFormula>
    </tableColumn>
    <tableColumn id="66" xr3:uid="{A2875F1F-DF2E-45F5-A0A5-5B2918373AF6}" name="TOTAL LAZER " dataDxfId="219">
      <calculatedColumnFormula>SUM(Tabela13[[#This Row],[SOMA_LZ 01]:[SOMA_LZ 10]])</calculatedColumnFormula>
    </tableColumn>
    <tableColumn id="70" xr3:uid="{84BA6BAB-9E71-495A-943A-3C37F8077076}" name="CLASSIFICAÇÃO _x000a_LAZER" dataDxfId="218">
      <calculatedColumnFormula>IF(CC3&lt;=RÉGUAS!$D$13,"LZ 01",IF(CC3&lt;=RÉGUAS!$F$13,"LZ 02",IF(CC3&lt;=RÉGUAS!$H$13,"LZ 03",IF(CC3&gt;RÉGUAS!$H$13,"LZ 04",))))</calculatedColumnFormula>
    </tableColumn>
    <tableColumn id="71" xr3:uid="{102F95B6-147E-4006-949D-FC1EF8EE6874}" name="TOTAL TIPOLOGIA" dataDxfId="217">
      <calculatedColumnFormula>SUM(BL3:BM3)</calculatedColumnFormula>
    </tableColumn>
    <tableColumn id="72" xr3:uid="{FB77DF01-5BCF-4046-8D2C-633C3E351434}" name="CLASSIFICAÇÃO _x000a_TIPOLOGIA" dataDxfId="216">
      <calculatedColumnFormula>IF(CE3&lt;=RÉGUAS!$D$22,"TIP 01",IF(CE3&lt;=RÉGUAS!$F$22,"TIP 02",IF(CE3&gt;RÉGUAS!$F$22,"TIP 03",)))</calculatedColumnFormula>
    </tableColumn>
    <tableColumn id="73" xr3:uid="{46630864-05EA-4E3F-81E6-A2BA036A5CD8}" name="TOTAL VAGA" dataDxfId="215">
      <calculatedColumnFormula>SUM(BW3:BZ3)</calculatedColumnFormula>
    </tableColumn>
    <tableColumn id="74" xr3:uid="{6F0A02FE-A131-46EB-8FEB-72A458519027}" name="CLASSIFICAÇÃO_x000a_VAGA" dataDxfId="214">
      <calculatedColumnFormula>IF(CG3&lt;=RÉGUAS!$D$32,"VAGA 01",IF(CG3&lt;=RÉGUAS!$F$32,"VAGA 02",IF(CG3&gt;RÉGUAS!$F$32,"VAGA 03",)))</calculatedColumnFormula>
    </tableColumn>
    <tableColumn id="100" xr3:uid="{0E557278-C1E1-473D-8333-7B2704F8A271}" name="TOTAL ELEVADOR" dataDxfId="213" dataCellStyle="Moeda">
      <calculatedColumnFormula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calculatedColumnFormula>
    </tableColumn>
    <tableColumn id="98" xr3:uid="{081F04F2-F39B-4541-8CC1-E0DFDEF06934}" name="CLASSIFICAÇÃO ELEVADOR" dataDxfId="212" dataCellStyle="Moeda">
      <calculatedColumnFormula>IF(AND(G3="BLOCO",CI3&lt;=RÉGUAS!$D$40),"ELEV 01",IF(AND(G3="BLOCO",CI3&gt;RÉGUAS!$D$40),"ELEV 02",IF(AND(G3="TORRE",CI3&lt;=RÉGUAS!$K$40),"ELEV 01",IF(AND(G3="TORRE",CI3&lt;=RÉGUAS!$M$40),"ELEV 02",IF(AND(G3="TORRE",CI3&gt;RÉGUAS!$M$40),"ELEV 03",)))))</calculatedColumnFormula>
    </tableColumn>
    <tableColumn id="91" xr3:uid="{F10AD529-D415-405B-9804-76A9B1D6C910}" name="CUSTO_x000a_5D" dataDxfId="211">
      <calculatedColumnFormula>SUM(Tabela13[[#This Row],[TOTAL  ACAB]],Tabela13[[#This Row],[TOTAL LAZER ]],Tabela13[[#This Row],[TOTAL TIPOLOGIA]],Tabela13[[#This Row],[TOTAL VAGA]],Tabela13[[#This Row],[TOTAL ELEVADOR]])</calculatedColumnFormula>
    </tableColumn>
    <tableColumn id="92" xr3:uid="{E22EC76B-FE7C-4F44-BE13-02B339BE20DD}" name="CLASSIFICAÇÃO _x000a_5D " dataDxfId="210">
      <calculatedColumnFormula>IF(AND(G3="BLOCO",CK3&lt;=RÉGUAS!$D$50),"ESSENCIAL",IF(AND(G3="BLOCO",CK3&lt;=RÉGUAS!$F$50),"ECO",IF(AND(G3="BLOCO",CK3&gt;RÉGUAS!$F$50),"BIO",IF(AND(G3="TORRE",CK3&lt;=RÉGUAS!$K$50),"ESSENCIAL",IF(AND(G3="TORRE",CK3&lt;=RÉGUAS!$M$50),"ECO",IF(AND(G3="TORRE",CK3&gt;RÉGUAS!$M$50),"BIO",))))))</calculatedColumnFormula>
    </tableColumn>
    <tableColumn id="96" xr3:uid="{68CF7B9E-11B4-484C-A45A-BD593FC38EC5}" name="INTERVALO DE INTERSEÇÃO 5D" dataDxfId="209">
      <calculatedColumnFormula>IF(AND(G3="BLOCO",CK3&gt;=RÉGUAS!$D$51,CK3&lt;=RÉGUAS!$D$50),"ESSENCIAL-10%",IF(AND(G3="BLOCO",CK3&gt;RÉGUAS!$D$50,CK3&lt;=RÉGUAS!$E$51),"ECO+10%",IF(AND(G3="BLOCO",CK3&gt;=RÉGUAS!$F$51,CK3&lt;=RÉGUAS!$F$50),"ECO-10%",IF(AND(G3="BLOCO",CK3&gt;RÉGUAS!$F$50,CK3&lt;=RÉGUAS!$G$51),"BIO+10%",IF(AND(G3="TORRE",CK3&gt;=RÉGUAS!$K$51,CK3&lt;=RÉGUAS!$K$50),"ESSENCIAL-10%",IF(AND(G3="TORRE",CK3&gt;RÉGUAS!$K$50,CK3&lt;=RÉGUAS!$L$51),"ECO+10%",IF(AND(G3="TORRE",CK3&gt;=RÉGUAS!$M$51,CK3&lt;=RÉGUAS!$M$50),"ECO-10%",IF(AND(G3="TORRE",CK3&gt;RÉGUAS!$M$50,CK3&lt;=RÉGUAS!$N$51),"BIO+10%","-"))))))))</calculatedColumnFormula>
    </tableColumn>
    <tableColumn id="95" xr3:uid="{1705F5AF-24DB-4A90-9165-19F457B38F3A}" name="CUSTO 4D" dataDxfId="208">
      <calculatedColumnFormula>SUM(CA3,CC3,CE3,CG3)</calculatedColumnFormula>
    </tableColumn>
    <tableColumn id="99" xr3:uid="{A5EAEA93-686F-423D-A59D-5EDED794D2FD}" name="CLASSIFICAÇÃO _x000a_4D" dataDxfId="207">
      <calculatedColumnFormula>IF(CN3&lt;=RÉGUAS!$D$58,"ESSENCIAL",IF(CN3&lt;=RÉGUAS!$F$58,"ECO",IF(CN3&gt;RÉGUAS!$F$58,"BIO",)))</calculatedColumnFormula>
    </tableColumn>
    <tableColumn id="101" xr3:uid="{67F08B9E-AB83-498E-8F80-DE68253C7993}" name=" R. INTERSEÇÃO" dataDxfId="206">
      <calculatedColumnFormula>IF(Tabela13[[#This Row],[INTERVALO DE INTERSEÇÃO 5D]]="-",Tabela13[[#This Row],[CLASSIFICAÇÃO 
5D ]],Tabela13[[#This Row],[CLASSIFICAÇÃO 
4D]])</calculatedColumnFormula>
    </tableColumn>
    <tableColumn id="102" xr3:uid="{F3D86594-DB94-4FE5-B7BD-1C7B62E042CD}" name="PRODUTO OPOSTO" dataDxfId="205">
      <calculatedColumnFormula>IF(AND(CL3="ESSENCIAL",CO3="BIO"),"OPOSTO",IF(AND(CL3="BIO",CO3="ESSENCIAL"),"OPOSTO","-"))</calculatedColumnFormula>
    </tableColumn>
    <tableColumn id="97" xr3:uid="{7C3C2DB4-C597-409E-9A4B-809849CBB939}" name="CLASSIFICAÇÃO FINAL 5D" dataDxfId="204">
      <calculatedColumnFormula>IF(AND(CL3="ESSENCIAL",CO3="BIO"),"ECO",IF(AND(CL3="BIO",CO3="ESSENCIAL"),"ECO",CP3))</calculatedColumnFormula>
    </tableColumn>
    <tableColumn id="51" xr3:uid="{C936A3A2-7159-4F02-9437-33BE34F5908F}" name="ADERENCIA 5D" dataDxfId="203">
      <calculatedColumnFormula>IF(Tabela13[[#This Row],[PRODUTO ATUAL ]]=Tabela13[[#This Row],[CLASSIFICAÇÃO FINAL 5D]],"ADERÊNTE","NÃO ADERÊNTE")</calculatedColumnFormula>
    </tableColumn>
    <tableColumn id="104" xr3:uid="{D05D8036-FA4B-46B5-B073-51E33B01AF2A}" name="CUSTO 4D2" dataDxfId="202" dataCellStyle="Moeda">
      <calculatedColumnFormula>SUM(Tabela13[[#This Row],[TOTAL  ACAB]],Tabela13[[#This Row],[TOTAL LAZER ]],Tabela13[[#This Row],[TOTAL TIPOLOGIA]],Tabela13[[#This Row],[TOTAL VAGA]])</calculatedColumnFormula>
    </tableColumn>
    <tableColumn id="105" xr3:uid="{6165E892-E6DA-402F-9C8C-239B301A83AD}" name="CLASSIFICAÇÃO _x000a_4D2" dataDxfId="201">
      <calculatedColumnFormula>IF(CT3&lt;=RÉGUAS!$D$58,"ESSENCIAL",IF(CT3&lt;=RÉGUAS!$F$58,"ECO",IF(CT3&gt;RÉGUAS!$F$58,"BIO",)))</calculatedColumnFormula>
    </tableColumn>
    <tableColumn id="106" xr3:uid="{4CA525CA-8FC3-463F-9E5A-6FEA3EEC3A0E}" name="INTERSERÇÃO _x000a_4D" dataDxfId="200">
      <calculatedColumnFormula>IF(AND(CT3&gt;=RÉGUAS!$D$59,CT3&lt;=RÉGUAS!$E$59),"ESSENCIAL/ECO",IF(AND(CT3&gt;=RÉGUAS!$F$59,CT3&lt;=RÉGUAS!$G$59),"ECO/BIO","-"))</calculatedColumnFormula>
    </tableColumn>
    <tableColumn id="111" xr3:uid="{62CE3F61-800E-4B9E-91B0-651E4B95D1FB}" name="CUSTO 2D" dataDxfId="199" dataCellStyle="Moeda">
      <calculatedColumnFormula>SUM(Tabela13[[#This Row],[TOTAL LAZER ]],Tabela13[[#This Row],[TOTAL TIPOLOGIA]])</calculatedColumnFormula>
    </tableColumn>
    <tableColumn id="108" xr3:uid="{A900D8EA-D981-40FD-8782-6726C2D9AEBC}" name="CLASSIFICAÇÃO 2D" dataDxfId="198">
      <calculatedColumnFormula>IF(CW3&lt;=RÉGUAS!$D$72,"ESSENCIAL",IF(CW3&lt;=RÉGUAS!$F$72,"ECO",IF(CN3&gt;RÉGUAS!$F$72,"BIO",)))</calculatedColumnFormula>
    </tableColumn>
    <tableColumn id="109" xr3:uid="{FA3ED46B-CD8B-4173-8163-2EDED1BDB7C8}" name="R. INTERSEÇÃO" dataDxfId="197">
      <calculatedColumnFormula>IF(CV3="-",CU3,CX3)</calculatedColumnFormula>
    </tableColumn>
    <tableColumn id="110" xr3:uid="{5DB813D6-291B-4598-88DC-1DAFEBE86F22}" name="ADERENCIA 4D + 2D" dataDxfId="196">
      <calculatedColumnFormula>IF(Tabela13[[#This Row],[PRODUTO ATUAL ]]=CY3,"ADERENTE","NÃO ADERENTE")</calculatedColumnFormula>
    </tableColumn>
    <tableColumn id="77" xr3:uid="{4187A008-C8E9-4652-8A8A-D18C417C1766}" name="ADERÊNCIA 4D" dataDxfId="195">
      <calculatedColumnFormula>IF(Tabela13[[#This Row],[PRODUTO ATUAL ]]=Tabela13[[#This Row],[CLASSIFICAÇÃO 
4D2]],"ADERENTE","NÃO ADERENTE")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0BE4D2-AACD-4237-B1B4-A855673C6E91}" name="Tabela1" displayName="Tabela1" ref="B2:DA104" totalsRowShown="0" headerRowDxfId="194" dataDxfId="193" tableBorderDxfId="192">
  <autoFilter ref="B2:DA104" xr:uid="{840BE4D2-AACD-4237-B1B4-A855673C6E91}">
    <filterColumn colId="98">
      <filters>
        <filter val="ECO/BIO"/>
        <filter val="ESSENCIAL/ECO"/>
      </filters>
    </filterColumn>
  </autoFilter>
  <tableColumns count="104">
    <tableColumn id="1" xr3:uid="{95BBEAF7-AF1E-4126-BCED-BC38B00E32E8}" name="Coluna1" dataDxfId="191"/>
    <tableColumn id="2" xr3:uid="{EB3DB622-1065-4F0F-A11B-E9664B7907EA}" name="EMPREENDIMENTO" dataDxfId="190"/>
    <tableColumn id="3" xr3:uid="{AB8C7730-1626-4A64-A242-D82E4833D47C}" name="REG" dataDxfId="189"/>
    <tableColumn id="4" xr3:uid="{BAF2915D-F279-415B-B640-BE708A3D8DDE}" name="Nº UNDS" dataDxfId="188"/>
    <tableColumn id="5" xr3:uid="{4E945CB5-2BBF-4AD5-BB61-F8BD8B9D22F7}" name="INTERVALO UND" dataDxfId="187">
      <calculatedColumnFormula>IF(E3&lt;=200,"Até 200 und",IF(E3&lt;=400,"De 200 a 400 und",IF(E3&gt;=401,"Acima de 400 und")))</calculatedColumnFormula>
    </tableColumn>
    <tableColumn id="78" xr3:uid="{ED25A4A4-86C1-4796-B8C5-2B00B05BF87B}" name="TIPO" dataDxfId="186"/>
    <tableColumn id="79" xr3:uid="{029BBEF4-ED14-421D-B45A-53669D4088F0}" name="QTD DE B/T" dataDxfId="185" dataCellStyle="Moeda"/>
    <tableColumn id="84" xr3:uid="{E9A33A20-4386-4139-8A69-CCAF2CC8636B}" name="Nº PAV1" dataDxfId="184" dataCellStyle="Moeda"/>
    <tableColumn id="75" xr3:uid="{1BE65A3B-426E-4209-926C-01B1CF6DA3B8}" name="QTD DE B/T 2" dataDxfId="183" dataCellStyle="Moeda"/>
    <tableColumn id="52" xr3:uid="{41419F1A-00E3-46A4-9D98-700885CE4237}" name="Nº PAV2" dataDxfId="182" dataCellStyle="Moeda"/>
    <tableColumn id="76" xr3:uid="{1BDD04DD-3F43-424B-A2FF-289C3A699A1A}" name="BLOCO TOTAL" dataDxfId="181" dataCellStyle="Moeda">
      <calculatedColumnFormula>SUM(Tabela1[[#This Row],[QTD DE B/T 2]],Tabela1[[#This Row],[QTD DE B/T]])</calculatedColumnFormula>
    </tableColumn>
    <tableColumn id="83" xr3:uid="{D051514E-D8A0-4A6F-B79F-E3098D8F585A}" name="ELEVADOR" dataDxfId="180"/>
    <tableColumn id="67" xr3:uid="{DDA1240E-2D71-4FC0-926C-105A444353E8}" name="QTD DE ELEVADOR P/BLOCO/TORRE" dataDxfId="179">
      <calculatedColumnFormula>Tabela1[[#This Row],[ELEVADOR]]/Tabela1[[#This Row],[BLOCO TOTAL]]</calculatedColumnFormula>
    </tableColumn>
    <tableColumn id="6" xr3:uid="{1CD788FB-22FD-430C-9A55-98DD835BD5CF}" name="PRODUTO ATUAL " dataDxfId="178"/>
    <tableColumn id="7" xr3:uid="{18895B57-229E-441F-899A-BB55FBDC054B}" name="PISO SALA E QUARTO" dataDxfId="177"/>
    <tableColumn id="8" xr3:uid="{A71B6BB8-3415-482B-AB50-CB489F34830D}" name="PISO COZINHA" dataDxfId="176"/>
    <tableColumn id="9" xr3:uid="{A3E47170-00FE-4DCE-A4EC-C2043668EA48}" name="PAREDES HIDR." dataDxfId="175"/>
    <tableColumn id="10" xr3:uid="{7C732082-324A-4D88-A551-F684C34CBB14}" name="TETO" dataDxfId="174"/>
    <tableColumn id="11" xr3:uid="{3AB819B5-F60E-4262-A50C-DCA818C0188E}" name="BANCADA" dataDxfId="173"/>
    <tableColumn id="12" xr3:uid="{A6A5DE04-F74A-402A-967C-768C992731F2}" name="PEDRAS" dataDxfId="172"/>
    <tableColumn id="13" xr3:uid="{EEBB7841-02CA-4B7B-BF82-F5599BADC39C}" name="ESQUADRIAS" dataDxfId="171"/>
    <tableColumn id="14" xr3:uid="{F824276E-3826-4AC8-8EF3-C28268526D22}" name="SOMA_PISO SALA E QUARTO" dataDxfId="170" dataCellStyle="Moeda">
      <calculatedColumnFormula>IF(P3=[1]BD_CUSTO!$E$4,[1]BD_CUSTO!$F$4,[1]BD_CUSTO!$F$5)</calculatedColumnFormula>
    </tableColumn>
    <tableColumn id="15" xr3:uid="{7893A12B-2AE3-4E73-B5BE-10AB6086F76C}" name="SOMA_PISO COZINHA" dataDxfId="169" dataCellStyle="Moeda">
      <calculatedColumnFormula>IF(Q3=[1]BD_CUSTO!$E$6,[1]BD_CUSTO!$F$6,[1]BD_CUSTO!$F$7)</calculatedColumnFormula>
    </tableColumn>
    <tableColumn id="16" xr3:uid="{445F32CE-BA1F-4FA3-9B85-8C8B93AFE88C}" name="SOMA_PAREDE HIDR" dataDxfId="168">
      <calculatedColumnFormula>IF(R3=[1]BD_CUSTO!$E$8,[1]BD_CUSTO!$F$8,[1]BD_CUSTO!$F$9)</calculatedColumnFormula>
    </tableColumn>
    <tableColumn id="17" xr3:uid="{FD3221E0-DC54-4A39-8DA6-C9D16E3BEF90}" name="SOMA_TETO" dataDxfId="167">
      <calculatedColumnFormula>IF(S3=[1]BD_CUSTO!$E$10,[1]BD_CUSTO!$F$10,[1]BD_CUSTO!$F$11)</calculatedColumnFormula>
    </tableColumn>
    <tableColumn id="18" xr3:uid="{1DB3F6DE-85D0-4599-B104-88BDDB7B9B35}" name="SOMA_BANCADA" dataDxfId="166">
      <calculatedColumnFormula>IF(T3=[1]BD_CUSTO!$E$12,[1]BD_CUSTO!$F$12,[1]BD_CUSTO!$F$13)</calculatedColumnFormula>
    </tableColumn>
    <tableColumn id="19" xr3:uid="{3CB5E94F-D8C8-4679-8956-30BC624600B3}" name="SOMA_PEDRAS" dataDxfId="165">
      <calculatedColumnFormula>IF(U3=[1]BD_CUSTO!$E$14,[1]BD_CUSTO!$F$14,[1]BD_CUSTO!$F$15)</calculatedColumnFormula>
    </tableColumn>
    <tableColumn id="20" xr3:uid="{B75C5B05-4218-4D4C-B4B5-C20F222EFB8B}" name="SOMA_ESQUADRAIS" dataDxfId="164">
      <calculatedColumnFormula>IF(V3=[1]BD_CUSTO!$E$16,[1]BD_CUSTO!$F$16,[1]BD_CUSTO!$F$17)</calculatedColumnFormula>
    </tableColumn>
    <tableColumn id="21" xr3:uid="{D4E4336A-C14B-4B63-B920-D72310FE6D5F}" name="LZ 01" dataDxfId="163"/>
    <tableColumn id="22" xr3:uid="{1684C4F2-17CB-4BBA-8D93-7B6505AC16FF}" name="QTD" dataDxfId="162"/>
    <tableColumn id="23" xr3:uid="{98F9F03E-914C-49F4-8A9A-F6BD2CACCBAE}" name="LZ 02" dataDxfId="161"/>
    <tableColumn id="24" xr3:uid="{F92B6D72-7CCF-4FB8-95D7-920B3F4534AE}" name="QTD2" dataDxfId="160"/>
    <tableColumn id="25" xr3:uid="{61060A13-8135-4C5F-BE8F-935FE34CB62E}" name="LZ 03" dataDxfId="159"/>
    <tableColumn id="26" xr3:uid="{F87DFFB6-BC9E-4935-9C83-E189C52B4256}" name="QTD3" dataDxfId="158"/>
    <tableColumn id="27" xr3:uid="{EEBE965E-592B-490E-B3EE-E8B517E0F379}" name="LZ 04" dataDxfId="157"/>
    <tableColumn id="28" xr3:uid="{F57C88B2-B57D-45E7-A477-C6AC8970A7FA}" name="QTD4" dataDxfId="156"/>
    <tableColumn id="29" xr3:uid="{967BFE31-1364-4AA4-B0E8-0A46B2F0BF3A}" name="LZ 05" dataDxfId="155"/>
    <tableColumn id="30" xr3:uid="{09021C09-CD59-4904-B568-9408B656E3DB}" name="QTD5" dataDxfId="154"/>
    <tableColumn id="31" xr3:uid="{B071A38A-5D18-4338-BE54-7E14C1817E12}" name="LZ 06" dataDxfId="153"/>
    <tableColumn id="32" xr3:uid="{EAFEBAA2-E99B-4A3B-B1A6-BCF991B213F8}" name="QTD6" dataDxfId="152"/>
    <tableColumn id="33" xr3:uid="{2BECAB6D-15B5-49EB-8456-41D6F007E5CF}" name="LZ 07" dataDxfId="151"/>
    <tableColumn id="34" xr3:uid="{61262296-82CC-4EF0-B1C3-B105583A3C68}" name="QTD7" dataDxfId="150"/>
    <tableColumn id="35" xr3:uid="{9D373C7D-E890-4378-B02B-2EC4F75F08FF}" name="LZ 08" dataDxfId="149"/>
    <tableColumn id="36" xr3:uid="{D0BD438C-A6B5-46D3-9397-2B8DD92112EC}" name="QTD9" dataDxfId="148"/>
    <tableColumn id="81" xr3:uid="{C7D6E85C-BAE2-4033-B228-2D3FF85E0730}" name="LZ 09" dataDxfId="147"/>
    <tableColumn id="80" xr3:uid="{2F3023DA-09C6-4531-AC81-E7BB3BD19433}" name="QTD92" dataDxfId="146"/>
    <tableColumn id="85" xr3:uid="{9E1BF2C1-B566-4476-941B-092A3CD68654}" name="LZ 10" dataDxfId="145"/>
    <tableColumn id="86" xr3:uid="{D6CD0CAA-A081-4C52-A0FB-E7BD23AF45DA}" name="QTD922" dataDxfId="144"/>
    <tableColumn id="37" xr3:uid="{067976C4-3DD3-4484-9E80-22D23889CE3F}" name="SOMA_LZ 01" dataDxfId="143">
      <calculatedColumnFormula>IF(AD3="",0,VLOOKUP(AD3,[1]BD_CUSTO!I:J,2,0)*AE3/E3)</calculatedColumnFormula>
    </tableColumn>
    <tableColumn id="38" xr3:uid="{963E8FB7-25F3-45E9-A373-16F1F6A43799}" name="SOMA_LZ 02" dataDxfId="142">
      <calculatedColumnFormula>IF(AF3="",0,VLOOKUP(AF3,[1]BD_CUSTO!I:J,2,0)*AG3/E3)</calculatedColumnFormula>
    </tableColumn>
    <tableColumn id="39" xr3:uid="{947CC565-A8FF-4C62-84D8-67F9283AACE3}" name="SOMA_LZ 03" dataDxfId="141">
      <calculatedColumnFormula>IF(AH3="",0,VLOOKUP(AH3,[1]BD_CUSTO!I:J,2,0)*AI3/E3)</calculatedColumnFormula>
    </tableColumn>
    <tableColumn id="40" xr3:uid="{4B5D7BB1-DDF7-44A5-A4F4-ADCFFB79E82B}" name="SOMA_LZ 04" dataDxfId="140">
      <calculatedColumnFormula>IF(AJ3="",0,VLOOKUP(AJ3,[1]BD_CUSTO!I:J,2,0)*AK3/E3)</calculatedColumnFormula>
    </tableColumn>
    <tableColumn id="41" xr3:uid="{88291EB3-9257-4DAB-9E90-2D88755788E9}" name="SOMA_LZ 05" dataDxfId="139">
      <calculatedColumnFormula>IF(AL3="",0,VLOOKUP(AL3,[1]BD_CUSTO!I:J,2,0)*AM3/E3)</calculatedColumnFormula>
    </tableColumn>
    <tableColumn id="42" xr3:uid="{B350BAF7-490A-403E-A968-633BE4E11DEA}" name="SOMA_LZ 06" dataDxfId="138">
      <calculatedColumnFormula>IF(AN3="",0,VLOOKUP(AN3,[1]BD_CUSTO!I:J,2,0)*AO3/E3)</calculatedColumnFormula>
    </tableColumn>
    <tableColumn id="43" xr3:uid="{27E2120F-B0C1-4AF3-B103-4884FEC0B359}" name="SOMA_LZ 07" dataDxfId="137">
      <calculatedColumnFormula>IF(AP3="",0,VLOOKUP(AP3,[1]BD_CUSTO!I:J,2,0)*AQ3/E3)</calculatedColumnFormula>
    </tableColumn>
    <tableColumn id="44" xr3:uid="{3B168109-18B2-4CBD-8D06-5D588AEC5B7D}" name="SOMA_LZ 08" dataDxfId="136">
      <calculatedColumnFormula>IF(AR3="",0,VLOOKUP(AR3,CUSTO!I:J,2,0)*AS3/E3)</calculatedColumnFormula>
    </tableColumn>
    <tableColumn id="82" xr3:uid="{5A792E92-C54C-4F8C-9AAB-0D95EF2F54F1}" name="SOMA_LZ 09" dataDxfId="135">
      <calculatedColumnFormula>IF(AT3="",0,VLOOKUP(AT3,[1]BD_CUSTO!I:J,2,0)*AU3/E3)</calculatedColumnFormula>
    </tableColumn>
    <tableColumn id="87" xr3:uid="{C10CF1E8-F828-4EB5-93DE-06F6EA4B0B5C}" name="SOMA_LZ 10" dataDxfId="134" dataCellStyle="Moeda">
      <calculatedColumnFormula>IF(Tabela1[[#This Row],[LZ 10]]="",0,VLOOKUP(Tabela1[[#This Row],[LZ 10]],[1]BD_CUSTO!I:J,2,0)*Tabela1[[#This Row],[QTD922]]/E3)</calculatedColumnFormula>
    </tableColumn>
    <tableColumn id="45" xr3:uid="{E68D3C0A-9C82-4CA0-8E78-D261988956AE}" name="VARANDA" dataDxfId="133"/>
    <tableColumn id="46" xr3:uid="{9F61EABF-83BA-410F-ADB7-0A3A973DC302}" name="QTD10" dataDxfId="132" dataCellStyle="Porcentagem"/>
    <tableColumn id="47" xr3:uid="{F27C68F6-D05A-4977-AE48-401A56F16073}" name="SUÍTE" dataDxfId="131"/>
    <tableColumn id="48" xr3:uid="{C060548E-7CCF-4287-824C-7226E1BD16EB}" name="QTD11" dataDxfId="130" dataCellStyle="Porcentagem"/>
    <tableColumn id="49" xr3:uid="{58F6F4E9-728E-425E-B2D4-48056B8C0632}" name="SOMA_VARANDA" dataDxfId="129">
      <calculatedColumnFormula>IF(BH3=[1]BD_CUSTO!$M$6,[1]BD_CUSTO!$N$6)*BI3</calculatedColumnFormula>
    </tableColumn>
    <tableColumn id="50" xr3:uid="{F2DC831A-5B2E-4C5F-87C3-F153DAB7C30F}" name="SOMA_SUÍTE" dataDxfId="128" dataCellStyle="Moeda">
      <calculatedColumnFormula>IF(BJ3=[1]BD_CUSTO!$M$4,[1]BD_CUSTO!$N$4,[1]BD_CUSTO!$N$5)*BK3</calculatedColumnFormula>
    </tableColumn>
    <tableColumn id="53" xr3:uid="{F117ACF4-E9C3-4A9A-9EA9-D935366C9EFC}" name="VAGA EM SOLO" dataDxfId="127"/>
    <tableColumn id="54" xr3:uid="{169D821E-B443-4618-B32D-6444A59EAEEF}" name="QTD " dataDxfId="126"/>
    <tableColumn id="69" xr3:uid="{2435750E-2752-43E0-966D-B0FD68CBD8C5}" name="%" dataDxfId="125">
      <calculatedColumnFormula>Tabela1[[#This Row],[QTD ]]/Tabela1[[#This Row],[Nº UNDS]]</calculatedColumnFormula>
    </tableColumn>
    <tableColumn id="55" xr3:uid="{BB8E4BB7-8E53-45F4-A621-D1FEBE7EDFB9}" name="VAGA DE MOTO" dataDxfId="124"/>
    <tableColumn id="56" xr3:uid="{A52CE930-F403-4D57-9C6B-4421618102AF}" name="QTD %13" dataDxfId="123"/>
    <tableColumn id="57" xr3:uid="{DAAE957E-C2E0-4C69-BDAE-0BD22D62E620}" name="VAGA PILOTIS" dataDxfId="122"/>
    <tableColumn id="58" xr3:uid="{3D298196-97B0-4330-920F-D11854F6D81E}" name="QTD %14" dataDxfId="121"/>
    <tableColumn id="59" xr3:uid="{269252D3-2E07-4619-916A-23758CBE8FB9}" name="VAGA ED GARAGEM" dataDxfId="120"/>
    <tableColumn id="60" xr3:uid="{A84F6F11-8928-4B4F-A2A9-B89A842D06D3}" name="QTD %15" dataDxfId="119"/>
    <tableColumn id="61" xr3:uid="{E9F0A7D4-DC1B-45AF-ACBA-A81263606834}" name="SOMA_VAGA EM SOLO" dataDxfId="118">
      <calculatedColumnFormula>IF(BN3=[1]BD_CUSTO!$Q$7,[1]BD_CUSTO!$R$7,[1]BD_CUSTO!$R$8)*BO3/E3</calculatedColumnFormula>
    </tableColumn>
    <tableColumn id="62" xr3:uid="{B958673D-0188-4977-AD31-3FF864FE6307}" name="SOMA_VAGA MOTO" dataDxfId="117" dataCellStyle="Moeda">
      <calculatedColumnFormula>IF(BQ3=[1]BD_CUSTO!$Q$4,[1]BD_CUSTO!$R$4,[1]BD_CUSTO!$R$5)*BR3/E3</calculatedColumnFormula>
    </tableColumn>
    <tableColumn id="63" xr3:uid="{A3C449B3-C5A1-4FAD-A96D-D698F629278F}" name="SOMA_VAGA PILOTIS" dataDxfId="116">
      <calculatedColumnFormula>IF(BS3=[1]BD_CUSTO!$Q$13,[1]BD_CUSTO!$R$13,[1]BD_CUSTO!$R$14)*BT3/E3</calculatedColumnFormula>
    </tableColumn>
    <tableColumn id="64" xr3:uid="{7AC0BA7B-7A9C-4EFD-8EA6-E7FEB56B4E39}" name="SOMA_VAGA ED GARAGEM" dataDxfId="115" dataCellStyle="Moeda">
      <calculatedColumnFormula>BV3*CUSTO!$R$10/E3</calculatedColumnFormula>
    </tableColumn>
    <tableColumn id="65" xr3:uid="{127D43CC-A1E3-4AEB-BC57-726EB2BD64D6}" name="TOTAL  ACAB" dataDxfId="114">
      <calculatedColumnFormula>SUM(Tabela1[[#This Row],[SOMA_PISO SALA E QUARTO]],Tabela1[[#This Row],[SOMA_PAREDE HIDR]],Tabela1[[#This Row],[SOMA_TETO]],Tabela1[[#This Row],[SOMA_BANCADA]],Tabela1[[#This Row],[SOMA_PEDRAS]])</calculatedColumnFormula>
    </tableColumn>
    <tableColumn id="68" xr3:uid="{5042E3BE-C6FD-47BB-8CDF-5BE7FA4158C7}" name="CLASSIFICAÇÃO_x000a_ACAB" dataDxfId="113">
      <calculatedColumnFormula>IF(CA3&lt;=RÉGUAS!$D$4,"ACAB 01",IF(CA3&lt;=RÉGUAS!$F$4,"ACAB 02",IF(CA3&gt;RÉGUAS!$F$4,"ACAB 03",)))</calculatedColumnFormula>
    </tableColumn>
    <tableColumn id="66" xr3:uid="{469A564D-913D-4A20-8D15-CBFA9E2EC5AE}" name="TOTAL LAZER " dataDxfId="112">
      <calculatedColumnFormula>SUM(Tabela1[[#This Row],[SOMA_LZ 01]:[SOMA_LZ 10]])</calculatedColumnFormula>
    </tableColumn>
    <tableColumn id="70" xr3:uid="{4053A989-FD18-4FD2-9A4A-61DFF267C696}" name="CLASSIFICAÇÃO _x000a_LAZER" dataDxfId="111">
      <calculatedColumnFormula>IF(CC3&lt;=RÉGUAS!$D$13,"LZ 01",IF(CC3&lt;=RÉGUAS!$F$13,"LZ 02",IF(CC3&lt;=RÉGUAS!$H$13,"LZ 03",IF(CC3&gt;RÉGUAS!$H$13,"LZ 04",))))</calculatedColumnFormula>
    </tableColumn>
    <tableColumn id="71" xr3:uid="{86C3DEB4-62FE-4658-B035-6C9987B00CCC}" name="TOTAL TIPOLOGIA" dataDxfId="110">
      <calculatedColumnFormula>SUM(BL3:BM3)</calculatedColumnFormula>
    </tableColumn>
    <tableColumn id="72" xr3:uid="{CD4D95CE-F148-4F69-A9EF-98D1D3C66E20}" name="CLASSIFICAÇÃO _x000a_TIPOLOGIA" dataDxfId="109">
      <calculatedColumnFormula>IF(CE3&lt;=RÉGUAS!$D$22,"TIP 01",IF(CE3&lt;=RÉGUAS!$F$22,"TIP 02",IF(CE3&gt;RÉGUAS!$F$22,"TIP 03",)))</calculatedColumnFormula>
    </tableColumn>
    <tableColumn id="73" xr3:uid="{3EC300FF-672A-4743-8308-7D9E47183BBB}" name="TOTAL VAGA" dataDxfId="108">
      <calculatedColumnFormula>SUM(BW3:BZ3)</calculatedColumnFormula>
    </tableColumn>
    <tableColumn id="74" xr3:uid="{881463F7-2EE9-406E-A1F5-AB06A1E95EBC}" name="CLASSIFICAÇÃO_x000a_VAGA" dataDxfId="107">
      <calculatedColumnFormula>IF(CG3&lt;=RÉGUAS!$D$32,"VAGA 01",IF(CG3&lt;=RÉGUAS!$F$32,"VAGA 02",IF(CG3&gt;RÉGUAS!$F$32,"VAGA 03",)))</calculatedColumnFormula>
    </tableColumn>
    <tableColumn id="100" xr3:uid="{0A3CBAF7-2280-424E-BE17-122A9F081704}" name="TOTAL ELEVADOR" dataDxfId="106" dataCellStyle="Moeda">
      <calculatedColumnFormula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calculatedColumnFormula>
    </tableColumn>
    <tableColumn id="98" xr3:uid="{F9EF94FA-3960-4CB4-9B1B-B20891BF23C6}" name="CLASSIFICAÇÃO ELEVADOR" dataDxfId="105" dataCellStyle="Moeda">
      <calculatedColumnFormula>IF(AND(G3="BLOCO",CI3&lt;=RÉGUAS!$D$40),"ELEV 01",IF(AND(G3="BLOCO",CI3&gt;RÉGUAS!$D$40),"ELEV 02",IF(AND(G3="TORRE",CI3&lt;=RÉGUAS!$K$40),"ELEV 01",IF(AND(G3="TORRE",CI3&lt;=RÉGUAS!$M$40),"ELEV 02",IF(AND(G3="TORRE",CI3&gt;RÉGUAS!$M$40),"ELEV 03",)))))</calculatedColumnFormula>
    </tableColumn>
    <tableColumn id="91" xr3:uid="{BAF71561-E8FE-4CD6-838F-F2FA178FB25B}" name="CUSTO_x000a_5D" dataDxfId="104">
      <calculatedColumnFormula>SUM(Tabela1[[#This Row],[TOTAL  ACAB]],Tabela1[[#This Row],[TOTAL LAZER ]],Tabela1[[#This Row],[TOTAL TIPOLOGIA]],Tabela1[[#This Row],[TOTAL VAGA]],Tabela1[[#This Row],[TOTAL ELEVADOR]])</calculatedColumnFormula>
    </tableColumn>
    <tableColumn id="92" xr3:uid="{37D6EB3D-37D9-43E4-8A49-FEEB0A0B95B2}" name="CLASSIFICAÇÃO _x000a_5D " dataDxfId="103">
      <calculatedColumnFormula>IF(AND(G3="BLOCO",CK3&lt;=RÉGUAS!$D$50),"ESSENCIAL",IF(AND(G3="BLOCO",CK3&lt;=RÉGUAS!$F$50),"ECO",IF(AND(G3="BLOCO",CK3&gt;RÉGUAS!$F$50),"BIO",IF(AND(G3="TORRE",CK3&lt;=RÉGUAS!$K$50),"ESSENCIAL",IF(AND(G3="TORRE",CK3&lt;=RÉGUAS!$M$50),"ECO",IF(AND(G3="TORRE",CK3&gt;RÉGUAS!$M$50),"BIO",))))))</calculatedColumnFormula>
    </tableColumn>
    <tableColumn id="96" xr3:uid="{399C1A01-2F16-4468-9ED9-4E245546CC65}" name="INTERVALO DE INTERSEÇÃO 5D" dataDxfId="102">
      <calculatedColumnFormula>IF(AND(G3="BLOCO",CK3&gt;=RÉGUAS!$D$51,CK3&lt;=RÉGUAS!$D$50),"ESSENCIAL-10%",IF(AND(G3="BLOCO",CK3&gt;RÉGUAS!$D$50,CK3&lt;=RÉGUAS!$E$51),"ECO+10%",IF(AND(G3="BLOCO",CK3&gt;=RÉGUAS!$F$51,CK3&lt;=RÉGUAS!$F$50),"ECO-10%",IF(AND(G3="BLOCO",CK3&gt;RÉGUAS!$F$50,CK3&lt;=RÉGUAS!$G$51),"BIO+10%",IF(AND(G3="TORRE",CK3&gt;=RÉGUAS!$K$51,CK3&lt;=RÉGUAS!$K$50),"ESSENCIAL-10%",IF(AND(G3="TORRE",CK3&gt;RÉGUAS!$K$50,CK3&lt;=RÉGUAS!$L$51),"ECO+10%",IF(AND(G3="TORRE",CK3&gt;=RÉGUAS!$M$51,CK3&lt;=RÉGUAS!$M$50),"ECO-10%",IF(AND(G3="TORRE",CK3&gt;RÉGUAS!$M$50,CK3&lt;=RÉGUAS!$N$51),"BIO+10%","-"))))))))</calculatedColumnFormula>
    </tableColumn>
    <tableColumn id="95" xr3:uid="{C22A2594-B357-4DDF-BF8A-29D30A1AA6C7}" name="CUSTO 4D" dataDxfId="101">
      <calculatedColumnFormula>SUM(CA3,CC3,CE3,CG3)</calculatedColumnFormula>
    </tableColumn>
    <tableColumn id="99" xr3:uid="{373B0CD1-FE77-479E-A813-E49FA3154B56}" name="CLASSIFICAÇÃO _x000a_4D" dataDxfId="100">
      <calculatedColumnFormula>IF(CN3&lt;=RÉGUAS!$D$58,"ESSENCIAL",IF(CN3&lt;=RÉGUAS!$F$58,"ECO",IF(CN3&gt;RÉGUAS!$F$58,"BIO",)))</calculatedColumnFormula>
    </tableColumn>
    <tableColumn id="101" xr3:uid="{AE184764-7AE5-4653-83D4-99C58B4C0027}" name=" R. INTERSEÇÃO" dataDxfId="99">
      <calculatedColumnFormula>IF(Tabela1[[#This Row],[INTERVALO DE INTERSEÇÃO 5D]]="-",Tabela1[[#This Row],[CLASSIFICAÇÃO 
5D ]],Tabela1[[#This Row],[CLASSIFICAÇÃO 
4D]])</calculatedColumnFormula>
    </tableColumn>
    <tableColumn id="102" xr3:uid="{E66296D6-26E3-4ED7-BCA9-049DB3022F52}" name="PRODUTO OPOSTO" dataDxfId="98">
      <calculatedColumnFormula>IF(AND(CL3="ESSENCIAL",CO3="BIO"),"OPOSTO",IF(AND(CL3="BIO",CO3="ESSENCIAL"),"OPOSTO","-"))</calculatedColumnFormula>
    </tableColumn>
    <tableColumn id="97" xr3:uid="{7C054CE9-61D6-4EF4-BF9B-C14B0F162558}" name="CLASSIFICAÇÃO FINAL 5D" dataDxfId="97">
      <calculatedColumnFormula>IF(AND(CL3="ESSENCIAL",CO3="BIO"),"ECO",IF(AND(CL3="BIO",CO3="ESSENCIAL"),"ECO",CP3))</calculatedColumnFormula>
    </tableColumn>
    <tableColumn id="51" xr3:uid="{92E7C06A-4493-4563-AEDB-B2E2A0DC8168}" name="ADERENCIA 5D" dataDxfId="96">
      <calculatedColumnFormula>IF(Tabela1[[#This Row],[PRODUTO ATUAL ]]=Tabela1[[#This Row],[CLASSIFICAÇÃO FINAL 5D]],"ADERÊNTE","NÃO ADERÊNTE")</calculatedColumnFormula>
    </tableColumn>
    <tableColumn id="104" xr3:uid="{8DAE14A9-F9C1-4CBC-82C6-AEE37269BB6E}" name="CUSTO 4D2" dataDxfId="95" dataCellStyle="Moeda">
      <calculatedColumnFormula>SUM(Tabela1[[#This Row],[TOTAL  ACAB]],Tabela1[[#This Row],[TOTAL LAZER ]],Tabela1[[#This Row],[TOTAL TIPOLOGIA]],Tabela1[[#This Row],[TOTAL VAGA]])</calculatedColumnFormula>
    </tableColumn>
    <tableColumn id="105" xr3:uid="{FE24F1B4-23EE-4935-8B7F-6AE6F41FEED4}" name="CLASSIFICAÇÃO _x000a_4D2" dataDxfId="94">
      <calculatedColumnFormula>IF(CT3&lt;=RÉGUAS!$D$58,"ESSENCIAL",IF(CT3&lt;=RÉGUAS!$F$58,"ECO",IF(CT3&gt;RÉGUAS!$F$58,"BIO",)))</calculatedColumnFormula>
    </tableColumn>
    <tableColumn id="106" xr3:uid="{1856FD36-E1B0-4D3C-BF72-9F6722F1CC03}" name="INTERSERÇÃO _x000a_4D" dataDxfId="93">
      <calculatedColumnFormula>IF(AND(CT3&gt;=RÉGUAS!$D$59,CT3&lt;=RÉGUAS!$E$59),"ESSENCIAL/ECO",IF(AND(CT3&gt;=RÉGUAS!$F$59,CT3&lt;=RÉGUAS!$G$59),"ECO/BIO","-"))</calculatedColumnFormula>
    </tableColumn>
    <tableColumn id="111" xr3:uid="{6460563A-EC06-4910-B5BD-70D4895251CA}" name="CUSTO 2D" dataDxfId="92" dataCellStyle="Moeda">
      <calculatedColumnFormula>SUM(Tabela1[[#This Row],[TOTAL LAZER ]],Tabela1[[#This Row],[TOTAL TIPOLOGIA]])</calculatedColumnFormula>
    </tableColumn>
    <tableColumn id="108" xr3:uid="{2D365D05-B4A8-4BF0-A3B4-5FE35C85F0B9}" name="CLASSIFICAÇÃO 2D" dataDxfId="91">
      <calculatedColumnFormula>IF(CW3&lt;=RÉGUAS!$D$72,"ESSENCIAL",IF(CW3&lt;=RÉGUAS!$F$72,"ECO",IF(CN3&gt;RÉGUAS!$F$72,"BIO",)))</calculatedColumnFormula>
    </tableColumn>
    <tableColumn id="109" xr3:uid="{0CC16158-FDD2-4485-8B61-9F5E08B14595}" name="R. INTERSEÇÃO" dataDxfId="90">
      <calculatedColumnFormula>IF(CV3="-",CU3,CX3)</calculatedColumnFormula>
    </tableColumn>
    <tableColumn id="110" xr3:uid="{3C7EBF6D-E0A8-4002-885A-39ECAEB06A70}" name="ADERENCIA 4D + 2D" dataDxfId="89">
      <calculatedColumnFormula>IF(Tabela1[[#This Row],[PRODUTO ATUAL ]]=CY3,"ADERENTE","NÃO ADERENTE")</calculatedColumnFormula>
    </tableColumn>
    <tableColumn id="77" xr3:uid="{381B75E6-2CDF-41BB-AC94-18AEB300518B}" name="ADERÊNCIA 4D" dataDxfId="88">
      <calculatedColumnFormula>IF(Tabela1[[#This Row],[PRODUTO ATUAL ]]=Tabela1[[#This Row],[CLASSIFICAÇÃO 
4D2]],"ADERENTE","NÃO ADERENTE")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8" dT="2025-03-25T20:06:28.37" personId="{B635E884-3FAB-4CF3-9D63-FB8019E06DF0}" id="{D8B5875E-03F6-4208-844C-79ABBC7D40A4}">
    <text>01 TORRE</text>
  </threadedComment>
  <threadedComment ref="K8" dT="2025-03-27T14:56:06.34" personId="{B635E884-3FAB-4CF3-9D63-FB8019E06DF0}" id="{B69639F1-A257-4EEA-AE6D-F74F492D9513}">
    <text>01 TORRE</text>
  </threadedComment>
  <threadedComment ref="AN11" dT="2025-03-25T20:17:56.31" personId="{B635E884-3FAB-4CF3-9D63-FB8019E06DF0}" id="{DC1D5F2C-94CF-46EC-AD36-6336DB36B5CD}">
    <text>+ 03 PRAÇAS</text>
  </threadedComment>
  <threadedComment ref="E16" dT="2025-03-24T16:55:57.65" personId="{B635E884-3FAB-4CF3-9D63-FB8019E06DF0}" id="{3D48FCFE-EF76-4EF7-A6FD-5498C4F80952}">
    <text>01 TORRE DE 13 PAV
04 TORRES DE 14 PAV</text>
  </threadedComment>
  <threadedComment ref="AH20" dT="2025-02-06T12:02:37.05" personId="{B635E884-3FAB-4CF3-9D63-FB8019E06DF0}" id="{B52D68C6-DA4B-41FC-9864-B723D468C51F}">
    <text>01 espaço zen/yoga</text>
  </threadedComment>
  <threadedComment ref="AJ20" dT="2025-02-06T12:02:24.10" personId="{B635E884-3FAB-4CF3-9D63-FB8019E06DF0}" id="{19F882F2-41CE-417D-90EC-D6B0A52D6F93}">
    <text>01 play baby</text>
  </threadedComment>
  <threadedComment ref="E40" dT="2025-03-24T17:08:56.10" personId="{B635E884-3FAB-4CF3-9D63-FB8019E06DF0}" id="{309A1969-0F18-41CA-ADAD-B4B07B7DFCBF}">
    <text>01 TORRE 22 PAV
01 TORRE 23 PAV</text>
  </threadedComment>
  <threadedComment ref="E44" dT="2025-03-24T17:14:19.95" personId="{B635E884-3FAB-4CF3-9D63-FB8019E06DF0}" id="{5EC4DE73-3643-4781-BE93-04C7A51C5D83}">
    <text xml:space="preserve">01 TORRE 10 PAV
05 TORRES 12 PAV
</text>
  </threadedComment>
  <threadedComment ref="AJ54" dT="2025-02-06T16:16:09.85" personId="{B635E884-3FAB-4CF3-9D63-FB8019E06DF0}" id="{2A96F26C-9406-43C8-B5E3-BBE4D2FEC15E}">
    <text>01 BICICLETÁRIO COBERTO</text>
  </threadedComment>
  <threadedComment ref="AH56" dT="2025-02-06T14:37:47.07" personId="{B635E884-3FAB-4CF3-9D63-FB8019E06DF0}" id="{137D8D3D-3C34-444C-A0BF-05F05996D749}">
    <text>01 ACADEMIA</text>
  </threadedComment>
  <threadedComment ref="AL58" dT="2025-02-06T16:10:12.72" personId="{B635E884-3FAB-4CF3-9D63-FB8019E06DF0}" id="{4F534CE7-B286-4D44-B1DC-135317DF53AD}">
    <text>01 ACADEMIA</text>
  </threadedComment>
  <threadedComment ref="G65" dT="2025-02-18T14:39:21.77" personId="{B635E884-3FAB-4CF3-9D63-FB8019E06DF0}" id="{5E5D7340-9812-4099-8E18-1DB66CCF6204}">
    <text>TORRINHA</text>
  </threadedComment>
  <threadedComment ref="AL79" dT="2025-02-06T14:57:38.96" personId="{B635E884-3FAB-4CF3-9D63-FB8019E06DF0}" id="{211EC543-7959-4904-BB21-061D839E6C8D}">
    <text>01 ACADEMIA</text>
  </threadedComment>
  <threadedComment ref="AI93" dT="2025-03-25T20:27:14.84" personId="{B635E884-3FAB-4CF3-9D63-FB8019E06DF0}" id="{DE07F9BF-04D6-40A7-AF95-2D227180CEAE}">
    <text>01 ACADEMIA</text>
  </threadedComment>
  <threadedComment ref="AV93" dT="2025-03-25T20:26:43.60" personId="{B635E884-3FAB-4CF3-9D63-FB8019E06DF0}" id="{3B68BB10-BAC6-4EA7-BB6C-0C6EBBB914A9}">
    <text>01 ESPAÇO FOGO</text>
  </threadedComment>
  <threadedComment ref="AJ95" dT="2025-03-25T19:20:13.72" personId="{B635E884-3FAB-4CF3-9D63-FB8019E06DF0}" id="{47C1F46B-EE39-49CF-B82C-96087A865EF2}">
    <text xml:space="preserve">01 ACADEMIA
</text>
  </threadedComment>
  <threadedComment ref="AD96" dT="2025-02-06T17:18:12.98" personId="{B635E884-3FAB-4CF3-9D63-FB8019E06DF0}" id="{DFF53470-D8BF-4353-82DA-F4063927F26C}">
    <text>01 ACADEMIA</text>
  </threadedComment>
  <threadedComment ref="AH100" dT="2025-02-06T17:30:11.65" personId="{B635E884-3FAB-4CF3-9D63-FB8019E06DF0}" id="{9B699E56-230D-4C73-9809-CAAAF8DAF036}">
    <text>01 ACADEMIA</text>
  </threadedComment>
  <threadedComment ref="G102" dT="2025-02-18T14:39:26.03" personId="{B635E884-3FAB-4CF3-9D63-FB8019E06DF0}" id="{DA0B73A2-3C4C-48D6-9334-8B9C27E17A5A}">
    <text xml:space="preserve">TORRINHA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8" dT="2025-03-25T20:06:28.37" personId="{B635E884-3FAB-4CF3-9D63-FB8019E06DF0}" id="{A5253F5D-C6AE-4ECA-BE8F-91E74B787B47}">
    <text>01 TORRE</text>
  </threadedComment>
  <threadedComment ref="K8" dT="2025-03-27T14:56:06.34" personId="{B635E884-3FAB-4CF3-9D63-FB8019E06DF0}" id="{1826D5AB-4BBF-433D-AE3E-BCBFBAF23BE7}">
    <text>01 TORRE</text>
  </threadedComment>
  <threadedComment ref="AN11" dT="2025-03-25T20:17:56.31" personId="{B635E884-3FAB-4CF3-9D63-FB8019E06DF0}" id="{B72BD395-D3DD-4FE8-A8A8-1FCB0A5D6C20}">
    <text>+ 03 PRAÇAS</text>
  </threadedComment>
  <threadedComment ref="E16" dT="2025-03-24T16:55:57.65" personId="{B635E884-3FAB-4CF3-9D63-FB8019E06DF0}" id="{9AA4D18D-6090-4F25-8BCD-BF01481A3AA3}">
    <text>01 TORRE DE 13 PAV
04 TORRES DE 14 PAV</text>
  </threadedComment>
  <threadedComment ref="AH20" dT="2025-02-06T12:02:37.05" personId="{B635E884-3FAB-4CF3-9D63-FB8019E06DF0}" id="{33703D55-9394-4726-B386-FEBE4C7BDE99}">
    <text>01 espaço zen/yoga</text>
  </threadedComment>
  <threadedComment ref="AJ20" dT="2025-02-06T12:02:24.10" personId="{B635E884-3FAB-4CF3-9D63-FB8019E06DF0}" id="{B8D29A42-C0B9-4030-A3E1-98A09D9F0979}">
    <text>01 play baby</text>
  </threadedComment>
  <threadedComment ref="E40" dT="2025-03-24T17:08:56.10" personId="{B635E884-3FAB-4CF3-9D63-FB8019E06DF0}" id="{F30170B9-6655-41C0-BF79-69A39C11273F}">
    <text>01 TORRE 22 PAV
01 TORRE 23 PAV</text>
  </threadedComment>
  <threadedComment ref="E44" dT="2025-03-24T17:14:19.95" personId="{B635E884-3FAB-4CF3-9D63-FB8019E06DF0}" id="{D502885A-6025-4FDC-A41B-1FCC5C0D1300}">
    <text xml:space="preserve">01 TORRE 10 PAV
05 TORRES 12 PAV
</text>
  </threadedComment>
  <threadedComment ref="AJ54" dT="2025-02-06T16:16:09.85" personId="{B635E884-3FAB-4CF3-9D63-FB8019E06DF0}" id="{D52D1F96-62E7-4DC2-9E27-5B42CE15F74F}">
    <text>01 BICICLETÁRIO COBERTO</text>
  </threadedComment>
  <threadedComment ref="AH56" dT="2025-02-06T14:37:47.07" personId="{B635E884-3FAB-4CF3-9D63-FB8019E06DF0}" id="{4910AF1D-3B9E-4947-BAA8-991CABEE2E4F}">
    <text>01 ACADEMIA</text>
  </threadedComment>
  <threadedComment ref="AL58" dT="2025-02-06T16:10:12.72" personId="{B635E884-3FAB-4CF3-9D63-FB8019E06DF0}" id="{DAC9E393-CFB0-45F4-8184-BC0AAABE0226}">
    <text>01 ACADEMIA</text>
  </threadedComment>
  <threadedComment ref="G65" dT="2025-02-18T14:39:21.77" personId="{B635E884-3FAB-4CF3-9D63-FB8019E06DF0}" id="{D0182620-F41E-42F2-9BC4-F2590E5F7053}">
    <text>TORRINHA</text>
  </threadedComment>
  <threadedComment ref="AL79" dT="2025-02-06T14:57:38.96" personId="{B635E884-3FAB-4CF3-9D63-FB8019E06DF0}" id="{F749FADE-1ECF-4384-ACB0-E3EC14248E1F}">
    <text>01 ACADEMIA</text>
  </threadedComment>
  <threadedComment ref="AI93" dT="2025-03-25T20:27:14.84" personId="{B635E884-3FAB-4CF3-9D63-FB8019E06DF0}" id="{44CC1B5B-FE0C-4625-B617-3D3A86840EBF}">
    <text>01 ACADEMIA</text>
  </threadedComment>
  <threadedComment ref="AV93" dT="2025-03-25T20:26:43.60" personId="{B635E884-3FAB-4CF3-9D63-FB8019E06DF0}" id="{C8EBD19B-8725-47BA-BF1F-FEF7AED11F7F}">
    <text>01 ESPAÇO FOGO</text>
  </threadedComment>
  <threadedComment ref="AJ95" dT="2025-03-25T19:20:13.72" personId="{B635E884-3FAB-4CF3-9D63-FB8019E06DF0}" id="{853AE67B-71FE-4CF9-8DD0-55891A470B3B}">
    <text xml:space="preserve">01 ACADEMIA
</text>
  </threadedComment>
  <threadedComment ref="AD96" dT="2025-02-06T17:18:12.98" personId="{B635E884-3FAB-4CF3-9D63-FB8019E06DF0}" id="{DFDF464F-F060-4E5F-A2E9-8CF79305ACF2}">
    <text>01 ACADEMIA</text>
  </threadedComment>
  <threadedComment ref="AH100" dT="2025-02-06T17:30:11.65" personId="{B635E884-3FAB-4CF3-9D63-FB8019E06DF0}" id="{3E0FC609-6B08-4797-B58A-45DDCC38C5CE}">
    <text>01 ACADEMIA</text>
  </threadedComment>
  <threadedComment ref="G102" dT="2025-02-18T14:39:26.03" personId="{B635E884-3FAB-4CF3-9D63-FB8019E06DF0}" id="{824043F7-ED26-4D91-9AA2-4D54D9ABBC5C}">
    <text xml:space="preserve">TORRINHA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V11" dT="2025-03-25T20:17:56.31" personId="{B635E884-3FAB-4CF3-9D63-FB8019E06DF0}" id="{8F1C6AFA-8E06-4FCC-B41B-FC641BAC57F4}">
    <text>+ 03 PRAÇAS</text>
  </threadedComment>
  <threadedComment ref="P20" dT="2025-02-06T12:02:37.05" personId="{B635E884-3FAB-4CF3-9D63-FB8019E06DF0}" id="{6C590FD0-CFB6-4E40-8283-95769134A96A}">
    <text>01 espaço zen/yoga</text>
  </threadedComment>
  <threadedComment ref="R20" dT="2025-02-06T12:02:24.10" personId="{B635E884-3FAB-4CF3-9D63-FB8019E06DF0}" id="{D1B186CC-13AE-4A80-B034-C9A8EB5D5B46}">
    <text>01 play baby</text>
  </threadedComment>
  <threadedComment ref="R54" dT="2025-02-06T16:16:09.85" personId="{B635E884-3FAB-4CF3-9D63-FB8019E06DF0}" id="{F55A1D44-5180-4928-B541-89B0F242694A}">
    <text>01 BICICLETÁRIO COBERTO</text>
  </threadedComment>
  <threadedComment ref="P56" dT="2025-02-06T14:37:47.07" personId="{B635E884-3FAB-4CF3-9D63-FB8019E06DF0}" id="{3A1685CC-A66E-4F6E-A6DB-7689A2333D68}">
    <text>01 ACADEMIA</text>
  </threadedComment>
  <threadedComment ref="T58" dT="2025-02-06T16:10:12.72" personId="{B635E884-3FAB-4CF3-9D63-FB8019E06DF0}" id="{EBCC7606-48F2-45AB-86B5-D25FEA499BBA}">
    <text>01 ACADEMIA</text>
  </threadedComment>
  <threadedComment ref="T79" dT="2025-02-06T14:57:38.96" personId="{B635E884-3FAB-4CF3-9D63-FB8019E06DF0}" id="{3A48DF6A-48B7-44F0-8AB2-3E97B9958435}">
    <text>01 ACADEMIA</text>
  </threadedComment>
  <threadedComment ref="Q93" dT="2025-03-25T20:27:14.84" personId="{B635E884-3FAB-4CF3-9D63-FB8019E06DF0}" id="{9F199D7F-B272-4778-B17A-24FD70EA2F8E}">
    <text>01 ACADEMIA</text>
  </threadedComment>
  <threadedComment ref="AD93" dT="2025-03-25T20:26:43.60" personId="{B635E884-3FAB-4CF3-9D63-FB8019E06DF0}" id="{01BB0EE0-92ED-49C6-A749-8DB2154CCCEF}">
    <text>01 ESPAÇO FOGO</text>
  </threadedComment>
  <threadedComment ref="R95" dT="2025-03-25T19:20:13.72" personId="{B635E884-3FAB-4CF3-9D63-FB8019E06DF0}" id="{9BF99399-09A5-4101-BA65-8FD4FBBDE400}">
    <text xml:space="preserve">01 ACADEMIA
</text>
  </threadedComment>
  <threadedComment ref="L96" dT="2025-02-06T17:18:12.98" personId="{B635E884-3FAB-4CF3-9D63-FB8019E06DF0}" id="{0FA16192-B882-4383-8416-C7DDFD1FF151}">
    <text>01 ACADEMIA</text>
  </threadedComment>
  <threadedComment ref="P100" dT="2025-02-06T17:30:11.65" personId="{B635E884-3FAB-4CF3-9D63-FB8019E06DF0}" id="{5CDA407D-140F-4F68-B3CA-BDC1382F3C00}">
    <text>01 ACADEMIA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6330-0DF9-40C4-AA45-F011F53D7AF9}">
  <dimension ref="B1:DA120"/>
  <sheetViews>
    <sheetView topLeftCell="BH1" zoomScaleNormal="100" workbookViewId="0">
      <selection activeCell="CF106" sqref="CF106"/>
    </sheetView>
  </sheetViews>
  <sheetFormatPr defaultColWidth="8.90625" defaultRowHeight="14.5" outlineLevelCol="1" x14ac:dyDescent="0.35"/>
  <cols>
    <col min="1" max="1" width="8.90625" style="35"/>
    <col min="2" max="2" width="7.6328125" style="35" customWidth="1"/>
    <col min="3" max="3" width="39.6328125" style="35" bestFit="1" customWidth="1"/>
    <col min="4" max="4" width="8.36328125" style="35" bestFit="1" customWidth="1"/>
    <col min="5" max="5" width="11.453125" style="35" bestFit="1" customWidth="1"/>
    <col min="6" max="6" width="15.36328125" style="35" bestFit="1" customWidth="1"/>
    <col min="7" max="8" width="14" style="35" bestFit="1" customWidth="1"/>
    <col min="9" max="9" width="15.54296875" style="35" bestFit="1" customWidth="1"/>
    <col min="10" max="10" width="14.36328125" style="35" bestFit="1" customWidth="1"/>
    <col min="11" max="11" width="14" style="35" bestFit="1" customWidth="1"/>
    <col min="12" max="12" width="15.54296875" style="35" bestFit="1" customWidth="1"/>
    <col min="13" max="13" width="12.6328125" style="35" bestFit="1" customWidth="1"/>
    <col min="14" max="14" width="13" style="35" bestFit="1" customWidth="1"/>
    <col min="15" max="15" width="12.36328125" style="35" bestFit="1" customWidth="1"/>
    <col min="16" max="16" width="12.36328125" style="35" customWidth="1"/>
    <col min="17" max="18" width="11.6328125" style="35" customWidth="1"/>
    <col min="19" max="19" width="8.6328125" style="35" customWidth="1"/>
    <col min="20" max="20" width="12.08984375" style="35" customWidth="1"/>
    <col min="21" max="21" width="10.90625" style="35" customWidth="1"/>
    <col min="22" max="22" width="12.54296875" style="35" customWidth="1"/>
    <col min="23" max="24" width="13.36328125" style="35" customWidth="1"/>
    <col min="25" max="25" width="12.6328125" style="35" customWidth="1"/>
    <col min="26" max="26" width="12.453125" style="35" customWidth="1"/>
    <col min="27" max="29" width="12.90625" style="35" customWidth="1"/>
    <col min="30" max="30" width="8.90625" style="35" customWidth="1"/>
    <col min="31" max="31" width="8.36328125" style="35" customWidth="1"/>
    <col min="32" max="32" width="8.90625" style="35" customWidth="1"/>
    <col min="33" max="33" width="9" style="35" customWidth="1"/>
    <col min="34" max="34" width="8.90625" style="35" customWidth="1"/>
    <col min="35" max="35" width="9" style="35" customWidth="1"/>
    <col min="36" max="36" width="8.90625" style="35" customWidth="1"/>
    <col min="37" max="37" width="9" style="35" customWidth="1"/>
    <col min="38" max="38" width="8.90625" style="35" customWidth="1"/>
    <col min="39" max="39" width="9" style="35" customWidth="1"/>
    <col min="40" max="40" width="8.90625" style="35" customWidth="1"/>
    <col min="41" max="41" width="9" style="35" customWidth="1"/>
    <col min="42" max="42" width="8.90625" style="35" customWidth="1"/>
    <col min="43" max="43" width="9" style="35" customWidth="1"/>
    <col min="44" max="44" width="8.90625" style="35" customWidth="1"/>
    <col min="45" max="45" width="9" style="35" customWidth="1"/>
    <col min="46" max="46" width="8.90625" style="35" customWidth="1"/>
    <col min="47" max="47" width="9.6328125" style="35" customWidth="1"/>
    <col min="48" max="48" width="18.6328125" style="35" customWidth="1"/>
    <col min="49" max="49" width="10.54296875" style="35" customWidth="1"/>
    <col min="50" max="50" width="11.54296875" style="35" customWidth="1"/>
    <col min="51" max="51" width="11.90625" style="35" customWidth="1"/>
    <col min="52" max="52" width="11.54296875" style="35" customWidth="1"/>
    <col min="53" max="53" width="11.90625" style="35" customWidth="1"/>
    <col min="54" max="59" width="11.54296875" style="35" customWidth="1"/>
    <col min="60" max="60" width="13.54296875" style="35" customWidth="1"/>
    <col min="61" max="61" width="9.6328125" style="35" customWidth="1"/>
    <col min="62" max="62" width="9.90625" style="35" customWidth="1"/>
    <col min="63" max="63" width="9.6328125" style="35" customWidth="1"/>
    <col min="64" max="64" width="12.6328125" style="35" customWidth="1"/>
    <col min="65" max="65" width="13.08984375" style="35" customWidth="1"/>
    <col min="66" max="66" width="11.453125" style="35" customWidth="1"/>
    <col min="67" max="68" width="8.36328125" style="35" customWidth="1"/>
    <col min="69" max="70" width="11.36328125" style="35" customWidth="1"/>
    <col min="71" max="71" width="10.54296875" style="35" customWidth="1"/>
    <col min="72" max="72" width="11.36328125" style="35" customWidth="1"/>
    <col min="73" max="73" width="12.36328125" style="35" customWidth="1"/>
    <col min="74" max="74" width="11.36328125" style="35" customWidth="1"/>
    <col min="75" max="77" width="12.90625" style="35" customWidth="1"/>
    <col min="78" max="78" width="16.453125" style="35" bestFit="1" customWidth="1"/>
    <col min="79" max="84" width="12.453125" style="35" customWidth="1"/>
    <col min="85" max="85" width="13.6328125" style="35" bestFit="1" customWidth="1"/>
    <col min="86" max="86" width="12.453125" style="35" customWidth="1"/>
    <col min="87" max="88" width="14.6328125" style="35" customWidth="1"/>
    <col min="89" max="89" width="14.36328125" style="35" hidden="1" customWidth="1" outlineLevel="1"/>
    <col min="90" max="90" width="15" style="71" hidden="1" customWidth="1" outlineLevel="1"/>
    <col min="91" max="91" width="14.36328125" style="71" hidden="1" customWidth="1" outlineLevel="1"/>
    <col min="92" max="92" width="14.36328125" style="35" hidden="1" customWidth="1" outlineLevel="1"/>
    <col min="93" max="93" width="15" style="71" hidden="1" customWidth="1" outlineLevel="1"/>
    <col min="94" max="94" width="17.36328125" style="71" hidden="1" customWidth="1" outlineLevel="1"/>
    <col min="95" max="95" width="10.453125" style="71" hidden="1" customWidth="1" outlineLevel="1"/>
    <col min="96" max="96" width="15" style="71" hidden="1" customWidth="1" outlineLevel="1"/>
    <col min="97" max="97" width="14.36328125" style="35" hidden="1" customWidth="1" outlineLevel="1"/>
    <col min="98" max="98" width="13.08984375" style="140" customWidth="1" collapsed="1"/>
    <col min="99" max="100" width="12.6328125" style="71" customWidth="1"/>
    <col min="101" max="101" width="13.08984375" style="103" customWidth="1"/>
    <col min="102" max="103" width="15" style="71" customWidth="1"/>
    <col min="104" max="104" width="15.36328125" style="71" customWidth="1"/>
    <col min="105" max="105" width="12.08984375" style="35" customWidth="1"/>
    <col min="106" max="16384" width="8.90625" style="35"/>
  </cols>
  <sheetData>
    <row r="1" spans="2:105" x14ac:dyDescent="0.35">
      <c r="CK1" s="145" t="s">
        <v>342</v>
      </c>
      <c r="CL1" s="146"/>
      <c r="CM1" s="146"/>
      <c r="CN1" s="146"/>
      <c r="CO1" s="146"/>
      <c r="CP1" s="146"/>
      <c r="CQ1" s="146"/>
      <c r="CR1" s="146"/>
      <c r="CT1" s="262" t="s">
        <v>343</v>
      </c>
      <c r="CU1" s="263"/>
      <c r="CV1" s="263"/>
      <c r="CW1" s="161"/>
      <c r="CX1" s="157"/>
      <c r="CY1" s="157"/>
    </row>
    <row r="2" spans="2:105" s="153" customFormat="1" ht="38.4" customHeight="1" x14ac:dyDescent="0.3">
      <c r="B2" s="1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0</v>
      </c>
      <c r="H2" s="138" t="s">
        <v>23</v>
      </c>
      <c r="I2" s="138" t="s">
        <v>251</v>
      </c>
      <c r="J2" s="139" t="s">
        <v>252</v>
      </c>
      <c r="K2" s="139" t="s">
        <v>24</v>
      </c>
      <c r="L2" s="2" t="s">
        <v>253</v>
      </c>
      <c r="M2" s="2" t="s">
        <v>25</v>
      </c>
      <c r="N2" s="2" t="s">
        <v>26</v>
      </c>
      <c r="O2" s="2" t="s">
        <v>27</v>
      </c>
      <c r="P2" s="3" t="s">
        <v>28</v>
      </c>
      <c r="Q2" s="108" t="s">
        <v>29</v>
      </c>
      <c r="R2" s="3" t="s">
        <v>30</v>
      </c>
      <c r="S2" s="3" t="s">
        <v>31</v>
      </c>
      <c r="T2" s="3" t="s">
        <v>32</v>
      </c>
      <c r="U2" s="3" t="s">
        <v>33</v>
      </c>
      <c r="V2" s="108" t="s">
        <v>34</v>
      </c>
      <c r="W2" s="4" t="s">
        <v>35</v>
      </c>
      <c r="X2" s="108" t="s">
        <v>36</v>
      </c>
      <c r="Y2" s="5" t="s">
        <v>37</v>
      </c>
      <c r="Z2" s="5" t="s">
        <v>38</v>
      </c>
      <c r="AA2" s="5" t="s">
        <v>39</v>
      </c>
      <c r="AB2" s="5" t="s">
        <v>40</v>
      </c>
      <c r="AC2" s="108" t="s">
        <v>41</v>
      </c>
      <c r="AD2" s="6" t="s">
        <v>42</v>
      </c>
      <c r="AE2" s="7" t="s">
        <v>43</v>
      </c>
      <c r="AF2" s="6" t="s">
        <v>44</v>
      </c>
      <c r="AG2" s="7" t="s">
        <v>45</v>
      </c>
      <c r="AH2" s="6" t="s">
        <v>46</v>
      </c>
      <c r="AI2" s="7" t="s">
        <v>47</v>
      </c>
      <c r="AJ2" s="6" t="s">
        <v>48</v>
      </c>
      <c r="AK2" s="7" t="s">
        <v>49</v>
      </c>
      <c r="AL2" s="6" t="s">
        <v>50</v>
      </c>
      <c r="AM2" s="7" t="s">
        <v>51</v>
      </c>
      <c r="AN2" s="6" t="s">
        <v>52</v>
      </c>
      <c r="AO2" s="7" t="s">
        <v>53</v>
      </c>
      <c r="AP2" s="6" t="s">
        <v>54</v>
      </c>
      <c r="AQ2" s="7" t="s">
        <v>55</v>
      </c>
      <c r="AR2" s="6" t="s">
        <v>56</v>
      </c>
      <c r="AS2" s="7" t="s">
        <v>57</v>
      </c>
      <c r="AT2" s="6" t="s">
        <v>58</v>
      </c>
      <c r="AU2" s="7" t="s">
        <v>59</v>
      </c>
      <c r="AV2" s="6" t="s">
        <v>60</v>
      </c>
      <c r="AW2" s="7" t="s">
        <v>61</v>
      </c>
      <c r="AX2" s="8" t="s">
        <v>62</v>
      </c>
      <c r="AY2" s="8" t="s">
        <v>63</v>
      </c>
      <c r="AZ2" s="8" t="s">
        <v>64</v>
      </c>
      <c r="BA2" s="8" t="s">
        <v>65</v>
      </c>
      <c r="BB2" s="8" t="s">
        <v>66</v>
      </c>
      <c r="BC2" s="8" t="s">
        <v>67</v>
      </c>
      <c r="BD2" s="8" t="s">
        <v>68</v>
      </c>
      <c r="BE2" s="8" t="s">
        <v>69</v>
      </c>
      <c r="BF2" s="8" t="s">
        <v>70</v>
      </c>
      <c r="BG2" s="8" t="s">
        <v>71</v>
      </c>
      <c r="BH2" s="9" t="s">
        <v>72</v>
      </c>
      <c r="BI2" s="9" t="s">
        <v>73</v>
      </c>
      <c r="BJ2" s="9" t="s">
        <v>74</v>
      </c>
      <c r="BK2" s="10" t="s">
        <v>75</v>
      </c>
      <c r="BL2" s="11" t="s">
        <v>76</v>
      </c>
      <c r="BM2" s="12" t="s">
        <v>77</v>
      </c>
      <c r="BN2" s="13" t="s">
        <v>78</v>
      </c>
      <c r="BO2" s="14" t="s">
        <v>79</v>
      </c>
      <c r="BP2" s="14" t="s">
        <v>350</v>
      </c>
      <c r="BQ2" s="13" t="s">
        <v>80</v>
      </c>
      <c r="BR2" s="14" t="s">
        <v>81</v>
      </c>
      <c r="BS2" s="13" t="s">
        <v>82</v>
      </c>
      <c r="BT2" s="14" t="s">
        <v>83</v>
      </c>
      <c r="BU2" s="13" t="s">
        <v>15</v>
      </c>
      <c r="BV2" s="14" t="s">
        <v>84</v>
      </c>
      <c r="BW2" s="15" t="s">
        <v>85</v>
      </c>
      <c r="BX2" s="16" t="s">
        <v>86</v>
      </c>
      <c r="BY2" s="15" t="s">
        <v>87</v>
      </c>
      <c r="BZ2" s="17" t="s">
        <v>88</v>
      </c>
      <c r="CA2" s="18" t="s">
        <v>89</v>
      </c>
      <c r="CB2" s="18" t="s">
        <v>254</v>
      </c>
      <c r="CC2" s="19" t="s">
        <v>90</v>
      </c>
      <c r="CD2" s="19" t="s">
        <v>91</v>
      </c>
      <c r="CE2" s="20" t="s">
        <v>92</v>
      </c>
      <c r="CF2" s="20" t="s">
        <v>93</v>
      </c>
      <c r="CG2" s="21" t="s">
        <v>94</v>
      </c>
      <c r="CH2" s="21" t="s">
        <v>255</v>
      </c>
      <c r="CI2" s="111" t="s">
        <v>95</v>
      </c>
      <c r="CJ2" s="111" t="s">
        <v>256</v>
      </c>
      <c r="CK2" s="147" t="s">
        <v>257</v>
      </c>
      <c r="CL2" s="148" t="s">
        <v>96</v>
      </c>
      <c r="CM2" s="148" t="s">
        <v>337</v>
      </c>
      <c r="CN2" s="149" t="s">
        <v>258</v>
      </c>
      <c r="CO2" s="149" t="s">
        <v>97</v>
      </c>
      <c r="CP2" s="150" t="s">
        <v>344</v>
      </c>
      <c r="CQ2" s="151" t="s">
        <v>98</v>
      </c>
      <c r="CR2" s="152" t="s">
        <v>345</v>
      </c>
      <c r="CS2" s="158" t="s">
        <v>348</v>
      </c>
      <c r="CT2" s="160" t="s">
        <v>347</v>
      </c>
      <c r="CU2" s="154" t="s">
        <v>349</v>
      </c>
      <c r="CV2" s="154" t="s">
        <v>338</v>
      </c>
      <c r="CW2" s="162" t="s">
        <v>340</v>
      </c>
      <c r="CX2" s="155" t="s">
        <v>339</v>
      </c>
      <c r="CY2" s="156" t="s">
        <v>346</v>
      </c>
      <c r="CZ2" s="159" t="s">
        <v>354</v>
      </c>
      <c r="DA2" s="174" t="s">
        <v>355</v>
      </c>
    </row>
    <row r="3" spans="2:105" hidden="1" x14ac:dyDescent="0.35">
      <c r="B3" s="27">
        <v>10</v>
      </c>
      <c r="C3" s="22" t="s">
        <v>127</v>
      </c>
      <c r="D3" s="22" t="s">
        <v>128</v>
      </c>
      <c r="E3" s="23">
        <v>260</v>
      </c>
      <c r="F3" s="22" t="str">
        <f t="shared" ref="F3:F66" si="0">IF(E3&lt;=200,"Até 200 und",IF(E3&lt;=400,"De 200 a 400 und",IF(E3&gt;=401,"Acima de 400 und")))</f>
        <v>De 200 a 400 und</v>
      </c>
      <c r="G3" s="22" t="s">
        <v>1</v>
      </c>
      <c r="H3" s="36">
        <v>13</v>
      </c>
      <c r="I3" s="36">
        <v>5</v>
      </c>
      <c r="J3" s="36"/>
      <c r="K3" s="36"/>
      <c r="L3" s="36">
        <f>SUM(Tabela13[[#This Row],[QTD DE B/T 2]],Tabela13[[#This Row],[QTD DE B/T]])</f>
        <v>13</v>
      </c>
      <c r="M3" s="22">
        <v>1</v>
      </c>
      <c r="N3" s="22">
        <f>Tabela13[[#This Row],[ELEVADOR]]/Tabela13[[#This Row],[BLOCO TOTAL]]</f>
        <v>7.6923076923076927E-2</v>
      </c>
      <c r="O3" s="22" t="s">
        <v>6</v>
      </c>
      <c r="P3" s="22" t="s">
        <v>119</v>
      </c>
      <c r="Q3" s="22" t="s">
        <v>101</v>
      </c>
      <c r="R3" s="22" t="s">
        <v>102</v>
      </c>
      <c r="S3" s="22" t="s">
        <v>103</v>
      </c>
      <c r="T3" s="22" t="s">
        <v>104</v>
      </c>
      <c r="U3" s="22" t="s">
        <v>105</v>
      </c>
      <c r="V3" s="22" t="s">
        <v>106</v>
      </c>
      <c r="W3" s="24">
        <f>IF(P3=[1]BD_CUSTO!$E$4,[1]BD_CUSTO!$F$4,[1]BD_CUSTO!$F$5)</f>
        <v>530</v>
      </c>
      <c r="X3" s="24">
        <f>IF(Q3=[1]BD_CUSTO!$E$6,[1]BD_CUSTO!$F$6,[1]BD_CUSTO!$F$7)</f>
        <v>260</v>
      </c>
      <c r="Y3" s="24">
        <f>IF(R3=[1]BD_CUSTO!$E$8,[1]BD_CUSTO!$F$8,[1]BD_CUSTO!$F$9)</f>
        <v>600</v>
      </c>
      <c r="Z3" s="24">
        <f>IF(S3=[1]BD_CUSTO!$E$10,[1]BD_CUSTO!$F$10,[1]BD_CUSTO!$F$11)</f>
        <v>500</v>
      </c>
      <c r="AA3" s="24">
        <f>IF(T3=[1]BD_CUSTO!$E$12,[1]BD_CUSTO!$F$12,[1]BD_CUSTO!$F$13)</f>
        <v>370</v>
      </c>
      <c r="AB3" s="24">
        <f>IF(U3=[1]BD_CUSTO!$E$14,[1]BD_CUSTO!$F$14,[1]BD_CUSTO!$F$15)</f>
        <v>90</v>
      </c>
      <c r="AC3" s="24">
        <f>IF(V3=[1]BD_CUSTO!$E$16,[1]BD_CUSTO!$F$16,[1]BD_CUSTO!$F$17)</f>
        <v>720</v>
      </c>
      <c r="AD3" s="22" t="s">
        <v>110</v>
      </c>
      <c r="AE3" s="22">
        <v>1</v>
      </c>
      <c r="AF3" s="22" t="s">
        <v>107</v>
      </c>
      <c r="AG3" s="22">
        <v>2</v>
      </c>
      <c r="AH3" s="22" t="s">
        <v>111</v>
      </c>
      <c r="AI3" s="22">
        <v>1</v>
      </c>
      <c r="AJ3" s="22" t="s">
        <v>129</v>
      </c>
      <c r="AK3" s="22">
        <v>1</v>
      </c>
      <c r="AL3" s="22" t="s">
        <v>108</v>
      </c>
      <c r="AM3" s="22">
        <v>1</v>
      </c>
      <c r="AN3" s="22" t="s">
        <v>126</v>
      </c>
      <c r="AO3" s="22">
        <v>1</v>
      </c>
      <c r="AP3" s="22"/>
      <c r="AQ3" s="22"/>
      <c r="AR3" s="22"/>
      <c r="AS3" s="22"/>
      <c r="AT3" s="22"/>
      <c r="AU3" s="22"/>
      <c r="AV3" s="22"/>
      <c r="AW3" s="22"/>
      <c r="AX3" s="24">
        <f>IF(AD3="",0,VLOOKUP(AD3,[1]BD_CUSTO!I:J,2,0)*AE3/E3)</f>
        <v>20.384615384615383</v>
      </c>
      <c r="AY3" s="24">
        <f>IF(AF3="",0,VLOOKUP(AF3,[1]BD_CUSTO!I:J,2,0)*AG3/E3)</f>
        <v>654.99323076923076</v>
      </c>
      <c r="AZ3" s="24">
        <f>IF(AH3="",0,VLOOKUP(AH3,[1]BD_CUSTO!I:J,2,0)*AI3/E3)</f>
        <v>62.307692307692307</v>
      </c>
      <c r="BA3" s="24">
        <f>IF(AJ3="",0,VLOOKUP(AJ3,[1]BD_CUSTO!I:J,2,0)*AK3/E3)</f>
        <v>1058.3368461538462</v>
      </c>
      <c r="BB3" s="24">
        <f>IF(AL3="",0,VLOOKUP(AL3,[1]BD_CUSTO!I:J,2,0)*AM3/E3)</f>
        <v>89.038461538461533</v>
      </c>
      <c r="BC3" s="24">
        <f>IF(AN3="",0,VLOOKUP(AN3,[1]BD_CUSTO!I:J,2,0)*AO3/E3)</f>
        <v>29.076923076923077</v>
      </c>
      <c r="BD3" s="24">
        <f>IF(AP3="",0,VLOOKUP(AP3,[1]BD_CUSTO!I:J,2,0)*AQ3/E3)</f>
        <v>0</v>
      </c>
      <c r="BE3" s="24">
        <f>IF(AR3="",0,VLOOKUP(AR3,CUSTO!I:J,2,0)*AS3/E3)</f>
        <v>0</v>
      </c>
      <c r="BF3" s="24">
        <f>IF(AT3="",0,VLOOKUP(AT3,[1]BD_CUSTO!I:J,2,0)*AU3/E3)</f>
        <v>0</v>
      </c>
      <c r="BG3" s="24">
        <f>IF(Tabela13[[#This Row],[LZ 10]]="",0,VLOOKUP(Tabela13[[#This Row],[LZ 10]],[1]BD_CUSTO!I:J,2,0)*Tabela13[[#This Row],[QTD922]]/E3)</f>
        <v>0</v>
      </c>
      <c r="BH3" s="22" t="s">
        <v>122</v>
      </c>
      <c r="BI3" s="25">
        <v>0</v>
      </c>
      <c r="BJ3" s="22" t="s">
        <v>113</v>
      </c>
      <c r="BK3" s="25">
        <v>0</v>
      </c>
      <c r="BL3" s="24">
        <f>IF(BH3=[1]BD_CUSTO!$M$6,[1]BD_CUSTO!$N$6)*BI3</f>
        <v>0</v>
      </c>
      <c r="BM3" s="24">
        <f>IF(BJ3=[1]BD_CUSTO!$M$4,[1]BD_CUSTO!$N$4,[1]BD_CUSTO!$N$5)*BK3</f>
        <v>0</v>
      </c>
      <c r="BN3" s="22" t="s">
        <v>114</v>
      </c>
      <c r="BO3" s="22">
        <v>59</v>
      </c>
      <c r="BP3" s="25">
        <f>Tabela13[[#This Row],[QTD ]]/Tabela13[[#This Row],[Nº UNDS]]</f>
        <v>0.22692307692307692</v>
      </c>
      <c r="BQ3" s="22" t="s">
        <v>123</v>
      </c>
      <c r="BR3" s="22">
        <v>138</v>
      </c>
      <c r="BS3" s="22" t="s">
        <v>116</v>
      </c>
      <c r="BT3" s="22">
        <v>0</v>
      </c>
      <c r="BU3" s="22" t="s">
        <v>16</v>
      </c>
      <c r="BV3" s="22">
        <v>0</v>
      </c>
      <c r="BW3" s="24">
        <f>IF(BN3=[1]BD_CUSTO!$Q$7,[1]BD_CUSTO!$R$7,[1]BD_CUSTO!$R$8)*BO3/E3</f>
        <v>453.84615384615387</v>
      </c>
      <c r="BX3" s="24">
        <f>IF(BQ3=[1]BD_CUSTO!$Q$4,[1]BD_CUSTO!$R$4,[1]BD_CUSTO!$R$5)*BR3/E3</f>
        <v>530.76923076923072</v>
      </c>
      <c r="BY3" s="22">
        <f>IF(BS3=[1]BD_CUSTO!$Q$13,[1]BD_CUSTO!$R$13,[1]BD_CUSTO!$R$14)*BT3/E3</f>
        <v>0</v>
      </c>
      <c r="BZ3" s="24">
        <f>BV3*CUSTO!$R$10/E3</f>
        <v>0</v>
      </c>
      <c r="CA3" s="26">
        <f>SUM(Tabela13[[#This Row],[SOMA_PISO SALA E QUARTO]],Tabela13[[#This Row],[SOMA_PAREDE HIDR]],Tabela13[[#This Row],[SOMA_TETO]],Tabela13[[#This Row],[SOMA_BANCADA]],Tabela13[[#This Row],[SOMA_PEDRAS]])</f>
        <v>2090</v>
      </c>
      <c r="CB3" s="27" t="str">
        <f>IF(CA3&lt;=RÉGUAS!$D$4,"ACAB 01",IF(CA3&lt;=RÉGUAS!$F$4,"ACAB 02",IF(CA3&gt;RÉGUAS!$F$4,"ACAB 03",)))</f>
        <v>ACAB 01</v>
      </c>
      <c r="CC3" s="26">
        <f>SUM(Tabela13[[#This Row],[SOMA_LZ 01]:[SOMA_LZ 10]])</f>
        <v>1914.137769230769</v>
      </c>
      <c r="CD3" s="22" t="str">
        <f>IF(CC3&lt;=RÉGUAS!$D$13,"LZ 01",IF(CC3&lt;=RÉGUAS!$F$13,"LZ 02",IF(CC3&lt;=RÉGUAS!$H$13,"LZ 03",IF(CC3&gt;RÉGUAS!$H$13,"LZ 04",))))</f>
        <v>LZ 03</v>
      </c>
      <c r="CE3" s="28">
        <f t="shared" ref="CE3:CE66" si="1">SUM(BL3:BM3)</f>
        <v>0</v>
      </c>
      <c r="CF3" s="22" t="str">
        <f>IF(CE3&lt;=RÉGUAS!$D$22,"TIP 01",IF(CE3&lt;=RÉGUAS!$F$22,"TIP 02",IF(CE3&gt;RÉGUAS!$F$22,"TIP 03",)))</f>
        <v>TIP 01</v>
      </c>
      <c r="CG3" s="28">
        <f t="shared" ref="CG3:CG66" si="2">SUM(BW3:BZ3)</f>
        <v>984.61538461538453</v>
      </c>
      <c r="CH3" s="22" t="str">
        <f>IF(CG3&lt;=RÉGUAS!$D$32,"VAGA 01",IF(CG3&lt;=RÉGUAS!$F$32,"VAGA 02",IF(CG3&gt;RÉGUAS!$F$32,"VAGA 03",)))</f>
        <v>VAGA 01</v>
      </c>
      <c r="CI3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577.46153846153845</v>
      </c>
      <c r="CJ3" s="85" t="str">
        <f>IF(AND(G3="BLOCO",CI3&lt;=RÉGUAS!$D$40),"ELEV 01",IF(AND(G3="BLOCO",CI3&gt;RÉGUAS!$D$40),"ELEV 02",IF(AND(G3="TORRE",CI3&lt;=RÉGUAS!$K$40),"ELEV 01",IF(AND(G3="TORRE",CI3&lt;=RÉGUAS!$M$40),"ELEV 02",IF(AND(G3="TORRE",CI3&gt;RÉGUAS!$M$40),"ELEV 03",)))))</f>
        <v>ELEV 02</v>
      </c>
      <c r="CK3" s="85">
        <f>SUM(Tabela13[[#This Row],[TOTAL  ACAB]],Tabela13[[#This Row],[TOTAL LAZER ]],Tabela13[[#This Row],[TOTAL TIPOLOGIA]],Tabela13[[#This Row],[TOTAL VAGA]],Tabela13[[#This Row],[TOTAL ELEVADOR]])</f>
        <v>5566.2146923076916</v>
      </c>
      <c r="CL3" s="72" t="str">
        <f>IF(AND(G3="BLOCO",CK3&lt;=RÉGUAS!$D$50),"ESSENCIAL",IF(AND(G3="BLOCO",CK3&lt;=RÉGUAS!$F$50),"ECO",IF(AND(G3="BLOCO",CK3&gt;RÉGUAS!$F$50),"BIO",IF(AND(G3="TORRE",CK3&lt;=RÉGUAS!$K$50),"ESSENCIAL",IF(AND(G3="TORRE",CK3&lt;=RÉGUAS!$M$50),"ECO",IF(AND(G3="TORRE",CK3&gt;RÉGUAS!$M$50),"BIO",))))))</f>
        <v>ESSENCIAL</v>
      </c>
      <c r="CM3" s="28" t="str">
        <f>IF(AND(G3="BLOCO",CK3&gt;=RÉGUAS!$D$51,CK3&lt;=RÉGUAS!$D$50),"ESSENCIAL-10%",IF(AND(G3="BLOCO",CK3&gt;RÉGUAS!$D$50,CK3&lt;=RÉGUAS!$E$51),"ECO+10%",IF(AND(G3="BLOCO",CK3&gt;=RÉGUAS!$F$51,CK3&lt;=RÉGUAS!$F$50),"ECO-10%",IF(AND(G3="BLOCO",CK3&gt;RÉGUAS!$F$50,CK3&lt;=RÉGUAS!$G$51),"BIO+10%",IF(AND(G3="TORRE",CK3&gt;=RÉGUAS!$K$51,CK3&lt;=RÉGUAS!$K$50),"ESSENCIAL-10%",IF(AND(G3="TORRE",CK3&gt;RÉGUAS!$K$50,CK3&lt;=RÉGUAS!$L$51),"ECO+10%",IF(AND(G3="TORRE",CK3&gt;=RÉGUAS!$M$51,CK3&lt;=RÉGUAS!$M$50),"ECO-10%",IF(AND(G3="TORRE",CK3&gt;RÉGUAS!$M$50,CK3&lt;=RÉGUAS!$N$51),"BIO+10%","-"))))))))</f>
        <v>-</v>
      </c>
      <c r="CN3" s="73">
        <f t="shared" ref="CN3:CN66" si="3">SUM(CA3,CC3,CE3,CG3)</f>
        <v>4988.7531538461535</v>
      </c>
      <c r="CO3" s="72" t="str">
        <f>IF(CN3&lt;=RÉGUAS!$D$58,"ESSENCIAL",IF(CN3&lt;=RÉGUAS!$F$58,"ECO",IF(CN3&gt;RÉGUAS!$F$58,"BIO",)))</f>
        <v>ESSENCIAL</v>
      </c>
      <c r="CP3" s="72" t="str">
        <f>IF(Tabela13[[#This Row],[INTERVALO DE INTERSEÇÃO 5D]]="-",Tabela13[[#This Row],[CLASSIFICAÇÃO 
5D ]],Tabela13[[#This Row],[CLASSIFICAÇÃO 
4D]])</f>
        <v>ESSENCIAL</v>
      </c>
      <c r="CQ3" s="72" t="str">
        <f t="shared" ref="CQ3:CQ66" si="4">IF(AND(CL3="ESSENCIAL",CO3="BIO"),"OPOSTO",IF(AND(CL3="BIO",CO3="ESSENCIAL"),"OPOSTO","-"))</f>
        <v>-</v>
      </c>
      <c r="CR3" s="72" t="str">
        <f t="shared" ref="CR3:CR66" si="5">IF(AND(CL3="ESSENCIAL",CO3="BIO"),"ECO",IF(AND(CL3="BIO",CO3="ESSENCIAL"),"ECO",CP3))</f>
        <v>ESSENCIAL</v>
      </c>
      <c r="CS3" s="22" t="str">
        <f>IF(Tabela13[[#This Row],[PRODUTO ATUAL ]]=Tabela13[[#This Row],[CLASSIFICAÇÃO FINAL 5D]],"ADERÊNTE","NÃO ADERÊNTE")</f>
        <v>ADERÊNTE</v>
      </c>
      <c r="CT3" s="85">
        <f>SUM(Tabela13[[#This Row],[TOTAL  ACAB]],Tabela13[[#This Row],[TOTAL LAZER ]],Tabela13[[#This Row],[TOTAL TIPOLOGIA]],Tabela13[[#This Row],[TOTAL VAGA]])</f>
        <v>4988.7531538461535</v>
      </c>
      <c r="CU3" s="144" t="str">
        <f>IF(CT3&lt;=RÉGUAS!$D$58,"ESSENCIAL",IF(CT3&lt;=RÉGUAS!$F$58,"ECO",IF(CT3&gt;RÉGUAS!$F$58,"BIO",)))</f>
        <v>ESSENCIAL</v>
      </c>
      <c r="CV3" s="144" t="str">
        <f>IF(AND(CT3&gt;=RÉGUAS!$D$59,CT3&lt;=RÉGUAS!$E$59),"ESSENCIAL/ECO",IF(AND(CT3&gt;=RÉGUAS!$F$59,CT3&lt;=RÉGUAS!$G$59),"ECO/BIO","-"))</f>
        <v>-</v>
      </c>
      <c r="CW3" s="85">
        <f>SUM(Tabela13[[#This Row],[TOTAL LAZER ]],Tabela13[[#This Row],[TOTAL TIPOLOGIA]])</f>
        <v>1914.137769230769</v>
      </c>
      <c r="CX3" s="144" t="str">
        <f>IF(CW3&lt;=RÉGUAS!$D$72,"ESSENCIAL",IF(CW3&lt;=RÉGUAS!$F$72,"ECO",IF(CN3&gt;RÉGUAS!$F$72,"BIO",)))</f>
        <v>ESSENCIAL</v>
      </c>
      <c r="CY3" s="144" t="str">
        <f t="shared" ref="CY3:CY66" si="6">IF(CV3="-",CU3,CX3)</f>
        <v>ESSENCIAL</v>
      </c>
      <c r="CZ3" s="144" t="str">
        <f>IF(Tabela13[[#This Row],[PRODUTO ATUAL ]]=CY3,"ADERENTE","NÃO ADERENTE")</f>
        <v>ADERENTE</v>
      </c>
      <c r="DA3" s="144" t="str">
        <f>IF(Tabela13[[#This Row],[PRODUTO ATUAL ]]=Tabela13[[#This Row],[CLASSIFICAÇÃO 
4D2]],"ADERENTE","NÃO ADERENTE")</f>
        <v>ADERENTE</v>
      </c>
    </row>
    <row r="4" spans="2:105" hidden="1" x14ac:dyDescent="0.35">
      <c r="B4" s="27">
        <v>3</v>
      </c>
      <c r="C4" s="22" t="s">
        <v>117</v>
      </c>
      <c r="D4" s="22" t="s">
        <v>118</v>
      </c>
      <c r="E4" s="22">
        <v>432</v>
      </c>
      <c r="F4" s="22" t="str">
        <f t="shared" si="0"/>
        <v>Acima de 400 und</v>
      </c>
      <c r="G4" s="22" t="s">
        <v>14</v>
      </c>
      <c r="H4" s="36">
        <v>2</v>
      </c>
      <c r="I4" s="36">
        <v>18</v>
      </c>
      <c r="J4" s="36"/>
      <c r="K4" s="36"/>
      <c r="L4" s="36">
        <f>SUM(Tabela13[[#This Row],[QTD DE B/T 2]],Tabela13[[#This Row],[QTD DE B/T]])</f>
        <v>2</v>
      </c>
      <c r="M4" s="22">
        <v>8</v>
      </c>
      <c r="N4" s="22">
        <f>Tabela13[[#This Row],[ELEVADOR]]/Tabela13[[#This Row],[BLOCO TOTAL]]</f>
        <v>4</v>
      </c>
      <c r="O4" s="22" t="s">
        <v>6</v>
      </c>
      <c r="P4" s="22" t="s">
        <v>119</v>
      </c>
      <c r="Q4" s="22" t="s">
        <v>101</v>
      </c>
      <c r="R4" s="22" t="s">
        <v>102</v>
      </c>
      <c r="S4" s="22" t="s">
        <v>103</v>
      </c>
      <c r="T4" s="22" t="s">
        <v>104</v>
      </c>
      <c r="U4" s="22" t="s">
        <v>105</v>
      </c>
      <c r="V4" s="22" t="s">
        <v>106</v>
      </c>
      <c r="W4" s="24">
        <f>IF(P4=[1]BD_CUSTO!$E$4,[1]BD_CUSTO!$F$4,[1]BD_CUSTO!$F$5)</f>
        <v>530</v>
      </c>
      <c r="X4" s="24">
        <f>IF(Q4=[1]BD_CUSTO!$E$6,[1]BD_CUSTO!$F$6,[1]BD_CUSTO!$F$7)</f>
        <v>260</v>
      </c>
      <c r="Y4" s="24">
        <f>IF(R4=[1]BD_CUSTO!$E$8,[1]BD_CUSTO!$F$8,[1]BD_CUSTO!$F$9)</f>
        <v>600</v>
      </c>
      <c r="Z4" s="24">
        <f>IF(S4=[1]BD_CUSTO!$E$10,[1]BD_CUSTO!$F$10,[1]BD_CUSTO!$F$11)</f>
        <v>500</v>
      </c>
      <c r="AA4" s="24">
        <f>IF(T4=[1]BD_CUSTO!$E$12,[1]BD_CUSTO!$F$12,[1]BD_CUSTO!$F$13)</f>
        <v>370</v>
      </c>
      <c r="AB4" s="24">
        <f>IF(U4=[1]BD_CUSTO!$E$14,[1]BD_CUSTO!$F$14,[1]BD_CUSTO!$F$15)</f>
        <v>90</v>
      </c>
      <c r="AC4" s="24">
        <f>IF(V4=[1]BD_CUSTO!$E$16,[1]BD_CUSTO!$F$16,[1]BD_CUSTO!$F$17)</f>
        <v>720</v>
      </c>
      <c r="AD4" s="22" t="s">
        <v>110</v>
      </c>
      <c r="AE4" s="22">
        <v>1</v>
      </c>
      <c r="AF4" s="22" t="s">
        <v>120</v>
      </c>
      <c r="AG4" s="22">
        <v>1</v>
      </c>
      <c r="AH4" s="22" t="s">
        <v>108</v>
      </c>
      <c r="AI4" s="22">
        <v>1</v>
      </c>
      <c r="AJ4" s="22" t="s">
        <v>121</v>
      </c>
      <c r="AK4" s="22">
        <v>1</v>
      </c>
      <c r="AL4" s="22" t="s">
        <v>107</v>
      </c>
      <c r="AM4" s="22">
        <v>1</v>
      </c>
      <c r="AN4" s="22" t="s">
        <v>109</v>
      </c>
      <c r="AO4" s="22">
        <v>1</v>
      </c>
      <c r="AP4" s="22"/>
      <c r="AQ4" s="22">
        <v>0</v>
      </c>
      <c r="AR4" s="22"/>
      <c r="AS4" s="22">
        <v>0</v>
      </c>
      <c r="AT4" s="22"/>
      <c r="AU4" s="22"/>
      <c r="AV4" s="22"/>
      <c r="AW4" s="22"/>
      <c r="AX4" s="24">
        <f>IF(AD4="",0,VLOOKUP(AD4,[1]BD_CUSTO!I:J,2,0)*AE4/E4)</f>
        <v>12.268518518518519</v>
      </c>
      <c r="AY4" s="24">
        <f>IF(AF4="",0,VLOOKUP(AF4,[1]BD_CUSTO!I:J,2,0)*AG4/E4)</f>
        <v>131.73351851851851</v>
      </c>
      <c r="AZ4" s="24">
        <f>IF(AH4="",0,VLOOKUP(AH4,[1]BD_CUSTO!I:J,2,0)*AI4/E4)</f>
        <v>53.587962962962962</v>
      </c>
      <c r="BA4" s="24">
        <f>IF(AJ4="",0,VLOOKUP(AJ4,[1]BD_CUSTO!I:J,2,0)*AK4/E4)</f>
        <v>285.08541666666667</v>
      </c>
      <c r="BB4" s="24">
        <f>IF(AL4="",0,VLOOKUP(AL4,[1]BD_CUSTO!I:J,2,0)*AM4/E4)</f>
        <v>197.10444444444443</v>
      </c>
      <c r="BC4" s="24">
        <f>IF(AN4="",0,VLOOKUP(AN4,[1]BD_CUSTO!I:J,2,0)*AO4/E4)</f>
        <v>16.087962962962962</v>
      </c>
      <c r="BD4" s="24">
        <f>IF(AP4="",0,VLOOKUP(AP4,[1]BD_CUSTO!I:J,2,0)*AQ4/E4)</f>
        <v>0</v>
      </c>
      <c r="BE4" s="24">
        <f>IF(AR4="",0,VLOOKUP(AR4,CUSTO!I:J,2,0)*AS4/E4)</f>
        <v>0</v>
      </c>
      <c r="BF4" s="24">
        <f>IF(AT4="",0,VLOOKUP(AT4,[1]BD_CUSTO!I:J,2,0)*AU4/E4)</f>
        <v>0</v>
      </c>
      <c r="BG4" s="24">
        <f>IF(Tabela13[[#This Row],[LZ 10]]="",0,VLOOKUP(Tabela13[[#This Row],[LZ 10]],[1]BD_CUSTO!I:J,2,0)*Tabela13[[#This Row],[QTD922]]/E4)</f>
        <v>0</v>
      </c>
      <c r="BH4" s="22" t="s">
        <v>122</v>
      </c>
      <c r="BI4" s="25">
        <v>0</v>
      </c>
      <c r="BJ4" s="29" t="s">
        <v>113</v>
      </c>
      <c r="BK4" s="25">
        <v>0</v>
      </c>
      <c r="BL4" s="24">
        <f>IF(BH4=[1]BD_CUSTO!$M$6,[1]BD_CUSTO!$N$6)*BI4</f>
        <v>0</v>
      </c>
      <c r="BM4" s="24">
        <f>IF(BJ4=[1]BD_CUSTO!$M$4,[1]BD_CUSTO!$N$4,[1]BD_CUSTO!$N$5)*BK4</f>
        <v>0</v>
      </c>
      <c r="BN4" s="22" t="s">
        <v>114</v>
      </c>
      <c r="BO4" s="22">
        <v>162</v>
      </c>
      <c r="BP4" s="25">
        <f>Tabela13[[#This Row],[QTD ]]/Tabela13[[#This Row],[Nº UNDS]]</f>
        <v>0.375</v>
      </c>
      <c r="BQ4" s="22" t="s">
        <v>123</v>
      </c>
      <c r="BR4" s="22">
        <v>5</v>
      </c>
      <c r="BS4" s="22" t="s">
        <v>116</v>
      </c>
      <c r="BT4" s="22">
        <v>0</v>
      </c>
      <c r="BU4" s="22" t="s">
        <v>16</v>
      </c>
      <c r="BV4" s="22">
        <v>0</v>
      </c>
      <c r="BW4" s="24">
        <f>IF(BN4=[1]BD_CUSTO!$Q$7,[1]BD_CUSTO!$R$7,[1]BD_CUSTO!$R$8)*BO4/E4</f>
        <v>750</v>
      </c>
      <c r="BX4" s="24">
        <f>IF(BQ4=[1]BD_CUSTO!$Q$4,[1]BD_CUSTO!$R$4,[1]BD_CUSTO!$R$5)*BR4/E4</f>
        <v>11.574074074074074</v>
      </c>
      <c r="BY4" s="22">
        <f>IF(BS4=[1]BD_CUSTO!$Q$13,[1]BD_CUSTO!$R$13,[1]BD_CUSTO!$R$14)*BT4/E4</f>
        <v>0</v>
      </c>
      <c r="BZ4" s="24">
        <f>BV4*CUSTO!$R$10/E4</f>
        <v>0</v>
      </c>
      <c r="CA4" s="26">
        <f>SUM(Tabela13[[#This Row],[SOMA_PISO SALA E QUARTO]],Tabela13[[#This Row],[SOMA_PAREDE HIDR]],Tabela13[[#This Row],[SOMA_TETO]],Tabela13[[#This Row],[SOMA_BANCADA]],Tabela13[[#This Row],[SOMA_PEDRAS]])</f>
        <v>2090</v>
      </c>
      <c r="CB4" s="27" t="str">
        <f>IF(CA4&lt;=RÉGUAS!$D$4,"ACAB 01",IF(CA4&lt;=RÉGUAS!$F$4,"ACAB 02",IF(CA4&gt;RÉGUAS!$F$4,"ACAB 03",)))</f>
        <v>ACAB 01</v>
      </c>
      <c r="CC4" s="26">
        <f>SUM(Tabela13[[#This Row],[SOMA_LZ 01]:[SOMA_LZ 10]])</f>
        <v>695.86782407407406</v>
      </c>
      <c r="CD4" s="22" t="str">
        <f>IF(CC4&lt;=RÉGUAS!$D$13,"LZ 01",IF(CC4&lt;=RÉGUAS!$F$13,"LZ 02",IF(CC4&lt;=RÉGUAS!$H$13,"LZ 03",IF(CC4&gt;RÉGUAS!$H$13,"LZ 04",))))</f>
        <v>LZ 01</v>
      </c>
      <c r="CE4" s="28">
        <f t="shared" si="1"/>
        <v>0</v>
      </c>
      <c r="CF4" s="22" t="str">
        <f>IF(CE4&lt;=RÉGUAS!$D$22,"TIP 01",IF(CE4&lt;=RÉGUAS!$F$22,"TIP 02",IF(CE4&gt;RÉGUAS!$F$22,"TIP 03",)))</f>
        <v>TIP 01</v>
      </c>
      <c r="CG4" s="28">
        <f t="shared" si="2"/>
        <v>761.57407407407402</v>
      </c>
      <c r="CH4" s="22" t="str">
        <f>IF(CG4&lt;=RÉGUAS!$D$32,"VAGA 01",IF(CG4&lt;=RÉGUAS!$F$32,"VAGA 02",IF(CG4&gt;RÉGUAS!$F$32,"VAGA 03",)))</f>
        <v>VAGA 01</v>
      </c>
      <c r="CI4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5593</v>
      </c>
      <c r="CJ4" s="85" t="str">
        <f>IF(AND(G4="BLOCO",CI4&lt;=RÉGUAS!$D$40),"ELEV 01",IF(AND(G4="BLOCO",CI4&gt;RÉGUAS!$D$40),"ELEV 02",IF(AND(G4="TORRE",CI4&lt;=RÉGUAS!$K$40),"ELEV 01",IF(AND(G4="TORRE",CI4&lt;=RÉGUAS!$M$40),"ELEV 02",IF(AND(G4="TORRE",CI4&gt;RÉGUAS!$M$40),"ELEV 03",)))))</f>
        <v>ELEV 03</v>
      </c>
      <c r="CK4" s="85">
        <f>SUM(Tabela13[[#This Row],[TOTAL  ACAB]],Tabela13[[#This Row],[TOTAL LAZER ]],Tabela13[[#This Row],[TOTAL TIPOLOGIA]],Tabela13[[#This Row],[TOTAL VAGA]],Tabela13[[#This Row],[TOTAL ELEVADOR]])</f>
        <v>9140.4418981481485</v>
      </c>
      <c r="CL4" s="72" t="str">
        <f>IF(AND(G4="BLOCO",CK4&lt;=RÉGUAS!$D$50),"ESSENCIAL",IF(AND(G4="BLOCO",CK4&lt;=RÉGUAS!$F$50),"ECO",IF(AND(G4="BLOCO",CK4&gt;RÉGUAS!$F$50),"BIO",IF(AND(G4="TORRE",CK4&lt;=RÉGUAS!$K$50),"ESSENCIAL",IF(AND(G4="TORRE",CK4&lt;=RÉGUAS!$M$50),"ECO",IF(AND(G4="TORRE",CK4&gt;RÉGUAS!$M$50),"BIO",))))))</f>
        <v>ESSENCIAL</v>
      </c>
      <c r="CM4" s="28" t="str">
        <f>IF(AND(G4="BLOCO",CK4&gt;=RÉGUAS!$D$51,CK4&lt;=RÉGUAS!$D$50),"ESSENCIAL-10%",IF(AND(G4="BLOCO",CK4&gt;RÉGUAS!$D$50,CK4&lt;=RÉGUAS!$E$51),"ECO+10%",IF(AND(G4="BLOCO",CK4&gt;=RÉGUAS!$F$51,CK4&lt;=RÉGUAS!$F$50),"ECO-10%",IF(AND(G4="BLOCO",CK4&gt;RÉGUAS!$F$50,CK4&lt;=RÉGUAS!$G$51),"BIO+10%",IF(AND(G4="TORRE",CK4&gt;=RÉGUAS!$K$51,CK4&lt;=RÉGUAS!$K$50),"ESSENCIAL-10%",IF(AND(G4="TORRE",CK4&gt;RÉGUAS!$K$50,CK4&lt;=RÉGUAS!$L$51),"ECO+10%",IF(AND(G4="TORRE",CK4&gt;=RÉGUAS!$M$51,CK4&lt;=RÉGUAS!$M$50),"ECO-10%",IF(AND(G4="TORRE",CK4&gt;RÉGUAS!$M$50,CK4&lt;=RÉGUAS!$N$51),"BIO+10%","-"))))))))</f>
        <v>-</v>
      </c>
      <c r="CN4" s="73">
        <f t="shared" si="3"/>
        <v>3547.4418981481481</v>
      </c>
      <c r="CO4" s="72" t="str">
        <f>IF(CN4&lt;=RÉGUAS!$D$58,"ESSENCIAL",IF(CN4&lt;=RÉGUAS!$F$58,"ECO",IF(CN4&gt;RÉGUAS!$F$58,"BIO",)))</f>
        <v>ESSENCIAL</v>
      </c>
      <c r="CP4" s="72" t="str">
        <f>IF(Tabela13[[#This Row],[INTERVALO DE INTERSEÇÃO 5D]]="-",Tabela13[[#This Row],[CLASSIFICAÇÃO 
5D ]],Tabela13[[#This Row],[CLASSIFICAÇÃO 
4D]])</f>
        <v>ESSENCIAL</v>
      </c>
      <c r="CQ4" s="72" t="str">
        <f t="shared" si="4"/>
        <v>-</v>
      </c>
      <c r="CR4" s="72" t="str">
        <f t="shared" si="5"/>
        <v>ESSENCIAL</v>
      </c>
      <c r="CS4" s="22" t="str">
        <f>IF(Tabela13[[#This Row],[PRODUTO ATUAL ]]=Tabela13[[#This Row],[CLASSIFICAÇÃO FINAL 5D]],"ADERÊNTE","NÃO ADERÊNTE")</f>
        <v>ADERÊNTE</v>
      </c>
      <c r="CT4" s="24">
        <f>SUM(Tabela13[[#This Row],[TOTAL  ACAB]],Tabela13[[#This Row],[TOTAL LAZER ]],Tabela13[[#This Row],[TOTAL TIPOLOGIA]],Tabela13[[#This Row],[TOTAL VAGA]])</f>
        <v>3547.4418981481481</v>
      </c>
      <c r="CU4" s="22" t="str">
        <f>IF(CT4&lt;=RÉGUAS!$D$58,"ESSENCIAL",IF(CT4&lt;=RÉGUAS!$F$58,"ECO",IF(CT4&gt;RÉGUAS!$F$58,"BIO",)))</f>
        <v>ESSENCIAL</v>
      </c>
      <c r="CV4" s="22" t="str">
        <f>IF(AND(CT4&gt;=RÉGUAS!$D$59,CT4&lt;=RÉGUAS!$E$59),"ESSENCIAL/ECO",IF(AND(CT4&gt;=RÉGUAS!$F$59,CT4&lt;=RÉGUAS!$G$59),"ECO/BIO","-"))</f>
        <v>-</v>
      </c>
      <c r="CW4" s="85">
        <f>SUM(Tabela13[[#This Row],[TOTAL LAZER ]],Tabela13[[#This Row],[TOTAL TIPOLOGIA]])</f>
        <v>695.86782407407406</v>
      </c>
      <c r="CX4" s="22" t="str">
        <f>IF(CW4&lt;=RÉGUAS!$D$72,"ESSENCIAL",IF(CW4&lt;=RÉGUAS!$F$72,"ECO",IF(CN4&gt;RÉGUAS!$F$72,"BIO",)))</f>
        <v>ESSENCIAL</v>
      </c>
      <c r="CY4" s="22" t="str">
        <f t="shared" si="6"/>
        <v>ESSENCIAL</v>
      </c>
      <c r="CZ4" s="22" t="str">
        <f>IF(Tabela13[[#This Row],[PRODUTO ATUAL ]]=CY4,"ADERENTE","NÃO ADERENTE")</f>
        <v>ADERENTE</v>
      </c>
      <c r="DA4" s="22" t="str">
        <f>IF(Tabela13[[#This Row],[PRODUTO ATUAL ]]=Tabela13[[#This Row],[CLASSIFICAÇÃO 
4D2]],"ADERENTE","NÃO ADERENTE")</f>
        <v>ADERENTE</v>
      </c>
    </row>
    <row r="5" spans="2:105" hidden="1" x14ac:dyDescent="0.35">
      <c r="B5" s="27">
        <v>11</v>
      </c>
      <c r="C5" s="22" t="s">
        <v>130</v>
      </c>
      <c r="D5" s="22" t="s">
        <v>131</v>
      </c>
      <c r="E5" s="134">
        <v>280</v>
      </c>
      <c r="F5" s="22" t="str">
        <f t="shared" si="0"/>
        <v>De 200 a 400 und</v>
      </c>
      <c r="G5" s="133" t="s">
        <v>1</v>
      </c>
      <c r="H5" s="135">
        <v>14</v>
      </c>
      <c r="I5" s="135">
        <v>5</v>
      </c>
      <c r="J5" s="36"/>
      <c r="K5" s="36"/>
      <c r="L5" s="36">
        <f>SUM(Tabela13[[#This Row],[QTD DE B/T 2]],Tabela13[[#This Row],[QTD DE B/T]])</f>
        <v>14</v>
      </c>
      <c r="M5" s="22">
        <v>0</v>
      </c>
      <c r="N5" s="22">
        <f>Tabela13[[#This Row],[ELEVADOR]]/Tabela13[[#This Row],[BLOCO TOTAL]]</f>
        <v>0</v>
      </c>
      <c r="O5" s="22" t="s">
        <v>6</v>
      </c>
      <c r="P5" s="22" t="s">
        <v>119</v>
      </c>
      <c r="Q5" s="22" t="s">
        <v>101</v>
      </c>
      <c r="R5" s="22" t="s">
        <v>102</v>
      </c>
      <c r="S5" s="22" t="s">
        <v>103</v>
      </c>
      <c r="T5" s="22" t="s">
        <v>104</v>
      </c>
      <c r="U5" s="22" t="s">
        <v>105</v>
      </c>
      <c r="V5" s="22" t="s">
        <v>106</v>
      </c>
      <c r="W5" s="24">
        <f>IF(P5=[1]BD_CUSTO!$E$4,[1]BD_CUSTO!$F$4,[1]BD_CUSTO!$F$5)</f>
        <v>530</v>
      </c>
      <c r="X5" s="24">
        <f>IF(Q5=[1]BD_CUSTO!$E$6,[1]BD_CUSTO!$F$6,[1]BD_CUSTO!$F$7)</f>
        <v>260</v>
      </c>
      <c r="Y5" s="24">
        <f>IF(R5=[1]BD_CUSTO!$E$8,[1]BD_CUSTO!$F$8,[1]BD_CUSTO!$F$9)</f>
        <v>600</v>
      </c>
      <c r="Z5" s="24">
        <f>IF(S5=[1]BD_CUSTO!$E$10,[1]BD_CUSTO!$F$10,[1]BD_CUSTO!$F$11)</f>
        <v>500</v>
      </c>
      <c r="AA5" s="24">
        <f>IF(T5=[1]BD_CUSTO!$E$12,[1]BD_CUSTO!$F$12,[1]BD_CUSTO!$F$13)</f>
        <v>370</v>
      </c>
      <c r="AB5" s="24">
        <f>IF(U5=[1]BD_CUSTO!$E$14,[1]BD_CUSTO!$F$14,[1]BD_CUSTO!$F$15)</f>
        <v>90</v>
      </c>
      <c r="AC5" s="24">
        <f>IF(V5=[1]BD_CUSTO!$E$16,[1]BD_CUSTO!$F$16,[1]BD_CUSTO!$F$17)</f>
        <v>720</v>
      </c>
      <c r="AD5" s="133" t="s">
        <v>109</v>
      </c>
      <c r="AE5" s="133">
        <v>1</v>
      </c>
      <c r="AF5" s="133" t="s">
        <v>120</v>
      </c>
      <c r="AG5" s="133">
        <v>1</v>
      </c>
      <c r="AH5" s="133" t="s">
        <v>107</v>
      </c>
      <c r="AI5" s="133">
        <v>1</v>
      </c>
      <c r="AJ5" s="133" t="s">
        <v>108</v>
      </c>
      <c r="AK5" s="133">
        <v>1</v>
      </c>
      <c r="AL5" s="133" t="s">
        <v>110</v>
      </c>
      <c r="AM5" s="133">
        <v>1</v>
      </c>
      <c r="AN5" s="133" t="s">
        <v>111</v>
      </c>
      <c r="AO5" s="133">
        <v>1</v>
      </c>
      <c r="AP5" s="133" t="s">
        <v>126</v>
      </c>
      <c r="AQ5" s="133">
        <v>1</v>
      </c>
      <c r="AR5" s="22"/>
      <c r="AS5" s="22"/>
      <c r="AT5" s="22"/>
      <c r="AU5" s="22"/>
      <c r="AV5" s="22"/>
      <c r="AW5" s="22"/>
      <c r="AX5" s="24">
        <f>IF(AD5="",0,VLOOKUP(AD5,[1]BD_CUSTO!I:J,2,0)*AE5/E5)</f>
        <v>24.821428571428573</v>
      </c>
      <c r="AY5" s="24">
        <f>IF(AF5="",0,VLOOKUP(AF5,[1]BD_CUSTO!I:J,2,0)*AG5/E5)</f>
        <v>203.24599999999998</v>
      </c>
      <c r="AZ5" s="24">
        <f>IF(AH5="",0,VLOOKUP(AH5,[1]BD_CUSTO!I:J,2,0)*AI5/E5)</f>
        <v>304.10399999999998</v>
      </c>
      <c r="BA5" s="24">
        <f>IF(AJ5="",0,VLOOKUP(AJ5,[1]BD_CUSTO!I:J,2,0)*AK5/E5)</f>
        <v>82.678571428571431</v>
      </c>
      <c r="BB5" s="24">
        <f>IF(AL5="",0,VLOOKUP(AL5,[1]BD_CUSTO!I:J,2,0)*AM5/E5)</f>
        <v>18.928571428571427</v>
      </c>
      <c r="BC5" s="24">
        <f>IF(AN5="",0,VLOOKUP(AN5,[1]BD_CUSTO!I:J,2,0)*AO5/E5)</f>
        <v>57.857142857142854</v>
      </c>
      <c r="BD5" s="24">
        <f>IF(AP5="",0,VLOOKUP(AP5,[1]BD_CUSTO!I:J,2,0)*AQ5/E5)</f>
        <v>27</v>
      </c>
      <c r="BE5" s="24">
        <f>IF(AR5="",0,VLOOKUP(AR5,CUSTO!I:J,2,0)*AS5/E5)</f>
        <v>0</v>
      </c>
      <c r="BF5" s="24">
        <f>IF(AT5="",0,VLOOKUP(AT5,[1]BD_CUSTO!I:J,2,0)*AU5/E5)</f>
        <v>0</v>
      </c>
      <c r="BG5" s="24">
        <f>IF(Tabela13[[#This Row],[LZ 10]]="",0,VLOOKUP(Tabela13[[#This Row],[LZ 10]],[1]BD_CUSTO!I:J,2,0)*Tabela13[[#This Row],[QTD922]]/E5)</f>
        <v>0</v>
      </c>
      <c r="BH5" s="22" t="s">
        <v>112</v>
      </c>
      <c r="BI5" s="177">
        <v>0.8</v>
      </c>
      <c r="BJ5" s="133" t="s">
        <v>113</v>
      </c>
      <c r="BK5" s="136">
        <v>0</v>
      </c>
      <c r="BL5" s="24">
        <f>IF(BH5=[1]BD_CUSTO!$M$6,[1]BD_CUSTO!$N$6)*BI5</f>
        <v>2400</v>
      </c>
      <c r="BM5" s="24">
        <f>IF(BJ5=[1]BD_CUSTO!$M$4,[1]BD_CUSTO!$N$4,[1]BD_CUSTO!$N$5)*BK5</f>
        <v>0</v>
      </c>
      <c r="BN5" s="133" t="s">
        <v>114</v>
      </c>
      <c r="BO5" s="133">
        <v>94</v>
      </c>
      <c r="BP5" s="25">
        <f>Tabela13[[#This Row],[QTD ]]/Tabela13[[#This Row],[Nº UNDS]]</f>
        <v>0.33571428571428569</v>
      </c>
      <c r="BQ5" s="133" t="s">
        <v>123</v>
      </c>
      <c r="BR5" s="133">
        <v>34</v>
      </c>
      <c r="BS5" s="22" t="s">
        <v>116</v>
      </c>
      <c r="BT5" s="22">
        <v>0</v>
      </c>
      <c r="BU5" s="22" t="s">
        <v>16</v>
      </c>
      <c r="BV5" s="22">
        <v>0</v>
      </c>
      <c r="BW5" s="24">
        <f>IF(BN5=[1]BD_CUSTO!$Q$7,[1]BD_CUSTO!$R$7,[1]BD_CUSTO!$R$8)*BO5/E5</f>
        <v>671.42857142857144</v>
      </c>
      <c r="BX5" s="24">
        <f>IF(BQ5=[1]BD_CUSTO!$Q$4,[1]BD_CUSTO!$R$4,[1]BD_CUSTO!$R$5)*BR5/E5</f>
        <v>121.42857142857143</v>
      </c>
      <c r="BY5" s="22">
        <f>IF(BS5=[1]BD_CUSTO!$Q$13,[1]BD_CUSTO!$R$13,[1]BD_CUSTO!$R$14)*BT5/E5</f>
        <v>0</v>
      </c>
      <c r="BZ5" s="24">
        <f>BV5*CUSTO!$R$10/E5</f>
        <v>0</v>
      </c>
      <c r="CA5" s="26">
        <f>SUM(Tabela13[[#This Row],[SOMA_PISO SALA E QUARTO]],Tabela13[[#This Row],[SOMA_PAREDE HIDR]],Tabela13[[#This Row],[SOMA_TETO]],Tabela13[[#This Row],[SOMA_BANCADA]],Tabela13[[#This Row],[SOMA_PEDRAS]])</f>
        <v>2090</v>
      </c>
      <c r="CB5" s="27" t="str">
        <f>IF(CA5&lt;=RÉGUAS!$D$4,"ACAB 01",IF(CA5&lt;=RÉGUAS!$F$4,"ACAB 02",IF(CA5&gt;RÉGUAS!$F$4,"ACAB 03",)))</f>
        <v>ACAB 01</v>
      </c>
      <c r="CC5" s="26">
        <f>SUM(Tabela13[[#This Row],[SOMA_LZ 01]:[SOMA_LZ 10]])</f>
        <v>718.63571428571436</v>
      </c>
      <c r="CD5" s="22" t="str">
        <f>IF(CC5&lt;=RÉGUAS!$D$13,"LZ 01",IF(CC5&lt;=RÉGUAS!$F$13,"LZ 02",IF(CC5&lt;=RÉGUAS!$H$13,"LZ 03",IF(CC5&gt;RÉGUAS!$H$13,"LZ 04",))))</f>
        <v>LZ 01</v>
      </c>
      <c r="CE5" s="28">
        <f t="shared" si="1"/>
        <v>2400</v>
      </c>
      <c r="CF5" s="22" t="str">
        <f>IF(CE5&lt;=RÉGUAS!$D$22,"TIP 01",IF(CE5&lt;=RÉGUAS!$F$22,"TIP 02",IF(CE5&gt;RÉGUAS!$F$22,"TIP 03",)))</f>
        <v>TIP 02</v>
      </c>
      <c r="CG5" s="28">
        <f t="shared" si="2"/>
        <v>792.85714285714289</v>
      </c>
      <c r="CH5" s="22" t="str">
        <f>IF(CG5&lt;=RÉGUAS!$D$32,"VAGA 01",IF(CG5&lt;=RÉGUAS!$F$32,"VAGA 02",IF(CG5&gt;RÉGUAS!$F$32,"VAGA 03",)))</f>
        <v>VAGA 01</v>
      </c>
      <c r="CI5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5" s="85" t="str">
        <f>IF(AND(G5="BLOCO",CI5&lt;=RÉGUAS!$D$40),"ELEV 01",IF(AND(G5="BLOCO",CI5&gt;RÉGUAS!$D$40),"ELEV 02",IF(AND(G5="TORRE",CI5&lt;=RÉGUAS!$K$40),"ELEV 01",IF(AND(G5="TORRE",CI5&lt;=RÉGUAS!$M$40),"ELEV 02",IF(AND(G5="TORRE",CI5&gt;RÉGUAS!$M$40),"ELEV 03",)))))</f>
        <v>ELEV 01</v>
      </c>
      <c r="CK5" s="85">
        <f>SUM(Tabela13[[#This Row],[TOTAL  ACAB]],Tabela13[[#This Row],[TOTAL LAZER ]],Tabela13[[#This Row],[TOTAL TIPOLOGIA]],Tabela13[[#This Row],[TOTAL VAGA]],Tabela13[[#This Row],[TOTAL ELEVADOR]])</f>
        <v>6001.4928571428572</v>
      </c>
      <c r="CL5" s="72" t="str">
        <f>IF(AND(G5="BLOCO",CK5&lt;=RÉGUAS!$D$50),"ESSENCIAL",IF(AND(G5="BLOCO",CK5&lt;=RÉGUAS!$F$50),"ECO",IF(AND(G5="BLOCO",CK5&gt;RÉGUAS!$F$50),"BIO",IF(AND(G5="TORRE",CK5&lt;=RÉGUAS!$K$50),"ESSENCIAL",IF(AND(G5="TORRE",CK5&lt;=RÉGUAS!$M$50),"ECO",IF(AND(G5="TORRE",CK5&gt;RÉGUAS!$M$50),"BIO",))))))</f>
        <v>ESSENCIAL</v>
      </c>
      <c r="CM5" s="28" t="str">
        <f>IF(AND(G5="BLOCO",CK5&gt;=RÉGUAS!$D$51,CK5&lt;=RÉGUAS!$D$50),"ESSENCIAL-10%",IF(AND(G5="BLOCO",CK5&gt;RÉGUAS!$D$50,CK5&lt;=RÉGUAS!$E$51),"ECO+10%",IF(AND(G5="BLOCO",CK5&gt;=RÉGUAS!$F$51,CK5&lt;=RÉGUAS!$F$50),"ECO-10%",IF(AND(G5="BLOCO",CK5&gt;RÉGUAS!$F$50,CK5&lt;=RÉGUAS!$G$51),"BIO+10%",IF(AND(G5="TORRE",CK5&gt;=RÉGUAS!$K$51,CK5&lt;=RÉGUAS!$K$50),"ESSENCIAL-10%",IF(AND(G5="TORRE",CK5&gt;RÉGUAS!$K$50,CK5&lt;=RÉGUAS!$L$51),"ECO+10%",IF(AND(G5="TORRE",CK5&gt;=RÉGUAS!$M$51,CK5&lt;=RÉGUAS!$M$50),"ECO-10%",IF(AND(G5="TORRE",CK5&gt;RÉGUAS!$M$50,CK5&lt;=RÉGUAS!$N$51),"BIO+10%","-"))))))))</f>
        <v>-</v>
      </c>
      <c r="CN5" s="73">
        <f t="shared" si="3"/>
        <v>6001.4928571428572</v>
      </c>
      <c r="CO5" s="72" t="str">
        <f>IF(CN5&lt;=RÉGUAS!$D$58,"ESSENCIAL",IF(CN5&lt;=RÉGUAS!$F$58,"ECO",IF(CN5&gt;RÉGUAS!$F$58,"BIO",)))</f>
        <v>ESSENCIAL</v>
      </c>
      <c r="CP5" s="72" t="str">
        <f>IF(Tabela13[[#This Row],[INTERVALO DE INTERSEÇÃO 5D]]="-",Tabela13[[#This Row],[CLASSIFICAÇÃO 
5D ]],Tabela13[[#This Row],[CLASSIFICAÇÃO 
4D]])</f>
        <v>ESSENCIAL</v>
      </c>
      <c r="CQ5" s="72" t="str">
        <f t="shared" si="4"/>
        <v>-</v>
      </c>
      <c r="CR5" s="72" t="str">
        <f t="shared" si="5"/>
        <v>ESSENCIAL</v>
      </c>
      <c r="CS5" s="22" t="str">
        <f>IF(Tabela13[[#This Row],[PRODUTO ATUAL ]]=Tabela13[[#This Row],[CLASSIFICAÇÃO FINAL 5D]],"ADERÊNTE","NÃO ADERÊNTE")</f>
        <v>ADERÊNTE</v>
      </c>
      <c r="CT5" s="24">
        <f>SUM(Tabela13[[#This Row],[TOTAL  ACAB]],Tabela13[[#This Row],[TOTAL LAZER ]],Tabela13[[#This Row],[TOTAL TIPOLOGIA]],Tabela13[[#This Row],[TOTAL VAGA]])</f>
        <v>6001.4928571428572</v>
      </c>
      <c r="CU5" s="22" t="str">
        <f>IF(CT5&lt;=RÉGUAS!$D$58,"ESSENCIAL",IF(CT5&lt;=RÉGUAS!$F$58,"ECO",IF(CT5&gt;RÉGUAS!$F$58,"BIO",)))</f>
        <v>ESSENCIAL</v>
      </c>
      <c r="CV5" s="22" t="str">
        <f>IF(AND(CT5&gt;=RÉGUAS!$D$59,CT5&lt;=RÉGUAS!$E$59),"ESSENCIAL/ECO",IF(AND(CT5&gt;=RÉGUAS!$F$59,CT5&lt;=RÉGUAS!$G$59),"ECO/BIO","-"))</f>
        <v>-</v>
      </c>
      <c r="CW5" s="85">
        <f>SUM(Tabela13[[#This Row],[TOTAL LAZER ]],Tabela13[[#This Row],[TOTAL TIPOLOGIA]])</f>
        <v>3118.6357142857141</v>
      </c>
      <c r="CX5" s="22" t="str">
        <f>IF(CW5&lt;=RÉGUAS!$D$72,"ESSENCIAL",IF(CW5&lt;=RÉGUAS!$F$72,"ECO",IF(CN5&gt;RÉGUAS!$F$72,"BIO",)))</f>
        <v>ECO</v>
      </c>
      <c r="CY5" s="22" t="str">
        <f t="shared" si="6"/>
        <v>ESSENCIAL</v>
      </c>
      <c r="CZ5" s="22" t="str">
        <f>IF(Tabela13[[#This Row],[PRODUTO ATUAL ]]=CY5,"ADERENTE","NÃO ADERENTE")</f>
        <v>ADERENTE</v>
      </c>
      <c r="DA5" s="22" t="str">
        <f>IF(Tabela13[[#This Row],[PRODUTO ATUAL ]]=Tabela13[[#This Row],[CLASSIFICAÇÃO 
4D2]],"ADERENTE","NÃO ADERENTE")</f>
        <v>ADERENTE</v>
      </c>
    </row>
    <row r="6" spans="2:105" hidden="1" x14ac:dyDescent="0.35">
      <c r="B6" s="27">
        <v>2</v>
      </c>
      <c r="C6" s="22" t="s">
        <v>144</v>
      </c>
      <c r="D6" s="22" t="s">
        <v>147</v>
      </c>
      <c r="E6" s="22">
        <v>356</v>
      </c>
      <c r="F6" s="22" t="str">
        <f t="shared" si="0"/>
        <v>De 200 a 400 und</v>
      </c>
      <c r="G6" s="22" t="s">
        <v>1</v>
      </c>
      <c r="H6" s="36">
        <v>22</v>
      </c>
      <c r="I6" s="36">
        <v>4</v>
      </c>
      <c r="J6" s="36"/>
      <c r="K6" s="36"/>
      <c r="L6" s="36">
        <f>SUM(Tabela13[[#This Row],[QTD DE B/T 2]],Tabela13[[#This Row],[QTD DE B/T]])</f>
        <v>22</v>
      </c>
      <c r="M6" s="22">
        <v>1</v>
      </c>
      <c r="N6" s="22">
        <f>Tabela13[[#This Row],[ELEVADOR]]/Tabela13[[#This Row],[BLOCO TOTAL]]</f>
        <v>4.5454545454545456E-2</v>
      </c>
      <c r="O6" s="22" t="s">
        <v>6</v>
      </c>
      <c r="P6" s="22" t="s">
        <v>119</v>
      </c>
      <c r="Q6" s="22" t="s">
        <v>101</v>
      </c>
      <c r="R6" s="22" t="s">
        <v>102</v>
      </c>
      <c r="S6" s="22" t="s">
        <v>103</v>
      </c>
      <c r="T6" s="22" t="s">
        <v>104</v>
      </c>
      <c r="U6" s="22" t="s">
        <v>105</v>
      </c>
      <c r="V6" s="22" t="s">
        <v>145</v>
      </c>
      <c r="W6" s="24">
        <f>IF(P6=[1]BD_CUSTO!$E$4,[1]BD_CUSTO!$F$4,[1]BD_CUSTO!$F$5)</f>
        <v>530</v>
      </c>
      <c r="X6" s="24">
        <f>IF(Q6=[1]BD_CUSTO!$E$6,[1]BD_CUSTO!$F$6,[1]BD_CUSTO!$F$7)</f>
        <v>260</v>
      </c>
      <c r="Y6" s="24">
        <f>IF(R6=[1]BD_CUSTO!$E$8,[1]BD_CUSTO!$F$8,[1]BD_CUSTO!$F$9)</f>
        <v>600</v>
      </c>
      <c r="Z6" s="24">
        <f>IF(S6=[1]BD_CUSTO!$E$10,[1]BD_CUSTO!$F$10,[1]BD_CUSTO!$F$11)</f>
        <v>500</v>
      </c>
      <c r="AA6" s="24">
        <f>IF(T6=[1]BD_CUSTO!$E$12,[1]BD_CUSTO!$F$12,[1]BD_CUSTO!$F$13)</f>
        <v>370</v>
      </c>
      <c r="AB6" s="24">
        <f>IF(U6=[1]BD_CUSTO!$E$14,[1]BD_CUSTO!$F$14,[1]BD_CUSTO!$F$15)</f>
        <v>90</v>
      </c>
      <c r="AC6" s="24">
        <f>IF(V6=[1]BD_CUSTO!$E$16,[1]BD_CUSTO!$F$16,[1]BD_CUSTO!$F$17)</f>
        <v>1320</v>
      </c>
      <c r="AD6" s="22" t="s">
        <v>109</v>
      </c>
      <c r="AE6" s="22">
        <v>1</v>
      </c>
      <c r="AF6" s="22" t="s">
        <v>108</v>
      </c>
      <c r="AG6" s="22">
        <v>1</v>
      </c>
      <c r="AH6" s="22" t="s">
        <v>110</v>
      </c>
      <c r="AI6" s="22">
        <v>1</v>
      </c>
      <c r="AJ6" s="22" t="s">
        <v>107</v>
      </c>
      <c r="AK6" s="22">
        <v>1</v>
      </c>
      <c r="AL6" s="22" t="s">
        <v>135</v>
      </c>
      <c r="AM6" s="22">
        <v>1</v>
      </c>
      <c r="AN6" s="22"/>
      <c r="AO6" s="22">
        <v>0</v>
      </c>
      <c r="AP6" s="22"/>
      <c r="AQ6" s="22">
        <v>0</v>
      </c>
      <c r="AR6" s="22"/>
      <c r="AS6" s="22">
        <v>0</v>
      </c>
      <c r="AT6" s="22"/>
      <c r="AU6" s="22"/>
      <c r="AV6" s="22"/>
      <c r="AW6" s="22"/>
      <c r="AX6" s="24">
        <f>IF(AD6="",0,VLOOKUP(AD6,[1]BD_CUSTO!I:J,2,0)*AE6/E6)</f>
        <v>19.522471910112358</v>
      </c>
      <c r="AY6" s="24">
        <f>IF(AF6="",0,VLOOKUP(AF6,[1]BD_CUSTO!I:J,2,0)*AG6/E6)</f>
        <v>65.028089887640448</v>
      </c>
      <c r="AZ6" s="24">
        <f>IF(AH6="",0,VLOOKUP(AH6,[1]BD_CUSTO!I:J,2,0)*AI6/E6)</f>
        <v>14.887640449438202</v>
      </c>
      <c r="BA6" s="24">
        <f>IF(AJ6="",0,VLOOKUP(AJ6,[1]BD_CUSTO!I:J,2,0)*AK6/E6)</f>
        <v>239.18292134831461</v>
      </c>
      <c r="BB6" s="24">
        <f>IF(AL6="",0,VLOOKUP(AL6,[1]BD_CUSTO!I:J,2,0)*AM6/E6)</f>
        <v>354.12539325842698</v>
      </c>
      <c r="BC6" s="24">
        <f>IF(AN6="",0,VLOOKUP(AN6,[1]BD_CUSTO!I:J,2,0)*AO6/E6)</f>
        <v>0</v>
      </c>
      <c r="BD6" s="24">
        <f>IF(AP6="",0,VLOOKUP(AP6,[1]BD_CUSTO!I:J,2,0)*AQ6/E6)</f>
        <v>0</v>
      </c>
      <c r="BE6" s="24">
        <f>IF(AR6="",0,VLOOKUP(AR6,CUSTO!I:J,2,0)*AS6/E6)</f>
        <v>0</v>
      </c>
      <c r="BF6" s="24">
        <f>IF(AT6="",0,VLOOKUP(AT6,[1]BD_CUSTO!I:J,2,0)*AU6/E6)</f>
        <v>0</v>
      </c>
      <c r="BG6" s="24">
        <f>IF(Tabela13[[#This Row],[LZ 10]]="",0,VLOOKUP(Tabela13[[#This Row],[LZ 10]],[1]BD_CUSTO!I:J,2,0)*Tabela13[[#This Row],[QTD922]]/E6)</f>
        <v>0</v>
      </c>
      <c r="BH6" s="22" t="s">
        <v>122</v>
      </c>
      <c r="BI6" s="25">
        <v>0</v>
      </c>
      <c r="BJ6" s="29" t="s">
        <v>113</v>
      </c>
      <c r="BK6" s="25">
        <v>0</v>
      </c>
      <c r="BL6" s="24">
        <f>IF(BH6=[1]BD_CUSTO!$M$6,[1]BD_CUSTO!$N$6)*BI6</f>
        <v>0</v>
      </c>
      <c r="BM6" s="24">
        <f>IF(BJ6=[1]BD_CUSTO!$M$4,[1]BD_CUSTO!$N$4,[1]BD_CUSTO!$N$5)*BK6</f>
        <v>0</v>
      </c>
      <c r="BN6" s="22" t="s">
        <v>114</v>
      </c>
      <c r="BO6" s="22">
        <v>216</v>
      </c>
      <c r="BP6" s="25">
        <f>Tabela13[[#This Row],[QTD ]]/Tabela13[[#This Row],[Nº UNDS]]</f>
        <v>0.6067415730337079</v>
      </c>
      <c r="BQ6" s="22" t="s">
        <v>123</v>
      </c>
      <c r="BR6" s="22">
        <v>131</v>
      </c>
      <c r="BS6" s="22" t="s">
        <v>116</v>
      </c>
      <c r="BT6" s="22">
        <v>0</v>
      </c>
      <c r="BU6" s="22" t="s">
        <v>16</v>
      </c>
      <c r="BV6" s="22">
        <v>0</v>
      </c>
      <c r="BW6" s="24">
        <f>IF(BN6=[1]BD_CUSTO!$Q$7,[1]BD_CUSTO!$R$7,[1]BD_CUSTO!$R$8)*BO6/E6</f>
        <v>1213.4831460674156</v>
      </c>
      <c r="BX6" s="24">
        <f>IF(BQ6=[1]BD_CUSTO!$Q$4,[1]BD_CUSTO!$R$4,[1]BD_CUSTO!$R$5)*BR6/E6</f>
        <v>367.97752808988764</v>
      </c>
      <c r="BY6" s="22">
        <f>IF(BS6=[1]BD_CUSTO!$Q$13,[1]BD_CUSTO!$R$13,[1]BD_CUSTO!$R$14)*BT6/E6</f>
        <v>0</v>
      </c>
      <c r="BZ6" s="24">
        <f>BV6*CUSTO!$R$10/E6</f>
        <v>0</v>
      </c>
      <c r="CA6" s="26">
        <f>SUM(Tabela13[[#This Row],[SOMA_PISO SALA E QUARTO]],Tabela13[[#This Row],[SOMA_PAREDE HIDR]],Tabela13[[#This Row],[SOMA_TETO]],Tabela13[[#This Row],[SOMA_BANCADA]],Tabela13[[#This Row],[SOMA_PEDRAS]])</f>
        <v>2090</v>
      </c>
      <c r="CB6" s="27" t="str">
        <f>IF(CA6&lt;=RÉGUAS!$D$4,"ACAB 01",IF(CA6&lt;=RÉGUAS!$F$4,"ACAB 02",IF(CA6&gt;RÉGUAS!$F$4,"ACAB 03",)))</f>
        <v>ACAB 01</v>
      </c>
      <c r="CC6" s="26">
        <f>SUM(Tabela13[[#This Row],[SOMA_LZ 01]:[SOMA_LZ 10]])</f>
        <v>692.74651685393269</v>
      </c>
      <c r="CD6" s="22" t="str">
        <f>IF(CC6&lt;=RÉGUAS!$D$13,"LZ 01",IF(CC6&lt;=RÉGUAS!$F$13,"LZ 02",IF(CC6&lt;=RÉGUAS!$H$13,"LZ 03",IF(CC6&gt;RÉGUAS!$H$13,"LZ 04",))))</f>
        <v>LZ 01</v>
      </c>
      <c r="CE6" s="28">
        <f t="shared" si="1"/>
        <v>0</v>
      </c>
      <c r="CF6" s="22" t="str">
        <f>IF(CE6&lt;=RÉGUAS!$D$22,"TIP 01",IF(CE6&lt;=RÉGUAS!$F$22,"TIP 02",IF(CE6&gt;RÉGUAS!$F$22,"TIP 03",)))</f>
        <v>TIP 01</v>
      </c>
      <c r="CG6" s="28">
        <f t="shared" si="2"/>
        <v>1581.4606741573034</v>
      </c>
      <c r="CH6" s="22" t="str">
        <f>IF(CG6&lt;=RÉGUAS!$D$32,"VAGA 01",IF(CG6&lt;=RÉGUAS!$F$32,"VAGA 02",IF(CG6&gt;RÉGUAS!$F$32,"VAGA 03",)))</f>
        <v>VAGA 02</v>
      </c>
      <c r="CI6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337.39325842696627</v>
      </c>
      <c r="CJ6" s="85" t="str">
        <f>IF(AND(G6="BLOCO",CI6&lt;=RÉGUAS!$D$40),"ELEV 01",IF(AND(G6="BLOCO",CI6&gt;RÉGUAS!$D$40),"ELEV 02",IF(AND(G6="TORRE",CI6&lt;=RÉGUAS!$K$40),"ELEV 01",IF(AND(G6="TORRE",CI6&lt;=RÉGUAS!$M$40),"ELEV 02",IF(AND(G6="TORRE",CI6&gt;RÉGUAS!$M$40),"ELEV 03",)))))</f>
        <v>ELEV 02</v>
      </c>
      <c r="CK6" s="85">
        <f>SUM(Tabela13[[#This Row],[TOTAL  ACAB]],Tabela13[[#This Row],[TOTAL LAZER ]],Tabela13[[#This Row],[TOTAL TIPOLOGIA]],Tabela13[[#This Row],[TOTAL VAGA]],Tabela13[[#This Row],[TOTAL ELEVADOR]])</f>
        <v>4701.6004494382023</v>
      </c>
      <c r="CL6" s="72" t="str">
        <f>IF(AND(G6="BLOCO",CK6&lt;=RÉGUAS!$D$50),"ESSENCIAL",IF(AND(G6="BLOCO",CK6&lt;=RÉGUAS!$F$50),"ECO",IF(AND(G6="BLOCO",CK6&gt;RÉGUAS!$F$50),"BIO",IF(AND(G6="TORRE",CK6&lt;=RÉGUAS!$K$50),"ESSENCIAL",IF(AND(G6="TORRE",CK6&lt;=RÉGUAS!$M$50),"ECO",IF(AND(G6="TORRE",CK6&gt;RÉGUAS!$M$50),"BIO",))))))</f>
        <v>ESSENCIAL</v>
      </c>
      <c r="CM6" s="28" t="str">
        <f>IF(AND(G6="BLOCO",CK6&gt;=RÉGUAS!$D$51,CK6&lt;=RÉGUAS!$D$50),"ESSENCIAL-10%",IF(AND(G6="BLOCO",CK6&gt;RÉGUAS!$D$50,CK6&lt;=RÉGUAS!$E$51),"ECO+10%",IF(AND(G6="BLOCO",CK6&gt;=RÉGUAS!$F$51,CK6&lt;=RÉGUAS!$F$50),"ECO-10%",IF(AND(G6="BLOCO",CK6&gt;RÉGUAS!$F$50,CK6&lt;=RÉGUAS!$G$51),"BIO+10%",IF(AND(G6="TORRE",CK6&gt;=RÉGUAS!$K$51,CK6&lt;=RÉGUAS!$K$50),"ESSENCIAL-10%",IF(AND(G6="TORRE",CK6&gt;RÉGUAS!$K$50,CK6&lt;=RÉGUAS!$L$51),"ECO+10%",IF(AND(G6="TORRE",CK6&gt;=RÉGUAS!$M$51,CK6&lt;=RÉGUAS!$M$50),"ECO-10%",IF(AND(G6="TORRE",CK6&gt;RÉGUAS!$M$50,CK6&lt;=RÉGUAS!$N$51),"BIO+10%","-"))))))))</f>
        <v>-</v>
      </c>
      <c r="CN6" s="73">
        <f t="shared" si="3"/>
        <v>4364.2071910112363</v>
      </c>
      <c r="CO6" s="72" t="str">
        <f>IF(CN6&lt;=RÉGUAS!$D$58,"ESSENCIAL",IF(CN6&lt;=RÉGUAS!$F$58,"ECO",IF(CN6&gt;RÉGUAS!$F$58,"BIO",)))</f>
        <v>ESSENCIAL</v>
      </c>
      <c r="CP6" s="72" t="str">
        <f>IF(Tabela13[[#This Row],[INTERVALO DE INTERSEÇÃO 5D]]="-",Tabela13[[#This Row],[CLASSIFICAÇÃO 
5D ]],Tabela13[[#This Row],[CLASSIFICAÇÃO 
4D]])</f>
        <v>ESSENCIAL</v>
      </c>
      <c r="CQ6" s="72" t="str">
        <f t="shared" si="4"/>
        <v>-</v>
      </c>
      <c r="CR6" s="72" t="str">
        <f t="shared" si="5"/>
        <v>ESSENCIAL</v>
      </c>
      <c r="CS6" s="22" t="str">
        <f>IF(Tabela13[[#This Row],[PRODUTO ATUAL ]]=Tabela13[[#This Row],[CLASSIFICAÇÃO FINAL 5D]],"ADERÊNTE","NÃO ADERÊNTE")</f>
        <v>ADERÊNTE</v>
      </c>
      <c r="CT6" s="24">
        <f>SUM(Tabela13[[#This Row],[TOTAL  ACAB]],Tabela13[[#This Row],[TOTAL LAZER ]],Tabela13[[#This Row],[TOTAL TIPOLOGIA]],Tabela13[[#This Row],[TOTAL VAGA]])</f>
        <v>4364.2071910112363</v>
      </c>
      <c r="CU6" s="22" t="str">
        <f>IF(CT6&lt;=RÉGUAS!$D$58,"ESSENCIAL",IF(CT6&lt;=RÉGUAS!$F$58,"ECO",IF(CT6&gt;RÉGUAS!$F$58,"BIO",)))</f>
        <v>ESSENCIAL</v>
      </c>
      <c r="CV6" s="22" t="str">
        <f>IF(AND(CT6&gt;=RÉGUAS!$D$59,CT6&lt;=RÉGUAS!$E$59),"ESSENCIAL/ECO",IF(AND(CT6&gt;=RÉGUAS!$F$59,CT6&lt;=RÉGUAS!$G$59),"ECO/BIO","-"))</f>
        <v>-</v>
      </c>
      <c r="CW6" s="85">
        <f>SUM(Tabela13[[#This Row],[TOTAL LAZER ]],Tabela13[[#This Row],[TOTAL TIPOLOGIA]])</f>
        <v>692.74651685393269</v>
      </c>
      <c r="CX6" s="22" t="str">
        <f>IF(CW6&lt;=RÉGUAS!$D$72,"ESSENCIAL",IF(CW6&lt;=RÉGUAS!$F$72,"ECO",IF(CN6&gt;RÉGUAS!$F$72,"BIO",)))</f>
        <v>ESSENCIAL</v>
      </c>
      <c r="CY6" s="22" t="str">
        <f t="shared" si="6"/>
        <v>ESSENCIAL</v>
      </c>
      <c r="CZ6" s="22" t="str">
        <f>IF(Tabela13[[#This Row],[PRODUTO ATUAL ]]=CY6,"ADERENTE","NÃO ADERENTE")</f>
        <v>ADERENTE</v>
      </c>
      <c r="DA6" s="22" t="str">
        <f>IF(Tabela13[[#This Row],[PRODUTO ATUAL ]]=Tabela13[[#This Row],[CLASSIFICAÇÃO 
4D2]],"ADERENTE","NÃO ADERENTE")</f>
        <v>ADERENTE</v>
      </c>
    </row>
    <row r="7" spans="2:105" hidden="1" x14ac:dyDescent="0.35">
      <c r="B7" s="27">
        <v>37</v>
      </c>
      <c r="C7" s="22" t="s">
        <v>165</v>
      </c>
      <c r="D7" s="22" t="s">
        <v>128</v>
      </c>
      <c r="E7" s="23">
        <v>408</v>
      </c>
      <c r="F7" s="22" t="str">
        <f t="shared" si="0"/>
        <v>Acima de 400 und</v>
      </c>
      <c r="G7" s="22" t="s">
        <v>14</v>
      </c>
      <c r="H7" s="36">
        <v>3</v>
      </c>
      <c r="I7" s="36">
        <v>17</v>
      </c>
      <c r="J7" s="36"/>
      <c r="K7" s="36"/>
      <c r="L7" s="36">
        <f>SUM(Tabela13[[#This Row],[QTD DE B/T 2]],Tabela13[[#This Row],[QTD DE B/T]])</f>
        <v>3</v>
      </c>
      <c r="M7" s="22">
        <v>6</v>
      </c>
      <c r="N7" s="22">
        <f>Tabela13[[#This Row],[ELEVADOR]]/Tabela13[[#This Row],[BLOCO TOTAL]]</f>
        <v>2</v>
      </c>
      <c r="O7" s="22" t="s">
        <v>6</v>
      </c>
      <c r="P7" s="22" t="s">
        <v>101</v>
      </c>
      <c r="Q7" s="22" t="s">
        <v>101</v>
      </c>
      <c r="R7" s="22" t="s">
        <v>102</v>
      </c>
      <c r="S7" s="22" t="s">
        <v>103</v>
      </c>
      <c r="T7" s="22" t="s">
        <v>104</v>
      </c>
      <c r="U7" s="22" t="s">
        <v>105</v>
      </c>
      <c r="V7" s="22" t="s">
        <v>106</v>
      </c>
      <c r="W7" s="24">
        <f>IF(P7=[1]BD_CUSTO!$E$4,[1]BD_CUSTO!$F$4,[1]BD_CUSTO!$F$5)</f>
        <v>2430</v>
      </c>
      <c r="X7" s="24">
        <f>IF(Q7=[1]BD_CUSTO!$E$6,[1]BD_CUSTO!$F$6,[1]BD_CUSTO!$F$7)</f>
        <v>260</v>
      </c>
      <c r="Y7" s="24">
        <f>IF(R7=[1]BD_CUSTO!$E$8,[1]BD_CUSTO!$F$8,[1]BD_CUSTO!$F$9)</f>
        <v>600</v>
      </c>
      <c r="Z7" s="24">
        <f>IF(S7=[1]BD_CUSTO!$E$10,[1]BD_CUSTO!$F$10,[1]BD_CUSTO!$F$11)</f>
        <v>500</v>
      </c>
      <c r="AA7" s="24">
        <f>IF(T7=[1]BD_CUSTO!$E$12,[1]BD_CUSTO!$F$12,[1]BD_CUSTO!$F$13)</f>
        <v>370</v>
      </c>
      <c r="AB7" s="24">
        <f>IF(U7=[1]BD_CUSTO!$E$14,[1]BD_CUSTO!$F$14,[1]BD_CUSTO!$F$15)</f>
        <v>90</v>
      </c>
      <c r="AC7" s="24">
        <f>IF(V7=[1]BD_CUSTO!$E$16,[1]BD_CUSTO!$F$16,[1]BD_CUSTO!$F$17)</f>
        <v>720</v>
      </c>
      <c r="AD7" s="22" t="s">
        <v>110</v>
      </c>
      <c r="AE7" s="22">
        <v>1</v>
      </c>
      <c r="AF7" s="22" t="s">
        <v>129</v>
      </c>
      <c r="AG7" s="22">
        <v>1</v>
      </c>
      <c r="AH7" s="22" t="s">
        <v>108</v>
      </c>
      <c r="AI7" s="22">
        <v>1</v>
      </c>
      <c r="AJ7" s="22" t="s">
        <v>139</v>
      </c>
      <c r="AK7" s="22">
        <v>1</v>
      </c>
      <c r="AL7" s="22" t="s">
        <v>121</v>
      </c>
      <c r="AM7" s="22">
        <v>1</v>
      </c>
      <c r="AN7" s="22" t="s">
        <v>107</v>
      </c>
      <c r="AO7" s="22">
        <v>1</v>
      </c>
      <c r="AP7" s="22" t="s">
        <v>109</v>
      </c>
      <c r="AQ7" s="22">
        <v>1</v>
      </c>
      <c r="AR7" s="22"/>
      <c r="AS7" s="22"/>
      <c r="AT7" s="22"/>
      <c r="AU7" s="22"/>
      <c r="AV7" s="22"/>
      <c r="AW7" s="22"/>
      <c r="AX7" s="24">
        <f>IF(AD7="",0,VLOOKUP(AD7,[1]BD_CUSTO!I:J,2,0)*AE7/E7)</f>
        <v>12.990196078431373</v>
      </c>
      <c r="AY7" s="24">
        <f>IF(AF7="",0,VLOOKUP(AF7,[1]BD_CUSTO!I:J,2,0)*AG7/E7)</f>
        <v>674.43034313725491</v>
      </c>
      <c r="AZ7" s="24">
        <f>IF(AH7="",0,VLOOKUP(AH7,[1]BD_CUSTO!I:J,2,0)*AI7/E7)</f>
        <v>56.740196078431374</v>
      </c>
      <c r="BA7" s="24">
        <f>IF(AJ7="",0,VLOOKUP(AJ7,[1]BD_CUSTO!I:J,2,0)*AK7/E7)</f>
        <v>152.34392156862745</v>
      </c>
      <c r="BB7" s="24">
        <f>IF(AL7="",0,VLOOKUP(AL7,[1]BD_CUSTO!I:J,2,0)*AM7/E7)</f>
        <v>301.85514705882349</v>
      </c>
      <c r="BC7" s="24">
        <f>IF(AN7="",0,VLOOKUP(AN7,[1]BD_CUSTO!I:J,2,0)*AO7/E7)</f>
        <v>208.69882352941175</v>
      </c>
      <c r="BD7" s="24">
        <f>IF(AP7="",0,VLOOKUP(AP7,[1]BD_CUSTO!I:J,2,0)*AQ7/E7)</f>
        <v>17.034313725490197</v>
      </c>
      <c r="BE7" s="24">
        <f>IF(AR7="",0,VLOOKUP(AR7,CUSTO!I:J,2,0)*AS7/E7)</f>
        <v>0</v>
      </c>
      <c r="BF7" s="24">
        <f>IF(AT7="",0,VLOOKUP(AT7,[1]BD_CUSTO!I:J,2,0)*AU7/E7)</f>
        <v>0</v>
      </c>
      <c r="BG7" s="24">
        <f>IF(Tabela13[[#This Row],[LZ 10]]="",0,VLOOKUP(Tabela13[[#This Row],[LZ 10]],[1]BD_CUSTO!I:J,2,0)*Tabela13[[#This Row],[QTD922]]/E7)</f>
        <v>0</v>
      </c>
      <c r="BH7" s="22" t="s">
        <v>122</v>
      </c>
      <c r="BI7" s="25">
        <v>0</v>
      </c>
      <c r="BJ7" s="22" t="s">
        <v>113</v>
      </c>
      <c r="BK7" s="25">
        <v>0</v>
      </c>
      <c r="BL7" s="24">
        <f>IF(BH7=[1]BD_CUSTO!$M$6,[1]BD_CUSTO!$N$6)*BI7</f>
        <v>0</v>
      </c>
      <c r="BM7" s="24">
        <f>IF(BJ7=[1]BD_CUSTO!$M$4,[1]BD_CUSTO!$N$4,[1]BD_CUSTO!$N$5)*BK7</f>
        <v>0</v>
      </c>
      <c r="BN7" s="22" t="s">
        <v>114</v>
      </c>
      <c r="BO7" s="22">
        <v>80</v>
      </c>
      <c r="BP7" s="25">
        <f>Tabela13[[#This Row],[QTD ]]/Tabela13[[#This Row],[Nº UNDS]]</f>
        <v>0.19607843137254902</v>
      </c>
      <c r="BQ7" s="22" t="s">
        <v>115</v>
      </c>
      <c r="BR7" s="22">
        <v>0</v>
      </c>
      <c r="BS7" s="22" t="s">
        <v>116</v>
      </c>
      <c r="BT7" s="22">
        <v>0</v>
      </c>
      <c r="BU7" s="22" t="s">
        <v>16</v>
      </c>
      <c r="BV7" s="22">
        <v>0</v>
      </c>
      <c r="BW7" s="24">
        <f>IF(BN7=[1]BD_CUSTO!$Q$7,[1]BD_CUSTO!$R$7,[1]BD_CUSTO!$R$8)*BO7/E7</f>
        <v>392.15686274509807</v>
      </c>
      <c r="BX7" s="24">
        <f>IF(BQ7=[1]BD_CUSTO!$Q$4,[1]BD_CUSTO!$R$4,[1]BD_CUSTO!$R$5)*BR7/E7</f>
        <v>0</v>
      </c>
      <c r="BY7" s="22">
        <f>IF(BS7=[1]BD_CUSTO!$Q$13,[1]BD_CUSTO!$R$13,[1]BD_CUSTO!$R$14)*BT7/E7</f>
        <v>0</v>
      </c>
      <c r="BZ7" s="24">
        <f>BV7*CUSTO!$R$10/E7</f>
        <v>0</v>
      </c>
      <c r="CA7" s="26">
        <f>SUM(Tabela13[[#This Row],[SOMA_PISO SALA E QUARTO]],Tabela13[[#This Row],[SOMA_PAREDE HIDR]],Tabela13[[#This Row],[SOMA_TETO]],Tabela13[[#This Row],[SOMA_BANCADA]],Tabela13[[#This Row],[SOMA_PEDRAS]])</f>
        <v>3990</v>
      </c>
      <c r="CB7" s="27" t="str">
        <f>IF(CA7&lt;=RÉGUAS!$D$4,"ACAB 01",IF(CA7&lt;=RÉGUAS!$F$4,"ACAB 02",IF(CA7&gt;RÉGUAS!$F$4,"ACAB 03",)))</f>
        <v>ACAB 02</v>
      </c>
      <c r="CC7" s="26">
        <f>SUM(Tabela13[[#This Row],[SOMA_LZ 01]:[SOMA_LZ 10]])</f>
        <v>1424.0929411764705</v>
      </c>
      <c r="CD7" s="22" t="str">
        <f>IF(CC7&lt;=RÉGUAS!$D$13,"LZ 01",IF(CC7&lt;=RÉGUAS!$F$13,"LZ 02",IF(CC7&lt;=RÉGUAS!$H$13,"LZ 03",IF(CC7&gt;RÉGUAS!$H$13,"LZ 04",))))</f>
        <v>LZ 02</v>
      </c>
      <c r="CE7" s="28">
        <f t="shared" si="1"/>
        <v>0</v>
      </c>
      <c r="CF7" s="22" t="str">
        <f>IF(CE7&lt;=RÉGUAS!$D$22,"TIP 01",IF(CE7&lt;=RÉGUAS!$F$22,"TIP 02",IF(CE7&gt;RÉGUAS!$F$22,"TIP 03",)))</f>
        <v>TIP 01</v>
      </c>
      <c r="CG7" s="28">
        <f t="shared" si="2"/>
        <v>392.15686274509807</v>
      </c>
      <c r="CH7" s="22" t="str">
        <f>IF(CG7&lt;=RÉGUAS!$D$32,"VAGA 01",IF(CG7&lt;=RÉGUAS!$F$32,"VAGA 02",IF(CG7&gt;RÉGUAS!$F$32,"VAGA 03",)))</f>
        <v>VAGA 01</v>
      </c>
      <c r="CI7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4194.75</v>
      </c>
      <c r="CJ7" s="85" t="str">
        <f>IF(AND(G7="BLOCO",CI7&lt;=RÉGUAS!$D$40),"ELEV 01",IF(AND(G7="BLOCO",CI7&gt;RÉGUAS!$D$40),"ELEV 02",IF(AND(G7="TORRE",CI7&lt;=RÉGUAS!$K$40),"ELEV 01",IF(AND(G7="TORRE",CI7&lt;=RÉGUAS!$M$40),"ELEV 02",IF(AND(G7="TORRE",CI7&gt;RÉGUAS!$M$40),"ELEV 03",)))))</f>
        <v>ELEV 03</v>
      </c>
      <c r="CK7" s="85">
        <f>SUM(Tabela13[[#This Row],[TOTAL  ACAB]],Tabela13[[#This Row],[TOTAL LAZER ]],Tabela13[[#This Row],[TOTAL TIPOLOGIA]],Tabela13[[#This Row],[TOTAL VAGA]],Tabela13[[#This Row],[TOTAL ELEVADOR]])</f>
        <v>10000.999803921568</v>
      </c>
      <c r="CL7" s="72" t="str">
        <f>IF(AND(G7="BLOCO",CK7&lt;=RÉGUAS!$D$50),"ESSENCIAL",IF(AND(G7="BLOCO",CK7&lt;=RÉGUAS!$F$50),"ECO",IF(AND(G7="BLOCO",CK7&gt;RÉGUAS!$F$50),"BIO",IF(AND(G7="TORRE",CK7&lt;=RÉGUAS!$K$50),"ESSENCIAL",IF(AND(G7="TORRE",CK7&lt;=RÉGUAS!$M$50),"ECO",IF(AND(G7="TORRE",CK7&gt;RÉGUAS!$M$50),"BIO",))))))</f>
        <v>ESSENCIAL</v>
      </c>
      <c r="CM7" s="28" t="str">
        <f>IF(AND(G7="BLOCO",CK7&gt;=RÉGUAS!$D$51,CK7&lt;=RÉGUAS!$D$50),"ESSENCIAL-10%",IF(AND(G7="BLOCO",CK7&gt;RÉGUAS!$D$50,CK7&lt;=RÉGUAS!$E$51),"ECO+10%",IF(AND(G7="BLOCO",CK7&gt;=RÉGUAS!$F$51,CK7&lt;=RÉGUAS!$F$50),"ECO-10%",IF(AND(G7="BLOCO",CK7&gt;RÉGUAS!$F$50,CK7&lt;=RÉGUAS!$G$51),"BIO+10%",IF(AND(G7="TORRE",CK7&gt;=RÉGUAS!$K$51,CK7&lt;=RÉGUAS!$K$50),"ESSENCIAL-10%",IF(AND(G7="TORRE",CK7&gt;RÉGUAS!$K$50,CK7&lt;=RÉGUAS!$L$51),"ECO+10%",IF(AND(G7="TORRE",CK7&gt;=RÉGUAS!$M$51,CK7&lt;=RÉGUAS!$M$50),"ECO-10%",IF(AND(G7="TORRE",CK7&gt;RÉGUAS!$M$50,CK7&lt;=RÉGUAS!$N$51),"BIO+10%","-"))))))))</f>
        <v>ESSENCIAL-10%</v>
      </c>
      <c r="CN7" s="73">
        <f t="shared" si="3"/>
        <v>5806.2498039215679</v>
      </c>
      <c r="CO7" s="72" t="str">
        <f>IF(CN7&lt;=RÉGUAS!$D$58,"ESSENCIAL",IF(CN7&lt;=RÉGUAS!$F$58,"ECO",IF(CN7&gt;RÉGUAS!$F$58,"BIO",)))</f>
        <v>ESSENCIAL</v>
      </c>
      <c r="CP7" s="72" t="str">
        <f>IF(Tabela13[[#This Row],[INTERVALO DE INTERSEÇÃO 5D]]="-",Tabela13[[#This Row],[CLASSIFICAÇÃO 
5D ]],Tabela13[[#This Row],[CLASSIFICAÇÃO 
4D]])</f>
        <v>ESSENCIAL</v>
      </c>
      <c r="CQ7" s="72" t="str">
        <f t="shared" si="4"/>
        <v>-</v>
      </c>
      <c r="CR7" s="72" t="str">
        <f t="shared" si="5"/>
        <v>ESSENCIAL</v>
      </c>
      <c r="CS7" s="22" t="str">
        <f>IF(Tabela13[[#This Row],[PRODUTO ATUAL ]]=Tabela13[[#This Row],[CLASSIFICAÇÃO FINAL 5D]],"ADERÊNTE","NÃO ADERÊNTE")</f>
        <v>ADERÊNTE</v>
      </c>
      <c r="CT7" s="24">
        <f>SUM(Tabela13[[#This Row],[TOTAL  ACAB]],Tabela13[[#This Row],[TOTAL LAZER ]],Tabela13[[#This Row],[TOTAL TIPOLOGIA]],Tabela13[[#This Row],[TOTAL VAGA]])</f>
        <v>5806.2498039215679</v>
      </c>
      <c r="CU7" s="22" t="str">
        <f>IF(CT7&lt;=RÉGUAS!$D$58,"ESSENCIAL",IF(CT7&lt;=RÉGUAS!$F$58,"ECO",IF(CT7&gt;RÉGUAS!$F$58,"BIO",)))</f>
        <v>ESSENCIAL</v>
      </c>
      <c r="CV7" s="22" t="str">
        <f>IF(AND(CT7&gt;=RÉGUAS!$D$59,CT7&lt;=RÉGUAS!$E$59),"ESSENCIAL/ECO",IF(AND(CT7&gt;=RÉGUAS!$F$59,CT7&lt;=RÉGUAS!$G$59),"ECO/BIO","-"))</f>
        <v>-</v>
      </c>
      <c r="CW7" s="85">
        <f>SUM(Tabela13[[#This Row],[TOTAL LAZER ]],Tabela13[[#This Row],[TOTAL TIPOLOGIA]])</f>
        <v>1424.0929411764705</v>
      </c>
      <c r="CX7" s="22" t="str">
        <f>IF(CW7&lt;=RÉGUAS!$D$72,"ESSENCIAL",IF(CW7&lt;=RÉGUAS!$F$72,"ECO",IF(CN7&gt;RÉGUAS!$F$72,"BIO",)))</f>
        <v>ESSENCIAL</v>
      </c>
      <c r="CY7" s="22" t="str">
        <f t="shared" si="6"/>
        <v>ESSENCIAL</v>
      </c>
      <c r="CZ7" s="22" t="str">
        <f>IF(Tabela13[[#This Row],[PRODUTO ATUAL ]]=CY7,"ADERENTE","NÃO ADERENTE")</f>
        <v>ADERENTE</v>
      </c>
      <c r="DA7" s="22" t="str">
        <f>IF(Tabela13[[#This Row],[PRODUTO ATUAL ]]=Tabela13[[#This Row],[CLASSIFICAÇÃO 
4D2]],"ADERENTE","NÃO ADERENTE")</f>
        <v>ADERENTE</v>
      </c>
    </row>
    <row r="8" spans="2:105" s="207" customFormat="1" x14ac:dyDescent="0.35">
      <c r="B8" s="197">
        <v>14</v>
      </c>
      <c r="C8" s="198" t="s">
        <v>136</v>
      </c>
      <c r="D8" s="198" t="s">
        <v>118</v>
      </c>
      <c r="E8" s="199">
        <v>396</v>
      </c>
      <c r="F8" s="198" t="str">
        <f t="shared" si="0"/>
        <v>De 200 a 400 und</v>
      </c>
      <c r="G8" s="198" t="s">
        <v>14</v>
      </c>
      <c r="H8" s="200">
        <v>1</v>
      </c>
      <c r="I8" s="200">
        <v>17</v>
      </c>
      <c r="J8" s="200">
        <v>1</v>
      </c>
      <c r="K8" s="200">
        <v>16</v>
      </c>
      <c r="L8" s="200">
        <f>SUM(Tabela13[[#This Row],[QTD DE B/T 2]],Tabela13[[#This Row],[QTD DE B/T]])</f>
        <v>2</v>
      </c>
      <c r="M8" s="198">
        <v>6</v>
      </c>
      <c r="N8" s="198">
        <f>Tabela13[[#This Row],[ELEVADOR]]/Tabela13[[#This Row],[BLOCO TOTAL]]</f>
        <v>3</v>
      </c>
      <c r="O8" s="198" t="s">
        <v>6</v>
      </c>
      <c r="P8" s="198" t="s">
        <v>119</v>
      </c>
      <c r="Q8" s="198" t="s">
        <v>101</v>
      </c>
      <c r="R8" s="198" t="s">
        <v>102</v>
      </c>
      <c r="S8" s="198" t="s">
        <v>103</v>
      </c>
      <c r="T8" s="198" t="s">
        <v>104</v>
      </c>
      <c r="U8" s="198" t="s">
        <v>105</v>
      </c>
      <c r="V8" s="198" t="s">
        <v>137</v>
      </c>
      <c r="W8" s="201">
        <f>IF(P8=[1]BD_CUSTO!$E$4,[1]BD_CUSTO!$F$4,[1]BD_CUSTO!$F$5)</f>
        <v>530</v>
      </c>
      <c r="X8" s="201">
        <f>IF(Q8=[1]BD_CUSTO!$E$6,[1]BD_CUSTO!$F$6,[1]BD_CUSTO!$F$7)</f>
        <v>260</v>
      </c>
      <c r="Y8" s="201">
        <f>IF(R8=[1]BD_CUSTO!$E$8,[1]BD_CUSTO!$F$8,[1]BD_CUSTO!$F$9)</f>
        <v>600</v>
      </c>
      <c r="Z8" s="201">
        <f>IF(S8=[1]BD_CUSTO!$E$10,[1]BD_CUSTO!$F$10,[1]BD_CUSTO!$F$11)</f>
        <v>500</v>
      </c>
      <c r="AA8" s="201">
        <f>IF(T8=[1]BD_CUSTO!$E$12,[1]BD_CUSTO!$F$12,[1]BD_CUSTO!$F$13)</f>
        <v>370</v>
      </c>
      <c r="AB8" s="201">
        <f>IF(U8=[1]BD_CUSTO!$E$14,[1]BD_CUSTO!$F$14,[1]BD_CUSTO!$F$15)</f>
        <v>90</v>
      </c>
      <c r="AC8" s="201">
        <f>IF(V8=[1]BD_CUSTO!$E$16,[1]BD_CUSTO!$F$16,[1]BD_CUSTO!$F$17)</f>
        <v>1320</v>
      </c>
      <c r="AD8" s="198" t="s">
        <v>110</v>
      </c>
      <c r="AE8" s="198">
        <v>1</v>
      </c>
      <c r="AF8" s="198" t="s">
        <v>107</v>
      </c>
      <c r="AG8" s="198">
        <v>1</v>
      </c>
      <c r="AH8" s="198" t="s">
        <v>109</v>
      </c>
      <c r="AI8" s="198">
        <v>1</v>
      </c>
      <c r="AJ8" s="198" t="s">
        <v>108</v>
      </c>
      <c r="AK8" s="198">
        <v>1</v>
      </c>
      <c r="AL8" s="198" t="s">
        <v>129</v>
      </c>
      <c r="AM8" s="198">
        <v>1</v>
      </c>
      <c r="AN8" s="198" t="s">
        <v>139</v>
      </c>
      <c r="AO8" s="198">
        <v>1</v>
      </c>
      <c r="AP8" s="198" t="s">
        <v>167</v>
      </c>
      <c r="AQ8" s="198">
        <v>1</v>
      </c>
      <c r="AR8" s="198" t="s">
        <v>121</v>
      </c>
      <c r="AS8" s="198">
        <v>1</v>
      </c>
      <c r="AT8" s="198"/>
      <c r="AU8" s="198"/>
      <c r="AV8" s="198"/>
      <c r="AW8" s="198"/>
      <c r="AX8" s="201">
        <f>IF(AD8="",0,VLOOKUP(AD8,[1]BD_CUSTO!I:J,2,0)*AE8/E8)</f>
        <v>13.383838383838384</v>
      </c>
      <c r="AY8" s="201">
        <f>IF(AF8="",0,VLOOKUP(AF8,[1]BD_CUSTO!I:J,2,0)*AG8/E8)</f>
        <v>215.02303030303028</v>
      </c>
      <c r="AZ8" s="201">
        <f>IF(AH8="",0,VLOOKUP(AH8,[1]BD_CUSTO!I:J,2,0)*AI8/E8)</f>
        <v>17.550505050505052</v>
      </c>
      <c r="BA8" s="201">
        <f>IF(AJ8="",0,VLOOKUP(AJ8,[1]BD_CUSTO!I:J,2,0)*AK8/E8)</f>
        <v>58.459595959595958</v>
      </c>
      <c r="BB8" s="201">
        <f>IF(AL8="",0,VLOOKUP(AL8,[1]BD_CUSTO!I:J,2,0)*AM8/E8)</f>
        <v>694.86762626262635</v>
      </c>
      <c r="BC8" s="201">
        <f>IF(AN8="",0,VLOOKUP(AN8,[1]BD_CUSTO!I:J,2,0)*AO8/E8)</f>
        <v>156.96040404040403</v>
      </c>
      <c r="BD8" s="201">
        <f>IF(AP8="",0,VLOOKUP(AP8,[1]BD_CUSTO!I:J,2,0)*AQ8/E8)</f>
        <v>207.20987373737373</v>
      </c>
      <c r="BE8" s="201">
        <f>IF(AR8="",0,VLOOKUP(AR8,CUSTO!I:J,2,0)*AS8/E8)</f>
        <v>526.02525252525254</v>
      </c>
      <c r="BF8" s="201">
        <f>IF(AT8="",0,VLOOKUP(AT8,[1]BD_CUSTO!I:J,2,0)*AU8/E8)</f>
        <v>0</v>
      </c>
      <c r="BG8" s="201">
        <f>IF(Tabela13[[#This Row],[LZ 10]]="",0,VLOOKUP(Tabela13[[#This Row],[LZ 10]],[1]BD_CUSTO!I:J,2,0)*Tabela13[[#This Row],[QTD922]]/E8)</f>
        <v>0</v>
      </c>
      <c r="BH8" s="198" t="s">
        <v>112</v>
      </c>
      <c r="BI8" s="202">
        <v>0.63</v>
      </c>
      <c r="BJ8" s="198" t="s">
        <v>113</v>
      </c>
      <c r="BK8" s="202">
        <v>0</v>
      </c>
      <c r="BL8" s="201">
        <f>IF(BH8=CUSTO!M6,CUSTO!N6)*BI8</f>
        <v>1890</v>
      </c>
      <c r="BM8" s="201">
        <f>IF(BJ8=[1]BD_CUSTO!$M$4,[1]BD_CUSTO!$N$4,[1]BD_CUSTO!$N$5)*BK8</f>
        <v>0</v>
      </c>
      <c r="BN8" s="198" t="s">
        <v>114</v>
      </c>
      <c r="BO8" s="198">
        <f>238+27+9</f>
        <v>274</v>
      </c>
      <c r="BP8" s="202">
        <f>Tabela13[[#This Row],[QTD ]]/Tabela13[[#This Row],[Nº UNDS]]</f>
        <v>0.69191919191919193</v>
      </c>
      <c r="BQ8" s="198" t="s">
        <v>123</v>
      </c>
      <c r="BR8" s="198">
        <v>22</v>
      </c>
      <c r="BS8" s="198" t="s">
        <v>116</v>
      </c>
      <c r="BT8" s="198">
        <v>0</v>
      </c>
      <c r="BU8" s="198" t="s">
        <v>16</v>
      </c>
      <c r="BV8" s="198">
        <v>0</v>
      </c>
      <c r="BW8" s="201">
        <f>IF(BN8=[1]BD_CUSTO!$Q$7,[1]BD_CUSTO!$R$7,[1]BD_CUSTO!$R$8)*BO8/E8</f>
        <v>1383.8383838383838</v>
      </c>
      <c r="BX8" s="201">
        <f>IF(BQ8=[1]BD_CUSTO!$Q$4,[1]BD_CUSTO!$R$4,[1]BD_CUSTO!$R$5)*BR8/E8</f>
        <v>55.555555555555557</v>
      </c>
      <c r="BY8" s="198">
        <f>IF(BS8=[1]BD_CUSTO!$Q$13,[1]BD_CUSTO!$R$13,[1]BD_CUSTO!$R$14)*BT8/E8</f>
        <v>0</v>
      </c>
      <c r="BZ8" s="201">
        <f>BV8*CUSTO!$R$10/E8</f>
        <v>0</v>
      </c>
      <c r="CA8" s="178">
        <f>SUM(Tabela13[[#This Row],[SOMA_PISO SALA E QUARTO]],Tabela13[[#This Row],[SOMA_PAREDE HIDR]],Tabela13[[#This Row],[SOMA_TETO]],Tabela13[[#This Row],[SOMA_BANCADA]],Tabela13[[#This Row],[SOMA_PEDRAS]])</f>
        <v>2090</v>
      </c>
      <c r="CB8" s="197" t="str">
        <f>IF(CA8&lt;=RÉGUAS!$D$4,"ACAB 01",IF(CA8&lt;=RÉGUAS!$F$4,"ACAB 02",IF(CA8&gt;RÉGUAS!$F$4,"ACAB 03",)))</f>
        <v>ACAB 01</v>
      </c>
      <c r="CC8" s="178">
        <f>SUM(Tabela13[[#This Row],[SOMA_LZ 01]:[SOMA_LZ 10]])</f>
        <v>1889.4801262626265</v>
      </c>
      <c r="CD8" s="198" t="str">
        <f>IF(CC8&lt;=RÉGUAS!$D$13,"LZ 01",IF(CC8&lt;=RÉGUAS!$F$13,"LZ 02",IF(CC8&lt;=RÉGUAS!$H$13,"LZ 03",IF(CC8&gt;RÉGUAS!$H$13,"LZ 04",))))</f>
        <v>LZ 03</v>
      </c>
      <c r="CE8" s="203">
        <f t="shared" si="1"/>
        <v>1890</v>
      </c>
      <c r="CF8" s="198" t="str">
        <f>IF(CE8&lt;=RÉGUAS!$D$22,"TIP 01",IF(CE8&lt;=RÉGUAS!$F$22,"TIP 02",IF(CE8&gt;RÉGUAS!$F$22,"TIP 03",)))</f>
        <v>TIP 02</v>
      </c>
      <c r="CG8" s="203">
        <f t="shared" si="2"/>
        <v>1439.3939393939395</v>
      </c>
      <c r="CH8" s="198" t="str">
        <f>IF(CG8&lt;=RÉGUAS!$D$32,"VAGA 01",IF(CG8&lt;=RÉGUAS!$F$32,"VAGA 02",IF(CG8&gt;RÉGUAS!$F$32,"VAGA 03",)))</f>
        <v>VAGA 02</v>
      </c>
      <c r="CI8" s="204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8389.5</v>
      </c>
      <c r="CJ8" s="204" t="str">
        <f>IF(AND(G8="BLOCO",CI8&lt;=RÉGUAS!$D$40),"ELEV 01",IF(AND(G8="BLOCO",CI8&gt;RÉGUAS!$D$40),"ELEV 02",IF(AND(G8="TORRE",CI8&lt;=RÉGUAS!$K$40),"ELEV 01",IF(AND(G8="TORRE",CI8&lt;=RÉGUAS!$M$40),"ELEV 02",IF(AND(G8="TORRE",CI8&gt;RÉGUAS!$M$40),"ELEV 03",)))))</f>
        <v>ELEV 03</v>
      </c>
      <c r="CK8" s="204">
        <f>SUM(Tabela13[[#This Row],[TOTAL  ACAB]],Tabela13[[#This Row],[TOTAL LAZER ]],Tabela13[[#This Row],[TOTAL TIPOLOGIA]],Tabela13[[#This Row],[TOTAL VAGA]],Tabela13[[#This Row],[TOTAL ELEVADOR]])</f>
        <v>15698.374065656566</v>
      </c>
      <c r="CL8" s="205" t="str">
        <f>IF(AND(G8="BLOCO",CK8&lt;=RÉGUAS!$D$50),"ESSENCIAL",IF(AND(G8="BLOCO",CK8&lt;=RÉGUAS!$F$50),"ECO",IF(AND(G8="BLOCO",CK8&gt;RÉGUAS!$F$50),"BIO",IF(AND(G8="TORRE",CK8&lt;=RÉGUAS!$K$50),"ESSENCIAL",IF(AND(G8="TORRE",CK8&lt;=RÉGUAS!$M$50),"ECO",IF(AND(G8="TORRE",CK8&gt;RÉGUAS!$M$50),"BIO",))))))</f>
        <v>BIO</v>
      </c>
      <c r="CM8" s="203" t="str">
        <f>IF(AND(G8="BLOCO",CK8&gt;=RÉGUAS!$D$51,CK8&lt;=RÉGUAS!$D$50),"ESSENCIAL-10%",IF(AND(G8="BLOCO",CK8&gt;RÉGUAS!$D$50,CK8&lt;=RÉGUAS!$E$51),"ECO+10%",IF(AND(G8="BLOCO",CK8&gt;=RÉGUAS!$F$51,CK8&lt;=RÉGUAS!$F$50),"ECO-10%",IF(AND(G8="BLOCO",CK8&gt;RÉGUAS!$F$50,CK8&lt;=RÉGUAS!$G$51),"BIO+10%",IF(AND(G8="TORRE",CK8&gt;=RÉGUAS!$K$51,CK8&lt;=RÉGUAS!$K$50),"ESSENCIAL-10%",IF(AND(G8="TORRE",CK8&gt;RÉGUAS!$K$50,CK8&lt;=RÉGUAS!$L$51),"ECO+10%",IF(AND(G8="TORRE",CK8&gt;=RÉGUAS!$M$51,CK8&lt;=RÉGUAS!$M$50),"ECO-10%",IF(AND(G8="TORRE",CK8&gt;RÉGUAS!$M$50,CK8&lt;=RÉGUAS!$N$51),"BIO+10%","-"))))))))</f>
        <v>-</v>
      </c>
      <c r="CN8" s="206">
        <f t="shared" si="3"/>
        <v>7308.874065656566</v>
      </c>
      <c r="CO8" s="205" t="str">
        <f>IF(CN8&lt;=RÉGUAS!$D$58,"ESSENCIAL",IF(CN8&lt;=RÉGUAS!$F$58,"ECO",IF(CN8&gt;RÉGUAS!$F$58,"BIO",)))</f>
        <v>ECO</v>
      </c>
      <c r="CP8" s="205" t="str">
        <f>IF(Tabela13[[#This Row],[INTERVALO DE INTERSEÇÃO 5D]]="-",Tabela13[[#This Row],[CLASSIFICAÇÃO 
5D ]],Tabela13[[#This Row],[CLASSIFICAÇÃO 
4D]])</f>
        <v>BIO</v>
      </c>
      <c r="CQ8" s="205" t="str">
        <f t="shared" si="4"/>
        <v>-</v>
      </c>
      <c r="CR8" s="205" t="str">
        <f t="shared" si="5"/>
        <v>BIO</v>
      </c>
      <c r="CS8" s="198" t="str">
        <f>IF(Tabela13[[#This Row],[PRODUTO ATUAL ]]=Tabela13[[#This Row],[CLASSIFICAÇÃO FINAL 5D]],"ADERÊNTE","NÃO ADERÊNTE")</f>
        <v>NÃO ADERÊNTE</v>
      </c>
      <c r="CT8" s="201">
        <f>SUM(Tabela13[[#This Row],[TOTAL  ACAB]],Tabela13[[#This Row],[TOTAL LAZER ]],Tabela13[[#This Row],[TOTAL TIPOLOGIA]],Tabela13[[#This Row],[TOTAL VAGA]])</f>
        <v>7308.874065656566</v>
      </c>
      <c r="CU8" s="198" t="str">
        <f>IF(CT8&lt;=RÉGUAS!$D$58,"ESSENCIAL",IF(CT8&lt;=RÉGUAS!$F$58,"ECO",IF(CT8&gt;RÉGUAS!$F$58,"BIO",)))</f>
        <v>ECO</v>
      </c>
      <c r="CV8" s="198" t="str">
        <f>IF(AND(CT8&gt;=RÉGUAS!$D$59,CT8&lt;=RÉGUAS!$E$59),"ESSENCIAL/ECO",IF(AND(CT8&gt;=RÉGUAS!$F$59,CT8&lt;=RÉGUAS!$G$59),"ECO/BIO","-"))</f>
        <v>ESSENCIAL/ECO</v>
      </c>
      <c r="CW8" s="85">
        <f>SUM(Tabela13[[#This Row],[TOTAL LAZER ]],Tabela13[[#This Row],[TOTAL TIPOLOGIA]])</f>
        <v>3779.4801262626265</v>
      </c>
      <c r="CX8" s="198" t="str">
        <f>IF(CW8&lt;=RÉGUAS!$D$72,"ESSENCIAL",IF(CW8&lt;=RÉGUAS!$F$72,"ECO",IF(CN8&gt;RÉGUAS!$F$72,"BIO",)))</f>
        <v>ECO</v>
      </c>
      <c r="CY8" s="198" t="str">
        <f t="shared" si="6"/>
        <v>ECO</v>
      </c>
      <c r="CZ8" s="198" t="str">
        <f>IF(Tabela13[[#This Row],[PRODUTO ATUAL ]]=CY8,"ADERENTE","NÃO ADERENTE")</f>
        <v>NÃO ADERENTE</v>
      </c>
      <c r="DA8" s="198" t="str">
        <f>IF(Tabela13[[#This Row],[PRODUTO ATUAL ]]=Tabela13[[#This Row],[CLASSIFICAÇÃO 
4D2]],"ADERENTE","NÃO ADERENTE")</f>
        <v>NÃO ADERENTE</v>
      </c>
    </row>
    <row r="9" spans="2:105" hidden="1" x14ac:dyDescent="0.35">
      <c r="B9" s="27">
        <v>47</v>
      </c>
      <c r="C9" s="22" t="s">
        <v>138</v>
      </c>
      <c r="D9" s="22" t="s">
        <v>118</v>
      </c>
      <c r="E9" s="23">
        <v>480</v>
      </c>
      <c r="F9" s="22" t="str">
        <f t="shared" si="0"/>
        <v>Acima de 400 und</v>
      </c>
      <c r="G9" s="22" t="s">
        <v>1</v>
      </c>
      <c r="H9" s="36">
        <v>24</v>
      </c>
      <c r="I9" s="36">
        <v>5</v>
      </c>
      <c r="J9" s="36"/>
      <c r="K9" s="36"/>
      <c r="L9" s="36">
        <f>SUM(Tabela13[[#This Row],[QTD DE B/T 2]],Tabela13[[#This Row],[QTD DE B/T]])</f>
        <v>24</v>
      </c>
      <c r="M9" s="22">
        <v>0</v>
      </c>
      <c r="N9" s="22">
        <f>Tabela13[[#This Row],[ELEVADOR]]/Tabela13[[#This Row],[BLOCO TOTAL]]</f>
        <v>0</v>
      </c>
      <c r="O9" s="22" t="s">
        <v>6</v>
      </c>
      <c r="P9" s="22" t="s">
        <v>119</v>
      </c>
      <c r="Q9" s="22" t="s">
        <v>101</v>
      </c>
      <c r="R9" s="22" t="s">
        <v>102</v>
      </c>
      <c r="S9" s="22" t="s">
        <v>103</v>
      </c>
      <c r="T9" s="22" t="s">
        <v>104</v>
      </c>
      <c r="U9" s="22" t="s">
        <v>105</v>
      </c>
      <c r="V9" s="22" t="s">
        <v>106</v>
      </c>
      <c r="W9" s="24">
        <f>IF(P9=[1]BD_CUSTO!$E$4,[1]BD_CUSTO!$F$4,[1]BD_CUSTO!$F$5)</f>
        <v>530</v>
      </c>
      <c r="X9" s="24">
        <f>IF(Q9=[1]BD_CUSTO!$E$6,[1]BD_CUSTO!$F$6,[1]BD_CUSTO!$F$7)</f>
        <v>260</v>
      </c>
      <c r="Y9" s="24">
        <f>IF(R9=[1]BD_CUSTO!$E$8,[1]BD_CUSTO!$F$8,[1]BD_CUSTO!$F$9)</f>
        <v>600</v>
      </c>
      <c r="Z9" s="24">
        <f>IF(S9=[1]BD_CUSTO!$E$10,[1]BD_CUSTO!$F$10,[1]BD_CUSTO!$F$11)</f>
        <v>500</v>
      </c>
      <c r="AA9" s="24">
        <f>IF(T9=[1]BD_CUSTO!$E$12,[1]BD_CUSTO!$F$12,[1]BD_CUSTO!$F$13)</f>
        <v>370</v>
      </c>
      <c r="AB9" s="24">
        <f>IF(U9=[1]BD_CUSTO!$E$14,[1]BD_CUSTO!$F$14,[1]BD_CUSTO!$F$15)</f>
        <v>90</v>
      </c>
      <c r="AC9" s="24">
        <f>IF(V9=[1]BD_CUSTO!$E$16,[1]BD_CUSTO!$F$16,[1]BD_CUSTO!$F$17)</f>
        <v>720</v>
      </c>
      <c r="AD9" s="22" t="s">
        <v>121</v>
      </c>
      <c r="AE9" s="22">
        <v>1</v>
      </c>
      <c r="AF9" s="22" t="s">
        <v>107</v>
      </c>
      <c r="AG9" s="22">
        <v>1</v>
      </c>
      <c r="AH9" s="22" t="s">
        <v>108</v>
      </c>
      <c r="AI9" s="22">
        <v>2</v>
      </c>
      <c r="AJ9" s="22" t="s">
        <v>139</v>
      </c>
      <c r="AK9" s="22">
        <v>1</v>
      </c>
      <c r="AL9" s="22" t="s">
        <v>109</v>
      </c>
      <c r="AM9" s="22">
        <v>1</v>
      </c>
      <c r="AN9" s="22" t="s">
        <v>110</v>
      </c>
      <c r="AO9" s="22">
        <v>2</v>
      </c>
      <c r="AP9" s="22"/>
      <c r="AQ9" s="22"/>
      <c r="AR9" s="22"/>
      <c r="AS9" s="22"/>
      <c r="AT9" s="22"/>
      <c r="AU9" s="22"/>
      <c r="AV9" s="22"/>
      <c r="AW9" s="22"/>
      <c r="AX9" s="24">
        <f>IF(AD9="",0,VLOOKUP(AD9,[1]BD_CUSTO!I:J,2,0)*AE9/E9)</f>
        <v>256.57687499999997</v>
      </c>
      <c r="AY9" s="24">
        <f>IF(AF9="",0,VLOOKUP(AF9,[1]BD_CUSTO!I:J,2,0)*AG9/E9)</f>
        <v>177.39399999999998</v>
      </c>
      <c r="AZ9" s="24">
        <f>IF(AH9="",0,VLOOKUP(AH9,[1]BD_CUSTO!I:J,2,0)*AI9/E9)</f>
        <v>96.458333333333329</v>
      </c>
      <c r="BA9" s="24">
        <f>IF(AJ9="",0,VLOOKUP(AJ9,[1]BD_CUSTO!I:J,2,0)*AK9/E9)</f>
        <v>129.49233333333333</v>
      </c>
      <c r="BB9" s="24">
        <f>IF(AL9="",0,VLOOKUP(AL9,[1]BD_CUSTO!I:J,2,0)*AM9/E9)</f>
        <v>14.479166666666666</v>
      </c>
      <c r="BC9" s="24">
        <f>IF(AN9="",0,VLOOKUP(AN9,[1]BD_CUSTO!I:J,2,0)*AO9/E9)</f>
        <v>22.083333333333332</v>
      </c>
      <c r="BD9" s="24">
        <f>IF(AP9="",0,VLOOKUP(AP9,[1]BD_CUSTO!I:J,2,0)*AQ9/E9)</f>
        <v>0</v>
      </c>
      <c r="BE9" s="24">
        <f>IF(AR9="",0,VLOOKUP(AR9,CUSTO!I:J,2,0)*AS9/E9)</f>
        <v>0</v>
      </c>
      <c r="BF9" s="24">
        <f>IF(AT9="",0,VLOOKUP(AT9,[1]BD_CUSTO!I:J,2,0)*AU9/E9)</f>
        <v>0</v>
      </c>
      <c r="BG9" s="24">
        <f>IF(Tabela13[[#This Row],[LZ 10]]="",0,VLOOKUP(Tabela13[[#This Row],[LZ 10]],[1]BD_CUSTO!I:J,2,0)*Tabela13[[#This Row],[QTD922]]/E9)</f>
        <v>0</v>
      </c>
      <c r="BH9" s="22" t="s">
        <v>122</v>
      </c>
      <c r="BI9" s="25">
        <v>0</v>
      </c>
      <c r="BJ9" s="22" t="s">
        <v>113</v>
      </c>
      <c r="BK9" s="25">
        <v>0</v>
      </c>
      <c r="BL9" s="24">
        <f>IF(BH9=[1]BD_CUSTO!$M$6,[1]BD_CUSTO!$N$6)*BI9</f>
        <v>0</v>
      </c>
      <c r="BM9" s="24">
        <f>IF(BJ9=[1]BD_CUSTO!$M$4,[1]BD_CUSTO!$N$4,[1]BD_CUSTO!$N$5)*BK9</f>
        <v>0</v>
      </c>
      <c r="BN9" s="22" t="s">
        <v>114</v>
      </c>
      <c r="BO9" s="22">
        <v>415</v>
      </c>
      <c r="BP9" s="25">
        <f>Tabela13[[#This Row],[QTD ]]/Tabela13[[#This Row],[Nº UNDS]]</f>
        <v>0.86458333333333337</v>
      </c>
      <c r="BQ9" s="22" t="s">
        <v>115</v>
      </c>
      <c r="BR9" s="22">
        <v>0</v>
      </c>
      <c r="BS9" s="22" t="s">
        <v>116</v>
      </c>
      <c r="BT9" s="22">
        <v>0</v>
      </c>
      <c r="BU9" s="22" t="s">
        <v>16</v>
      </c>
      <c r="BV9" s="22">
        <v>0</v>
      </c>
      <c r="BW9" s="24">
        <f>IF(BN9=[1]BD_CUSTO!$Q$7,[1]BD_CUSTO!$R$7,[1]BD_CUSTO!$R$8)*BO9/E9</f>
        <v>1729.1666666666667</v>
      </c>
      <c r="BX9" s="24">
        <f>IF(BQ9=[1]BD_CUSTO!$Q$4,[1]BD_CUSTO!$R$4,[1]BD_CUSTO!$R$5)*BR9/E9</f>
        <v>0</v>
      </c>
      <c r="BY9" s="22">
        <f>IF(BS9=[1]BD_CUSTO!$Q$13,[1]BD_CUSTO!$R$13,[1]BD_CUSTO!$R$14)*BT9/E9</f>
        <v>0</v>
      </c>
      <c r="BZ9" s="24">
        <f>BV9*CUSTO!$R$10/E9</f>
        <v>0</v>
      </c>
      <c r="CA9" s="26">
        <f>SUM(Tabela13[[#This Row],[SOMA_PISO SALA E QUARTO]],Tabela13[[#This Row],[SOMA_PAREDE HIDR]],Tabela13[[#This Row],[SOMA_TETO]],Tabela13[[#This Row],[SOMA_BANCADA]],Tabela13[[#This Row],[SOMA_PEDRAS]])</f>
        <v>2090</v>
      </c>
      <c r="CB9" s="27" t="str">
        <f>IF(CA9&lt;=RÉGUAS!$D$4,"ACAB 01",IF(CA9&lt;=RÉGUAS!$F$4,"ACAB 02",IF(CA9&gt;RÉGUAS!$F$4,"ACAB 03",)))</f>
        <v>ACAB 01</v>
      </c>
      <c r="CC9" s="26">
        <f>SUM(Tabela13[[#This Row],[SOMA_LZ 01]:[SOMA_LZ 10]])</f>
        <v>696.48404166666671</v>
      </c>
      <c r="CD9" s="22" t="str">
        <f>IF(CC9&lt;=RÉGUAS!$D$13,"LZ 01",IF(CC9&lt;=RÉGUAS!$F$13,"LZ 02",IF(CC9&lt;=RÉGUAS!$H$13,"LZ 03",IF(CC9&gt;RÉGUAS!$H$13,"LZ 04",))))</f>
        <v>LZ 01</v>
      </c>
      <c r="CE9" s="28">
        <f t="shared" si="1"/>
        <v>0</v>
      </c>
      <c r="CF9" s="22" t="str">
        <f>IF(CE9&lt;=RÉGUAS!$D$22,"TIP 01",IF(CE9&lt;=RÉGUAS!$F$22,"TIP 02",IF(CE9&gt;RÉGUAS!$F$22,"TIP 03",)))</f>
        <v>TIP 01</v>
      </c>
      <c r="CG9" s="28">
        <f t="shared" si="2"/>
        <v>1729.1666666666667</v>
      </c>
      <c r="CH9" s="22" t="str">
        <f>IF(CG9&lt;=RÉGUAS!$D$32,"VAGA 01",IF(CG9&lt;=RÉGUAS!$F$32,"VAGA 02",IF(CG9&gt;RÉGUAS!$F$32,"VAGA 03",)))</f>
        <v>VAGA 02</v>
      </c>
      <c r="CI9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9" s="85" t="str">
        <f>IF(AND(G9="BLOCO",CI9&lt;=RÉGUAS!$D$40),"ELEV 01",IF(AND(G9="BLOCO",CI9&gt;RÉGUAS!$D$40),"ELEV 02",IF(AND(G9="TORRE",CI9&lt;=RÉGUAS!$K$40),"ELEV 01",IF(AND(G9="TORRE",CI9&lt;=RÉGUAS!$M$40),"ELEV 02",IF(AND(G9="TORRE",CI9&gt;RÉGUAS!$M$40),"ELEV 03",)))))</f>
        <v>ELEV 01</v>
      </c>
      <c r="CK9" s="85">
        <f>SUM(Tabela13[[#This Row],[TOTAL  ACAB]],Tabela13[[#This Row],[TOTAL LAZER ]],Tabela13[[#This Row],[TOTAL TIPOLOGIA]],Tabela13[[#This Row],[TOTAL VAGA]],Tabela13[[#This Row],[TOTAL ELEVADOR]])</f>
        <v>4515.6507083333336</v>
      </c>
      <c r="CL9" s="72" t="str">
        <f>IF(AND(G9="BLOCO",CK9&lt;=RÉGUAS!$D$50),"ESSENCIAL",IF(AND(G9="BLOCO",CK9&lt;=RÉGUAS!$F$50),"ECO",IF(AND(G9="BLOCO",CK9&gt;RÉGUAS!$F$50),"BIO",IF(AND(G9="TORRE",CK9&lt;=RÉGUAS!$K$50),"ESSENCIAL",IF(AND(G9="TORRE",CK9&lt;=RÉGUAS!$M$50),"ECO",IF(AND(G9="TORRE",CK9&gt;RÉGUAS!$M$50),"BIO",))))))</f>
        <v>ESSENCIAL</v>
      </c>
      <c r="CM9" s="28" t="str">
        <f>IF(AND(G9="BLOCO",CK9&gt;=RÉGUAS!$D$51,CK9&lt;=RÉGUAS!$D$50),"ESSENCIAL-10%",IF(AND(G9="BLOCO",CK9&gt;RÉGUAS!$D$50,CK9&lt;=RÉGUAS!$E$51),"ECO+10%",IF(AND(G9="BLOCO",CK9&gt;=RÉGUAS!$F$51,CK9&lt;=RÉGUAS!$F$50),"ECO-10%",IF(AND(G9="BLOCO",CK9&gt;RÉGUAS!$F$50,CK9&lt;=RÉGUAS!$G$51),"BIO+10%",IF(AND(G9="TORRE",CK9&gt;=RÉGUAS!$K$51,CK9&lt;=RÉGUAS!$K$50),"ESSENCIAL-10%",IF(AND(G9="TORRE",CK9&gt;RÉGUAS!$K$50,CK9&lt;=RÉGUAS!$L$51),"ECO+10%",IF(AND(G9="TORRE",CK9&gt;=RÉGUAS!$M$51,CK9&lt;=RÉGUAS!$M$50),"ECO-10%",IF(AND(G9="TORRE",CK9&gt;RÉGUAS!$M$50,CK9&lt;=RÉGUAS!$N$51),"BIO+10%","-"))))))))</f>
        <v>-</v>
      </c>
      <c r="CN9" s="73">
        <f t="shared" si="3"/>
        <v>4515.6507083333336</v>
      </c>
      <c r="CO9" s="72" t="str">
        <f>IF(CN9&lt;=RÉGUAS!$D$58,"ESSENCIAL",IF(CN9&lt;=RÉGUAS!$F$58,"ECO",IF(CN9&gt;RÉGUAS!$F$58,"BIO",)))</f>
        <v>ESSENCIAL</v>
      </c>
      <c r="CP9" s="72" t="str">
        <f>IF(Tabela13[[#This Row],[INTERVALO DE INTERSEÇÃO 5D]]="-",Tabela13[[#This Row],[CLASSIFICAÇÃO 
5D ]],Tabela13[[#This Row],[CLASSIFICAÇÃO 
4D]])</f>
        <v>ESSENCIAL</v>
      </c>
      <c r="CQ9" s="72" t="str">
        <f t="shared" si="4"/>
        <v>-</v>
      </c>
      <c r="CR9" s="72" t="str">
        <f t="shared" si="5"/>
        <v>ESSENCIAL</v>
      </c>
      <c r="CS9" s="22" t="str">
        <f>IF(Tabela13[[#This Row],[PRODUTO ATUAL ]]=Tabela13[[#This Row],[CLASSIFICAÇÃO FINAL 5D]],"ADERÊNTE","NÃO ADERÊNTE")</f>
        <v>ADERÊNTE</v>
      </c>
      <c r="CT9" s="24">
        <f>SUM(Tabela13[[#This Row],[TOTAL  ACAB]],Tabela13[[#This Row],[TOTAL LAZER ]],Tabela13[[#This Row],[TOTAL TIPOLOGIA]],Tabela13[[#This Row],[TOTAL VAGA]])</f>
        <v>4515.6507083333336</v>
      </c>
      <c r="CU9" s="22" t="str">
        <f>IF(CT9&lt;=RÉGUAS!$D$58,"ESSENCIAL",IF(CT9&lt;=RÉGUAS!$F$58,"ECO",IF(CT9&gt;RÉGUAS!$F$58,"BIO",)))</f>
        <v>ESSENCIAL</v>
      </c>
      <c r="CV9" s="22" t="str">
        <f>IF(AND(CT9&gt;=RÉGUAS!$D$59,CT9&lt;=RÉGUAS!$E$59),"ESSENCIAL/ECO",IF(AND(CT9&gt;=RÉGUAS!$F$59,CT9&lt;=RÉGUAS!$G$59),"ECO/BIO","-"))</f>
        <v>-</v>
      </c>
      <c r="CW9" s="85">
        <f>SUM(Tabela13[[#This Row],[TOTAL LAZER ]],Tabela13[[#This Row],[TOTAL TIPOLOGIA]])</f>
        <v>696.48404166666671</v>
      </c>
      <c r="CX9" s="22" t="str">
        <f>IF(CW9&lt;=RÉGUAS!$D$72,"ESSENCIAL",IF(CW9&lt;=RÉGUAS!$F$72,"ECO",IF(CN9&gt;RÉGUAS!$F$72,"BIO",)))</f>
        <v>ESSENCIAL</v>
      </c>
      <c r="CY9" s="22" t="str">
        <f t="shared" si="6"/>
        <v>ESSENCIAL</v>
      </c>
      <c r="CZ9" s="22" t="str">
        <f>IF(Tabela13[[#This Row],[PRODUTO ATUAL ]]=CY9,"ADERENTE","NÃO ADERENTE")</f>
        <v>ADERENTE</v>
      </c>
      <c r="DA9" s="22" t="str">
        <f>IF(Tabela13[[#This Row],[PRODUTO ATUAL ]]=Tabela13[[#This Row],[CLASSIFICAÇÃO 
4D2]],"ADERENTE","NÃO ADERENTE")</f>
        <v>ADERENTE</v>
      </c>
    </row>
    <row r="10" spans="2:105" hidden="1" x14ac:dyDescent="0.35">
      <c r="B10" s="27">
        <v>42</v>
      </c>
      <c r="C10" s="22" t="s">
        <v>134</v>
      </c>
      <c r="D10" s="22" t="s">
        <v>118</v>
      </c>
      <c r="E10" s="23">
        <v>288</v>
      </c>
      <c r="F10" s="22" t="str">
        <f t="shared" si="0"/>
        <v>De 200 a 400 und</v>
      </c>
      <c r="G10" s="22" t="s">
        <v>1</v>
      </c>
      <c r="H10" s="36">
        <v>18</v>
      </c>
      <c r="I10" s="36">
        <v>4</v>
      </c>
      <c r="J10" s="36"/>
      <c r="K10" s="36"/>
      <c r="L10" s="36">
        <f>SUM(Tabela13[[#This Row],[QTD DE B/T 2]],Tabela13[[#This Row],[QTD DE B/T]])</f>
        <v>18</v>
      </c>
      <c r="M10" s="22">
        <v>0</v>
      </c>
      <c r="N10" s="22">
        <f>Tabela13[[#This Row],[ELEVADOR]]/Tabela13[[#This Row],[BLOCO TOTAL]]</f>
        <v>0</v>
      </c>
      <c r="O10" s="22" t="s">
        <v>6</v>
      </c>
      <c r="P10" s="22" t="s">
        <v>119</v>
      </c>
      <c r="Q10" s="22" t="s">
        <v>101</v>
      </c>
      <c r="R10" s="22" t="s">
        <v>102</v>
      </c>
      <c r="S10" s="22" t="s">
        <v>103</v>
      </c>
      <c r="T10" s="22" t="s">
        <v>104</v>
      </c>
      <c r="U10" s="22" t="s">
        <v>105</v>
      </c>
      <c r="V10" s="22" t="s">
        <v>106</v>
      </c>
      <c r="W10" s="24">
        <f>IF(P10=[1]BD_CUSTO!$E$4,[1]BD_CUSTO!$F$4,[1]BD_CUSTO!$F$5)</f>
        <v>530</v>
      </c>
      <c r="X10" s="24">
        <f>IF(Q10=[1]BD_CUSTO!$E$6,[1]BD_CUSTO!$F$6,[1]BD_CUSTO!$F$7)</f>
        <v>260</v>
      </c>
      <c r="Y10" s="24">
        <f>IF(R10=[1]BD_CUSTO!$E$8,[1]BD_CUSTO!$F$8,[1]BD_CUSTO!$F$9)</f>
        <v>600</v>
      </c>
      <c r="Z10" s="24">
        <f>IF(S10=[1]BD_CUSTO!$E$10,[1]BD_CUSTO!$F$10,[1]BD_CUSTO!$F$11)</f>
        <v>500</v>
      </c>
      <c r="AA10" s="24">
        <f>IF(T10=[1]BD_CUSTO!$E$12,[1]BD_CUSTO!$F$12,[1]BD_CUSTO!$F$13)</f>
        <v>370</v>
      </c>
      <c r="AB10" s="24">
        <f>IF(U10=[1]BD_CUSTO!$E$14,[1]BD_CUSTO!$F$14,[1]BD_CUSTO!$F$15)</f>
        <v>90</v>
      </c>
      <c r="AC10" s="24">
        <f>IF(V10=[1]BD_CUSTO!$E$16,[1]BD_CUSTO!$F$16,[1]BD_CUSTO!$F$17)</f>
        <v>720</v>
      </c>
      <c r="AD10" s="22" t="s">
        <v>110</v>
      </c>
      <c r="AE10" s="22">
        <v>1</v>
      </c>
      <c r="AF10" s="22" t="s">
        <v>109</v>
      </c>
      <c r="AG10" s="22">
        <v>1</v>
      </c>
      <c r="AH10" s="22" t="s">
        <v>108</v>
      </c>
      <c r="AI10" s="22">
        <v>2</v>
      </c>
      <c r="AJ10" s="22" t="s">
        <v>135</v>
      </c>
      <c r="AK10" s="22">
        <v>1</v>
      </c>
      <c r="AL10" s="22" t="s">
        <v>107</v>
      </c>
      <c r="AM10" s="22">
        <v>1</v>
      </c>
      <c r="AN10" s="22" t="s">
        <v>121</v>
      </c>
      <c r="AO10" s="22">
        <v>2</v>
      </c>
      <c r="AP10" s="22"/>
      <c r="AQ10" s="22"/>
      <c r="AR10" s="22"/>
      <c r="AS10" s="22"/>
      <c r="AT10" s="22"/>
      <c r="AU10" s="22"/>
      <c r="AV10" s="22"/>
      <c r="AW10" s="22"/>
      <c r="AX10" s="24">
        <f>IF(AD10="",0,VLOOKUP(AD10,[1]BD_CUSTO!I:J,2,0)*AE10/E10)</f>
        <v>18.402777777777779</v>
      </c>
      <c r="AY10" s="24">
        <f>IF(AF10="",0,VLOOKUP(AF10,[1]BD_CUSTO!I:J,2,0)*AG10/E10)</f>
        <v>24.131944444444443</v>
      </c>
      <c r="AZ10" s="24">
        <f>IF(AH10="",0,VLOOKUP(AH10,[1]BD_CUSTO!I:J,2,0)*AI10/E10)</f>
        <v>160.76388888888889</v>
      </c>
      <c r="BA10" s="24">
        <f>IF(AJ10="",0,VLOOKUP(AJ10,[1]BD_CUSTO!I:J,2,0)*AK10/E10)</f>
        <v>437.73833333333334</v>
      </c>
      <c r="BB10" s="24">
        <f>IF(AL10="",0,VLOOKUP(AL10,[1]BD_CUSTO!I:J,2,0)*AM10/E10)</f>
        <v>295.65666666666664</v>
      </c>
      <c r="BC10" s="24">
        <f>IF(AN10="",0,VLOOKUP(AN10,[1]BD_CUSTO!I:J,2,0)*AO10/E10)</f>
        <v>855.25624999999991</v>
      </c>
      <c r="BD10" s="24">
        <f>IF(AP10="",0,VLOOKUP(AP10,[1]BD_CUSTO!I:J,2,0)*AQ10/E10)</f>
        <v>0</v>
      </c>
      <c r="BE10" s="24">
        <f>IF(AR10="",0,VLOOKUP(AR10,CUSTO!I:J,2,0)*AS10/E10)</f>
        <v>0</v>
      </c>
      <c r="BF10" s="24">
        <f>IF(AT10="",0,VLOOKUP(AT10,[1]BD_CUSTO!I:J,2,0)*AU10/E10)</f>
        <v>0</v>
      </c>
      <c r="BG10" s="24">
        <f>IF(Tabela13[[#This Row],[LZ 10]]="",0,VLOOKUP(Tabela13[[#This Row],[LZ 10]],[1]BD_CUSTO!I:J,2,0)*Tabela13[[#This Row],[QTD922]]/E10)</f>
        <v>0</v>
      </c>
      <c r="BH10" s="22" t="s">
        <v>122</v>
      </c>
      <c r="BI10" s="25">
        <v>0</v>
      </c>
      <c r="BJ10" s="22" t="s">
        <v>113</v>
      </c>
      <c r="BK10" s="25">
        <v>0</v>
      </c>
      <c r="BL10" s="24">
        <f>IF(BH10=[1]BD_CUSTO!$M$6,[1]BD_CUSTO!$N$6)*BI10</f>
        <v>0</v>
      </c>
      <c r="BM10" s="24">
        <f>IF(BJ10=[1]BD_CUSTO!$M$4,[1]BD_CUSTO!$N$4,[1]BD_CUSTO!$N$5)*BK10</f>
        <v>0</v>
      </c>
      <c r="BN10" s="22" t="s">
        <v>114</v>
      </c>
      <c r="BO10" s="22">
        <v>251</v>
      </c>
      <c r="BP10" s="25">
        <f>Tabela13[[#This Row],[QTD ]]/Tabela13[[#This Row],[Nº UNDS]]</f>
        <v>0.87152777777777779</v>
      </c>
      <c r="BQ10" s="22" t="s">
        <v>123</v>
      </c>
      <c r="BR10" s="22">
        <v>23</v>
      </c>
      <c r="BS10" s="22" t="s">
        <v>116</v>
      </c>
      <c r="BT10" s="22">
        <v>0</v>
      </c>
      <c r="BU10" s="22" t="s">
        <v>16</v>
      </c>
      <c r="BV10" s="22">
        <v>0</v>
      </c>
      <c r="BW10" s="24">
        <f>IF(BN10=[1]BD_CUSTO!$Q$7,[1]BD_CUSTO!$R$7,[1]BD_CUSTO!$R$8)*BO10/E10</f>
        <v>1743.0555555555557</v>
      </c>
      <c r="BX10" s="24">
        <f>IF(BQ10=[1]BD_CUSTO!$Q$4,[1]BD_CUSTO!$R$4,[1]BD_CUSTO!$R$5)*BR10/E10</f>
        <v>79.861111111111114</v>
      </c>
      <c r="BY10" s="22">
        <f>IF(BS10=[1]BD_CUSTO!$Q$13,[1]BD_CUSTO!$R$13,[1]BD_CUSTO!$R$14)*BT10/E10</f>
        <v>0</v>
      </c>
      <c r="BZ10" s="24">
        <f>BV10*CUSTO!$R$10/E10</f>
        <v>0</v>
      </c>
      <c r="CA10" s="26">
        <f>SUM(Tabela13[[#This Row],[SOMA_PISO SALA E QUARTO]],Tabela13[[#This Row],[SOMA_PAREDE HIDR]],Tabela13[[#This Row],[SOMA_TETO]],Tabela13[[#This Row],[SOMA_BANCADA]],Tabela13[[#This Row],[SOMA_PEDRAS]])</f>
        <v>2090</v>
      </c>
      <c r="CB10" s="27" t="str">
        <f>IF(CA10&lt;=RÉGUAS!$D$4,"ACAB 01",IF(CA10&lt;=RÉGUAS!$F$4,"ACAB 02",IF(CA10&gt;RÉGUAS!$F$4,"ACAB 03",)))</f>
        <v>ACAB 01</v>
      </c>
      <c r="CC10" s="26">
        <f>SUM(Tabela13[[#This Row],[SOMA_LZ 01]:[SOMA_LZ 10]])</f>
        <v>1791.949861111111</v>
      </c>
      <c r="CD10" s="22" t="str">
        <f>IF(CC10&lt;=RÉGUAS!$D$13,"LZ 01",IF(CC10&lt;=RÉGUAS!$F$13,"LZ 02",IF(CC10&lt;=RÉGUAS!$H$13,"LZ 03",IF(CC10&gt;RÉGUAS!$H$13,"LZ 04",))))</f>
        <v>LZ 03</v>
      </c>
      <c r="CE10" s="28">
        <f t="shared" si="1"/>
        <v>0</v>
      </c>
      <c r="CF10" s="22" t="str">
        <f>IF(CE10&lt;=RÉGUAS!$D$22,"TIP 01",IF(CE10&lt;=RÉGUAS!$F$22,"TIP 02",IF(CE10&gt;RÉGUAS!$F$22,"TIP 03",)))</f>
        <v>TIP 01</v>
      </c>
      <c r="CG10" s="28">
        <f t="shared" si="2"/>
        <v>1822.9166666666667</v>
      </c>
      <c r="CH10" s="22" t="str">
        <f>IF(CG10&lt;=RÉGUAS!$D$32,"VAGA 01",IF(CG10&lt;=RÉGUAS!$F$32,"VAGA 02",IF(CG10&gt;RÉGUAS!$F$32,"VAGA 03",)))</f>
        <v>VAGA 02</v>
      </c>
      <c r="CI10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10" s="85" t="str">
        <f>IF(AND(G10="BLOCO",CI10&lt;=RÉGUAS!$D$40),"ELEV 01",IF(AND(G10="BLOCO",CI10&gt;RÉGUAS!$D$40),"ELEV 02",IF(AND(G10="TORRE",CI10&lt;=RÉGUAS!$K$40),"ELEV 01",IF(AND(G10="TORRE",CI10&lt;=RÉGUAS!$M$40),"ELEV 02",IF(AND(G10="TORRE",CI10&gt;RÉGUAS!$M$40),"ELEV 03",)))))</f>
        <v>ELEV 01</v>
      </c>
      <c r="CK10" s="85">
        <f>SUM(Tabela13[[#This Row],[TOTAL  ACAB]],Tabela13[[#This Row],[TOTAL LAZER ]],Tabela13[[#This Row],[TOTAL TIPOLOGIA]],Tabela13[[#This Row],[TOTAL VAGA]],Tabela13[[#This Row],[TOTAL ELEVADOR]])</f>
        <v>5704.8665277777782</v>
      </c>
      <c r="CL10" s="72" t="str">
        <f>IF(AND(G10="BLOCO",CK10&lt;=RÉGUAS!$D$50),"ESSENCIAL",IF(AND(G10="BLOCO",CK10&lt;=RÉGUAS!$F$50),"ECO",IF(AND(G10="BLOCO",CK10&gt;RÉGUAS!$F$50),"BIO",IF(AND(G10="TORRE",CK10&lt;=RÉGUAS!$K$50),"ESSENCIAL",IF(AND(G10="TORRE",CK10&lt;=RÉGUAS!$M$50),"ECO",IF(AND(G10="TORRE",CK10&gt;RÉGUAS!$M$50),"BIO",))))))</f>
        <v>ESSENCIAL</v>
      </c>
      <c r="CM10" s="28" t="str">
        <f>IF(AND(G10="BLOCO",CK10&gt;=RÉGUAS!$D$51,CK10&lt;=RÉGUAS!$D$50),"ESSENCIAL-10%",IF(AND(G10="BLOCO",CK10&gt;RÉGUAS!$D$50,CK10&lt;=RÉGUAS!$E$51),"ECO+10%",IF(AND(G10="BLOCO",CK10&gt;=RÉGUAS!$F$51,CK10&lt;=RÉGUAS!$F$50),"ECO-10%",IF(AND(G10="BLOCO",CK10&gt;RÉGUAS!$F$50,CK10&lt;=RÉGUAS!$G$51),"BIO+10%",IF(AND(G10="TORRE",CK10&gt;=RÉGUAS!$K$51,CK10&lt;=RÉGUAS!$K$50),"ESSENCIAL-10%",IF(AND(G10="TORRE",CK10&gt;RÉGUAS!$K$50,CK10&lt;=RÉGUAS!$L$51),"ECO+10%",IF(AND(G10="TORRE",CK10&gt;=RÉGUAS!$M$51,CK10&lt;=RÉGUAS!$M$50),"ECO-10%",IF(AND(G10="TORRE",CK10&gt;RÉGUAS!$M$50,CK10&lt;=RÉGUAS!$N$51),"BIO+10%","-"))))))))</f>
        <v>-</v>
      </c>
      <c r="CN10" s="73">
        <f t="shared" si="3"/>
        <v>5704.8665277777782</v>
      </c>
      <c r="CO10" s="72" t="str">
        <f>IF(CN10&lt;=RÉGUAS!$D$58,"ESSENCIAL",IF(CN10&lt;=RÉGUAS!$F$58,"ECO",IF(CN10&gt;RÉGUAS!$F$58,"BIO",)))</f>
        <v>ESSENCIAL</v>
      </c>
      <c r="CP10" s="72" t="str">
        <f>IF(Tabela13[[#This Row],[INTERVALO DE INTERSEÇÃO 5D]]="-",Tabela13[[#This Row],[CLASSIFICAÇÃO 
5D ]],Tabela13[[#This Row],[CLASSIFICAÇÃO 
4D]])</f>
        <v>ESSENCIAL</v>
      </c>
      <c r="CQ10" s="72" t="str">
        <f t="shared" si="4"/>
        <v>-</v>
      </c>
      <c r="CR10" s="72" t="str">
        <f t="shared" si="5"/>
        <v>ESSENCIAL</v>
      </c>
      <c r="CS10" s="22" t="str">
        <f>IF(Tabela13[[#This Row],[PRODUTO ATUAL ]]=Tabela13[[#This Row],[CLASSIFICAÇÃO FINAL 5D]],"ADERÊNTE","NÃO ADERÊNTE")</f>
        <v>ADERÊNTE</v>
      </c>
      <c r="CT10" s="24">
        <f>SUM(Tabela13[[#This Row],[TOTAL  ACAB]],Tabela13[[#This Row],[TOTAL LAZER ]],Tabela13[[#This Row],[TOTAL TIPOLOGIA]],Tabela13[[#This Row],[TOTAL VAGA]])</f>
        <v>5704.8665277777782</v>
      </c>
      <c r="CU10" s="22" t="str">
        <f>IF(CT10&lt;=RÉGUAS!$D$58,"ESSENCIAL",IF(CT10&lt;=RÉGUAS!$F$58,"ECO",IF(CT10&gt;RÉGUAS!$F$58,"BIO",)))</f>
        <v>ESSENCIAL</v>
      </c>
      <c r="CV10" s="22" t="str">
        <f>IF(AND(CT10&gt;=RÉGUAS!$D$59,CT10&lt;=RÉGUAS!$E$59),"ESSENCIAL/ECO",IF(AND(CT10&gt;=RÉGUAS!$F$59,CT10&lt;=RÉGUAS!$G$59),"ECO/BIO","-"))</f>
        <v>-</v>
      </c>
      <c r="CW10" s="85">
        <f>SUM(Tabela13[[#This Row],[TOTAL LAZER ]],Tabela13[[#This Row],[TOTAL TIPOLOGIA]])</f>
        <v>1791.949861111111</v>
      </c>
      <c r="CX10" s="22" t="str">
        <f>IF(CW10&lt;=RÉGUAS!$D$72,"ESSENCIAL",IF(CW10&lt;=RÉGUAS!$F$72,"ECO",IF(CN10&gt;RÉGUAS!$F$72,"BIO",)))</f>
        <v>ESSENCIAL</v>
      </c>
      <c r="CY10" s="22" t="str">
        <f t="shared" si="6"/>
        <v>ESSENCIAL</v>
      </c>
      <c r="CZ10" s="22" t="str">
        <f>IF(Tabela13[[#This Row],[PRODUTO ATUAL ]]=CY10,"ADERENTE","NÃO ADERENTE")</f>
        <v>ADERENTE</v>
      </c>
      <c r="DA10" s="22" t="str">
        <f>IF(Tabela13[[#This Row],[PRODUTO ATUAL ]]=Tabela13[[#This Row],[CLASSIFICAÇÃO 
4D2]],"ADERENTE","NÃO ADERENTE")</f>
        <v>ADERENTE</v>
      </c>
    </row>
    <row r="11" spans="2:105" x14ac:dyDescent="0.35">
      <c r="B11" s="27">
        <v>49</v>
      </c>
      <c r="C11" s="22" t="s">
        <v>188</v>
      </c>
      <c r="D11" s="76" t="s">
        <v>147</v>
      </c>
      <c r="E11" s="128">
        <v>360</v>
      </c>
      <c r="F11" s="22" t="str">
        <f t="shared" si="0"/>
        <v>De 200 a 400 und</v>
      </c>
      <c r="G11" s="76" t="s">
        <v>1</v>
      </c>
      <c r="H11" s="129">
        <v>18</v>
      </c>
      <c r="I11" s="129">
        <v>5</v>
      </c>
      <c r="J11" s="129"/>
      <c r="K11" s="129"/>
      <c r="L11" s="129">
        <f>SUM(Tabela13[[#This Row],[QTD DE B/T 2]],Tabela13[[#This Row],[QTD DE B/T]])</f>
        <v>18</v>
      </c>
      <c r="M11" s="76">
        <v>18</v>
      </c>
      <c r="N11" s="22">
        <f>Tabela13[[#This Row],[ELEVADOR]]/Tabela13[[#This Row],[BLOCO TOTAL]]</f>
        <v>1</v>
      </c>
      <c r="O11" s="76" t="s">
        <v>6</v>
      </c>
      <c r="P11" s="76" t="s">
        <v>119</v>
      </c>
      <c r="Q11" s="76" t="s">
        <v>101</v>
      </c>
      <c r="R11" s="76" t="s">
        <v>102</v>
      </c>
      <c r="S11" s="76" t="s">
        <v>103</v>
      </c>
      <c r="T11" s="76" t="s">
        <v>104</v>
      </c>
      <c r="U11" s="76" t="s">
        <v>105</v>
      </c>
      <c r="V11" s="76" t="s">
        <v>106</v>
      </c>
      <c r="W11" s="24">
        <f>IF(P11=[1]BD_CUSTO!$E$4,[1]BD_CUSTO!$F$4,[1]BD_CUSTO!$F$5)</f>
        <v>530</v>
      </c>
      <c r="X11" s="24">
        <f>IF(Q11=[1]BD_CUSTO!$E$6,[1]BD_CUSTO!$F$6,[1]BD_CUSTO!$F$7)</f>
        <v>260</v>
      </c>
      <c r="Y11" s="24">
        <f>IF(R11=[1]BD_CUSTO!$E$8,[1]BD_CUSTO!$F$8,[1]BD_CUSTO!$F$9)</f>
        <v>600</v>
      </c>
      <c r="Z11" s="24">
        <f>IF(S11=[1]BD_CUSTO!$E$10,[1]BD_CUSTO!$F$10,[1]BD_CUSTO!$F$11)</f>
        <v>500</v>
      </c>
      <c r="AA11" s="24">
        <f>IF(T11=[1]BD_CUSTO!$E$12,[1]BD_CUSTO!$F$12,[1]BD_CUSTO!$F$13)</f>
        <v>370</v>
      </c>
      <c r="AB11" s="24">
        <f>IF(U11=[1]BD_CUSTO!$E$14,[1]BD_CUSTO!$F$14,[1]BD_CUSTO!$F$15)</f>
        <v>90</v>
      </c>
      <c r="AC11" s="24">
        <f>IF(V11=[1]BD_CUSTO!$E$16,[1]BD_CUSTO!$F$16,[1]BD_CUSTO!$F$17)</f>
        <v>720</v>
      </c>
      <c r="AD11" s="76" t="s">
        <v>110</v>
      </c>
      <c r="AE11" s="76">
        <v>1</v>
      </c>
      <c r="AF11" s="76" t="s">
        <v>107</v>
      </c>
      <c r="AG11" s="76">
        <v>2</v>
      </c>
      <c r="AH11" s="76" t="s">
        <v>109</v>
      </c>
      <c r="AI11" s="76">
        <v>1</v>
      </c>
      <c r="AJ11" s="76" t="s">
        <v>129</v>
      </c>
      <c r="AK11" s="76">
        <v>1</v>
      </c>
      <c r="AL11" s="76" t="s">
        <v>108</v>
      </c>
      <c r="AM11" s="76">
        <v>1</v>
      </c>
      <c r="AN11" s="76"/>
      <c r="AO11" s="76"/>
      <c r="AP11" s="22"/>
      <c r="AQ11" s="22"/>
      <c r="AR11" s="22"/>
      <c r="AS11" s="22"/>
      <c r="AT11" s="22"/>
      <c r="AU11" s="22"/>
      <c r="AV11" s="22"/>
      <c r="AW11" s="22"/>
      <c r="AX11" s="24">
        <f>IF(AD11="",0,VLOOKUP(AD11,[1]BD_CUSTO!I:J,2,0)*AE11/E11)</f>
        <v>14.722222222222221</v>
      </c>
      <c r="AY11" s="24">
        <f>IF(AF11="",0,VLOOKUP(AF11,[1]BD_CUSTO!I:J,2,0)*AG11/E11)</f>
        <v>473.05066666666664</v>
      </c>
      <c r="AZ11" s="24">
        <f>IF(AH11="",0,VLOOKUP(AH11,[1]BD_CUSTO!I:J,2,0)*AI11/E11)</f>
        <v>19.305555555555557</v>
      </c>
      <c r="BA11" s="24">
        <f>IF(AJ11="",0,VLOOKUP(AJ11,[1]BD_CUSTO!I:J,2,0)*AK11/E11)</f>
        <v>764.35438888888893</v>
      </c>
      <c r="BB11" s="24">
        <f>IF(AL11="",0,VLOOKUP(AL11,[1]BD_CUSTO!I:J,2,0)*AM11/E11)</f>
        <v>64.305555555555557</v>
      </c>
      <c r="BC11" s="24">
        <f>IF(AN11="",0,VLOOKUP(AN11,[1]BD_CUSTO!I:J,2,0)*AO11/E11)</f>
        <v>0</v>
      </c>
      <c r="BD11" s="24">
        <f>IF(AP11="",0,VLOOKUP(AP11,[1]BD_CUSTO!I:J,2,0)*AQ11/E11)</f>
        <v>0</v>
      </c>
      <c r="BE11" s="24">
        <f>IF(AR11="",0,VLOOKUP(AR11,CUSTO!I:J,2,0)*AS11/E11)</f>
        <v>0</v>
      </c>
      <c r="BF11" s="24">
        <f>IF(AT11="",0,VLOOKUP(AT11,[1]BD_CUSTO!I:J,2,0)*AU11/E11)</f>
        <v>0</v>
      </c>
      <c r="BG11" s="24">
        <f>IF(Tabela13[[#This Row],[LZ 10]]="",0,VLOOKUP(Tabela13[[#This Row],[LZ 10]],[1]BD_CUSTO!I:J,2,0)*Tabela13[[#This Row],[QTD922]]/E11)</f>
        <v>0</v>
      </c>
      <c r="BH11" s="76" t="s">
        <v>112</v>
      </c>
      <c r="BI11" s="127">
        <v>0.34</v>
      </c>
      <c r="BJ11" s="76" t="s">
        <v>113</v>
      </c>
      <c r="BK11" s="127">
        <v>0</v>
      </c>
      <c r="BL11" s="24">
        <f>IF(BH11=[1]BD_CUSTO!$M$6,[1]BD_CUSTO!$N$6)*BI11</f>
        <v>1020.0000000000001</v>
      </c>
      <c r="BM11" s="24">
        <f>IF(BJ11=[1]BD_CUSTO!$M$4,[1]BD_CUSTO!$N$4,[1]BD_CUSTO!$N$5)*BK11</f>
        <v>0</v>
      </c>
      <c r="BN11" s="76" t="s">
        <v>114</v>
      </c>
      <c r="BO11" s="76">
        <f>331+18+18</f>
        <v>367</v>
      </c>
      <c r="BP11" s="25">
        <f>Tabela13[[#This Row],[QTD ]]/Tabela13[[#This Row],[Nº UNDS]]</f>
        <v>1.0194444444444444</v>
      </c>
      <c r="BQ11" s="76" t="s">
        <v>123</v>
      </c>
      <c r="BR11" s="76">
        <v>36</v>
      </c>
      <c r="BS11" s="76" t="s">
        <v>116</v>
      </c>
      <c r="BT11" s="76">
        <v>0</v>
      </c>
      <c r="BU11" s="76" t="s">
        <v>16</v>
      </c>
      <c r="BV11" s="76">
        <v>0</v>
      </c>
      <c r="BW11" s="24">
        <f>IF(BN11=[1]BD_CUSTO!$Q$7,[1]BD_CUSTO!$R$7,[1]BD_CUSTO!$R$8)*BO11/E11</f>
        <v>2038.8888888888889</v>
      </c>
      <c r="BX11" s="24">
        <f>IF(BQ11=[1]BD_CUSTO!$Q$4,[1]BD_CUSTO!$R$4,[1]BD_CUSTO!$R$5)*BR11/E11</f>
        <v>100</v>
      </c>
      <c r="BY11" s="22">
        <f>IF(BS11=[1]BD_CUSTO!$Q$13,[1]BD_CUSTO!$R$13,[1]BD_CUSTO!$R$14)*BT11/E11</f>
        <v>0</v>
      </c>
      <c r="BZ11" s="24">
        <f>BV11*CUSTO!$R$10/E11</f>
        <v>0</v>
      </c>
      <c r="CA11" s="26">
        <f>SUM(Tabela13[[#This Row],[SOMA_PISO SALA E QUARTO]],Tabela13[[#This Row],[SOMA_PAREDE HIDR]],Tabela13[[#This Row],[SOMA_TETO]],Tabela13[[#This Row],[SOMA_BANCADA]],Tabela13[[#This Row],[SOMA_PEDRAS]])</f>
        <v>2090</v>
      </c>
      <c r="CB11" s="27" t="str">
        <f>IF(CA11&lt;=RÉGUAS!$D$4,"ACAB 01",IF(CA11&lt;=RÉGUAS!$F$4,"ACAB 02",IF(CA11&gt;RÉGUAS!$F$4,"ACAB 03",)))</f>
        <v>ACAB 01</v>
      </c>
      <c r="CC11" s="26">
        <f>SUM(Tabela13[[#This Row],[SOMA_LZ 01]:[SOMA_LZ 10]])</f>
        <v>1335.7383888888889</v>
      </c>
      <c r="CD11" s="22" t="str">
        <f>IF(CC11&lt;=RÉGUAS!$D$13,"LZ 01",IF(CC11&lt;=RÉGUAS!$F$13,"LZ 02",IF(CC11&lt;=RÉGUAS!$H$13,"LZ 03",IF(CC11&gt;RÉGUAS!$H$13,"LZ 04",))))</f>
        <v>LZ 02</v>
      </c>
      <c r="CE11" s="28">
        <f t="shared" si="1"/>
        <v>1020.0000000000001</v>
      </c>
      <c r="CF11" s="22" t="str">
        <f>IF(CE11&lt;=RÉGUAS!$D$22,"TIP 01",IF(CE11&lt;=RÉGUAS!$F$22,"TIP 02",IF(CE11&gt;RÉGUAS!$F$22,"TIP 03",)))</f>
        <v>TIP 01</v>
      </c>
      <c r="CG11" s="28">
        <f t="shared" si="2"/>
        <v>2138.8888888888887</v>
      </c>
      <c r="CH11" s="22" t="str">
        <f>IF(CG11&lt;=RÉGUAS!$D$32,"VAGA 01",IF(CG11&lt;=RÉGUAS!$F$32,"VAGA 02",IF(CG11&gt;RÉGUAS!$F$32,"VAGA 03",)))</f>
        <v>VAGA 02</v>
      </c>
      <c r="CI11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7507</v>
      </c>
      <c r="CJ11" s="85" t="str">
        <f>IF(AND(G11="BLOCO",CI11&lt;=RÉGUAS!$D$40),"ELEV 01",IF(AND(G11="BLOCO",CI11&gt;RÉGUAS!$D$40),"ELEV 02",IF(AND(G11="TORRE",CI11&lt;=RÉGUAS!$K$40),"ELEV 01",IF(AND(G11="TORRE",CI11&lt;=RÉGUAS!$M$40),"ELEV 02",IF(AND(G11="TORRE",CI11&gt;RÉGUAS!$M$40),"ELEV 03",)))))</f>
        <v>ELEV 02</v>
      </c>
      <c r="CK11" s="85">
        <f>SUM(Tabela13[[#This Row],[TOTAL  ACAB]],Tabela13[[#This Row],[TOTAL LAZER ]],Tabela13[[#This Row],[TOTAL TIPOLOGIA]],Tabela13[[#This Row],[TOTAL VAGA]],Tabela13[[#This Row],[TOTAL ELEVADOR]])</f>
        <v>14091.627277777778</v>
      </c>
      <c r="CL11" s="72" t="str">
        <f>IF(AND(G11="BLOCO",CK11&lt;=RÉGUAS!$D$50),"ESSENCIAL",IF(AND(G11="BLOCO",CK11&lt;=RÉGUAS!$F$50),"ECO",IF(AND(G11="BLOCO",CK11&gt;RÉGUAS!$F$50),"BIO",IF(AND(G11="TORRE",CK11&lt;=RÉGUAS!$K$50),"ESSENCIAL",IF(AND(G11="TORRE",CK11&lt;=RÉGUAS!$M$50),"ECO",IF(AND(G11="TORRE",CK11&gt;RÉGUAS!$M$50),"BIO",))))))</f>
        <v>BIO</v>
      </c>
      <c r="CM11" s="28" t="str">
        <f>IF(AND(G11="BLOCO",CK11&gt;=RÉGUAS!$D$51,CK11&lt;=RÉGUAS!$D$50),"ESSENCIAL-10%",IF(AND(G11="BLOCO",CK11&gt;RÉGUAS!$D$50,CK11&lt;=RÉGUAS!$E$51),"ECO+10%",IF(AND(G11="BLOCO",CK11&gt;=RÉGUAS!$F$51,CK11&lt;=RÉGUAS!$F$50),"ECO-10%",IF(AND(G11="BLOCO",CK11&gt;RÉGUAS!$F$50,CK11&lt;=RÉGUAS!$G$51),"BIO+10%",IF(AND(G11="TORRE",CK11&gt;=RÉGUAS!$K$51,CK11&lt;=RÉGUAS!$K$50),"ESSENCIAL-10%",IF(AND(G11="TORRE",CK11&gt;RÉGUAS!$K$50,CK11&lt;=RÉGUAS!$L$51),"ECO+10%",IF(AND(G11="TORRE",CK11&gt;=RÉGUAS!$M$51,CK11&lt;=RÉGUAS!$M$50),"ECO-10%",IF(AND(G11="TORRE",CK11&gt;RÉGUAS!$M$50,CK11&lt;=RÉGUAS!$N$51),"BIO+10%","-"))))))))</f>
        <v>-</v>
      </c>
      <c r="CN11" s="73">
        <f t="shared" si="3"/>
        <v>6584.6272777777776</v>
      </c>
      <c r="CO11" s="72" t="str">
        <f>IF(CN11&lt;=RÉGUAS!$D$58,"ESSENCIAL",IF(CN11&lt;=RÉGUAS!$F$58,"ECO",IF(CN11&gt;RÉGUAS!$F$58,"BIO",)))</f>
        <v>ESSENCIAL</v>
      </c>
      <c r="CP11" s="72" t="str">
        <f>IF(Tabela13[[#This Row],[INTERVALO DE INTERSEÇÃO 5D]]="-",Tabela13[[#This Row],[CLASSIFICAÇÃO 
5D ]],Tabela13[[#This Row],[CLASSIFICAÇÃO 
4D]])</f>
        <v>BIO</v>
      </c>
      <c r="CQ11" s="72" t="str">
        <f t="shared" si="4"/>
        <v>OPOSTO</v>
      </c>
      <c r="CR11" s="72" t="str">
        <f t="shared" si="5"/>
        <v>ECO</v>
      </c>
      <c r="CS11" s="22" t="str">
        <f>IF(Tabela13[[#This Row],[PRODUTO ATUAL ]]=Tabela13[[#This Row],[CLASSIFICAÇÃO FINAL 5D]],"ADERÊNTE","NÃO ADERÊNTE")</f>
        <v>NÃO ADERÊNTE</v>
      </c>
      <c r="CT11" s="24">
        <f>SUM(Tabela13[[#This Row],[TOTAL  ACAB]],Tabela13[[#This Row],[TOTAL LAZER ]],Tabela13[[#This Row],[TOTAL TIPOLOGIA]],Tabela13[[#This Row],[TOTAL VAGA]])</f>
        <v>6584.6272777777776</v>
      </c>
      <c r="CU11" s="22" t="str">
        <f>IF(CT11&lt;=RÉGUAS!$D$58,"ESSENCIAL",IF(CT11&lt;=RÉGUAS!$F$58,"ECO",IF(CT11&gt;RÉGUAS!$F$58,"BIO",)))</f>
        <v>ESSENCIAL</v>
      </c>
      <c r="CV11" s="22" t="str">
        <f>IF(AND(CT11&gt;=RÉGUAS!$D$59,CT11&lt;=RÉGUAS!$E$59),"ESSENCIAL/ECO",IF(AND(CT11&gt;=RÉGUAS!$F$59,CT11&lt;=RÉGUAS!$G$59),"ECO/BIO","-"))</f>
        <v>ESSENCIAL/ECO</v>
      </c>
      <c r="CW11" s="85">
        <f>SUM(Tabela13[[#This Row],[TOTAL LAZER ]],Tabela13[[#This Row],[TOTAL TIPOLOGIA]])</f>
        <v>2355.7383888888889</v>
      </c>
      <c r="CX11" s="22" t="str">
        <f>IF(CW11&lt;=RÉGUAS!$D$72,"ESSENCIAL",IF(CW11&lt;=RÉGUAS!$F$72,"ECO",IF(CN11&gt;RÉGUAS!$F$72,"BIO",)))</f>
        <v>ECO</v>
      </c>
      <c r="CY11" s="22" t="str">
        <f t="shared" si="6"/>
        <v>ECO</v>
      </c>
      <c r="CZ11" s="22" t="str">
        <f>IF(Tabela13[[#This Row],[PRODUTO ATUAL ]]=CY11,"ADERENTE","NÃO ADERENTE")</f>
        <v>NÃO ADERENTE</v>
      </c>
      <c r="DA11" s="22" t="str">
        <f>IF(Tabela13[[#This Row],[PRODUTO ATUAL ]]=Tabela13[[#This Row],[CLASSIFICAÇÃO 
4D2]],"ADERENTE","NÃO ADERENTE")</f>
        <v>ADERENTE</v>
      </c>
    </row>
    <row r="12" spans="2:105" hidden="1" x14ac:dyDescent="0.35">
      <c r="B12" s="27">
        <v>18</v>
      </c>
      <c r="C12" s="22" t="s">
        <v>132</v>
      </c>
      <c r="D12" s="22" t="s">
        <v>125</v>
      </c>
      <c r="E12" s="23">
        <v>180</v>
      </c>
      <c r="F12" s="22" t="str">
        <f t="shared" si="0"/>
        <v>Até 200 und</v>
      </c>
      <c r="G12" s="22" t="s">
        <v>1</v>
      </c>
      <c r="H12" s="36">
        <v>9</v>
      </c>
      <c r="I12" s="36">
        <v>5</v>
      </c>
      <c r="J12" s="36"/>
      <c r="K12" s="36"/>
      <c r="L12" s="36">
        <f>SUM(Tabela13[[#This Row],[QTD DE B/T 2]],Tabela13[[#This Row],[QTD DE B/T]])</f>
        <v>9</v>
      </c>
      <c r="M12" s="22">
        <v>0</v>
      </c>
      <c r="N12" s="22">
        <f>Tabela13[[#This Row],[ELEVADOR]]/Tabela13[[#This Row],[BLOCO TOTAL]]</f>
        <v>0</v>
      </c>
      <c r="O12" s="22" t="s">
        <v>6</v>
      </c>
      <c r="P12" s="22" t="s">
        <v>119</v>
      </c>
      <c r="Q12" s="22" t="s">
        <v>101</v>
      </c>
      <c r="R12" s="22" t="s">
        <v>102</v>
      </c>
      <c r="S12" s="22" t="s">
        <v>103</v>
      </c>
      <c r="T12" s="22" t="s">
        <v>104</v>
      </c>
      <c r="U12" s="22" t="s">
        <v>105</v>
      </c>
      <c r="V12" s="22" t="s">
        <v>106</v>
      </c>
      <c r="W12" s="24">
        <f>IF(P12=[1]BD_CUSTO!$E$4,[1]BD_CUSTO!$F$4,[1]BD_CUSTO!$F$5)</f>
        <v>530</v>
      </c>
      <c r="X12" s="24">
        <f>IF(Q12=[1]BD_CUSTO!$E$6,[1]BD_CUSTO!$F$6,[1]BD_CUSTO!$F$7)</f>
        <v>260</v>
      </c>
      <c r="Y12" s="24">
        <f>IF(R12=[1]BD_CUSTO!$E$8,[1]BD_CUSTO!$F$8,[1]BD_CUSTO!$F$9)</f>
        <v>600</v>
      </c>
      <c r="Z12" s="24">
        <f>IF(S12=[1]BD_CUSTO!$E$10,[1]BD_CUSTO!$F$10,[1]BD_CUSTO!$F$11)</f>
        <v>500</v>
      </c>
      <c r="AA12" s="24">
        <f>IF(T12=[1]BD_CUSTO!$E$12,[1]BD_CUSTO!$F$12,[1]BD_CUSTO!$F$13)</f>
        <v>370</v>
      </c>
      <c r="AB12" s="24">
        <f>IF(U12=[1]BD_CUSTO!$E$14,[1]BD_CUSTO!$F$14,[1]BD_CUSTO!$F$15)</f>
        <v>90</v>
      </c>
      <c r="AC12" s="24">
        <f>IF(V12=[1]BD_CUSTO!$E$16,[1]BD_CUSTO!$F$16,[1]BD_CUSTO!$F$17)</f>
        <v>720</v>
      </c>
      <c r="AD12" s="22" t="s">
        <v>107</v>
      </c>
      <c r="AE12" s="22">
        <v>1</v>
      </c>
      <c r="AF12" s="22" t="s">
        <v>108</v>
      </c>
      <c r="AG12" s="22">
        <v>1</v>
      </c>
      <c r="AH12" s="22" t="s">
        <v>110</v>
      </c>
      <c r="AI12" s="22">
        <v>1</v>
      </c>
      <c r="AJ12" s="22" t="s">
        <v>133</v>
      </c>
      <c r="AK12" s="22">
        <v>1</v>
      </c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4">
        <f>IF(AD12="",0,VLOOKUP(AD12,[1]BD_CUSTO!I:J,2,0)*AE12/E12)</f>
        <v>473.05066666666664</v>
      </c>
      <c r="AY12" s="24">
        <f>IF(AF12="",0,VLOOKUP(AF12,[1]BD_CUSTO!I:J,2,0)*AG12/E12)</f>
        <v>128.61111111111111</v>
      </c>
      <c r="AZ12" s="24">
        <f>IF(AH12="",0,VLOOKUP(AH12,[1]BD_CUSTO!I:J,2,0)*AI12/E12)</f>
        <v>29.444444444444443</v>
      </c>
      <c r="BA12" s="24">
        <f>IF(AJ12="",0,VLOOKUP(AJ12,[1]BD_CUSTO!I:J,2,0)*AK12/E12)</f>
        <v>38.666666666666664</v>
      </c>
      <c r="BB12" s="24">
        <f>IF(AL12="",0,VLOOKUP(AL12,[1]BD_CUSTO!I:J,2,0)*AM12/E12)</f>
        <v>0</v>
      </c>
      <c r="BC12" s="24">
        <f>IF(AN12="",0,VLOOKUP(AN12,[1]BD_CUSTO!I:J,2,0)*AO12/E12)</f>
        <v>0</v>
      </c>
      <c r="BD12" s="24">
        <f>IF(AP12="",0,VLOOKUP(AP12,[1]BD_CUSTO!I:J,2,0)*AQ12/E12)</f>
        <v>0</v>
      </c>
      <c r="BE12" s="24">
        <f>IF(AR12="",0,VLOOKUP(AR12,CUSTO!I:J,2,0)*AS12/E12)</f>
        <v>0</v>
      </c>
      <c r="BF12" s="24">
        <f>IF(AT12="",0,VLOOKUP(AT12,[1]BD_CUSTO!I:J,2,0)*AU12/E12)</f>
        <v>0</v>
      </c>
      <c r="BG12" s="24">
        <f>IF(Tabela13[[#This Row],[LZ 10]]="",0,VLOOKUP(Tabela13[[#This Row],[LZ 10]],[1]BD_CUSTO!I:J,2,0)*Tabela13[[#This Row],[QTD922]]/E12)</f>
        <v>0</v>
      </c>
      <c r="BH12" s="22" t="s">
        <v>122</v>
      </c>
      <c r="BI12" s="25">
        <v>0</v>
      </c>
      <c r="BJ12" s="22" t="s">
        <v>113</v>
      </c>
      <c r="BK12" s="25">
        <v>0</v>
      </c>
      <c r="BL12" s="24">
        <f>IF(BH12=[1]BD_CUSTO!$M$6,[1]BD_CUSTO!$N$6)*BI12</f>
        <v>0</v>
      </c>
      <c r="BM12" s="24">
        <f>IF(BJ12=[1]BD_CUSTO!$M$4,[1]BD_CUSTO!$N$4,[1]BD_CUSTO!$N$5)*BK12</f>
        <v>0</v>
      </c>
      <c r="BN12" s="22" t="s">
        <v>114</v>
      </c>
      <c r="BO12" s="22">
        <v>184</v>
      </c>
      <c r="BP12" s="25">
        <f>Tabela13[[#This Row],[QTD ]]/Tabela13[[#This Row],[Nº UNDS]]</f>
        <v>1.0222222222222221</v>
      </c>
      <c r="BQ12" s="22" t="s">
        <v>115</v>
      </c>
      <c r="BR12" s="22">
        <v>0</v>
      </c>
      <c r="BS12" s="22" t="s">
        <v>116</v>
      </c>
      <c r="BT12" s="22">
        <v>0</v>
      </c>
      <c r="BU12" s="22" t="s">
        <v>16</v>
      </c>
      <c r="BV12" s="22">
        <v>0</v>
      </c>
      <c r="BW12" s="24">
        <f>IF(BN12=[1]BD_CUSTO!$Q$7,[1]BD_CUSTO!$R$7,[1]BD_CUSTO!$R$8)*BO12/E12</f>
        <v>2044.4444444444443</v>
      </c>
      <c r="BX12" s="24">
        <f>IF(BQ12=[1]BD_CUSTO!$Q$4,[1]BD_CUSTO!$R$4,[1]BD_CUSTO!$R$5)*BR12/E12</f>
        <v>0</v>
      </c>
      <c r="BY12" s="22">
        <f>IF(BS12=[1]BD_CUSTO!$Q$13,[1]BD_CUSTO!$R$13,[1]BD_CUSTO!$R$14)*BT12/E12</f>
        <v>0</v>
      </c>
      <c r="BZ12" s="24">
        <f>BV12*CUSTO!$R$10/E12</f>
        <v>0</v>
      </c>
      <c r="CA12" s="26">
        <f>SUM(Tabela13[[#This Row],[SOMA_PISO SALA E QUARTO]],Tabela13[[#This Row],[SOMA_PAREDE HIDR]],Tabela13[[#This Row],[SOMA_TETO]],Tabela13[[#This Row],[SOMA_BANCADA]],Tabela13[[#This Row],[SOMA_PEDRAS]])</f>
        <v>2090</v>
      </c>
      <c r="CB12" s="27" t="str">
        <f>IF(CA12&lt;=RÉGUAS!$D$4,"ACAB 01",IF(CA12&lt;=RÉGUAS!$F$4,"ACAB 02",IF(CA12&gt;RÉGUAS!$F$4,"ACAB 03",)))</f>
        <v>ACAB 01</v>
      </c>
      <c r="CC12" s="26">
        <f>SUM(Tabela13[[#This Row],[SOMA_LZ 01]:[SOMA_LZ 10]])</f>
        <v>669.77288888888882</v>
      </c>
      <c r="CD12" s="22" t="str">
        <f>IF(CC12&lt;=RÉGUAS!$D$13,"LZ 01",IF(CC12&lt;=RÉGUAS!$F$13,"LZ 02",IF(CC12&lt;=RÉGUAS!$H$13,"LZ 03",IF(CC12&gt;RÉGUAS!$H$13,"LZ 04",))))</f>
        <v>LZ 01</v>
      </c>
      <c r="CE12" s="28">
        <f t="shared" si="1"/>
        <v>0</v>
      </c>
      <c r="CF12" s="22" t="str">
        <f>IF(CE12&lt;=RÉGUAS!$D$22,"TIP 01",IF(CE12&lt;=RÉGUAS!$F$22,"TIP 02",IF(CE12&gt;RÉGUAS!$F$22,"TIP 03",)))</f>
        <v>TIP 01</v>
      </c>
      <c r="CG12" s="28">
        <f t="shared" si="2"/>
        <v>2044.4444444444443</v>
      </c>
      <c r="CH12" s="22" t="str">
        <f>IF(CG12&lt;=RÉGUAS!$D$32,"VAGA 01",IF(CG12&lt;=RÉGUAS!$F$32,"VAGA 02",IF(CG12&gt;RÉGUAS!$F$32,"VAGA 03",)))</f>
        <v>VAGA 02</v>
      </c>
      <c r="CI12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12" s="85" t="str">
        <f>IF(AND(G12="BLOCO",CI12&lt;=RÉGUAS!$D$40),"ELEV 01",IF(AND(G12="BLOCO",CI12&gt;RÉGUAS!$D$40),"ELEV 02",IF(AND(G12="TORRE",CI12&lt;=RÉGUAS!$K$40),"ELEV 01",IF(AND(G12="TORRE",CI12&lt;=RÉGUAS!$M$40),"ELEV 02",IF(AND(G12="TORRE",CI12&gt;RÉGUAS!$M$40),"ELEV 03",)))))</f>
        <v>ELEV 01</v>
      </c>
      <c r="CK12" s="85">
        <f>SUM(Tabela13[[#This Row],[TOTAL  ACAB]],Tabela13[[#This Row],[TOTAL LAZER ]],Tabela13[[#This Row],[TOTAL TIPOLOGIA]],Tabela13[[#This Row],[TOTAL VAGA]],Tabela13[[#This Row],[TOTAL ELEVADOR]])</f>
        <v>4804.217333333333</v>
      </c>
      <c r="CL12" s="72" t="str">
        <f>IF(AND(G12="BLOCO",CK12&lt;=RÉGUAS!$D$50),"ESSENCIAL",IF(AND(G12="BLOCO",CK12&lt;=RÉGUAS!$F$50),"ECO",IF(AND(G12="BLOCO",CK12&gt;RÉGUAS!$F$50),"BIO",IF(AND(G12="TORRE",CK12&lt;=RÉGUAS!$K$50),"ESSENCIAL",IF(AND(G12="TORRE",CK12&lt;=RÉGUAS!$M$50),"ECO",IF(AND(G12="TORRE",CK12&gt;RÉGUAS!$M$50),"BIO",))))))</f>
        <v>ESSENCIAL</v>
      </c>
      <c r="CM12" s="28" t="str">
        <f>IF(AND(G12="BLOCO",CK12&gt;=RÉGUAS!$D$51,CK12&lt;=RÉGUAS!$D$50),"ESSENCIAL-10%",IF(AND(G12="BLOCO",CK12&gt;RÉGUAS!$D$50,CK12&lt;=RÉGUAS!$E$51),"ECO+10%",IF(AND(G12="BLOCO",CK12&gt;=RÉGUAS!$F$51,CK12&lt;=RÉGUAS!$F$50),"ECO-10%",IF(AND(G12="BLOCO",CK12&gt;RÉGUAS!$F$50,CK12&lt;=RÉGUAS!$G$51),"BIO+10%",IF(AND(G12="TORRE",CK12&gt;=RÉGUAS!$K$51,CK12&lt;=RÉGUAS!$K$50),"ESSENCIAL-10%",IF(AND(G12="TORRE",CK12&gt;RÉGUAS!$K$50,CK12&lt;=RÉGUAS!$L$51),"ECO+10%",IF(AND(G12="TORRE",CK12&gt;=RÉGUAS!$M$51,CK12&lt;=RÉGUAS!$M$50),"ECO-10%",IF(AND(G12="TORRE",CK12&gt;RÉGUAS!$M$50,CK12&lt;=RÉGUAS!$N$51),"BIO+10%","-"))))))))</f>
        <v>-</v>
      </c>
      <c r="CN12" s="73">
        <f t="shared" si="3"/>
        <v>4804.217333333333</v>
      </c>
      <c r="CO12" s="72" t="str">
        <f>IF(CN12&lt;=RÉGUAS!$D$58,"ESSENCIAL",IF(CN12&lt;=RÉGUAS!$F$58,"ECO",IF(CN12&gt;RÉGUAS!$F$58,"BIO",)))</f>
        <v>ESSENCIAL</v>
      </c>
      <c r="CP12" s="72" t="str">
        <f>IF(Tabela13[[#This Row],[INTERVALO DE INTERSEÇÃO 5D]]="-",Tabela13[[#This Row],[CLASSIFICAÇÃO 
5D ]],Tabela13[[#This Row],[CLASSIFICAÇÃO 
4D]])</f>
        <v>ESSENCIAL</v>
      </c>
      <c r="CQ12" s="72" t="str">
        <f t="shared" si="4"/>
        <v>-</v>
      </c>
      <c r="CR12" s="72" t="str">
        <f t="shared" si="5"/>
        <v>ESSENCIAL</v>
      </c>
      <c r="CS12" s="22" t="str">
        <f>IF(Tabela13[[#This Row],[PRODUTO ATUAL ]]=Tabela13[[#This Row],[CLASSIFICAÇÃO FINAL 5D]],"ADERÊNTE","NÃO ADERÊNTE")</f>
        <v>ADERÊNTE</v>
      </c>
      <c r="CT12" s="24">
        <f>SUM(Tabela13[[#This Row],[TOTAL  ACAB]],Tabela13[[#This Row],[TOTAL LAZER ]],Tabela13[[#This Row],[TOTAL TIPOLOGIA]],Tabela13[[#This Row],[TOTAL VAGA]])</f>
        <v>4804.217333333333</v>
      </c>
      <c r="CU12" s="22" t="str">
        <f>IF(CT12&lt;=RÉGUAS!$D$58,"ESSENCIAL",IF(CT12&lt;=RÉGUAS!$F$58,"ECO",IF(CT12&gt;RÉGUAS!$F$58,"BIO",)))</f>
        <v>ESSENCIAL</v>
      </c>
      <c r="CV12" s="22" t="str">
        <f>IF(AND(CT12&gt;=RÉGUAS!$D$59,CT12&lt;=RÉGUAS!$E$59),"ESSENCIAL/ECO",IF(AND(CT12&gt;=RÉGUAS!$F$59,CT12&lt;=RÉGUAS!$G$59),"ECO/BIO","-"))</f>
        <v>-</v>
      </c>
      <c r="CW12" s="85">
        <f>SUM(Tabela13[[#This Row],[TOTAL LAZER ]],Tabela13[[#This Row],[TOTAL TIPOLOGIA]])</f>
        <v>669.77288888888882</v>
      </c>
      <c r="CX12" s="22" t="str">
        <f>IF(CW12&lt;=RÉGUAS!$D$72,"ESSENCIAL",IF(CW12&lt;=RÉGUAS!$F$72,"ECO",IF(CN12&gt;RÉGUAS!$F$72,"BIO",)))</f>
        <v>ESSENCIAL</v>
      </c>
      <c r="CY12" s="22" t="str">
        <f t="shared" si="6"/>
        <v>ESSENCIAL</v>
      </c>
      <c r="CZ12" s="22" t="str">
        <f>IF(Tabela13[[#This Row],[PRODUTO ATUAL ]]=CY12,"ADERENTE","NÃO ADERENTE")</f>
        <v>ADERENTE</v>
      </c>
      <c r="DA12" s="22" t="str">
        <f>IF(Tabela13[[#This Row],[PRODUTO ATUAL ]]=Tabela13[[#This Row],[CLASSIFICAÇÃO 
4D2]],"ADERENTE","NÃO ADERENTE")</f>
        <v>ADERENTE</v>
      </c>
    </row>
    <row r="13" spans="2:105" x14ac:dyDescent="0.35">
      <c r="B13" s="27">
        <v>13</v>
      </c>
      <c r="C13" s="22" t="s">
        <v>140</v>
      </c>
      <c r="D13" s="22" t="s">
        <v>128</v>
      </c>
      <c r="E13" s="23">
        <v>332</v>
      </c>
      <c r="F13" s="22" t="str">
        <f t="shared" si="0"/>
        <v>De 200 a 400 und</v>
      </c>
      <c r="G13" s="22" t="s">
        <v>1</v>
      </c>
      <c r="H13" s="36">
        <v>20</v>
      </c>
      <c r="I13" s="36">
        <v>5</v>
      </c>
      <c r="J13" s="36"/>
      <c r="K13" s="36"/>
      <c r="L13" s="36">
        <f>SUM(Tabela13[[#This Row],[QTD DE B/T 2]],Tabela13[[#This Row],[QTD DE B/T]])</f>
        <v>20</v>
      </c>
      <c r="M13" s="22">
        <v>3</v>
      </c>
      <c r="N13" s="22">
        <f>Tabela13[[#This Row],[ELEVADOR]]/Tabela13[[#This Row],[BLOCO TOTAL]]</f>
        <v>0.15</v>
      </c>
      <c r="O13" s="22" t="s">
        <v>6</v>
      </c>
      <c r="P13" s="22" t="s">
        <v>119</v>
      </c>
      <c r="Q13" s="22" t="s">
        <v>101</v>
      </c>
      <c r="R13" s="22" t="s">
        <v>102</v>
      </c>
      <c r="S13" s="22" t="s">
        <v>103</v>
      </c>
      <c r="T13" s="22" t="s">
        <v>104</v>
      </c>
      <c r="U13" s="22" t="s">
        <v>105</v>
      </c>
      <c r="V13" s="22" t="s">
        <v>106</v>
      </c>
      <c r="W13" s="24">
        <f>IF(P13=[1]BD_CUSTO!$E$4,[1]BD_CUSTO!$F$4,[1]BD_CUSTO!$F$5)</f>
        <v>530</v>
      </c>
      <c r="X13" s="24">
        <f>IF(Q13=[1]BD_CUSTO!$E$6,[1]BD_CUSTO!$F$6,[1]BD_CUSTO!$F$7)</f>
        <v>260</v>
      </c>
      <c r="Y13" s="24">
        <f>IF(R13=[1]BD_CUSTO!$E$8,[1]BD_CUSTO!$F$8,[1]BD_CUSTO!$F$9)</f>
        <v>600</v>
      </c>
      <c r="Z13" s="24">
        <f>IF(S13=[1]BD_CUSTO!$E$10,[1]BD_CUSTO!$F$10,[1]BD_CUSTO!$F$11)</f>
        <v>500</v>
      </c>
      <c r="AA13" s="24">
        <f>IF(T13=[1]BD_CUSTO!$E$12,[1]BD_CUSTO!$F$12,[1]BD_CUSTO!$F$13)</f>
        <v>370</v>
      </c>
      <c r="AB13" s="24">
        <f>IF(U13=[1]BD_CUSTO!$E$14,[1]BD_CUSTO!$F$14,[1]BD_CUSTO!$F$15)</f>
        <v>90</v>
      </c>
      <c r="AC13" s="24">
        <f>IF(V13=[1]BD_CUSTO!$E$16,[1]BD_CUSTO!$F$16,[1]BD_CUSTO!$F$17)</f>
        <v>720</v>
      </c>
      <c r="AD13" s="22" t="s">
        <v>110</v>
      </c>
      <c r="AE13" s="22">
        <v>1</v>
      </c>
      <c r="AF13" s="22" t="s">
        <v>107</v>
      </c>
      <c r="AG13" s="22">
        <v>1</v>
      </c>
      <c r="AH13" s="22" t="s">
        <v>129</v>
      </c>
      <c r="AI13" s="22">
        <v>1</v>
      </c>
      <c r="AJ13" s="22" t="s">
        <v>108</v>
      </c>
      <c r="AK13" s="22">
        <v>1</v>
      </c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4">
        <f>IF(AD13="",0,VLOOKUP(AD13,[1]BD_CUSTO!I:J,2,0)*AE13/E13)</f>
        <v>15.963855421686747</v>
      </c>
      <c r="AY13" s="24">
        <f>IF(AF13="",0,VLOOKUP(AF13,[1]BD_CUSTO!I:J,2,0)*AG13/E13)</f>
        <v>256.47325301204819</v>
      </c>
      <c r="AZ13" s="24">
        <f>IF(AH13="",0,VLOOKUP(AH13,[1]BD_CUSTO!I:J,2,0)*AI13/E13)</f>
        <v>828.81801204819283</v>
      </c>
      <c r="BA13" s="24">
        <f>IF(AJ13="",0,VLOOKUP(AJ13,[1]BD_CUSTO!I:J,2,0)*AK13/E13)</f>
        <v>69.728915662650607</v>
      </c>
      <c r="BB13" s="24">
        <f>IF(AL13="",0,VLOOKUP(AL13,[1]BD_CUSTO!I:J,2,0)*AM13/E13)</f>
        <v>0</v>
      </c>
      <c r="BC13" s="24">
        <f>IF(AN13="",0,VLOOKUP(AN13,[1]BD_CUSTO!I:J,2,0)*AO13/E13)</f>
        <v>0</v>
      </c>
      <c r="BD13" s="24">
        <f>IF(AP13="",0,VLOOKUP(AP13,[1]BD_CUSTO!I:J,2,0)*AQ13/E13)</f>
        <v>0</v>
      </c>
      <c r="BE13" s="24">
        <f>IF(AR13="",0,VLOOKUP(AR13,CUSTO!I:J,2,0)*AS13/E13)</f>
        <v>0</v>
      </c>
      <c r="BF13" s="24">
        <f>IF(AT13="",0,VLOOKUP(AT13,[1]BD_CUSTO!I:J,2,0)*AU13/E13)</f>
        <v>0</v>
      </c>
      <c r="BG13" s="24">
        <f>IF(Tabela13[[#This Row],[LZ 10]]="",0,VLOOKUP(Tabela13[[#This Row],[LZ 10]],[1]BD_CUSTO!I:J,2,0)*Tabela13[[#This Row],[QTD922]]/E13)</f>
        <v>0</v>
      </c>
      <c r="BH13" s="22" t="s">
        <v>112</v>
      </c>
      <c r="BI13" s="25">
        <f>(102*100)/Tabela13[[#This Row],[Nº UNDS]]/100</f>
        <v>0.30722891566265059</v>
      </c>
      <c r="BJ13" s="22" t="s">
        <v>113</v>
      </c>
      <c r="BK13" s="25">
        <v>0</v>
      </c>
      <c r="BL13" s="24">
        <f>IF(BH13=[1]BD_CUSTO!$M$6,[1]BD_CUSTO!$N$6)*BI13</f>
        <v>921.68674698795178</v>
      </c>
      <c r="BM13" s="24">
        <f>IF(BJ13=[1]BD_CUSTO!$M$4,[1]BD_CUSTO!$N$4,[1]BD_CUSTO!$N$5)*BK13</f>
        <v>0</v>
      </c>
      <c r="BN13" s="22" t="s">
        <v>114</v>
      </c>
      <c r="BO13" s="22">
        <v>344</v>
      </c>
      <c r="BP13" s="25">
        <f>Tabela13[[#This Row],[QTD ]]/Tabela13[[#This Row],[Nº UNDS]]</f>
        <v>1.036144578313253</v>
      </c>
      <c r="BQ13" s="22" t="s">
        <v>123</v>
      </c>
      <c r="BR13" s="22">
        <v>24</v>
      </c>
      <c r="BS13" s="22" t="s">
        <v>116</v>
      </c>
      <c r="BT13" s="22">
        <v>0</v>
      </c>
      <c r="BU13" s="22" t="s">
        <v>16</v>
      </c>
      <c r="BV13" s="22">
        <v>0</v>
      </c>
      <c r="BW13" s="24">
        <f>IF(BN13=[1]BD_CUSTO!$Q$7,[1]BD_CUSTO!$R$7,[1]BD_CUSTO!$R$8)*BO13/E13</f>
        <v>2072.2891566265062</v>
      </c>
      <c r="BX13" s="24">
        <f>IF(BQ13=[1]BD_CUSTO!$Q$4,[1]BD_CUSTO!$R$4,[1]BD_CUSTO!$R$5)*BR13/E13</f>
        <v>72.289156626506028</v>
      </c>
      <c r="BY13" s="22">
        <f>IF(BS13=[1]BD_CUSTO!$Q$13,[1]BD_CUSTO!$R$13,[1]BD_CUSTO!$R$14)*BT13/E13</f>
        <v>0</v>
      </c>
      <c r="BZ13" s="24">
        <f>BV13*CUSTO!$R$10/E13</f>
        <v>0</v>
      </c>
      <c r="CA13" s="26">
        <f>SUM(Tabela13[[#This Row],[SOMA_PISO SALA E QUARTO]],Tabela13[[#This Row],[SOMA_PAREDE HIDR]],Tabela13[[#This Row],[SOMA_TETO]],Tabela13[[#This Row],[SOMA_BANCADA]],Tabela13[[#This Row],[SOMA_PEDRAS]])</f>
        <v>2090</v>
      </c>
      <c r="CB13" s="27" t="str">
        <f>IF(CA13&lt;=RÉGUAS!$D$4,"ACAB 01",IF(CA13&lt;=RÉGUAS!$F$4,"ACAB 02",IF(CA13&gt;RÉGUAS!$F$4,"ACAB 03",)))</f>
        <v>ACAB 01</v>
      </c>
      <c r="CC13" s="26">
        <f>SUM(Tabela13[[#This Row],[SOMA_LZ 01]:[SOMA_LZ 10]])</f>
        <v>1170.9840361445786</v>
      </c>
      <c r="CD13" s="22" t="str">
        <f>IF(CC13&lt;=RÉGUAS!$D$13,"LZ 01",IF(CC13&lt;=RÉGUAS!$F$13,"LZ 02",IF(CC13&lt;=RÉGUAS!$H$13,"LZ 03",IF(CC13&gt;RÉGUAS!$H$13,"LZ 04",))))</f>
        <v>LZ 02</v>
      </c>
      <c r="CE13" s="28">
        <f t="shared" si="1"/>
        <v>921.68674698795178</v>
      </c>
      <c r="CF13" s="22" t="str">
        <f>IF(CE13&lt;=RÉGUAS!$D$22,"TIP 01",IF(CE13&lt;=RÉGUAS!$F$22,"TIP 02",IF(CE13&gt;RÉGUAS!$F$22,"TIP 03",)))</f>
        <v>TIP 01</v>
      </c>
      <c r="CG13" s="28">
        <f t="shared" si="2"/>
        <v>2144.5783132530123</v>
      </c>
      <c r="CH13" s="22" t="str">
        <f>IF(CG13&lt;=RÉGUAS!$D$32,"VAGA 01",IF(CG13&lt;=RÉGUAS!$F$32,"VAGA 02",IF(CG13&gt;RÉGUAS!$F$32,"VAGA 03",)))</f>
        <v>VAGA 02</v>
      </c>
      <c r="CI13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1356.6867469879519</v>
      </c>
      <c r="CJ13" s="85" t="str">
        <f>IF(AND(G13="BLOCO",CI13&lt;=RÉGUAS!$D$40),"ELEV 01",IF(AND(G13="BLOCO",CI13&gt;RÉGUAS!$D$40),"ELEV 02",IF(AND(G13="TORRE",CI13&lt;=RÉGUAS!$K$40),"ELEV 01",IF(AND(G13="TORRE",CI13&lt;=RÉGUAS!$M$40),"ELEV 02",IF(AND(G13="TORRE",CI13&gt;RÉGUAS!$M$40),"ELEV 03",)))))</f>
        <v>ELEV 02</v>
      </c>
      <c r="CK13" s="85">
        <f>SUM(Tabela13[[#This Row],[TOTAL  ACAB]],Tabela13[[#This Row],[TOTAL LAZER ]],Tabela13[[#This Row],[TOTAL TIPOLOGIA]],Tabela13[[#This Row],[TOTAL VAGA]],Tabela13[[#This Row],[TOTAL ELEVADOR]])</f>
        <v>7683.9358433734942</v>
      </c>
      <c r="CL13" s="72" t="str">
        <f>IF(AND(G13="BLOCO",CK13&lt;=RÉGUAS!$D$50),"ESSENCIAL",IF(AND(G13="BLOCO",CK13&lt;=RÉGUAS!$F$50),"ECO",IF(AND(G13="BLOCO",CK13&gt;RÉGUAS!$F$50),"BIO",IF(AND(G13="TORRE",CK13&lt;=RÉGUAS!$K$50),"ESSENCIAL",IF(AND(G13="TORRE",CK13&lt;=RÉGUAS!$M$50),"ECO",IF(AND(G13="TORRE",CK13&gt;RÉGUAS!$M$50),"BIO",))))))</f>
        <v>ESSENCIAL</v>
      </c>
      <c r="CM13" s="28" t="str">
        <f>IF(AND(G13="BLOCO",CK13&gt;=RÉGUAS!$D$51,CK13&lt;=RÉGUAS!$D$50),"ESSENCIAL-10%",IF(AND(G13="BLOCO",CK13&gt;RÉGUAS!$D$50,CK13&lt;=RÉGUAS!$E$51),"ECO+10%",IF(AND(G13="BLOCO",CK13&gt;=RÉGUAS!$F$51,CK13&lt;=RÉGUAS!$F$50),"ECO-10%",IF(AND(G13="BLOCO",CK13&gt;RÉGUAS!$F$50,CK13&lt;=RÉGUAS!$G$51),"BIO+10%",IF(AND(G13="TORRE",CK13&gt;=RÉGUAS!$K$51,CK13&lt;=RÉGUAS!$K$50),"ESSENCIAL-10%",IF(AND(G13="TORRE",CK13&gt;RÉGUAS!$K$50,CK13&lt;=RÉGUAS!$L$51),"ECO+10%",IF(AND(G13="TORRE",CK13&gt;=RÉGUAS!$M$51,CK13&lt;=RÉGUAS!$M$50),"ECO-10%",IF(AND(G13="TORRE",CK13&gt;RÉGUAS!$M$50,CK13&lt;=RÉGUAS!$N$51),"BIO+10%","-"))))))))</f>
        <v>ESSENCIAL-10%</v>
      </c>
      <c r="CN13" s="73">
        <f t="shared" si="3"/>
        <v>6327.2490963855425</v>
      </c>
      <c r="CO13" s="72" t="str">
        <f>IF(CN13&lt;=RÉGUAS!$D$58,"ESSENCIAL",IF(CN13&lt;=RÉGUAS!$F$58,"ECO",IF(CN13&gt;RÉGUAS!$F$58,"BIO",)))</f>
        <v>ESSENCIAL</v>
      </c>
      <c r="CP13" s="72" t="str">
        <f>IF(Tabela13[[#This Row],[INTERVALO DE INTERSEÇÃO 5D]]="-",Tabela13[[#This Row],[CLASSIFICAÇÃO 
5D ]],Tabela13[[#This Row],[CLASSIFICAÇÃO 
4D]])</f>
        <v>ESSENCIAL</v>
      </c>
      <c r="CQ13" s="72" t="str">
        <f t="shared" si="4"/>
        <v>-</v>
      </c>
      <c r="CR13" s="72" t="str">
        <f t="shared" si="5"/>
        <v>ESSENCIAL</v>
      </c>
      <c r="CS13" s="22" t="str">
        <f>IF(Tabela13[[#This Row],[PRODUTO ATUAL ]]=Tabela13[[#This Row],[CLASSIFICAÇÃO FINAL 5D]],"ADERÊNTE","NÃO ADERÊNTE")</f>
        <v>ADERÊNTE</v>
      </c>
      <c r="CT13" s="24">
        <f>SUM(Tabela13[[#This Row],[TOTAL  ACAB]],Tabela13[[#This Row],[TOTAL LAZER ]],Tabela13[[#This Row],[TOTAL TIPOLOGIA]],Tabela13[[#This Row],[TOTAL VAGA]])</f>
        <v>6327.2490963855425</v>
      </c>
      <c r="CU13" s="22" t="str">
        <f>IF(CT13&lt;=RÉGUAS!$D$58,"ESSENCIAL",IF(CT13&lt;=RÉGUAS!$F$58,"ECO",IF(CT13&gt;RÉGUAS!$F$58,"BIO",)))</f>
        <v>ESSENCIAL</v>
      </c>
      <c r="CV13" s="22" t="str">
        <f>IF(AND(CT13&gt;=RÉGUAS!$D$59,CT13&lt;=RÉGUAS!$E$59),"ESSENCIAL/ECO",IF(AND(CT13&gt;=RÉGUAS!$F$59,CT13&lt;=RÉGUAS!$G$59),"ECO/BIO","-"))</f>
        <v>ESSENCIAL/ECO</v>
      </c>
      <c r="CW13" s="85">
        <f>SUM(Tabela13[[#This Row],[TOTAL LAZER ]],Tabela13[[#This Row],[TOTAL TIPOLOGIA]])</f>
        <v>2092.6707831325302</v>
      </c>
      <c r="CX13" s="22" t="str">
        <f>IF(CW13&lt;=RÉGUAS!$D$72,"ESSENCIAL",IF(CW13&lt;=RÉGUAS!$F$72,"ECO",IF(CN13&gt;RÉGUAS!$F$72,"BIO",)))</f>
        <v>ESSENCIAL</v>
      </c>
      <c r="CY13" s="22" t="str">
        <f t="shared" si="6"/>
        <v>ESSENCIAL</v>
      </c>
      <c r="CZ13" s="22" t="str">
        <f>IF(Tabela13[[#This Row],[PRODUTO ATUAL ]]=CY13,"ADERENTE","NÃO ADERENTE")</f>
        <v>ADERENTE</v>
      </c>
      <c r="DA13" s="22" t="str">
        <f>IF(Tabela13[[#This Row],[PRODUTO ATUAL ]]=Tabela13[[#This Row],[CLASSIFICAÇÃO 
4D2]],"ADERENTE","NÃO ADERENTE")</f>
        <v>ADERENTE</v>
      </c>
    </row>
    <row r="14" spans="2:105" x14ac:dyDescent="0.35">
      <c r="B14" s="27">
        <v>1</v>
      </c>
      <c r="C14" s="22" t="s">
        <v>124</v>
      </c>
      <c r="D14" s="22" t="s">
        <v>125</v>
      </c>
      <c r="E14" s="22">
        <v>256</v>
      </c>
      <c r="F14" s="22" t="str">
        <f t="shared" si="0"/>
        <v>De 200 a 400 und</v>
      </c>
      <c r="G14" s="22" t="s">
        <v>1</v>
      </c>
      <c r="H14" s="36">
        <v>16</v>
      </c>
      <c r="I14" s="36">
        <v>4</v>
      </c>
      <c r="J14" s="36"/>
      <c r="K14" s="36"/>
      <c r="L14" s="36">
        <f>SUM(Tabela13[[#This Row],[QTD DE B/T 2]],Tabela13[[#This Row],[QTD DE B/T]])</f>
        <v>16</v>
      </c>
      <c r="M14" s="22">
        <v>0</v>
      </c>
      <c r="N14" s="22">
        <f>Tabela13[[#This Row],[ELEVADOR]]/Tabela13[[#This Row],[BLOCO TOTAL]]</f>
        <v>0</v>
      </c>
      <c r="O14" s="22" t="s">
        <v>6</v>
      </c>
      <c r="P14" s="22" t="s">
        <v>119</v>
      </c>
      <c r="Q14" s="24" t="s">
        <v>101</v>
      </c>
      <c r="R14" s="22" t="s">
        <v>102</v>
      </c>
      <c r="S14" s="22" t="s">
        <v>103</v>
      </c>
      <c r="T14" s="22" t="s">
        <v>104</v>
      </c>
      <c r="U14" s="22" t="s">
        <v>105</v>
      </c>
      <c r="V14" s="22" t="s">
        <v>106</v>
      </c>
      <c r="W14" s="24">
        <f>IF(P14=[1]BD_CUSTO!$E$4,[1]BD_CUSTO!$F$4,[1]BD_CUSTO!$F$5)</f>
        <v>530</v>
      </c>
      <c r="X14" s="24">
        <f>IF(Q14=[1]BD_CUSTO!$E$6,[1]BD_CUSTO!$F$6,[1]BD_CUSTO!$F$7)</f>
        <v>260</v>
      </c>
      <c r="Y14" s="24">
        <f>IF(R14=[1]BD_CUSTO!$E$8,[1]BD_CUSTO!$F$8,[1]BD_CUSTO!$F$9)</f>
        <v>600</v>
      </c>
      <c r="Z14" s="24">
        <f>IF(S14=[1]BD_CUSTO!$E$10,[1]BD_CUSTO!$F$10,[1]BD_CUSTO!$F$11)</f>
        <v>500</v>
      </c>
      <c r="AA14" s="24">
        <f>IF(T14=[1]BD_CUSTO!$E$12,[1]BD_CUSTO!$F$12,[1]BD_CUSTO!$F$13)</f>
        <v>370</v>
      </c>
      <c r="AB14" s="24">
        <f>IF(U14=[1]BD_CUSTO!$E$14,[1]BD_CUSTO!$F$14,[1]BD_CUSTO!$F$15)</f>
        <v>90</v>
      </c>
      <c r="AC14" s="24">
        <f>IF(V14=[1]BD_CUSTO!$E$16,[1]BD_CUSTO!$F$16,[1]BD_CUSTO!$F$17)</f>
        <v>720</v>
      </c>
      <c r="AD14" s="22" t="s">
        <v>111</v>
      </c>
      <c r="AE14" s="22">
        <v>2</v>
      </c>
      <c r="AF14" s="22" t="s">
        <v>108</v>
      </c>
      <c r="AG14" s="22">
        <v>1</v>
      </c>
      <c r="AH14" s="22" t="s">
        <v>121</v>
      </c>
      <c r="AI14" s="22">
        <v>1</v>
      </c>
      <c r="AJ14" s="22" t="s">
        <v>110</v>
      </c>
      <c r="AK14" s="22">
        <v>1</v>
      </c>
      <c r="AL14" s="22" t="s">
        <v>126</v>
      </c>
      <c r="AM14" s="22">
        <v>3</v>
      </c>
      <c r="AN14" s="22"/>
      <c r="AO14" s="22">
        <v>0</v>
      </c>
      <c r="AP14" s="22"/>
      <c r="AQ14" s="22">
        <v>0</v>
      </c>
      <c r="AR14" s="22"/>
      <c r="AS14" s="22">
        <v>0</v>
      </c>
      <c r="AT14" s="22"/>
      <c r="AU14" s="22"/>
      <c r="AV14" s="22"/>
      <c r="AW14" s="22"/>
      <c r="AX14" s="24">
        <f>IF(AD14="",0,VLOOKUP(AD14,[1]BD_CUSTO!I:J,2,0)*AE14/E14)</f>
        <v>126.5625</v>
      </c>
      <c r="AY14" s="24">
        <f>IF(AF14="",0,VLOOKUP(AF14,[1]BD_CUSTO!I:J,2,0)*AG14/E14)</f>
        <v>90.4296875</v>
      </c>
      <c r="AZ14" s="24">
        <f>IF(AH14="",0,VLOOKUP(AH14,[1]BD_CUSTO!I:J,2,0)*AI14/E14)</f>
        <v>481.08164062499998</v>
      </c>
      <c r="BA14" s="24">
        <f>IF(AJ14="",0,VLOOKUP(AJ14,[1]BD_CUSTO!I:J,2,0)*AK14/E14)</f>
        <v>20.703125</v>
      </c>
      <c r="BB14" s="24">
        <f>IF(AL14="",0,VLOOKUP(AL14,[1]BD_CUSTO!I:J,2,0)*AM14/E14)</f>
        <v>88.59375</v>
      </c>
      <c r="BC14" s="24">
        <f>IF(AN14="",0,VLOOKUP(AN14,[1]BD_CUSTO!I:J,2,0)*AO14/E14)</f>
        <v>0</v>
      </c>
      <c r="BD14" s="24">
        <f>IF(AP14="",0,VLOOKUP(AP14,[1]BD_CUSTO!I:J,2,0)*AQ14/E14)</f>
        <v>0</v>
      </c>
      <c r="BE14" s="24">
        <f>IF(AR14="",0,VLOOKUP(AR14,CUSTO!I:J,2,0)*AS14/E14)</f>
        <v>0</v>
      </c>
      <c r="BF14" s="24">
        <f>IF(AT14="",0,VLOOKUP(AT14,[1]BD_CUSTO!I:J,2,0)*AU14/E14)</f>
        <v>0</v>
      </c>
      <c r="BG14" s="24">
        <f>IF(Tabela13[[#This Row],[LZ 10]]="",0,VLOOKUP(Tabela13[[#This Row],[LZ 10]],[1]BD_CUSTO!I:J,2,0)*Tabela13[[#This Row],[QTD922]]/E14)</f>
        <v>0</v>
      </c>
      <c r="BH14" s="22" t="s">
        <v>112</v>
      </c>
      <c r="BI14" s="25">
        <v>0.5</v>
      </c>
      <c r="BJ14" s="29" t="s">
        <v>113</v>
      </c>
      <c r="BK14" s="25">
        <v>0</v>
      </c>
      <c r="BL14" s="24">
        <f>IF(BH14=[1]BD_CUSTO!$M$6,[1]BD_CUSTO!$N$6)*BI14</f>
        <v>1500</v>
      </c>
      <c r="BM14" s="24">
        <f>IF(BJ14=[1]BD_CUSTO!$M$4,[1]BD_CUSTO!$N$4,[1]BD_CUSTO!$N$5)*BK14</f>
        <v>0</v>
      </c>
      <c r="BN14" s="22" t="s">
        <v>114</v>
      </c>
      <c r="BO14" s="22">
        <v>269</v>
      </c>
      <c r="BP14" s="25">
        <f>Tabela13[[#This Row],[QTD ]]/Tabela13[[#This Row],[Nº UNDS]]</f>
        <v>1.05078125</v>
      </c>
      <c r="BQ14" s="22" t="s">
        <v>115</v>
      </c>
      <c r="BR14" s="22">
        <v>0</v>
      </c>
      <c r="BS14" s="22" t="s">
        <v>116</v>
      </c>
      <c r="BT14" s="22">
        <v>0</v>
      </c>
      <c r="BU14" s="22" t="s">
        <v>16</v>
      </c>
      <c r="BV14" s="22">
        <v>0</v>
      </c>
      <c r="BW14" s="24">
        <f>IF(BN14=[1]BD_CUSTO!$Q$7,[1]BD_CUSTO!$R$7,[1]BD_CUSTO!$R$8)*BO14/E14</f>
        <v>2101.5625</v>
      </c>
      <c r="BX14" s="24">
        <f>IF(BQ14=[1]BD_CUSTO!$Q$4,[1]BD_CUSTO!$R$4,[1]BD_CUSTO!$R$5)*BR14/E14</f>
        <v>0</v>
      </c>
      <c r="BY14" s="22">
        <f>IF(BS14=[1]BD_CUSTO!$Q$13,[1]BD_CUSTO!$R$13,[1]BD_CUSTO!$R$14)*BT14/E14</f>
        <v>0</v>
      </c>
      <c r="BZ14" s="24">
        <f>BV14*CUSTO!$R$10/E14</f>
        <v>0</v>
      </c>
      <c r="CA14" s="26">
        <f>SUM(Tabela13[[#This Row],[SOMA_PISO SALA E QUARTO]],Tabela13[[#This Row],[SOMA_PAREDE HIDR]],Tabela13[[#This Row],[SOMA_TETO]],Tabela13[[#This Row],[SOMA_BANCADA]],Tabela13[[#This Row],[SOMA_PEDRAS]])</f>
        <v>2090</v>
      </c>
      <c r="CB14" s="27" t="str">
        <f>IF(CA14&lt;=RÉGUAS!$D$4,"ACAB 01",IF(CA14&lt;=RÉGUAS!$F$4,"ACAB 02",IF(CA14&gt;RÉGUAS!$F$4,"ACAB 03",)))</f>
        <v>ACAB 01</v>
      </c>
      <c r="CC14" s="26">
        <f>SUM(Tabela13[[#This Row],[SOMA_LZ 01]:[SOMA_LZ 10]])</f>
        <v>807.37070312499998</v>
      </c>
      <c r="CD14" s="22" t="str">
        <f>IF(CC14&lt;=RÉGUAS!$D$13,"LZ 01",IF(CC14&lt;=RÉGUAS!$F$13,"LZ 02",IF(CC14&lt;=RÉGUAS!$H$13,"LZ 03",IF(CC14&gt;RÉGUAS!$H$13,"LZ 04",))))</f>
        <v>LZ 01</v>
      </c>
      <c r="CE14" s="28">
        <f t="shared" si="1"/>
        <v>1500</v>
      </c>
      <c r="CF14" s="22" t="str">
        <f>IF(CE14&lt;=RÉGUAS!$D$22,"TIP 01",IF(CE14&lt;=RÉGUAS!$F$22,"TIP 02",IF(CE14&gt;RÉGUAS!$F$22,"TIP 03",)))</f>
        <v>TIP 01</v>
      </c>
      <c r="CG14" s="28">
        <f t="shared" si="2"/>
        <v>2101.5625</v>
      </c>
      <c r="CH14" s="22" t="str">
        <f>IF(CG14&lt;=RÉGUAS!$D$32,"VAGA 01",IF(CG14&lt;=RÉGUAS!$F$32,"VAGA 02",IF(CG14&gt;RÉGUAS!$F$32,"VAGA 03",)))</f>
        <v>VAGA 02</v>
      </c>
      <c r="CI14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14" s="85" t="str">
        <f>IF(AND(G14="BLOCO",CI14&lt;=RÉGUAS!$D$40),"ELEV 01",IF(AND(G14="BLOCO",CI14&gt;RÉGUAS!$D$40),"ELEV 02",IF(AND(G14="TORRE",CI14&lt;=RÉGUAS!$K$40),"ELEV 01",IF(AND(G14="TORRE",CI14&lt;=RÉGUAS!$M$40),"ELEV 02",IF(AND(G14="TORRE",CI14&gt;RÉGUAS!$M$40),"ELEV 03",)))))</f>
        <v>ELEV 01</v>
      </c>
      <c r="CK14" s="85">
        <f>SUM(Tabela13[[#This Row],[TOTAL  ACAB]],Tabela13[[#This Row],[TOTAL LAZER ]],Tabela13[[#This Row],[TOTAL TIPOLOGIA]],Tabela13[[#This Row],[TOTAL VAGA]],Tabela13[[#This Row],[TOTAL ELEVADOR]])</f>
        <v>6498.9332031249996</v>
      </c>
      <c r="CL14" s="72" t="str">
        <f>IF(AND(G14="BLOCO",CK14&lt;=RÉGUAS!$D$50),"ESSENCIAL",IF(AND(G14="BLOCO",CK14&lt;=RÉGUAS!$F$50),"ECO",IF(AND(G14="BLOCO",CK14&gt;RÉGUAS!$F$50),"BIO",IF(AND(G14="TORRE",CK14&lt;=RÉGUAS!$K$50),"ESSENCIAL",IF(AND(G14="TORRE",CK14&lt;=RÉGUAS!$M$50),"ECO",IF(AND(G14="TORRE",CK14&gt;RÉGUAS!$M$50),"BIO",))))))</f>
        <v>ESSENCIAL</v>
      </c>
      <c r="CM14" s="28" t="str">
        <f>IF(AND(G14="BLOCO",CK14&gt;=RÉGUAS!$D$51,CK14&lt;=RÉGUAS!$D$50),"ESSENCIAL-10%",IF(AND(G14="BLOCO",CK14&gt;RÉGUAS!$D$50,CK14&lt;=RÉGUAS!$E$51),"ECO+10%",IF(AND(G14="BLOCO",CK14&gt;=RÉGUAS!$F$51,CK14&lt;=RÉGUAS!$F$50),"ECO-10%",IF(AND(G14="BLOCO",CK14&gt;RÉGUAS!$F$50,CK14&lt;=RÉGUAS!$G$51),"BIO+10%",IF(AND(G14="TORRE",CK14&gt;=RÉGUAS!$K$51,CK14&lt;=RÉGUAS!$K$50),"ESSENCIAL-10%",IF(AND(G14="TORRE",CK14&gt;RÉGUAS!$K$50,CK14&lt;=RÉGUAS!$L$51),"ECO+10%",IF(AND(G14="TORRE",CK14&gt;=RÉGUAS!$M$51,CK14&lt;=RÉGUAS!$M$50),"ECO-10%",IF(AND(G14="TORRE",CK14&gt;RÉGUAS!$M$50,CK14&lt;=RÉGUAS!$N$51),"BIO+10%","-"))))))))</f>
        <v>-</v>
      </c>
      <c r="CN14" s="73">
        <f t="shared" si="3"/>
        <v>6498.9332031249996</v>
      </c>
      <c r="CO14" s="72" t="str">
        <f>IF(CN14&lt;=RÉGUAS!$D$58,"ESSENCIAL",IF(CN14&lt;=RÉGUAS!$F$58,"ECO",IF(CN14&gt;RÉGUAS!$F$58,"BIO",)))</f>
        <v>ESSENCIAL</v>
      </c>
      <c r="CP14" s="72" t="str">
        <f>IF(Tabela13[[#This Row],[INTERVALO DE INTERSEÇÃO 5D]]="-",Tabela13[[#This Row],[CLASSIFICAÇÃO 
5D ]],Tabela13[[#This Row],[CLASSIFICAÇÃO 
4D]])</f>
        <v>ESSENCIAL</v>
      </c>
      <c r="CQ14" s="72" t="str">
        <f t="shared" si="4"/>
        <v>-</v>
      </c>
      <c r="CR14" s="72" t="str">
        <f t="shared" si="5"/>
        <v>ESSENCIAL</v>
      </c>
      <c r="CS14" s="22" t="str">
        <f>IF(Tabela13[[#This Row],[PRODUTO ATUAL ]]=Tabela13[[#This Row],[CLASSIFICAÇÃO FINAL 5D]],"ADERÊNTE","NÃO ADERÊNTE")</f>
        <v>ADERÊNTE</v>
      </c>
      <c r="CT14" s="24">
        <f>SUM(Tabela13[[#This Row],[TOTAL  ACAB]],Tabela13[[#This Row],[TOTAL LAZER ]],Tabela13[[#This Row],[TOTAL TIPOLOGIA]],Tabela13[[#This Row],[TOTAL VAGA]])</f>
        <v>6498.9332031249996</v>
      </c>
      <c r="CU14" s="22" t="str">
        <f>IF(CT14&lt;=RÉGUAS!$D$58,"ESSENCIAL",IF(CT14&lt;=RÉGUAS!$F$58,"ECO",IF(CT14&gt;RÉGUAS!$F$58,"BIO",)))</f>
        <v>ESSENCIAL</v>
      </c>
      <c r="CV14" s="22" t="str">
        <f>IF(AND(CT14&gt;=RÉGUAS!$D$59,CT14&lt;=RÉGUAS!$E$59),"ESSENCIAL/ECO",IF(AND(CT14&gt;=RÉGUAS!$F$59,CT14&lt;=RÉGUAS!$G$59),"ECO/BIO","-"))</f>
        <v>ESSENCIAL/ECO</v>
      </c>
      <c r="CW14" s="85">
        <f>SUM(Tabela13[[#This Row],[TOTAL LAZER ]],Tabela13[[#This Row],[TOTAL TIPOLOGIA]])</f>
        <v>2307.3707031250001</v>
      </c>
      <c r="CX14" s="22" t="str">
        <f>IF(CW14&lt;=RÉGUAS!$D$72,"ESSENCIAL",IF(CW14&lt;=RÉGUAS!$F$72,"ECO",IF(CN14&gt;RÉGUAS!$F$72,"BIO",)))</f>
        <v>ESSENCIAL</v>
      </c>
      <c r="CY14" s="22" t="str">
        <f t="shared" si="6"/>
        <v>ESSENCIAL</v>
      </c>
      <c r="CZ14" s="22" t="str">
        <f>IF(Tabela13[[#This Row],[PRODUTO ATUAL ]]=CY14,"ADERENTE","NÃO ADERENTE")</f>
        <v>ADERENTE</v>
      </c>
      <c r="DA14" s="22" t="str">
        <f>IF(Tabela13[[#This Row],[PRODUTO ATUAL ]]=Tabela13[[#This Row],[CLASSIFICAÇÃO 
4D2]],"ADERENTE","NÃO ADERENTE")</f>
        <v>ADERENTE</v>
      </c>
    </row>
    <row r="15" spans="2:105" hidden="1" x14ac:dyDescent="0.35">
      <c r="B15" s="27">
        <v>26</v>
      </c>
      <c r="C15" s="22" t="s">
        <v>141</v>
      </c>
      <c r="D15" s="22" t="s">
        <v>118</v>
      </c>
      <c r="E15" s="23">
        <v>360</v>
      </c>
      <c r="F15" s="22" t="str">
        <f t="shared" si="0"/>
        <v>De 200 a 400 und</v>
      </c>
      <c r="G15" s="22" t="s">
        <v>14</v>
      </c>
      <c r="H15" s="36">
        <v>3</v>
      </c>
      <c r="I15" s="36">
        <v>10</v>
      </c>
      <c r="J15" s="36"/>
      <c r="K15" s="36"/>
      <c r="L15" s="36">
        <f>SUM(Tabela13[[#This Row],[QTD DE B/T 2]],Tabela13[[#This Row],[QTD DE B/T]])</f>
        <v>3</v>
      </c>
      <c r="M15" s="22">
        <v>6</v>
      </c>
      <c r="N15" s="22">
        <f>Tabela13[[#This Row],[ELEVADOR]]/Tabela13[[#This Row],[BLOCO TOTAL]]</f>
        <v>2</v>
      </c>
      <c r="O15" s="22" t="s">
        <v>6</v>
      </c>
      <c r="P15" s="22" t="s">
        <v>119</v>
      </c>
      <c r="Q15" s="22" t="s">
        <v>101</v>
      </c>
      <c r="R15" s="22" t="s">
        <v>142</v>
      </c>
      <c r="S15" s="22" t="s">
        <v>103</v>
      </c>
      <c r="T15" s="22" t="s">
        <v>104</v>
      </c>
      <c r="U15" s="22" t="s">
        <v>105</v>
      </c>
      <c r="V15" s="22" t="s">
        <v>106</v>
      </c>
      <c r="W15" s="24">
        <f>IF(P15=[1]BD_CUSTO!$E$4,[1]BD_CUSTO!$F$4,[1]BD_CUSTO!$F$5)</f>
        <v>530</v>
      </c>
      <c r="X15" s="24">
        <f>IF(Q15=[1]BD_CUSTO!$E$6,[1]BD_CUSTO!$F$6,[1]BD_CUSTO!$F$7)</f>
        <v>260</v>
      </c>
      <c r="Y15" s="24">
        <f>IF(R15=[1]BD_CUSTO!$E$8,[1]BD_CUSTO!$F$8,[1]BD_CUSTO!$F$9)</f>
        <v>900</v>
      </c>
      <c r="Z15" s="24">
        <f>IF(S15=[1]BD_CUSTO!$E$10,[1]BD_CUSTO!$F$10,[1]BD_CUSTO!$F$11)</f>
        <v>500</v>
      </c>
      <c r="AA15" s="24">
        <f>IF(T15=[1]BD_CUSTO!$E$12,[1]BD_CUSTO!$F$12,[1]BD_CUSTO!$F$13)</f>
        <v>370</v>
      </c>
      <c r="AB15" s="24">
        <f>IF(U15=[1]BD_CUSTO!$E$14,[1]BD_CUSTO!$F$14,[1]BD_CUSTO!$F$15)</f>
        <v>90</v>
      </c>
      <c r="AC15" s="24">
        <f>IF(V15=[1]BD_CUSTO!$E$16,[1]BD_CUSTO!$F$16,[1]BD_CUSTO!$F$17)</f>
        <v>720</v>
      </c>
      <c r="AD15" s="22" t="s">
        <v>110</v>
      </c>
      <c r="AE15" s="22">
        <v>1</v>
      </c>
      <c r="AF15" s="22" t="s">
        <v>107</v>
      </c>
      <c r="AG15" s="22">
        <v>2</v>
      </c>
      <c r="AH15" s="22" t="s">
        <v>139</v>
      </c>
      <c r="AI15" s="22">
        <v>1</v>
      </c>
      <c r="AJ15" s="22" t="s">
        <v>108</v>
      </c>
      <c r="AK15" s="22">
        <v>1</v>
      </c>
      <c r="AL15" s="22" t="s">
        <v>121</v>
      </c>
      <c r="AM15" s="22">
        <v>1</v>
      </c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4">
        <f>IF(AD15="",0,VLOOKUP(AD15,[1]BD_CUSTO!I:J,2,0)*AE15/E15)</f>
        <v>14.722222222222221</v>
      </c>
      <c r="AY15" s="24">
        <f>IF(AF15="",0,VLOOKUP(AF15,[1]BD_CUSTO!I:J,2,0)*AG15/E15)</f>
        <v>473.05066666666664</v>
      </c>
      <c r="AZ15" s="24">
        <f>IF(AH15="",0,VLOOKUP(AH15,[1]BD_CUSTO!I:J,2,0)*AI15/E15)</f>
        <v>172.65644444444445</v>
      </c>
      <c r="BA15" s="24">
        <f>IF(AJ15="",0,VLOOKUP(AJ15,[1]BD_CUSTO!I:J,2,0)*AK15/E15)</f>
        <v>64.305555555555557</v>
      </c>
      <c r="BB15" s="24">
        <f>IF(AL15="",0,VLOOKUP(AL15,[1]BD_CUSTO!I:J,2,0)*AM15/E15)</f>
        <v>342.10249999999996</v>
      </c>
      <c r="BC15" s="24">
        <f>IF(AN15="",0,VLOOKUP(AN15,[1]BD_CUSTO!I:J,2,0)*AO15/E15)</f>
        <v>0</v>
      </c>
      <c r="BD15" s="24">
        <f>IF(AP15="",0,VLOOKUP(AP15,[1]BD_CUSTO!I:J,2,0)*AQ15/E15)</f>
        <v>0</v>
      </c>
      <c r="BE15" s="24">
        <f>IF(AR15="",0,VLOOKUP(AR15,CUSTO!I:J,2,0)*AS15/E15)</f>
        <v>0</v>
      </c>
      <c r="BF15" s="24">
        <f>IF(AT15="",0,VLOOKUP(AT15,[1]BD_CUSTO!I:J,2,0)*AU15/E15)</f>
        <v>0</v>
      </c>
      <c r="BG15" s="24">
        <f>IF(Tabela13[[#This Row],[LZ 10]]="",0,VLOOKUP(Tabela13[[#This Row],[LZ 10]],[1]BD_CUSTO!I:J,2,0)*Tabela13[[#This Row],[QTD922]]/E15)</f>
        <v>0</v>
      </c>
      <c r="BH15" s="22" t="s">
        <v>112</v>
      </c>
      <c r="BI15" s="25">
        <f>240/360</f>
        <v>0.66666666666666663</v>
      </c>
      <c r="BJ15" s="22" t="s">
        <v>113</v>
      </c>
      <c r="BK15" s="25">
        <v>0</v>
      </c>
      <c r="BL15" s="24">
        <f>IF(BH15=[1]BD_CUSTO!$M$6,[1]BD_CUSTO!$N$6)*BI15</f>
        <v>2000</v>
      </c>
      <c r="BM15" s="24">
        <f>IF(BJ15=[1]BD_CUSTO!$M$4,[1]BD_CUSTO!$N$4,[1]BD_CUSTO!$N$5)*BK15</f>
        <v>0</v>
      </c>
      <c r="BN15" s="22" t="s">
        <v>143</v>
      </c>
      <c r="BO15" s="22">
        <v>0</v>
      </c>
      <c r="BP15" s="25">
        <f>Tabela13[[#This Row],[QTD ]]/Tabela13[[#This Row],[Nº UNDS]]</f>
        <v>0</v>
      </c>
      <c r="BQ15" s="22" t="s">
        <v>115</v>
      </c>
      <c r="BR15" s="22">
        <v>0</v>
      </c>
      <c r="BS15" s="22" t="s">
        <v>116</v>
      </c>
      <c r="BT15" s="22">
        <v>0</v>
      </c>
      <c r="BU15" s="22" t="s">
        <v>16</v>
      </c>
      <c r="BV15" s="22">
        <v>0</v>
      </c>
      <c r="BW15" s="24">
        <f>IF(BN15=[1]BD_CUSTO!$Q$7,[1]BD_CUSTO!$R$7,[1]BD_CUSTO!$R$8)*BO15/E15</f>
        <v>0</v>
      </c>
      <c r="BX15" s="24">
        <f>IF(BQ15=[1]BD_CUSTO!$Q$4,[1]BD_CUSTO!$R$4,[1]BD_CUSTO!$R$5)*BR15/E15</f>
        <v>0</v>
      </c>
      <c r="BY15" s="22">
        <f>IF(BS15=[1]BD_CUSTO!$Q$13,[1]BD_CUSTO!$R$13,[1]BD_CUSTO!$R$14)*BT15/E15</f>
        <v>0</v>
      </c>
      <c r="BZ15" s="24">
        <f>BV15*CUSTO!$R$10/E15</f>
        <v>0</v>
      </c>
      <c r="CA15" s="178">
        <f>SUM(Tabela13[[#This Row],[SOMA_PISO SALA E QUARTO]],Tabela13[[#This Row],[SOMA_PAREDE HIDR]],Tabela13[[#This Row],[SOMA_TETO]],Tabela13[[#This Row],[SOMA_BANCADA]],Tabela13[[#This Row],[SOMA_PEDRAS]])</f>
        <v>2390</v>
      </c>
      <c r="CB15" s="27" t="str">
        <f>IF(CA15&lt;=RÉGUAS!$D$4,"ACAB 01",IF(CA15&lt;=RÉGUAS!$F$4,"ACAB 02",IF(CA15&gt;RÉGUAS!$F$4,"ACAB 03",)))</f>
        <v>ACAB 01</v>
      </c>
      <c r="CC15" s="26">
        <f>SUM(Tabela13[[#This Row],[SOMA_LZ 01]:[SOMA_LZ 10]])</f>
        <v>1066.8373888888887</v>
      </c>
      <c r="CD15" s="22" t="str">
        <f>IF(CC15&lt;=RÉGUAS!$D$13,"LZ 01",IF(CC15&lt;=RÉGUAS!$F$13,"LZ 02",IF(CC15&lt;=RÉGUAS!$H$13,"LZ 03",IF(CC15&gt;RÉGUAS!$H$13,"LZ 04",))))</f>
        <v>LZ 02</v>
      </c>
      <c r="CE15" s="28">
        <f t="shared" si="1"/>
        <v>2000</v>
      </c>
      <c r="CF15" s="22" t="str">
        <f>IF(CE15&lt;=RÉGUAS!$D$22,"TIP 01",IF(CE15&lt;=RÉGUAS!$F$22,"TIP 02",IF(CE15&gt;RÉGUAS!$F$22,"TIP 03",)))</f>
        <v>TIP 02</v>
      </c>
      <c r="CG15" s="28">
        <f t="shared" si="2"/>
        <v>0</v>
      </c>
      <c r="CH15" s="22" t="str">
        <f>IF(CG15&lt;=RÉGUAS!$D$32,"VAGA 01",IF(CG15&lt;=RÉGUAS!$F$32,"VAGA 02",IF(CG15&gt;RÉGUAS!$F$32,"VAGA 03",)))</f>
        <v>VAGA 01</v>
      </c>
      <c r="CI15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3290.8333333333335</v>
      </c>
      <c r="CJ15" s="85" t="str">
        <f>IF(AND(G15="BLOCO",CI15&lt;=RÉGUAS!$D$40),"ELEV 01",IF(AND(G15="BLOCO",CI15&gt;RÉGUAS!$D$40),"ELEV 02",IF(AND(G15="TORRE",CI15&lt;=RÉGUAS!$K$40),"ELEV 01",IF(AND(G15="TORRE",CI15&lt;=RÉGUAS!$M$40),"ELEV 02",IF(AND(G15="TORRE",CI15&gt;RÉGUAS!$M$40),"ELEV 03",)))))</f>
        <v>ELEV 03</v>
      </c>
      <c r="CK15" s="85">
        <f>SUM(Tabela13[[#This Row],[TOTAL  ACAB]],Tabela13[[#This Row],[TOTAL LAZER ]],Tabela13[[#This Row],[TOTAL TIPOLOGIA]],Tabela13[[#This Row],[TOTAL VAGA]],Tabela13[[#This Row],[TOTAL ELEVADOR]])</f>
        <v>8747.670722222223</v>
      </c>
      <c r="CL15" s="72" t="str">
        <f>IF(AND(G15="BLOCO",CK15&lt;=RÉGUAS!$D$50),"ESSENCIAL",IF(AND(G15="BLOCO",CK15&lt;=RÉGUAS!$F$50),"ECO",IF(AND(G15="BLOCO",CK15&gt;RÉGUAS!$F$50),"BIO",IF(AND(G15="TORRE",CK15&lt;=RÉGUAS!$K$50),"ESSENCIAL",IF(AND(G15="TORRE",CK15&lt;=RÉGUAS!$M$50),"ECO",IF(AND(G15="TORRE",CK15&gt;RÉGUAS!$M$50),"BIO",))))))</f>
        <v>ESSENCIAL</v>
      </c>
      <c r="CM15" s="28" t="str">
        <f>IF(AND(G15="BLOCO",CK15&gt;=RÉGUAS!$D$51,CK15&lt;=RÉGUAS!$D$50),"ESSENCIAL-10%",IF(AND(G15="BLOCO",CK15&gt;RÉGUAS!$D$50,CK15&lt;=RÉGUAS!$E$51),"ECO+10%",IF(AND(G15="BLOCO",CK15&gt;=RÉGUAS!$F$51,CK15&lt;=RÉGUAS!$F$50),"ECO-10%",IF(AND(G15="BLOCO",CK15&gt;RÉGUAS!$F$50,CK15&lt;=RÉGUAS!$G$51),"BIO+10%",IF(AND(G15="TORRE",CK15&gt;=RÉGUAS!$K$51,CK15&lt;=RÉGUAS!$K$50),"ESSENCIAL-10%",IF(AND(G15="TORRE",CK15&gt;RÉGUAS!$K$50,CK15&lt;=RÉGUAS!$L$51),"ECO+10%",IF(AND(G15="TORRE",CK15&gt;=RÉGUAS!$M$51,CK15&lt;=RÉGUAS!$M$50),"ECO-10%",IF(AND(G15="TORRE",CK15&gt;RÉGUAS!$M$50,CK15&lt;=RÉGUAS!$N$51),"BIO+10%","-"))))))))</f>
        <v>-</v>
      </c>
      <c r="CN15" s="73">
        <f t="shared" si="3"/>
        <v>5456.8373888888891</v>
      </c>
      <c r="CO15" s="72" t="str">
        <f>IF(CN15&lt;=RÉGUAS!$D$58,"ESSENCIAL",IF(CN15&lt;=RÉGUAS!$F$58,"ECO",IF(CN15&gt;RÉGUAS!$F$58,"BIO",)))</f>
        <v>ESSENCIAL</v>
      </c>
      <c r="CP15" s="72" t="str">
        <f>IF(Tabela13[[#This Row],[INTERVALO DE INTERSEÇÃO 5D]]="-",Tabela13[[#This Row],[CLASSIFICAÇÃO 
5D ]],Tabela13[[#This Row],[CLASSIFICAÇÃO 
4D]])</f>
        <v>ESSENCIAL</v>
      </c>
      <c r="CQ15" s="72" t="str">
        <f t="shared" si="4"/>
        <v>-</v>
      </c>
      <c r="CR15" s="72" t="str">
        <f t="shared" si="5"/>
        <v>ESSENCIAL</v>
      </c>
      <c r="CS15" s="22" t="str">
        <f>IF(Tabela13[[#This Row],[PRODUTO ATUAL ]]=Tabela13[[#This Row],[CLASSIFICAÇÃO FINAL 5D]],"ADERÊNTE","NÃO ADERÊNTE")</f>
        <v>ADERÊNTE</v>
      </c>
      <c r="CT15" s="24">
        <f>SUM(Tabela13[[#This Row],[TOTAL  ACAB]],Tabela13[[#This Row],[TOTAL LAZER ]],Tabela13[[#This Row],[TOTAL TIPOLOGIA]],Tabela13[[#This Row],[TOTAL VAGA]])</f>
        <v>5456.8373888888891</v>
      </c>
      <c r="CU15" s="22" t="str">
        <f>IF(CT15&lt;=RÉGUAS!$D$58,"ESSENCIAL",IF(CT15&lt;=RÉGUAS!$F$58,"ECO",IF(CT15&gt;RÉGUAS!$F$58,"BIO",)))</f>
        <v>ESSENCIAL</v>
      </c>
      <c r="CV15" s="22" t="str">
        <f>IF(AND(CT15&gt;=RÉGUAS!$D$59,CT15&lt;=RÉGUAS!$E$59),"ESSENCIAL/ECO",IF(AND(CT15&gt;=RÉGUAS!$F$59,CT15&lt;=RÉGUAS!$G$59),"ECO/BIO","-"))</f>
        <v>-</v>
      </c>
      <c r="CW15" s="85">
        <f>SUM(Tabela13[[#This Row],[TOTAL LAZER ]],Tabela13[[#This Row],[TOTAL TIPOLOGIA]])</f>
        <v>3066.8373888888887</v>
      </c>
      <c r="CX15" s="22" t="str">
        <f>IF(CW15&lt;=RÉGUAS!$D$72,"ESSENCIAL",IF(CW15&lt;=RÉGUAS!$F$72,"ECO",IF(CN15&gt;RÉGUAS!$F$72,"BIO",)))</f>
        <v>ECO</v>
      </c>
      <c r="CY15" s="22" t="str">
        <f t="shared" si="6"/>
        <v>ESSENCIAL</v>
      </c>
      <c r="CZ15" s="22" t="str">
        <f>IF(Tabela13[[#This Row],[PRODUTO ATUAL ]]=CY15,"ADERENTE","NÃO ADERENTE")</f>
        <v>ADERENTE</v>
      </c>
      <c r="DA15" s="22" t="str">
        <f>IF(Tabela13[[#This Row],[PRODUTO ATUAL ]]=Tabela13[[#This Row],[CLASSIFICAÇÃO 
4D2]],"ADERENTE","NÃO ADERENTE")</f>
        <v>ADERENTE</v>
      </c>
    </row>
    <row r="16" spans="2:105" s="208" customFormat="1" x14ac:dyDescent="0.35">
      <c r="B16" s="165">
        <v>4</v>
      </c>
      <c r="C16" s="166" t="s">
        <v>195</v>
      </c>
      <c r="D16" s="166" t="s">
        <v>128</v>
      </c>
      <c r="E16" s="166">
        <v>552</v>
      </c>
      <c r="F16" s="166" t="str">
        <f t="shared" si="0"/>
        <v>Acima de 400 und</v>
      </c>
      <c r="G16" s="166" t="s">
        <v>14</v>
      </c>
      <c r="H16" s="209">
        <v>1</v>
      </c>
      <c r="I16" s="209">
        <v>13</v>
      </c>
      <c r="J16" s="209">
        <v>4</v>
      </c>
      <c r="K16" s="209">
        <v>14</v>
      </c>
      <c r="L16" s="209">
        <f>SUM(Tabela13[[#This Row],[QTD DE B/T 2]],Tabela13[[#This Row],[QTD DE B/T]])</f>
        <v>5</v>
      </c>
      <c r="M16" s="166">
        <v>10</v>
      </c>
      <c r="N16" s="166">
        <f>Tabela13[[#This Row],[ELEVADOR]]/Tabela13[[#This Row],[BLOCO TOTAL]]</f>
        <v>2</v>
      </c>
      <c r="O16" s="166" t="s">
        <v>6</v>
      </c>
      <c r="P16" s="166" t="s">
        <v>101</v>
      </c>
      <c r="Q16" s="166" t="s">
        <v>101</v>
      </c>
      <c r="R16" s="166" t="s">
        <v>102</v>
      </c>
      <c r="S16" s="166" t="s">
        <v>103</v>
      </c>
      <c r="T16" s="166" t="s">
        <v>104</v>
      </c>
      <c r="U16" s="166" t="s">
        <v>105</v>
      </c>
      <c r="V16" s="166" t="s">
        <v>106</v>
      </c>
      <c r="W16" s="163">
        <f>IF(P16=[1]BD_CUSTO!$E$4,[1]BD_CUSTO!$F$4,[1]BD_CUSTO!$F$5)</f>
        <v>2430</v>
      </c>
      <c r="X16" s="163">
        <f>IF(Q16=[1]BD_CUSTO!$E$6,[1]BD_CUSTO!$F$6,[1]BD_CUSTO!$F$7)</f>
        <v>260</v>
      </c>
      <c r="Y16" s="163">
        <f>IF(R16=[1]BD_CUSTO!$E$8,[1]BD_CUSTO!$F$8,[1]BD_CUSTO!$F$9)</f>
        <v>600</v>
      </c>
      <c r="Z16" s="163">
        <f>IF(S16=[1]BD_CUSTO!$E$10,[1]BD_CUSTO!$F$10,[1]BD_CUSTO!$F$11)</f>
        <v>500</v>
      </c>
      <c r="AA16" s="163">
        <f>IF(T16=[1]BD_CUSTO!$E$12,[1]BD_CUSTO!$F$12,[1]BD_CUSTO!$F$13)</f>
        <v>370</v>
      </c>
      <c r="AB16" s="163">
        <f>IF(U16=[1]BD_CUSTO!$E$14,[1]BD_CUSTO!$F$14,[1]BD_CUSTO!$F$15)</f>
        <v>90</v>
      </c>
      <c r="AC16" s="163">
        <f>IF(V16=[1]BD_CUSTO!$E$16,[1]BD_CUSTO!$F$16,[1]BD_CUSTO!$F$17)</f>
        <v>720</v>
      </c>
      <c r="AD16" s="166" t="s">
        <v>121</v>
      </c>
      <c r="AE16" s="166">
        <v>1</v>
      </c>
      <c r="AF16" s="166" t="s">
        <v>107</v>
      </c>
      <c r="AG16" s="166">
        <v>2</v>
      </c>
      <c r="AH16" s="166" t="s">
        <v>129</v>
      </c>
      <c r="AI16" s="166">
        <v>1</v>
      </c>
      <c r="AJ16" s="166" t="s">
        <v>108</v>
      </c>
      <c r="AK16" s="166">
        <v>1</v>
      </c>
      <c r="AL16" s="166" t="s">
        <v>109</v>
      </c>
      <c r="AM16" s="166">
        <v>1</v>
      </c>
      <c r="AN16" s="166" t="s">
        <v>111</v>
      </c>
      <c r="AO16" s="166">
        <v>1</v>
      </c>
      <c r="AP16" s="166" t="s">
        <v>110</v>
      </c>
      <c r="AQ16" s="166">
        <v>1</v>
      </c>
      <c r="AR16" s="166"/>
      <c r="AS16" s="166">
        <v>0</v>
      </c>
      <c r="AT16" s="166"/>
      <c r="AU16" s="166"/>
      <c r="AV16" s="166"/>
      <c r="AW16" s="166"/>
      <c r="AX16" s="163">
        <f>IF(AD16="",0,VLOOKUP(AD16,[1]BD_CUSTO!I:J,2,0)*AE16/E16)</f>
        <v>223.11032608695652</v>
      </c>
      <c r="AY16" s="163">
        <f>IF(AF16="",0,VLOOKUP(AF16,[1]BD_CUSTO!I:J,2,0)*AG16/E16)</f>
        <v>308.51130434782607</v>
      </c>
      <c r="AZ16" s="163">
        <f>IF(AH16="",0,VLOOKUP(AH16,[1]BD_CUSTO!I:J,2,0)*AI16/E16)</f>
        <v>498.49199275362321</v>
      </c>
      <c r="BA16" s="163">
        <f>IF(AJ16="",0,VLOOKUP(AJ16,[1]BD_CUSTO!I:J,2,0)*AK16/E16)</f>
        <v>41.938405797101453</v>
      </c>
      <c r="BB16" s="163">
        <f>IF(AL16="",0,VLOOKUP(AL16,[1]BD_CUSTO!I:J,2,0)*AM16/E16)</f>
        <v>12.590579710144928</v>
      </c>
      <c r="BC16" s="163">
        <f>IF(AN16="",0,VLOOKUP(AN16,[1]BD_CUSTO!I:J,2,0)*AO16/E16)</f>
        <v>29.347826086956523</v>
      </c>
      <c r="BD16" s="163">
        <f>IF(AP16="",0,VLOOKUP(AP16,[1]BD_CUSTO!I:J,2,0)*AQ16/E16)</f>
        <v>9.6014492753623184</v>
      </c>
      <c r="BE16" s="163">
        <f>IF(AR16="",0,VLOOKUP(AR16,CUSTO!I:J,2,0)*AS16/E16)</f>
        <v>0</v>
      </c>
      <c r="BF16" s="163">
        <f>IF(AT16="",0,VLOOKUP(AT16,[1]BD_CUSTO!I:J,2,0)*AU16/E16)</f>
        <v>0</v>
      </c>
      <c r="BG16" s="163">
        <f>IF(Tabela13[[#This Row],[LZ 10]]="",0,VLOOKUP(Tabela13[[#This Row],[LZ 10]],[1]BD_CUSTO!I:J,2,0)*Tabela13[[#This Row],[QTD922]]/E16)</f>
        <v>0</v>
      </c>
      <c r="BH16" s="166" t="s">
        <v>112</v>
      </c>
      <c r="BI16" s="210">
        <v>0.17</v>
      </c>
      <c r="BJ16" s="211" t="s">
        <v>113</v>
      </c>
      <c r="BK16" s="210">
        <v>0</v>
      </c>
      <c r="BL16" s="163">
        <f>IF(BH16=[1]BD_CUSTO!$M$6,[1]BD_CUSTO!$N$6)*BI16</f>
        <v>510.00000000000006</v>
      </c>
      <c r="BM16" s="163">
        <f>IF(BJ16=[1]BD_CUSTO!$M$4,[1]BD_CUSTO!$N$4,[1]BD_CUSTO!$N$5)*BK16</f>
        <v>0</v>
      </c>
      <c r="BN16" s="166" t="s">
        <v>114</v>
      </c>
      <c r="BO16" s="166">
        <v>376</v>
      </c>
      <c r="BP16" s="210">
        <f>Tabela13[[#This Row],[QTD ]]/Tabela13[[#This Row],[Nº UNDS]]</f>
        <v>0.6811594202898551</v>
      </c>
      <c r="BQ16" s="166" t="s">
        <v>123</v>
      </c>
      <c r="BR16" s="166">
        <v>28</v>
      </c>
      <c r="BS16" s="166" t="s">
        <v>116</v>
      </c>
      <c r="BT16" s="166">
        <v>0</v>
      </c>
      <c r="BU16" s="166" t="s">
        <v>16</v>
      </c>
      <c r="BV16" s="211">
        <v>0</v>
      </c>
      <c r="BW16" s="163">
        <f>IF(BN16=[1]BD_CUSTO!$Q$7,[1]BD_CUSTO!$R$7,[1]BD_CUSTO!$R$8)*BO16/E16</f>
        <v>1362.3188405797102</v>
      </c>
      <c r="BX16" s="163">
        <f>IF(BQ16=[1]BD_CUSTO!$Q$4,[1]BD_CUSTO!$R$4,[1]BD_CUSTO!$R$5)*BR16/E16</f>
        <v>50.724637681159422</v>
      </c>
      <c r="BY16" s="166">
        <f>IF(BS16=[1]BD_CUSTO!$Q$13,[1]BD_CUSTO!$R$13,[1]BD_CUSTO!$R$14)*BT16/E16</f>
        <v>0</v>
      </c>
      <c r="BZ16" s="163">
        <f>BV16*CUSTO!$R$10/E16</f>
        <v>0</v>
      </c>
      <c r="CA16" s="164">
        <f>SUM(Tabela13[[#This Row],[SOMA_PISO SALA E QUARTO]],Tabela13[[#This Row],[SOMA_PAREDE HIDR]],Tabela13[[#This Row],[SOMA_TETO]],Tabela13[[#This Row],[SOMA_BANCADA]],Tabela13[[#This Row],[SOMA_PEDRAS]])</f>
        <v>3990</v>
      </c>
      <c r="CB16" s="165" t="str">
        <f>IF(CA16&lt;=RÉGUAS!$D$4,"ACAB 01",IF(CA16&lt;=RÉGUAS!$F$4,"ACAB 02",IF(CA16&gt;RÉGUAS!$F$4,"ACAB 03",)))</f>
        <v>ACAB 02</v>
      </c>
      <c r="CC16" s="164">
        <f>SUM(Tabela13[[#This Row],[SOMA_LZ 01]:[SOMA_LZ 10]])</f>
        <v>1123.5918840579709</v>
      </c>
      <c r="CD16" s="166" t="str">
        <f>IF(CC16&lt;=RÉGUAS!$D$13,"LZ 01",IF(CC16&lt;=RÉGUAS!$F$13,"LZ 02",IF(CC16&lt;=RÉGUAS!$H$13,"LZ 03",IF(CC16&gt;RÉGUAS!$H$13,"LZ 04",))))</f>
        <v>LZ 02</v>
      </c>
      <c r="CE16" s="167">
        <f t="shared" si="1"/>
        <v>510.00000000000006</v>
      </c>
      <c r="CF16" s="166" t="str">
        <f>IF(CE16&lt;=RÉGUAS!$D$22,"TIP 01",IF(CE16&lt;=RÉGUAS!$F$22,"TIP 02",IF(CE16&gt;RÉGUAS!$F$22,"TIP 03",)))</f>
        <v>TIP 01</v>
      </c>
      <c r="CG16" s="167">
        <f t="shared" si="2"/>
        <v>1413.0434782608697</v>
      </c>
      <c r="CH16" s="166" t="str">
        <f>IF(CG16&lt;=RÉGUAS!$D$32,"VAGA 01",IF(CG16&lt;=RÉGUAS!$F$32,"VAGA 02",IF(CG16&gt;RÉGUAS!$F$32,"VAGA 03",)))</f>
        <v>VAGA 02</v>
      </c>
      <c r="CI16" s="168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8207.1195652173919</v>
      </c>
      <c r="CJ16" s="168" t="str">
        <f>IF(AND(G16="BLOCO",CI16&lt;=RÉGUAS!$D$40),"ELEV 01",IF(AND(G16="BLOCO",CI16&gt;RÉGUAS!$D$40),"ELEV 02",IF(AND(G16="TORRE",CI16&lt;=RÉGUAS!$K$40),"ELEV 01",IF(AND(G16="TORRE",CI16&lt;=RÉGUAS!$M$40),"ELEV 02",IF(AND(G16="TORRE",CI16&gt;RÉGUAS!$M$40),"ELEV 03",)))))</f>
        <v>ELEV 03</v>
      </c>
      <c r="CK16" s="85">
        <f>SUM(Tabela13[[#This Row],[TOTAL  ACAB]],Tabela13[[#This Row],[TOTAL LAZER ]],Tabela13[[#This Row],[TOTAL TIPOLOGIA]],Tabela13[[#This Row],[TOTAL VAGA]],Tabela13[[#This Row],[TOTAL ELEVADOR]])</f>
        <v>15243.754927536233</v>
      </c>
      <c r="CL16" s="72" t="str">
        <f>IF(AND(G16="BLOCO",CK16&lt;=RÉGUAS!$D$50),"ESSENCIAL",IF(AND(G16="BLOCO",CK16&lt;=RÉGUAS!$F$50),"ECO",IF(AND(G16="BLOCO",CK16&gt;RÉGUAS!$F$50),"BIO",IF(AND(G16="TORRE",CK16&lt;=RÉGUAS!$K$50),"ESSENCIAL",IF(AND(G16="TORRE",CK16&lt;=RÉGUAS!$M$50),"ECO",IF(AND(G16="TORRE",CK16&gt;RÉGUAS!$M$50),"BIO",))))))</f>
        <v>BIO</v>
      </c>
      <c r="CM16" s="28" t="str">
        <f>IF(AND(G16="BLOCO",CK16&gt;=RÉGUAS!$D$51,CK16&lt;=RÉGUAS!$D$50),"ESSENCIAL-10%",IF(AND(G16="BLOCO",CK16&gt;RÉGUAS!$D$50,CK16&lt;=RÉGUAS!$E$51),"ECO+10%",IF(AND(G16="BLOCO",CK16&gt;=RÉGUAS!$F$51,CK16&lt;=RÉGUAS!$F$50),"ECO-10%",IF(AND(G16="BLOCO",CK16&gt;RÉGUAS!$F$50,CK16&lt;=RÉGUAS!$G$51),"BIO+10%",IF(AND(G16="TORRE",CK16&gt;=RÉGUAS!$K$51,CK16&lt;=RÉGUAS!$K$50),"ESSENCIAL-10%",IF(AND(G16="TORRE",CK16&gt;RÉGUAS!$K$50,CK16&lt;=RÉGUAS!$L$51),"ECO+10%",IF(AND(G16="TORRE",CK16&gt;=RÉGUAS!$M$51,CK16&lt;=RÉGUAS!$M$50),"ECO-10%",IF(AND(G16="TORRE",CK16&gt;RÉGUAS!$M$50,CK16&lt;=RÉGUAS!$N$51),"BIO+10%","-"))))))))</f>
        <v>BIO+10%</v>
      </c>
      <c r="CN16" s="73">
        <f t="shared" si="3"/>
        <v>7036.6353623188406</v>
      </c>
      <c r="CO16" s="72" t="str">
        <f>IF(CN16&lt;=RÉGUAS!$D$58,"ESSENCIAL",IF(CN16&lt;=RÉGUAS!$F$58,"ECO",IF(CN16&gt;RÉGUAS!$F$58,"BIO",)))</f>
        <v>ECO</v>
      </c>
      <c r="CP16" s="72" t="str">
        <f>IF(Tabela13[[#This Row],[INTERVALO DE INTERSEÇÃO 5D]]="-",Tabela13[[#This Row],[CLASSIFICAÇÃO 
5D ]],Tabela13[[#This Row],[CLASSIFICAÇÃO 
4D]])</f>
        <v>ECO</v>
      </c>
      <c r="CQ16" s="72" t="str">
        <f t="shared" si="4"/>
        <v>-</v>
      </c>
      <c r="CR16" s="72" t="str">
        <f t="shared" si="5"/>
        <v>ECO</v>
      </c>
      <c r="CS16" s="22" t="str">
        <f>IF(Tabela13[[#This Row],[PRODUTO ATUAL ]]=Tabela13[[#This Row],[CLASSIFICAÇÃO FINAL 5D]],"ADERÊNTE","NÃO ADERÊNTE")</f>
        <v>NÃO ADERÊNTE</v>
      </c>
      <c r="CT16" s="163">
        <f>SUM(Tabela13[[#This Row],[TOTAL  ACAB]],Tabela13[[#This Row],[TOTAL LAZER ]],Tabela13[[#This Row],[TOTAL TIPOLOGIA]],Tabela13[[#This Row],[TOTAL VAGA]])</f>
        <v>7036.6353623188406</v>
      </c>
      <c r="CU16" s="166" t="str">
        <f>IF(CT16&lt;=RÉGUAS!$D$58,"ESSENCIAL",IF(CT16&lt;=RÉGUAS!$F$58,"ECO",IF(CT16&gt;RÉGUAS!$F$58,"BIO",)))</f>
        <v>ECO</v>
      </c>
      <c r="CV16" s="166" t="str">
        <f>IF(AND(CT16&gt;=RÉGUAS!$D$59,CT16&lt;=RÉGUAS!$E$59),"ESSENCIAL/ECO",IF(AND(CT16&gt;=RÉGUAS!$F$59,CT16&lt;=RÉGUAS!$G$59),"ECO/BIO","-"))</f>
        <v>ESSENCIAL/ECO</v>
      </c>
      <c r="CW16" s="85">
        <f>SUM(Tabela13[[#This Row],[TOTAL LAZER ]],Tabela13[[#This Row],[TOTAL TIPOLOGIA]])</f>
        <v>1633.5918840579709</v>
      </c>
      <c r="CX16" s="166" t="str">
        <f>IF(CW16&lt;=RÉGUAS!$D$72,"ESSENCIAL",IF(CW16&lt;=RÉGUAS!$F$72,"ECO",IF(CN16&gt;RÉGUAS!$F$72,"BIO",)))</f>
        <v>ESSENCIAL</v>
      </c>
      <c r="CY16" s="166" t="str">
        <f t="shared" si="6"/>
        <v>ESSENCIAL</v>
      </c>
      <c r="CZ16" s="166" t="str">
        <f>IF(Tabela13[[#This Row],[PRODUTO ATUAL ]]=CY16,"ADERENTE","NÃO ADERENTE")</f>
        <v>ADERENTE</v>
      </c>
      <c r="DA16" s="166" t="str">
        <f>IF(Tabela13[[#This Row],[PRODUTO ATUAL ]]=Tabela13[[#This Row],[CLASSIFICAÇÃO 
4D2]],"ADERENTE","NÃO ADERENTE")</f>
        <v>NÃO ADERENTE</v>
      </c>
    </row>
    <row r="17" spans="2:105" hidden="1" x14ac:dyDescent="0.35">
      <c r="B17" s="27">
        <v>39</v>
      </c>
      <c r="C17" s="22" t="s">
        <v>162</v>
      </c>
      <c r="D17" s="22" t="s">
        <v>118</v>
      </c>
      <c r="E17" s="23">
        <v>312</v>
      </c>
      <c r="F17" s="22" t="str">
        <f t="shared" si="0"/>
        <v>De 200 a 400 und</v>
      </c>
      <c r="G17" s="22" t="s">
        <v>14</v>
      </c>
      <c r="H17" s="36">
        <v>2</v>
      </c>
      <c r="I17" s="36">
        <v>13</v>
      </c>
      <c r="J17" s="36"/>
      <c r="K17" s="36"/>
      <c r="L17" s="36">
        <f>SUM(Tabela13[[#This Row],[QTD DE B/T 2]],Tabela13[[#This Row],[QTD DE B/T]])</f>
        <v>2</v>
      </c>
      <c r="M17" s="22">
        <v>4</v>
      </c>
      <c r="N17" s="22">
        <f>Tabela13[[#This Row],[ELEVADOR]]/Tabela13[[#This Row],[BLOCO TOTAL]]</f>
        <v>2</v>
      </c>
      <c r="O17" s="22" t="s">
        <v>6</v>
      </c>
      <c r="P17" s="22" t="s">
        <v>119</v>
      </c>
      <c r="Q17" s="22" t="s">
        <v>101</v>
      </c>
      <c r="R17" s="22" t="s">
        <v>142</v>
      </c>
      <c r="S17" s="22" t="s">
        <v>103</v>
      </c>
      <c r="T17" s="22" t="s">
        <v>104</v>
      </c>
      <c r="U17" s="22" t="s">
        <v>105</v>
      </c>
      <c r="V17" s="22" t="s">
        <v>106</v>
      </c>
      <c r="W17" s="24">
        <f>IF(P17=[1]BD_CUSTO!$E$4,[1]BD_CUSTO!$F$4,[1]BD_CUSTO!$F$5)</f>
        <v>530</v>
      </c>
      <c r="X17" s="24">
        <f>IF(Q17=[1]BD_CUSTO!$E$6,[1]BD_CUSTO!$F$6,[1]BD_CUSTO!$F$7)</f>
        <v>260</v>
      </c>
      <c r="Y17" s="24">
        <f>IF(R17=[1]BD_CUSTO!$E$8,[1]BD_CUSTO!$F$8,[1]BD_CUSTO!$F$9)</f>
        <v>900</v>
      </c>
      <c r="Z17" s="24">
        <f>IF(S17=[1]BD_CUSTO!$E$10,[1]BD_CUSTO!$F$10,[1]BD_CUSTO!$F$11)</f>
        <v>500</v>
      </c>
      <c r="AA17" s="24">
        <f>IF(T17=[1]BD_CUSTO!$E$12,[1]BD_CUSTO!$F$12,[1]BD_CUSTO!$F$13)</f>
        <v>370</v>
      </c>
      <c r="AB17" s="24">
        <f>IF(U17=[1]BD_CUSTO!$E$14,[1]BD_CUSTO!$F$14,[1]BD_CUSTO!$F$15)</f>
        <v>90</v>
      </c>
      <c r="AC17" s="24">
        <f>IF(V17=[1]BD_CUSTO!$E$16,[1]BD_CUSTO!$F$16,[1]BD_CUSTO!$F$17)</f>
        <v>720</v>
      </c>
      <c r="AD17" s="22" t="s">
        <v>110</v>
      </c>
      <c r="AE17" s="22">
        <v>1</v>
      </c>
      <c r="AF17" s="22" t="s">
        <v>107</v>
      </c>
      <c r="AG17" s="22">
        <v>1</v>
      </c>
      <c r="AH17" s="22" t="s">
        <v>121</v>
      </c>
      <c r="AI17" s="22">
        <v>1</v>
      </c>
      <c r="AJ17" s="22" t="s">
        <v>109</v>
      </c>
      <c r="AK17" s="22">
        <v>1</v>
      </c>
      <c r="AL17" s="22" t="s">
        <v>108</v>
      </c>
      <c r="AM17" s="22">
        <v>1</v>
      </c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4">
        <f>IF(AD17="",0,VLOOKUP(AD17,[1]BD_CUSTO!I:J,2,0)*AE17/E17)</f>
        <v>16.987179487179485</v>
      </c>
      <c r="AY17" s="24">
        <f>IF(AF17="",0,VLOOKUP(AF17,[1]BD_CUSTO!I:J,2,0)*AG17/E17)</f>
        <v>272.91384615384612</v>
      </c>
      <c r="AZ17" s="24">
        <f>IF(AH17="",0,VLOOKUP(AH17,[1]BD_CUSTO!I:J,2,0)*AI17/E17)</f>
        <v>394.7336538461538</v>
      </c>
      <c r="BA17" s="24">
        <f>IF(AJ17="",0,VLOOKUP(AJ17,[1]BD_CUSTO!I:J,2,0)*AK17/E17)</f>
        <v>22.275641025641026</v>
      </c>
      <c r="BB17" s="24">
        <f>IF(AL17="",0,VLOOKUP(AL17,[1]BD_CUSTO!I:J,2,0)*AM17/E17)</f>
        <v>74.198717948717942</v>
      </c>
      <c r="BC17" s="24">
        <f>IF(AN17="",0,VLOOKUP(AN17,[1]BD_CUSTO!I:J,2,0)*AO17/E17)</f>
        <v>0</v>
      </c>
      <c r="BD17" s="24">
        <f>IF(AP17="",0,VLOOKUP(AP17,[1]BD_CUSTO!I:J,2,0)*AQ17/E17)</f>
        <v>0</v>
      </c>
      <c r="BE17" s="24">
        <f>IF(AR17="",0,VLOOKUP(AR17,CUSTO!I:J,2,0)*AS17/E17)</f>
        <v>0</v>
      </c>
      <c r="BF17" s="24">
        <f>IF(AT17="",0,VLOOKUP(AT17,[1]BD_CUSTO!I:J,2,0)*AU17/E17)</f>
        <v>0</v>
      </c>
      <c r="BG17" s="24">
        <f>IF(Tabela13[[#This Row],[LZ 10]]="",0,VLOOKUP(Tabela13[[#This Row],[LZ 10]],[1]BD_CUSTO!I:J,2,0)*Tabela13[[#This Row],[QTD922]]/E17)</f>
        <v>0</v>
      </c>
      <c r="BH17" s="22" t="s">
        <v>112</v>
      </c>
      <c r="BI17" s="25">
        <f>208/Tabela13[[#This Row],[Nº UNDS]]</f>
        <v>0.66666666666666663</v>
      </c>
      <c r="BJ17" s="22" t="s">
        <v>113</v>
      </c>
      <c r="BK17" s="25">
        <v>0</v>
      </c>
      <c r="BL17" s="24">
        <f>IF(BH17=[1]BD_CUSTO!$M$6,[1]BD_CUSTO!$N$6)*BI17</f>
        <v>2000</v>
      </c>
      <c r="BM17" s="24">
        <f>IF(BJ17=[1]BD_CUSTO!$M$4,[1]BD_CUSTO!$N$4,[1]BD_CUSTO!$N$5)*BK17</f>
        <v>0</v>
      </c>
      <c r="BN17" s="22" t="s">
        <v>114</v>
      </c>
      <c r="BO17" s="22">
        <f>30+2+1</f>
        <v>33</v>
      </c>
      <c r="BP17" s="25">
        <f>Tabela13[[#This Row],[QTD ]]/Tabela13[[#This Row],[Nº UNDS]]</f>
        <v>0.10576923076923077</v>
      </c>
      <c r="BQ17" s="22" t="s">
        <v>123</v>
      </c>
      <c r="BR17" s="22">
        <v>2</v>
      </c>
      <c r="BS17" s="22" t="s">
        <v>116</v>
      </c>
      <c r="BT17" s="22">
        <v>0</v>
      </c>
      <c r="BU17" s="22" t="s">
        <v>16</v>
      </c>
      <c r="BV17" s="22">
        <v>0</v>
      </c>
      <c r="BW17" s="24">
        <f>IF(BN17=[1]BD_CUSTO!$Q$7,[1]BD_CUSTO!$R$7,[1]BD_CUSTO!$R$8)*BO17/E17</f>
        <v>211.53846153846155</v>
      </c>
      <c r="BX17" s="24">
        <f>IF(BQ17=[1]BD_CUSTO!$Q$4,[1]BD_CUSTO!$R$4,[1]BD_CUSTO!$R$5)*BR17/E17</f>
        <v>6.4102564102564106</v>
      </c>
      <c r="BY17" s="22">
        <f>IF(BS17=[1]BD_CUSTO!$Q$13,[1]BD_CUSTO!$R$13,[1]BD_CUSTO!$R$14)*BT17/E17</f>
        <v>0</v>
      </c>
      <c r="BZ17" s="24">
        <f>BV17*CUSTO!$R$10/E17</f>
        <v>0</v>
      </c>
      <c r="CA17" s="178">
        <f>SUM(Tabela13[[#This Row],[SOMA_PISO SALA E QUARTO]],Tabela13[[#This Row],[SOMA_PAREDE HIDR]],Tabela13[[#This Row],[SOMA_TETO]],Tabela13[[#This Row],[SOMA_BANCADA]],Tabela13[[#This Row],[SOMA_PEDRAS]])</f>
        <v>2390</v>
      </c>
      <c r="CB17" s="27" t="str">
        <f>IF(CA17&lt;=RÉGUAS!$D$4,"ACAB 01",IF(CA17&lt;=RÉGUAS!$F$4,"ACAB 02",IF(CA17&gt;RÉGUAS!$F$4,"ACAB 03",)))</f>
        <v>ACAB 01</v>
      </c>
      <c r="CC17" s="26">
        <f>SUM(Tabela13[[#This Row],[SOMA_LZ 01]:[SOMA_LZ 10]])</f>
        <v>781.10903846153838</v>
      </c>
      <c r="CD17" s="22" t="str">
        <f>IF(CC17&lt;=RÉGUAS!$D$13,"LZ 01",IF(CC17&lt;=RÉGUAS!$F$13,"LZ 02",IF(CC17&lt;=RÉGUAS!$H$13,"LZ 03",IF(CC17&gt;RÉGUAS!$H$13,"LZ 04",))))</f>
        <v>LZ 01</v>
      </c>
      <c r="CE17" s="28">
        <f t="shared" si="1"/>
        <v>2000</v>
      </c>
      <c r="CF17" s="22" t="str">
        <f>IF(CE17&lt;=RÉGUAS!$D$22,"TIP 01",IF(CE17&lt;=RÉGUAS!$F$22,"TIP 02",IF(CE17&gt;RÉGUAS!$F$22,"TIP 03",)))</f>
        <v>TIP 02</v>
      </c>
      <c r="CG17" s="28">
        <f t="shared" si="2"/>
        <v>217.94871794871796</v>
      </c>
      <c r="CH17" s="22" t="str">
        <f>IF(CG17&lt;=RÉGUAS!$D$32,"VAGA 01",IF(CG17&lt;=RÉGUAS!$F$32,"VAGA 02",IF(CG17&gt;RÉGUAS!$F$32,"VAGA 03",)))</f>
        <v>VAGA 01</v>
      </c>
      <c r="CI17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2796.5</v>
      </c>
      <c r="CJ17" s="85" t="str">
        <f>IF(AND(G17="BLOCO",CI17&lt;=RÉGUAS!$D$40),"ELEV 01",IF(AND(G17="BLOCO",CI17&gt;RÉGUAS!$D$40),"ELEV 02",IF(AND(G17="TORRE",CI17&lt;=RÉGUAS!$K$40),"ELEV 01",IF(AND(G17="TORRE",CI17&lt;=RÉGUAS!$M$40),"ELEV 02",IF(AND(G17="TORRE",CI17&gt;RÉGUAS!$M$40),"ELEV 03",)))))</f>
        <v>ELEV 03</v>
      </c>
      <c r="CK17" s="85">
        <f>SUM(Tabela13[[#This Row],[TOTAL  ACAB]],Tabela13[[#This Row],[TOTAL LAZER ]],Tabela13[[#This Row],[TOTAL TIPOLOGIA]],Tabela13[[#This Row],[TOTAL VAGA]],Tabela13[[#This Row],[TOTAL ELEVADOR]])</f>
        <v>8185.5577564102559</v>
      </c>
      <c r="CL17" s="72" t="str">
        <f>IF(AND(G17="BLOCO",CK17&lt;=RÉGUAS!$D$50),"ESSENCIAL",IF(AND(G17="BLOCO",CK17&lt;=RÉGUAS!$F$50),"ECO",IF(AND(G17="BLOCO",CK17&gt;RÉGUAS!$F$50),"BIO",IF(AND(G17="TORRE",CK17&lt;=RÉGUAS!$K$50),"ESSENCIAL",IF(AND(G17="TORRE",CK17&lt;=RÉGUAS!$M$50),"ECO",IF(AND(G17="TORRE",CK17&gt;RÉGUAS!$M$50),"BIO",))))))</f>
        <v>ESSENCIAL</v>
      </c>
      <c r="CM17" s="28" t="str">
        <f>IF(AND(G17="BLOCO",CK17&gt;=RÉGUAS!$D$51,CK17&lt;=RÉGUAS!$D$50),"ESSENCIAL-10%",IF(AND(G17="BLOCO",CK17&gt;RÉGUAS!$D$50,CK17&lt;=RÉGUAS!$E$51),"ECO+10%",IF(AND(G17="BLOCO",CK17&gt;=RÉGUAS!$F$51,CK17&lt;=RÉGUAS!$F$50),"ECO-10%",IF(AND(G17="BLOCO",CK17&gt;RÉGUAS!$F$50,CK17&lt;=RÉGUAS!$G$51),"BIO+10%",IF(AND(G17="TORRE",CK17&gt;=RÉGUAS!$K$51,CK17&lt;=RÉGUAS!$K$50),"ESSENCIAL-10%",IF(AND(G17="TORRE",CK17&gt;RÉGUAS!$K$50,CK17&lt;=RÉGUAS!$L$51),"ECO+10%",IF(AND(G17="TORRE",CK17&gt;=RÉGUAS!$M$51,CK17&lt;=RÉGUAS!$M$50),"ECO-10%",IF(AND(G17="TORRE",CK17&gt;RÉGUAS!$M$50,CK17&lt;=RÉGUAS!$N$51),"BIO+10%","-"))))))))</f>
        <v>-</v>
      </c>
      <c r="CN17" s="73">
        <f t="shared" si="3"/>
        <v>5389.0577564102559</v>
      </c>
      <c r="CO17" s="72" t="str">
        <f>IF(CN17&lt;=RÉGUAS!$D$58,"ESSENCIAL",IF(CN17&lt;=RÉGUAS!$F$58,"ECO",IF(CN17&gt;RÉGUAS!$F$58,"BIO",)))</f>
        <v>ESSENCIAL</v>
      </c>
      <c r="CP17" s="72" t="str">
        <f>IF(Tabela13[[#This Row],[INTERVALO DE INTERSEÇÃO 5D]]="-",Tabela13[[#This Row],[CLASSIFICAÇÃO 
5D ]],Tabela13[[#This Row],[CLASSIFICAÇÃO 
4D]])</f>
        <v>ESSENCIAL</v>
      </c>
      <c r="CQ17" s="72" t="str">
        <f t="shared" si="4"/>
        <v>-</v>
      </c>
      <c r="CR17" s="72" t="str">
        <f t="shared" si="5"/>
        <v>ESSENCIAL</v>
      </c>
      <c r="CS17" s="22" t="str">
        <f>IF(Tabela13[[#This Row],[PRODUTO ATUAL ]]=Tabela13[[#This Row],[CLASSIFICAÇÃO FINAL 5D]],"ADERÊNTE","NÃO ADERÊNTE")</f>
        <v>ADERÊNTE</v>
      </c>
      <c r="CT17" s="24">
        <f>SUM(Tabela13[[#This Row],[TOTAL  ACAB]],Tabela13[[#This Row],[TOTAL LAZER ]],Tabela13[[#This Row],[TOTAL TIPOLOGIA]],Tabela13[[#This Row],[TOTAL VAGA]])</f>
        <v>5389.0577564102559</v>
      </c>
      <c r="CU17" s="22" t="str">
        <f>IF(CT17&lt;=RÉGUAS!$D$58,"ESSENCIAL",IF(CT17&lt;=RÉGUAS!$F$58,"ECO",IF(CT17&gt;RÉGUAS!$F$58,"BIO",)))</f>
        <v>ESSENCIAL</v>
      </c>
      <c r="CV17" s="22" t="str">
        <f>IF(AND(CT17&gt;=RÉGUAS!$D$59,CT17&lt;=RÉGUAS!$E$59),"ESSENCIAL/ECO",IF(AND(CT17&gt;=RÉGUAS!$F$59,CT17&lt;=RÉGUAS!$G$59),"ECO/BIO","-"))</f>
        <v>-</v>
      </c>
      <c r="CW17" s="85">
        <f>SUM(Tabela13[[#This Row],[TOTAL LAZER ]],Tabela13[[#This Row],[TOTAL TIPOLOGIA]])</f>
        <v>2781.1090384615381</v>
      </c>
      <c r="CX17" s="22" t="str">
        <f>IF(CW17&lt;=RÉGUAS!$D$72,"ESSENCIAL",IF(CW17&lt;=RÉGUAS!$F$72,"ECO",IF(CN17&gt;RÉGUAS!$F$72,"BIO",)))</f>
        <v>ECO</v>
      </c>
      <c r="CY17" s="22" t="str">
        <f t="shared" si="6"/>
        <v>ESSENCIAL</v>
      </c>
      <c r="CZ17" s="22" t="str">
        <f>IF(Tabela13[[#This Row],[PRODUTO ATUAL ]]=CY17,"ADERENTE","NÃO ADERENTE")</f>
        <v>ADERENTE</v>
      </c>
      <c r="DA17" s="22" t="str">
        <f>IF(Tabela13[[#This Row],[PRODUTO ATUAL ]]=Tabela13[[#This Row],[CLASSIFICAÇÃO 
4D2]],"ADERENTE","NÃO ADERENTE")</f>
        <v>ADERENTE</v>
      </c>
    </row>
    <row r="18" spans="2:105" hidden="1" x14ac:dyDescent="0.35">
      <c r="B18" s="27">
        <v>35</v>
      </c>
      <c r="C18" s="22" t="s">
        <v>171</v>
      </c>
      <c r="D18" s="22" t="s">
        <v>118</v>
      </c>
      <c r="E18" s="23">
        <v>1064</v>
      </c>
      <c r="F18" s="22" t="str">
        <f t="shared" si="0"/>
        <v>Acima de 400 und</v>
      </c>
      <c r="G18" s="22" t="s">
        <v>14</v>
      </c>
      <c r="H18" s="36">
        <v>5</v>
      </c>
      <c r="I18" s="36">
        <v>18</v>
      </c>
      <c r="J18" s="36"/>
      <c r="K18" s="36"/>
      <c r="L18" s="36">
        <f>SUM(Tabela13[[#This Row],[QTD DE B/T 2]],Tabela13[[#This Row],[QTD DE B/T]])</f>
        <v>5</v>
      </c>
      <c r="M18" s="22">
        <v>20</v>
      </c>
      <c r="N18" s="22">
        <f>Tabela13[[#This Row],[ELEVADOR]]/Tabela13[[#This Row],[BLOCO TOTAL]]</f>
        <v>4</v>
      </c>
      <c r="O18" s="22" t="s">
        <v>6</v>
      </c>
      <c r="P18" s="22" t="s">
        <v>119</v>
      </c>
      <c r="Q18" s="22" t="s">
        <v>101</v>
      </c>
      <c r="R18" s="22" t="s">
        <v>142</v>
      </c>
      <c r="S18" s="22" t="s">
        <v>103</v>
      </c>
      <c r="T18" s="22" t="s">
        <v>104</v>
      </c>
      <c r="U18" s="22" t="s">
        <v>105</v>
      </c>
      <c r="V18" s="22" t="s">
        <v>106</v>
      </c>
      <c r="W18" s="24">
        <f>IF(P18=[1]BD_CUSTO!$E$4,[1]BD_CUSTO!$F$4,[1]BD_CUSTO!$F$5)</f>
        <v>530</v>
      </c>
      <c r="X18" s="24">
        <f>IF(Q18=[1]BD_CUSTO!$E$6,[1]BD_CUSTO!$F$6,[1]BD_CUSTO!$F$7)</f>
        <v>260</v>
      </c>
      <c r="Y18" s="24">
        <f>IF(R18=[1]BD_CUSTO!$E$8,[1]BD_CUSTO!$F$8,[1]BD_CUSTO!$F$9)</f>
        <v>900</v>
      </c>
      <c r="Z18" s="24">
        <f>IF(S18=[1]BD_CUSTO!$E$10,[1]BD_CUSTO!$F$10,[1]BD_CUSTO!$F$11)</f>
        <v>500</v>
      </c>
      <c r="AA18" s="24">
        <f>IF(T18=[1]BD_CUSTO!$E$12,[1]BD_CUSTO!$F$12,[1]BD_CUSTO!$F$13)</f>
        <v>370</v>
      </c>
      <c r="AB18" s="24">
        <f>IF(U18=[1]BD_CUSTO!$E$14,[1]BD_CUSTO!$F$14,[1]BD_CUSTO!$F$15)</f>
        <v>90</v>
      </c>
      <c r="AC18" s="24">
        <f>IF(V18=[1]BD_CUSTO!$E$16,[1]BD_CUSTO!$F$16,[1]BD_CUSTO!$F$17)</f>
        <v>720</v>
      </c>
      <c r="AD18" s="22" t="s">
        <v>135</v>
      </c>
      <c r="AE18" s="22">
        <v>1</v>
      </c>
      <c r="AF18" s="22" t="s">
        <v>107</v>
      </c>
      <c r="AG18" s="22">
        <v>2</v>
      </c>
      <c r="AH18" s="22" t="s">
        <v>121</v>
      </c>
      <c r="AI18" s="22">
        <v>1</v>
      </c>
      <c r="AJ18" s="22" t="s">
        <v>139</v>
      </c>
      <c r="AK18" s="22">
        <v>1</v>
      </c>
      <c r="AL18" s="22" t="s">
        <v>108</v>
      </c>
      <c r="AM18" s="22">
        <v>1</v>
      </c>
      <c r="AN18" s="22" t="s">
        <v>110</v>
      </c>
      <c r="AO18" s="22">
        <v>1</v>
      </c>
      <c r="AP18" s="22"/>
      <c r="AQ18" s="22"/>
      <c r="AR18" s="22"/>
      <c r="AS18" s="22"/>
      <c r="AT18" s="22"/>
      <c r="AU18" s="22"/>
      <c r="AV18" s="22"/>
      <c r="AW18" s="22"/>
      <c r="AX18" s="24">
        <f>IF(AD18="",0,VLOOKUP(AD18,[1]BD_CUSTO!I:J,2,0)*AE18/E18)</f>
        <v>118.48556390977444</v>
      </c>
      <c r="AY18" s="24">
        <f>IF(AF18="",0,VLOOKUP(AF18,[1]BD_CUSTO!I:J,2,0)*AG18/E18)</f>
        <v>160.05473684210526</v>
      </c>
      <c r="AZ18" s="24">
        <f>IF(AH18="",0,VLOOKUP(AH18,[1]BD_CUSTO!I:J,2,0)*AI18/E18)</f>
        <v>115.74896616541353</v>
      </c>
      <c r="BA18" s="24">
        <f>IF(AJ18="",0,VLOOKUP(AJ18,[1]BD_CUSTO!I:J,2,0)*AK18/E18)</f>
        <v>58.417593984962409</v>
      </c>
      <c r="BB18" s="24">
        <f>IF(AL18="",0,VLOOKUP(AL18,[1]BD_CUSTO!I:J,2,0)*AM18/E18)</f>
        <v>21.757518796992482</v>
      </c>
      <c r="BC18" s="24">
        <f>IF(AN18="",0,VLOOKUP(AN18,[1]BD_CUSTO!I:J,2,0)*AO18/E18)</f>
        <v>4.981203007518797</v>
      </c>
      <c r="BD18" s="24">
        <f>IF(AP18="",0,VLOOKUP(AP18,[1]BD_CUSTO!I:J,2,0)*AQ18/E18)</f>
        <v>0</v>
      </c>
      <c r="BE18" s="24">
        <f>IF(AR18="",0,VLOOKUP(AR18,CUSTO!I:J,2,0)*AS18/E18)</f>
        <v>0</v>
      </c>
      <c r="BF18" s="24">
        <f>IF(AT18="",0,VLOOKUP(AT18,[1]BD_CUSTO!I:J,2,0)*AU18/E18)</f>
        <v>0</v>
      </c>
      <c r="BG18" s="24">
        <f>IF(Tabela13[[#This Row],[LZ 10]]="",0,VLOOKUP(Tabela13[[#This Row],[LZ 10]],[1]BD_CUSTO!I:J,2,0)*Tabela13[[#This Row],[QTD922]]/E18)</f>
        <v>0</v>
      </c>
      <c r="BH18" s="22" t="s">
        <v>122</v>
      </c>
      <c r="BI18" s="25">
        <v>0</v>
      </c>
      <c r="BJ18" s="22" t="s">
        <v>113</v>
      </c>
      <c r="BK18" s="25">
        <v>0</v>
      </c>
      <c r="BL18" s="24">
        <f>IF(BH18=[1]BD_CUSTO!$M$6,[1]BD_CUSTO!$N$6)*BI18</f>
        <v>0</v>
      </c>
      <c r="BM18" s="24">
        <f>IF(BJ18=[1]BD_CUSTO!$M$4,[1]BD_CUSTO!$N$4,[1]BD_CUSTO!$N$5)*BK18</f>
        <v>0</v>
      </c>
      <c r="BN18" s="22" t="s">
        <v>114</v>
      </c>
      <c r="BO18" s="22">
        <v>159</v>
      </c>
      <c r="BP18" s="25">
        <f>Tabela13[[#This Row],[QTD ]]/Tabela13[[#This Row],[Nº UNDS]]</f>
        <v>0.14943609022556392</v>
      </c>
      <c r="BQ18" s="22" t="s">
        <v>115</v>
      </c>
      <c r="BR18" s="22">
        <v>0</v>
      </c>
      <c r="BS18" s="22" t="s">
        <v>116</v>
      </c>
      <c r="BT18" s="22">
        <v>0</v>
      </c>
      <c r="BU18" s="22" t="s">
        <v>16</v>
      </c>
      <c r="BV18" s="22">
        <v>0</v>
      </c>
      <c r="BW18" s="24">
        <f>IF(BN18=[1]BD_CUSTO!$Q$7,[1]BD_CUSTO!$R$7,[1]BD_CUSTO!$R$8)*BO18/E18</f>
        <v>298.8721804511278</v>
      </c>
      <c r="BX18" s="24">
        <f>IF(BQ18=[1]BD_CUSTO!$Q$4,[1]BD_CUSTO!$R$4,[1]BD_CUSTO!$R$5)*BR18/E18</f>
        <v>0</v>
      </c>
      <c r="BY18" s="22">
        <f>IF(BS18=[1]BD_CUSTO!$Q$13,[1]BD_CUSTO!$R$13,[1]BD_CUSTO!$R$14)*BT18/E18</f>
        <v>0</v>
      </c>
      <c r="BZ18" s="24">
        <f>BV18*CUSTO!$R$10/E18</f>
        <v>0</v>
      </c>
      <c r="CA18" s="178">
        <f>SUM(Tabela13[[#This Row],[SOMA_PISO SALA E QUARTO]],Tabela13[[#This Row],[SOMA_PAREDE HIDR]],Tabela13[[#This Row],[SOMA_TETO]],Tabela13[[#This Row],[SOMA_BANCADA]],Tabela13[[#This Row],[SOMA_PEDRAS]])</f>
        <v>2390</v>
      </c>
      <c r="CB18" s="27" t="str">
        <f>IF(CA18&lt;=RÉGUAS!$D$4,"ACAB 01",IF(CA18&lt;=RÉGUAS!$F$4,"ACAB 02",IF(CA18&gt;RÉGUAS!$F$4,"ACAB 03",)))</f>
        <v>ACAB 01</v>
      </c>
      <c r="CC18" s="26">
        <f>SUM(Tabela13[[#This Row],[SOMA_LZ 01]:[SOMA_LZ 10]])</f>
        <v>479.44558270676697</v>
      </c>
      <c r="CD18" s="22" t="str">
        <f>IF(CC18&lt;=RÉGUAS!$D$13,"LZ 01",IF(CC18&lt;=RÉGUAS!$F$13,"LZ 02",IF(CC18&lt;=RÉGUAS!$H$13,"LZ 03",IF(CC18&gt;RÉGUAS!$H$13,"LZ 04",))))</f>
        <v>LZ 01</v>
      </c>
      <c r="CE18" s="28">
        <f t="shared" si="1"/>
        <v>0</v>
      </c>
      <c r="CF18" s="22" t="str">
        <f>IF(CE18&lt;=RÉGUAS!$D$22,"TIP 01",IF(CE18&lt;=RÉGUAS!$F$22,"TIP 02",IF(CE18&gt;RÉGUAS!$F$22,"TIP 03",)))</f>
        <v>TIP 01</v>
      </c>
      <c r="CG18" s="28">
        <f t="shared" si="2"/>
        <v>298.8721804511278</v>
      </c>
      <c r="CH18" s="22" t="str">
        <f>IF(CG18&lt;=RÉGUAS!$D$32,"VAGA 01",IF(CG18&lt;=RÉGUAS!$F$32,"VAGA 02",IF(CG18&gt;RÉGUAS!$F$32,"VAGA 03",)))</f>
        <v>VAGA 01</v>
      </c>
      <c r="CI18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5677.105263157895</v>
      </c>
      <c r="CJ18" s="85" t="str">
        <f>IF(AND(G18="BLOCO",CI18&lt;=RÉGUAS!$D$40),"ELEV 01",IF(AND(G18="BLOCO",CI18&gt;RÉGUAS!$D$40),"ELEV 02",IF(AND(G18="TORRE",CI18&lt;=RÉGUAS!$K$40),"ELEV 01",IF(AND(G18="TORRE",CI18&lt;=RÉGUAS!$M$40),"ELEV 02",IF(AND(G18="TORRE",CI18&gt;RÉGUAS!$M$40),"ELEV 03",)))))</f>
        <v>ELEV 03</v>
      </c>
      <c r="CK18" s="85">
        <f>SUM(Tabela13[[#This Row],[TOTAL  ACAB]],Tabela13[[#This Row],[TOTAL LAZER ]],Tabela13[[#This Row],[TOTAL TIPOLOGIA]],Tabela13[[#This Row],[TOTAL VAGA]],Tabela13[[#This Row],[TOTAL ELEVADOR]])</f>
        <v>8845.4230263157897</v>
      </c>
      <c r="CL18" s="72" t="str">
        <f>IF(AND(G18="BLOCO",CK18&lt;=RÉGUAS!$D$50),"ESSENCIAL",IF(AND(G18="BLOCO",CK18&lt;=RÉGUAS!$F$50),"ECO",IF(AND(G18="BLOCO",CK18&gt;RÉGUAS!$F$50),"BIO",IF(AND(G18="TORRE",CK18&lt;=RÉGUAS!$K$50),"ESSENCIAL",IF(AND(G18="TORRE",CK18&lt;=RÉGUAS!$M$50),"ECO",IF(AND(G18="TORRE",CK18&gt;RÉGUAS!$M$50),"BIO",))))))</f>
        <v>ESSENCIAL</v>
      </c>
      <c r="CM18" s="28" t="str">
        <f>IF(AND(G18="BLOCO",CK18&gt;=RÉGUAS!$D$51,CK18&lt;=RÉGUAS!$D$50),"ESSENCIAL-10%",IF(AND(G18="BLOCO",CK18&gt;RÉGUAS!$D$50,CK18&lt;=RÉGUAS!$E$51),"ECO+10%",IF(AND(G18="BLOCO",CK18&gt;=RÉGUAS!$F$51,CK18&lt;=RÉGUAS!$F$50),"ECO-10%",IF(AND(G18="BLOCO",CK18&gt;RÉGUAS!$F$50,CK18&lt;=RÉGUAS!$G$51),"BIO+10%",IF(AND(G18="TORRE",CK18&gt;=RÉGUAS!$K$51,CK18&lt;=RÉGUAS!$K$50),"ESSENCIAL-10%",IF(AND(G18="TORRE",CK18&gt;RÉGUAS!$K$50,CK18&lt;=RÉGUAS!$L$51),"ECO+10%",IF(AND(G18="TORRE",CK18&gt;=RÉGUAS!$M$51,CK18&lt;=RÉGUAS!$M$50),"ECO-10%",IF(AND(G18="TORRE",CK18&gt;RÉGUAS!$M$50,CK18&lt;=RÉGUAS!$N$51),"BIO+10%","-"))))))))</f>
        <v>-</v>
      </c>
      <c r="CN18" s="73">
        <f t="shared" si="3"/>
        <v>3168.3177631578947</v>
      </c>
      <c r="CO18" s="72" t="str">
        <f>IF(CN18&lt;=RÉGUAS!$D$58,"ESSENCIAL",IF(CN18&lt;=RÉGUAS!$F$58,"ECO",IF(CN18&gt;RÉGUAS!$F$58,"BIO",)))</f>
        <v>ESSENCIAL</v>
      </c>
      <c r="CP18" s="72" t="str">
        <f>IF(Tabela13[[#This Row],[INTERVALO DE INTERSEÇÃO 5D]]="-",Tabela13[[#This Row],[CLASSIFICAÇÃO 
5D ]],Tabela13[[#This Row],[CLASSIFICAÇÃO 
4D]])</f>
        <v>ESSENCIAL</v>
      </c>
      <c r="CQ18" s="72" t="str">
        <f t="shared" si="4"/>
        <v>-</v>
      </c>
      <c r="CR18" s="72" t="str">
        <f t="shared" si="5"/>
        <v>ESSENCIAL</v>
      </c>
      <c r="CS18" s="22" t="str">
        <f>IF(Tabela13[[#This Row],[PRODUTO ATUAL ]]=Tabela13[[#This Row],[CLASSIFICAÇÃO FINAL 5D]],"ADERÊNTE","NÃO ADERÊNTE")</f>
        <v>ADERÊNTE</v>
      </c>
      <c r="CT18" s="24">
        <f>SUM(Tabela13[[#This Row],[TOTAL  ACAB]],Tabela13[[#This Row],[TOTAL LAZER ]],Tabela13[[#This Row],[TOTAL TIPOLOGIA]],Tabela13[[#This Row],[TOTAL VAGA]])</f>
        <v>3168.3177631578947</v>
      </c>
      <c r="CU18" s="22" t="str">
        <f>IF(CT18&lt;=RÉGUAS!$D$58,"ESSENCIAL",IF(CT18&lt;=RÉGUAS!$F$58,"ECO",IF(CT18&gt;RÉGUAS!$F$58,"BIO",)))</f>
        <v>ESSENCIAL</v>
      </c>
      <c r="CV18" s="22" t="str">
        <f>IF(AND(CT18&gt;=RÉGUAS!$D$59,CT18&lt;=RÉGUAS!$E$59),"ESSENCIAL/ECO",IF(AND(CT18&gt;=RÉGUAS!$F$59,CT18&lt;=RÉGUAS!$G$59),"ECO/BIO","-"))</f>
        <v>-</v>
      </c>
      <c r="CW18" s="85">
        <f>SUM(Tabela13[[#This Row],[TOTAL LAZER ]],Tabela13[[#This Row],[TOTAL TIPOLOGIA]])</f>
        <v>479.44558270676697</v>
      </c>
      <c r="CX18" s="22" t="str">
        <f>IF(CW18&lt;=RÉGUAS!$D$72,"ESSENCIAL",IF(CW18&lt;=RÉGUAS!$F$72,"ECO",IF(CN18&gt;RÉGUAS!$F$72,"BIO",)))</f>
        <v>ESSENCIAL</v>
      </c>
      <c r="CY18" s="22" t="str">
        <f t="shared" si="6"/>
        <v>ESSENCIAL</v>
      </c>
      <c r="CZ18" s="22" t="str">
        <f>IF(Tabela13[[#This Row],[PRODUTO ATUAL ]]=CY18,"ADERENTE","NÃO ADERENTE")</f>
        <v>ADERENTE</v>
      </c>
      <c r="DA18" s="22" t="str">
        <f>IF(Tabela13[[#This Row],[PRODUTO ATUAL ]]=Tabela13[[#This Row],[CLASSIFICAÇÃO 
4D2]],"ADERENTE","NÃO ADERENTE")</f>
        <v>ADERENTE</v>
      </c>
    </row>
    <row r="19" spans="2:105" hidden="1" x14ac:dyDescent="0.35">
      <c r="B19" s="27">
        <v>28</v>
      </c>
      <c r="C19" s="22" t="s">
        <v>166</v>
      </c>
      <c r="D19" s="22" t="s">
        <v>118</v>
      </c>
      <c r="E19" s="23">
        <v>709</v>
      </c>
      <c r="F19" s="22" t="str">
        <f t="shared" si="0"/>
        <v>Acima de 400 und</v>
      </c>
      <c r="G19" s="22" t="s">
        <v>14</v>
      </c>
      <c r="H19" s="36">
        <v>6</v>
      </c>
      <c r="I19" s="36">
        <v>10</v>
      </c>
      <c r="J19" s="36"/>
      <c r="K19" s="36"/>
      <c r="L19" s="36">
        <f>SUM(Tabela13[[#This Row],[QTD DE B/T 2]],Tabela13[[#This Row],[QTD DE B/T]])</f>
        <v>6</v>
      </c>
      <c r="M19" s="22">
        <v>12</v>
      </c>
      <c r="N19" s="22">
        <f>Tabela13[[#This Row],[ELEVADOR]]/Tabela13[[#This Row],[BLOCO TOTAL]]</f>
        <v>2</v>
      </c>
      <c r="O19" s="22" t="s">
        <v>6</v>
      </c>
      <c r="P19" s="22" t="s">
        <v>119</v>
      </c>
      <c r="Q19" s="22" t="s">
        <v>101</v>
      </c>
      <c r="R19" s="22" t="s">
        <v>142</v>
      </c>
      <c r="S19" s="22" t="s">
        <v>103</v>
      </c>
      <c r="T19" s="22" t="s">
        <v>104</v>
      </c>
      <c r="U19" s="22" t="s">
        <v>105</v>
      </c>
      <c r="V19" s="22" t="s">
        <v>106</v>
      </c>
      <c r="W19" s="24">
        <f>IF(P19=[1]BD_CUSTO!$E$4,[1]BD_CUSTO!$F$4,[1]BD_CUSTO!$F$5)</f>
        <v>530</v>
      </c>
      <c r="X19" s="24">
        <f>IF(Q19=[1]BD_CUSTO!$E$6,[1]BD_CUSTO!$F$6,[1]BD_CUSTO!$F$7)</f>
        <v>260</v>
      </c>
      <c r="Y19" s="24">
        <f>IF(R19=[1]BD_CUSTO!$E$8,[1]BD_CUSTO!$F$8,[1]BD_CUSTO!$F$9)</f>
        <v>900</v>
      </c>
      <c r="Z19" s="24">
        <f>IF(S19=[1]BD_CUSTO!$E$10,[1]BD_CUSTO!$F$10,[1]BD_CUSTO!$F$11)</f>
        <v>500</v>
      </c>
      <c r="AA19" s="24">
        <f>IF(T19=[1]BD_CUSTO!$E$12,[1]BD_CUSTO!$F$12,[1]BD_CUSTO!$F$13)</f>
        <v>370</v>
      </c>
      <c r="AB19" s="24">
        <f>IF(U19=[1]BD_CUSTO!$E$14,[1]BD_CUSTO!$F$14,[1]BD_CUSTO!$F$15)</f>
        <v>90</v>
      </c>
      <c r="AC19" s="24">
        <f>IF(V19=[1]BD_CUSTO!$E$16,[1]BD_CUSTO!$F$16,[1]BD_CUSTO!$F$17)</f>
        <v>720</v>
      </c>
      <c r="AD19" s="22" t="s">
        <v>121</v>
      </c>
      <c r="AE19" s="22">
        <v>1</v>
      </c>
      <c r="AF19" s="22" t="s">
        <v>107</v>
      </c>
      <c r="AG19" s="22">
        <v>2</v>
      </c>
      <c r="AH19" s="22" t="s">
        <v>108</v>
      </c>
      <c r="AI19" s="22">
        <v>1</v>
      </c>
      <c r="AJ19" s="22" t="s">
        <v>139</v>
      </c>
      <c r="AK19" s="22">
        <v>1</v>
      </c>
      <c r="AL19" s="22" t="s">
        <v>151</v>
      </c>
      <c r="AM19" s="22">
        <v>1</v>
      </c>
      <c r="AN19" s="22" t="s">
        <v>108</v>
      </c>
      <c r="AO19" s="22">
        <v>1</v>
      </c>
      <c r="AP19" s="22" t="s">
        <v>167</v>
      </c>
      <c r="AQ19" s="22">
        <v>1</v>
      </c>
      <c r="AR19" s="22" t="s">
        <v>110</v>
      </c>
      <c r="AS19" s="22">
        <v>1</v>
      </c>
      <c r="AT19" s="22"/>
      <c r="AU19" s="22"/>
      <c r="AV19" s="22"/>
      <c r="AW19" s="22"/>
      <c r="AX19" s="24">
        <f>IF(AD19="",0,VLOOKUP(AD19,[1]BD_CUSTO!I:J,2,0)*AE19/E19)</f>
        <v>173.70507757404795</v>
      </c>
      <c r="AY19" s="24">
        <f>IF(AF19="",0,VLOOKUP(AF19,[1]BD_CUSTO!I:J,2,0)*AG19/E19)</f>
        <v>240.19497884344145</v>
      </c>
      <c r="AZ19" s="24">
        <f>IF(AH19="",0,VLOOKUP(AH19,[1]BD_CUSTO!I:J,2,0)*AI19/E19)</f>
        <v>32.651622002820872</v>
      </c>
      <c r="BA19" s="24">
        <f>IF(AJ19="",0,VLOOKUP(AJ19,[1]BD_CUSTO!I:J,2,0)*AK19/E19)</f>
        <v>87.667588152327227</v>
      </c>
      <c r="BB19" s="24">
        <f>IF(AL19="",0,VLOOKUP(AL19,[1]BD_CUSTO!I:J,2,0)*AM19/E19)</f>
        <v>112.45866008462623</v>
      </c>
      <c r="BC19" s="24">
        <f>IF(AN19="",0,VLOOKUP(AN19,[1]BD_CUSTO!I:J,2,0)*AO19/E19)</f>
        <v>32.651622002820872</v>
      </c>
      <c r="BD19" s="24">
        <f>IF(AP19="",0,VLOOKUP(AP19,[1]BD_CUSTO!I:J,2,0)*AQ19/E19)</f>
        <v>115.73358251057827</v>
      </c>
      <c r="BE19" s="24">
        <f>IF(AR19="",0,VLOOKUP(AR19,CUSTO!I:J,2,0)*AS19/E19)</f>
        <v>7.4753173483779971</v>
      </c>
      <c r="BF19" s="24">
        <f>IF(AT19="",0,VLOOKUP(AT19,[1]BD_CUSTO!I:J,2,0)*AU19/E19)</f>
        <v>0</v>
      </c>
      <c r="BG19" s="24">
        <f>IF(Tabela13[[#This Row],[LZ 10]]="",0,VLOOKUP(Tabela13[[#This Row],[LZ 10]],[1]BD_CUSTO!I:J,2,0)*Tabela13[[#This Row],[QTD922]]/E19)</f>
        <v>0</v>
      </c>
      <c r="BH19" s="22" t="s">
        <v>112</v>
      </c>
      <c r="BI19" s="25">
        <f>458/Tabela13[[#This Row],[Nº UNDS]]</f>
        <v>0.64598025387870239</v>
      </c>
      <c r="BJ19" s="22" t="s">
        <v>113</v>
      </c>
      <c r="BK19" s="25">
        <v>0</v>
      </c>
      <c r="BL19" s="24">
        <f>IF(BH19=[1]BD_CUSTO!$M$6,[1]BD_CUSTO!$N$6)*BI19</f>
        <v>1937.9407616361073</v>
      </c>
      <c r="BM19" s="24">
        <f>IF(BJ19=[1]BD_CUSTO!$M$4,[1]BD_CUSTO!$N$4,[1]BD_CUSTO!$N$5)*BK19</f>
        <v>0</v>
      </c>
      <c r="BN19" s="22" t="s">
        <v>114</v>
      </c>
      <c r="BO19" s="22">
        <v>118</v>
      </c>
      <c r="BP19" s="25">
        <f>Tabela13[[#This Row],[QTD ]]/Tabela13[[#This Row],[Nº UNDS]]</f>
        <v>0.16643159379407615</v>
      </c>
      <c r="BQ19" s="22" t="s">
        <v>115</v>
      </c>
      <c r="BR19" s="22">
        <v>0</v>
      </c>
      <c r="BS19" s="22" t="s">
        <v>116</v>
      </c>
      <c r="BT19" s="22">
        <v>0</v>
      </c>
      <c r="BU19" s="22" t="s">
        <v>16</v>
      </c>
      <c r="BV19" s="22">
        <v>0</v>
      </c>
      <c r="BW19" s="24">
        <f>IF(BN19=[1]BD_CUSTO!$Q$7,[1]BD_CUSTO!$R$7,[1]BD_CUSTO!$R$8)*BO19/E19</f>
        <v>332.8631875881523</v>
      </c>
      <c r="BX19" s="24">
        <f>IF(BQ19=[1]BD_CUSTO!$Q$4,[1]BD_CUSTO!$R$4,[1]BD_CUSTO!$R$5)*BR19/E19</f>
        <v>0</v>
      </c>
      <c r="BY19" s="22">
        <f>IF(BS19=[1]BD_CUSTO!$Q$13,[1]BD_CUSTO!$R$13,[1]BD_CUSTO!$R$14)*BT19/E19</f>
        <v>0</v>
      </c>
      <c r="BZ19" s="24">
        <f>BV19*CUSTO!$R$10/E19</f>
        <v>0</v>
      </c>
      <c r="CA19" s="178">
        <f>SUM(Tabela13[[#This Row],[SOMA_PISO SALA E QUARTO]],Tabela13[[#This Row],[SOMA_PAREDE HIDR]],Tabela13[[#This Row],[SOMA_TETO]],Tabela13[[#This Row],[SOMA_BANCADA]],Tabela13[[#This Row],[SOMA_PEDRAS]])</f>
        <v>2390</v>
      </c>
      <c r="CB19" s="27" t="str">
        <f>IF(CA19&lt;=RÉGUAS!$D$4,"ACAB 01",IF(CA19&lt;=RÉGUAS!$F$4,"ACAB 02",IF(CA19&gt;RÉGUAS!$F$4,"ACAB 03",)))</f>
        <v>ACAB 01</v>
      </c>
      <c r="CC19" s="26">
        <f>SUM(Tabela13[[#This Row],[SOMA_LZ 01]:[SOMA_LZ 10]])</f>
        <v>802.5384485190408</v>
      </c>
      <c r="CD19" s="22" t="str">
        <f>IF(CC19&lt;=RÉGUAS!$D$13,"LZ 01",IF(CC19&lt;=RÉGUAS!$F$13,"LZ 02",IF(CC19&lt;=RÉGUAS!$H$13,"LZ 03",IF(CC19&gt;RÉGUAS!$H$13,"LZ 04",))))</f>
        <v>LZ 01</v>
      </c>
      <c r="CE19" s="28">
        <f t="shared" si="1"/>
        <v>1937.9407616361073</v>
      </c>
      <c r="CF19" s="22" t="str">
        <f>IF(CE19&lt;=RÉGUAS!$D$22,"TIP 01",IF(CE19&lt;=RÉGUAS!$F$22,"TIP 02",IF(CE19&gt;RÉGUAS!$F$22,"TIP 03",)))</f>
        <v>TIP 02</v>
      </c>
      <c r="CG19" s="28">
        <f t="shared" si="2"/>
        <v>332.8631875881523</v>
      </c>
      <c r="CH19" s="22" t="str">
        <f>IF(CG19&lt;=RÉGUAS!$D$32,"VAGA 01",IF(CG19&lt;=RÉGUAS!$F$32,"VAGA 02",IF(CG19&gt;RÉGUAS!$F$32,"VAGA 03",)))</f>
        <v>VAGA 01</v>
      </c>
      <c r="CI19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3341.8899858956274</v>
      </c>
      <c r="CJ19" s="85" t="str">
        <f>IF(AND(G19="BLOCO",CI19&lt;=RÉGUAS!$D$40),"ELEV 01",IF(AND(G19="BLOCO",CI19&gt;RÉGUAS!$D$40),"ELEV 02",IF(AND(G19="TORRE",CI19&lt;=RÉGUAS!$K$40),"ELEV 01",IF(AND(G19="TORRE",CI19&lt;=RÉGUAS!$M$40),"ELEV 02",IF(AND(G19="TORRE",CI19&gt;RÉGUAS!$M$40),"ELEV 03",)))))</f>
        <v>ELEV 03</v>
      </c>
      <c r="CK19" s="85">
        <f>SUM(Tabela13[[#This Row],[TOTAL  ACAB]],Tabela13[[#This Row],[TOTAL LAZER ]],Tabela13[[#This Row],[TOTAL TIPOLOGIA]],Tabela13[[#This Row],[TOTAL VAGA]],Tabela13[[#This Row],[TOTAL ELEVADOR]])</f>
        <v>8805.2323836389278</v>
      </c>
      <c r="CL19" s="72" t="str">
        <f>IF(AND(G19="BLOCO",CK19&lt;=RÉGUAS!$D$50),"ESSENCIAL",IF(AND(G19="BLOCO",CK19&lt;=RÉGUAS!$F$50),"ECO",IF(AND(G19="BLOCO",CK19&gt;RÉGUAS!$F$50),"BIO",IF(AND(G19="TORRE",CK19&lt;=RÉGUAS!$K$50),"ESSENCIAL",IF(AND(G19="TORRE",CK19&lt;=RÉGUAS!$M$50),"ECO",IF(AND(G19="TORRE",CK19&gt;RÉGUAS!$M$50),"BIO",))))))</f>
        <v>ESSENCIAL</v>
      </c>
      <c r="CM19" s="28" t="str">
        <f>IF(AND(G19="BLOCO",CK19&gt;=RÉGUAS!$D$51,CK19&lt;=RÉGUAS!$D$50),"ESSENCIAL-10%",IF(AND(G19="BLOCO",CK19&gt;RÉGUAS!$D$50,CK19&lt;=RÉGUAS!$E$51),"ECO+10%",IF(AND(G19="BLOCO",CK19&gt;=RÉGUAS!$F$51,CK19&lt;=RÉGUAS!$F$50),"ECO-10%",IF(AND(G19="BLOCO",CK19&gt;RÉGUAS!$F$50,CK19&lt;=RÉGUAS!$G$51),"BIO+10%",IF(AND(G19="TORRE",CK19&gt;=RÉGUAS!$K$51,CK19&lt;=RÉGUAS!$K$50),"ESSENCIAL-10%",IF(AND(G19="TORRE",CK19&gt;RÉGUAS!$K$50,CK19&lt;=RÉGUAS!$L$51),"ECO+10%",IF(AND(G19="TORRE",CK19&gt;=RÉGUAS!$M$51,CK19&lt;=RÉGUAS!$M$50),"ECO-10%",IF(AND(G19="TORRE",CK19&gt;RÉGUAS!$M$50,CK19&lt;=RÉGUAS!$N$51),"BIO+10%","-"))))))))</f>
        <v>-</v>
      </c>
      <c r="CN19" s="73">
        <f t="shared" si="3"/>
        <v>5463.3423977433004</v>
      </c>
      <c r="CO19" s="72" t="str">
        <f>IF(CN19&lt;=RÉGUAS!$D$58,"ESSENCIAL",IF(CN19&lt;=RÉGUAS!$F$58,"ECO",IF(CN19&gt;RÉGUAS!$F$58,"BIO",)))</f>
        <v>ESSENCIAL</v>
      </c>
      <c r="CP19" s="72" t="str">
        <f>IF(Tabela13[[#This Row],[INTERVALO DE INTERSEÇÃO 5D]]="-",Tabela13[[#This Row],[CLASSIFICAÇÃO 
5D ]],Tabela13[[#This Row],[CLASSIFICAÇÃO 
4D]])</f>
        <v>ESSENCIAL</v>
      </c>
      <c r="CQ19" s="72" t="str">
        <f t="shared" si="4"/>
        <v>-</v>
      </c>
      <c r="CR19" s="72" t="str">
        <f t="shared" si="5"/>
        <v>ESSENCIAL</v>
      </c>
      <c r="CS19" s="22" t="str">
        <f>IF(Tabela13[[#This Row],[PRODUTO ATUAL ]]=Tabela13[[#This Row],[CLASSIFICAÇÃO FINAL 5D]],"ADERÊNTE","NÃO ADERÊNTE")</f>
        <v>ADERÊNTE</v>
      </c>
      <c r="CT19" s="24">
        <f>SUM(Tabela13[[#This Row],[TOTAL  ACAB]],Tabela13[[#This Row],[TOTAL LAZER ]],Tabela13[[#This Row],[TOTAL TIPOLOGIA]],Tabela13[[#This Row],[TOTAL VAGA]])</f>
        <v>5463.3423977433004</v>
      </c>
      <c r="CU19" s="22" t="str">
        <f>IF(CT19&lt;=RÉGUAS!$D$58,"ESSENCIAL",IF(CT19&lt;=RÉGUAS!$F$58,"ECO",IF(CT19&gt;RÉGUAS!$F$58,"BIO",)))</f>
        <v>ESSENCIAL</v>
      </c>
      <c r="CV19" s="22" t="str">
        <f>IF(AND(CT19&gt;=RÉGUAS!$D$59,CT19&lt;=RÉGUAS!$E$59),"ESSENCIAL/ECO",IF(AND(CT19&gt;=RÉGUAS!$F$59,CT19&lt;=RÉGUAS!$G$59),"ECO/BIO","-"))</f>
        <v>-</v>
      </c>
      <c r="CW19" s="85">
        <f>SUM(Tabela13[[#This Row],[TOTAL LAZER ]],Tabela13[[#This Row],[TOTAL TIPOLOGIA]])</f>
        <v>2740.4792101551479</v>
      </c>
      <c r="CX19" s="22" t="str">
        <f>IF(CW19&lt;=RÉGUAS!$D$72,"ESSENCIAL",IF(CW19&lt;=RÉGUAS!$F$72,"ECO",IF(CN19&gt;RÉGUAS!$F$72,"BIO",)))</f>
        <v>ECO</v>
      </c>
      <c r="CY19" s="22" t="str">
        <f t="shared" si="6"/>
        <v>ESSENCIAL</v>
      </c>
      <c r="CZ19" s="22" t="str">
        <f>IF(Tabela13[[#This Row],[PRODUTO ATUAL ]]=CY19,"ADERENTE","NÃO ADERENTE")</f>
        <v>ADERENTE</v>
      </c>
      <c r="DA19" s="22" t="str">
        <f>IF(Tabela13[[#This Row],[PRODUTO ATUAL ]]=Tabela13[[#This Row],[CLASSIFICAÇÃO 
4D2]],"ADERENTE","NÃO ADERENTE")</f>
        <v>ADERENTE</v>
      </c>
    </row>
    <row r="20" spans="2:105" hidden="1" x14ac:dyDescent="0.35">
      <c r="B20" s="27">
        <v>50</v>
      </c>
      <c r="C20" s="22" t="s">
        <v>163</v>
      </c>
      <c r="D20" s="22" t="s">
        <v>125</v>
      </c>
      <c r="E20" s="23">
        <v>220</v>
      </c>
      <c r="F20" s="22" t="str">
        <f t="shared" si="0"/>
        <v>De 200 a 400 und</v>
      </c>
      <c r="G20" s="22" t="s">
        <v>1</v>
      </c>
      <c r="H20" s="36">
        <v>11</v>
      </c>
      <c r="I20" s="36">
        <v>5</v>
      </c>
      <c r="J20" s="36"/>
      <c r="K20" s="36"/>
      <c r="L20" s="36">
        <f>SUM(Tabela13[[#This Row],[QTD DE B/T 2]],Tabela13[[#This Row],[QTD DE B/T]])</f>
        <v>11</v>
      </c>
      <c r="M20" s="22">
        <v>0</v>
      </c>
      <c r="N20" s="22">
        <f>Tabela13[[#This Row],[ELEVADOR]]/Tabela13[[#This Row],[BLOCO TOTAL]]</f>
        <v>0</v>
      </c>
      <c r="O20" s="22" t="s">
        <v>6</v>
      </c>
      <c r="P20" s="22" t="s">
        <v>119</v>
      </c>
      <c r="Q20" s="22" t="s">
        <v>101</v>
      </c>
      <c r="R20" s="22" t="s">
        <v>142</v>
      </c>
      <c r="S20" s="22" t="s">
        <v>103</v>
      </c>
      <c r="T20" s="22" t="s">
        <v>104</v>
      </c>
      <c r="U20" s="22" t="s">
        <v>105</v>
      </c>
      <c r="V20" s="22" t="s">
        <v>106</v>
      </c>
      <c r="W20" s="24">
        <f>IF(P20=[1]BD_CUSTO!$E$4,[1]BD_CUSTO!$F$4,[1]BD_CUSTO!$F$5)</f>
        <v>530</v>
      </c>
      <c r="X20" s="24">
        <f>IF(Q20=[1]BD_CUSTO!$E$6,[1]BD_CUSTO!$F$6,[1]BD_CUSTO!$F$7)</f>
        <v>260</v>
      </c>
      <c r="Y20" s="24">
        <f>IF(R20=[1]BD_CUSTO!$E$8,[1]BD_CUSTO!$F$8,[1]BD_CUSTO!$F$9)</f>
        <v>900</v>
      </c>
      <c r="Z20" s="24">
        <f>IF(S20=[1]BD_CUSTO!$E$10,[1]BD_CUSTO!$F$10,[1]BD_CUSTO!$F$11)</f>
        <v>500</v>
      </c>
      <c r="AA20" s="24">
        <f>IF(T20=[1]BD_CUSTO!$E$12,[1]BD_CUSTO!$F$12,[1]BD_CUSTO!$F$13)</f>
        <v>370</v>
      </c>
      <c r="AB20" s="24">
        <f>IF(U20=[1]BD_CUSTO!$E$14,[1]BD_CUSTO!$F$14,[1]BD_CUSTO!$F$15)</f>
        <v>90</v>
      </c>
      <c r="AC20" s="24">
        <f>IF(V20=[1]BD_CUSTO!$E$16,[1]BD_CUSTO!$F$16,[1]BD_CUSTO!$F$17)</f>
        <v>720</v>
      </c>
      <c r="AD20" s="22" t="s">
        <v>110</v>
      </c>
      <c r="AE20" s="22">
        <v>1</v>
      </c>
      <c r="AF20" s="22" t="s">
        <v>107</v>
      </c>
      <c r="AG20" s="22">
        <v>1</v>
      </c>
      <c r="AH20" s="22" t="s">
        <v>133</v>
      </c>
      <c r="AI20" s="22">
        <v>3</v>
      </c>
      <c r="AJ20" s="22" t="s">
        <v>108</v>
      </c>
      <c r="AK20" s="22">
        <v>2</v>
      </c>
      <c r="AL20" s="22" t="s">
        <v>111</v>
      </c>
      <c r="AM20" s="22">
        <v>1</v>
      </c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4">
        <f>IF(AD20="",0,VLOOKUP(AD20,[1]BD_CUSTO!I:J,2,0)*AE20/E20)</f>
        <v>24.09090909090909</v>
      </c>
      <c r="AY20" s="24">
        <f>IF(AF20="",0,VLOOKUP(AF20,[1]BD_CUSTO!I:J,2,0)*AG20/E20)</f>
        <v>387.04145454545454</v>
      </c>
      <c r="AZ20" s="24">
        <f>IF(AH20="",0,VLOOKUP(AH20,[1]BD_CUSTO!I:J,2,0)*AI20/E20)</f>
        <v>94.909090909090907</v>
      </c>
      <c r="BA20" s="24">
        <f>IF(AJ20="",0,VLOOKUP(AJ20,[1]BD_CUSTO!I:J,2,0)*AK20/E20)</f>
        <v>210.45454545454547</v>
      </c>
      <c r="BB20" s="24">
        <f>IF(AL20="",0,VLOOKUP(AL20,[1]BD_CUSTO!I:J,2,0)*AM20/E20)</f>
        <v>73.63636363636364</v>
      </c>
      <c r="BC20" s="24">
        <f>IF(AN20="",0,VLOOKUP(AN20,[1]BD_CUSTO!I:J,2,0)*AO20/E20)</f>
        <v>0</v>
      </c>
      <c r="BD20" s="24">
        <f>IF(AP20="",0,VLOOKUP(AP20,[1]BD_CUSTO!I:J,2,0)*AQ20/E20)</f>
        <v>0</v>
      </c>
      <c r="BE20" s="24">
        <f>IF(AR20="",0,VLOOKUP(AR20,CUSTO!I:J,2,0)*AS20/E20)</f>
        <v>0</v>
      </c>
      <c r="BF20" s="24">
        <f>IF(AT20="",0,VLOOKUP(AT20,[1]BD_CUSTO!I:J,2,0)*AU20/E20)</f>
        <v>0</v>
      </c>
      <c r="BG20" s="24">
        <f>IF(Tabela13[[#This Row],[LZ 10]]="",0,VLOOKUP(Tabela13[[#This Row],[LZ 10]],[1]BD_CUSTO!I:J,2,0)*Tabela13[[#This Row],[QTD922]]/E20)</f>
        <v>0</v>
      </c>
      <c r="BH20" s="22" t="s">
        <v>112</v>
      </c>
      <c r="BI20" s="25">
        <f>88/Tabela13[[#This Row],[Nº UNDS]]</f>
        <v>0.4</v>
      </c>
      <c r="BJ20" s="22" t="s">
        <v>113</v>
      </c>
      <c r="BK20" s="25">
        <v>0</v>
      </c>
      <c r="BL20" s="24">
        <f>IF(BH20=[1]BD_CUSTO!$M$6,[1]BD_CUSTO!$N$6)*BI20</f>
        <v>1200</v>
      </c>
      <c r="BM20" s="24">
        <f>IF(BJ20=[1]BD_CUSTO!$M$4,[1]BD_CUSTO!$N$4,[1]BD_CUSTO!$N$5)*BK20</f>
        <v>0</v>
      </c>
      <c r="BN20" s="22" t="s">
        <v>114</v>
      </c>
      <c r="BO20" s="22">
        <v>88</v>
      </c>
      <c r="BP20" s="25">
        <f>Tabela13[[#This Row],[QTD ]]/Tabela13[[#This Row],[Nº UNDS]]</f>
        <v>0.4</v>
      </c>
      <c r="BQ20" s="22" t="s">
        <v>115</v>
      </c>
      <c r="BR20" s="22">
        <v>0</v>
      </c>
      <c r="BS20" s="22" t="s">
        <v>116</v>
      </c>
      <c r="BT20" s="22">
        <v>0</v>
      </c>
      <c r="BU20" s="22" t="s">
        <v>16</v>
      </c>
      <c r="BV20" s="22">
        <v>0</v>
      </c>
      <c r="BW20" s="24">
        <f>IF(BN20=[1]BD_CUSTO!$Q$7,[1]BD_CUSTO!$R$7,[1]BD_CUSTO!$R$8)*BO20/E20</f>
        <v>800</v>
      </c>
      <c r="BX20" s="24">
        <f>IF(BQ20=[1]BD_CUSTO!$Q$4,[1]BD_CUSTO!$R$4,[1]BD_CUSTO!$R$5)*BR20/E20</f>
        <v>0</v>
      </c>
      <c r="BY20" s="22">
        <f>IF(BS20=[1]BD_CUSTO!$Q$13,[1]BD_CUSTO!$R$13,[1]BD_CUSTO!$R$14)*BT20/E20</f>
        <v>0</v>
      </c>
      <c r="BZ20" s="24">
        <f>BV20*CUSTO!$R$10/E20</f>
        <v>0</v>
      </c>
      <c r="CA20" s="26">
        <f>SUM(Tabela13[[#This Row],[SOMA_PISO SALA E QUARTO]],Tabela13[[#This Row],[SOMA_PAREDE HIDR]],Tabela13[[#This Row],[SOMA_TETO]],Tabela13[[#This Row],[SOMA_BANCADA]],Tabela13[[#This Row],[SOMA_PEDRAS]])</f>
        <v>2390</v>
      </c>
      <c r="CB20" s="27" t="str">
        <f>IF(CA20&lt;=RÉGUAS!$D$4,"ACAB 01",IF(CA20&lt;=RÉGUAS!$F$4,"ACAB 02",IF(CA20&gt;RÉGUAS!$F$4,"ACAB 03",)))</f>
        <v>ACAB 01</v>
      </c>
      <c r="CC20" s="26">
        <f>SUM(Tabela13[[#This Row],[SOMA_LZ 01]:[SOMA_LZ 10]])</f>
        <v>790.13236363636361</v>
      </c>
      <c r="CD20" s="22" t="str">
        <f>IF(CC20&lt;=RÉGUAS!$D$13,"LZ 01",IF(CC20&lt;=RÉGUAS!$F$13,"LZ 02",IF(CC20&lt;=RÉGUAS!$H$13,"LZ 03",IF(CC20&gt;RÉGUAS!$H$13,"LZ 04",))))</f>
        <v>LZ 01</v>
      </c>
      <c r="CE20" s="28">
        <f t="shared" si="1"/>
        <v>1200</v>
      </c>
      <c r="CF20" s="22" t="str">
        <f>IF(CE20&lt;=RÉGUAS!$D$22,"TIP 01",IF(CE20&lt;=RÉGUAS!$F$22,"TIP 02",IF(CE20&gt;RÉGUAS!$F$22,"TIP 03",)))</f>
        <v>TIP 01</v>
      </c>
      <c r="CG20" s="28">
        <f t="shared" si="2"/>
        <v>800</v>
      </c>
      <c r="CH20" s="22" t="str">
        <f>IF(CG20&lt;=RÉGUAS!$D$32,"VAGA 01",IF(CG20&lt;=RÉGUAS!$F$32,"VAGA 02",IF(CG20&gt;RÉGUAS!$F$32,"VAGA 03",)))</f>
        <v>VAGA 01</v>
      </c>
      <c r="CI20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20" s="85" t="str">
        <f>IF(AND(G20="BLOCO",CI20&lt;=RÉGUAS!$D$40),"ELEV 01",IF(AND(G20="BLOCO",CI20&gt;RÉGUAS!$D$40),"ELEV 02",IF(AND(G20="TORRE",CI20&lt;=RÉGUAS!$K$40),"ELEV 01",IF(AND(G20="TORRE",CI20&lt;=RÉGUAS!$M$40),"ELEV 02",IF(AND(G20="TORRE",CI20&gt;RÉGUAS!$M$40),"ELEV 03",)))))</f>
        <v>ELEV 01</v>
      </c>
      <c r="CK20" s="85">
        <f>SUM(Tabela13[[#This Row],[TOTAL  ACAB]],Tabela13[[#This Row],[TOTAL LAZER ]],Tabela13[[#This Row],[TOTAL TIPOLOGIA]],Tabela13[[#This Row],[TOTAL VAGA]],Tabela13[[#This Row],[TOTAL ELEVADOR]])</f>
        <v>5180.1323636363632</v>
      </c>
      <c r="CL20" s="72" t="str">
        <f>IF(AND(G20="BLOCO",CK20&lt;=RÉGUAS!$D$50),"ESSENCIAL",IF(AND(G20="BLOCO",CK20&lt;=RÉGUAS!$F$50),"ECO",IF(AND(G20="BLOCO",CK20&gt;RÉGUAS!$F$50),"BIO",IF(AND(G20="TORRE",CK20&lt;=RÉGUAS!$K$50),"ESSENCIAL",IF(AND(G20="TORRE",CK20&lt;=RÉGUAS!$M$50),"ECO",IF(AND(G20="TORRE",CK20&gt;RÉGUAS!$M$50),"BIO",))))))</f>
        <v>ESSENCIAL</v>
      </c>
      <c r="CM20" s="28" t="str">
        <f>IF(AND(G20="BLOCO",CK20&gt;=RÉGUAS!$D$51,CK20&lt;=RÉGUAS!$D$50),"ESSENCIAL-10%",IF(AND(G20="BLOCO",CK20&gt;RÉGUAS!$D$50,CK20&lt;=RÉGUAS!$E$51),"ECO+10%",IF(AND(G20="BLOCO",CK20&gt;=RÉGUAS!$F$51,CK20&lt;=RÉGUAS!$F$50),"ECO-10%",IF(AND(G20="BLOCO",CK20&gt;RÉGUAS!$F$50,CK20&lt;=RÉGUAS!$G$51),"BIO+10%",IF(AND(G20="TORRE",CK20&gt;=RÉGUAS!$K$51,CK20&lt;=RÉGUAS!$K$50),"ESSENCIAL-10%",IF(AND(G20="TORRE",CK20&gt;RÉGUAS!$K$50,CK20&lt;=RÉGUAS!$L$51),"ECO+10%",IF(AND(G20="TORRE",CK20&gt;=RÉGUAS!$M$51,CK20&lt;=RÉGUAS!$M$50),"ECO-10%",IF(AND(G20="TORRE",CK20&gt;RÉGUAS!$M$50,CK20&lt;=RÉGUAS!$N$51),"BIO+10%","-"))))))))</f>
        <v>-</v>
      </c>
      <c r="CN20" s="73">
        <f t="shared" si="3"/>
        <v>5180.1323636363632</v>
      </c>
      <c r="CO20" s="72" t="str">
        <f>IF(CN20&lt;=RÉGUAS!$D$58,"ESSENCIAL",IF(CN20&lt;=RÉGUAS!$F$58,"ECO",IF(CN20&gt;RÉGUAS!$F$58,"BIO",)))</f>
        <v>ESSENCIAL</v>
      </c>
      <c r="CP20" s="72" t="str">
        <f>IF(Tabela13[[#This Row],[INTERVALO DE INTERSEÇÃO 5D]]="-",Tabela13[[#This Row],[CLASSIFICAÇÃO 
5D ]],Tabela13[[#This Row],[CLASSIFICAÇÃO 
4D]])</f>
        <v>ESSENCIAL</v>
      </c>
      <c r="CQ20" s="72" t="str">
        <f t="shared" si="4"/>
        <v>-</v>
      </c>
      <c r="CR20" s="72" t="str">
        <f t="shared" si="5"/>
        <v>ESSENCIAL</v>
      </c>
      <c r="CS20" s="22" t="str">
        <f>IF(Tabela13[[#This Row],[PRODUTO ATUAL ]]=Tabela13[[#This Row],[CLASSIFICAÇÃO FINAL 5D]],"ADERÊNTE","NÃO ADERÊNTE")</f>
        <v>ADERÊNTE</v>
      </c>
      <c r="CT20" s="24">
        <f>SUM(Tabela13[[#This Row],[TOTAL  ACAB]],Tabela13[[#This Row],[TOTAL LAZER ]],Tabela13[[#This Row],[TOTAL TIPOLOGIA]],Tabela13[[#This Row],[TOTAL VAGA]])</f>
        <v>5180.1323636363632</v>
      </c>
      <c r="CU20" s="22" t="str">
        <f>IF(CT20&lt;=RÉGUAS!$D$58,"ESSENCIAL",IF(CT20&lt;=RÉGUAS!$F$58,"ECO",IF(CT20&gt;RÉGUAS!$F$58,"BIO",)))</f>
        <v>ESSENCIAL</v>
      </c>
      <c r="CV20" s="22" t="str">
        <f>IF(AND(CT20&gt;=RÉGUAS!$D$59,CT20&lt;=RÉGUAS!$E$59),"ESSENCIAL/ECO",IF(AND(CT20&gt;=RÉGUAS!$F$59,CT20&lt;=RÉGUAS!$G$59),"ECO/BIO","-"))</f>
        <v>-</v>
      </c>
      <c r="CW20" s="85">
        <f>SUM(Tabela13[[#This Row],[TOTAL LAZER ]],Tabela13[[#This Row],[TOTAL TIPOLOGIA]])</f>
        <v>1990.1323636363636</v>
      </c>
      <c r="CX20" s="22" t="str">
        <f>IF(CW20&lt;=RÉGUAS!$D$72,"ESSENCIAL",IF(CW20&lt;=RÉGUAS!$F$72,"ECO",IF(CN20&gt;RÉGUAS!$F$72,"BIO",)))</f>
        <v>ESSENCIAL</v>
      </c>
      <c r="CY20" s="22" t="str">
        <f t="shared" si="6"/>
        <v>ESSENCIAL</v>
      </c>
      <c r="CZ20" s="22" t="str">
        <f>IF(Tabela13[[#This Row],[PRODUTO ATUAL ]]=CY20,"ADERENTE","NÃO ADERENTE")</f>
        <v>ADERENTE</v>
      </c>
      <c r="DA20" s="22" t="str">
        <f>IF(Tabela13[[#This Row],[PRODUTO ATUAL ]]=Tabela13[[#This Row],[CLASSIFICAÇÃO 
4D2]],"ADERENTE","NÃO ADERENTE")</f>
        <v>ADERENTE</v>
      </c>
    </row>
    <row r="21" spans="2:105" hidden="1" x14ac:dyDescent="0.35">
      <c r="B21" s="27">
        <v>30</v>
      </c>
      <c r="C21" s="22" t="s">
        <v>150</v>
      </c>
      <c r="D21" s="22" t="s">
        <v>147</v>
      </c>
      <c r="E21" s="23">
        <v>496</v>
      </c>
      <c r="F21" s="22" t="str">
        <f t="shared" si="0"/>
        <v>Acima de 400 und</v>
      </c>
      <c r="G21" s="22" t="s">
        <v>1</v>
      </c>
      <c r="H21" s="36">
        <v>31</v>
      </c>
      <c r="I21" s="36">
        <v>4</v>
      </c>
      <c r="J21" s="36"/>
      <c r="K21" s="36"/>
      <c r="L21" s="36">
        <f>SUM(Tabela13[[#This Row],[QTD DE B/T 2]],Tabela13[[#This Row],[QTD DE B/T]])</f>
        <v>31</v>
      </c>
      <c r="M21" s="22">
        <v>1</v>
      </c>
      <c r="N21" s="22">
        <f>Tabela13[[#This Row],[ELEVADOR]]/Tabela13[[#This Row],[BLOCO TOTAL]]</f>
        <v>3.2258064516129031E-2</v>
      </c>
      <c r="O21" s="22" t="s">
        <v>6</v>
      </c>
      <c r="P21" s="22" t="s">
        <v>119</v>
      </c>
      <c r="Q21" s="22" t="s">
        <v>101</v>
      </c>
      <c r="R21" s="22" t="s">
        <v>142</v>
      </c>
      <c r="S21" s="22" t="s">
        <v>103</v>
      </c>
      <c r="T21" s="22" t="s">
        <v>104</v>
      </c>
      <c r="U21" s="22" t="s">
        <v>105</v>
      </c>
      <c r="V21" s="22" t="s">
        <v>106</v>
      </c>
      <c r="W21" s="24">
        <f>IF(P21=[1]BD_CUSTO!$E$4,[1]BD_CUSTO!$F$4,[1]BD_CUSTO!$F$5)</f>
        <v>530</v>
      </c>
      <c r="X21" s="24">
        <f>IF(Q21=[1]BD_CUSTO!$E$6,[1]BD_CUSTO!$F$6,[1]BD_CUSTO!$F$7)</f>
        <v>260</v>
      </c>
      <c r="Y21" s="24">
        <f>IF(R21=[1]BD_CUSTO!$E$8,[1]BD_CUSTO!$F$8,[1]BD_CUSTO!$F$9)</f>
        <v>900</v>
      </c>
      <c r="Z21" s="24">
        <f>IF(S21=[1]BD_CUSTO!$E$10,[1]BD_CUSTO!$F$10,[1]BD_CUSTO!$F$11)</f>
        <v>500</v>
      </c>
      <c r="AA21" s="24">
        <f>IF(T21=[1]BD_CUSTO!$E$12,[1]BD_CUSTO!$F$12,[1]BD_CUSTO!$F$13)</f>
        <v>370</v>
      </c>
      <c r="AB21" s="24">
        <f>IF(U21=[1]BD_CUSTO!$E$14,[1]BD_CUSTO!$F$14,[1]BD_CUSTO!$F$15)</f>
        <v>90</v>
      </c>
      <c r="AC21" s="24">
        <f>IF(V21=[1]BD_CUSTO!$E$16,[1]BD_CUSTO!$F$16,[1]BD_CUSTO!$F$17)</f>
        <v>720</v>
      </c>
      <c r="AD21" s="22" t="s">
        <v>109</v>
      </c>
      <c r="AE21" s="22">
        <v>1</v>
      </c>
      <c r="AF21" s="22" t="s">
        <v>110</v>
      </c>
      <c r="AG21" s="22">
        <v>1</v>
      </c>
      <c r="AH21" s="22" t="s">
        <v>107</v>
      </c>
      <c r="AI21" s="22">
        <v>1</v>
      </c>
      <c r="AJ21" s="22" t="s">
        <v>121</v>
      </c>
      <c r="AK21" s="22">
        <v>1</v>
      </c>
      <c r="AL21" s="22" t="s">
        <v>129</v>
      </c>
      <c r="AM21" s="22">
        <v>1</v>
      </c>
      <c r="AN21" s="22" t="s">
        <v>151</v>
      </c>
      <c r="AO21" s="22">
        <v>1</v>
      </c>
      <c r="AP21" s="22" t="s">
        <v>108</v>
      </c>
      <c r="AQ21" s="22">
        <v>1</v>
      </c>
      <c r="AR21" s="22"/>
      <c r="AS21" s="22"/>
      <c r="AT21" s="22"/>
      <c r="AU21" s="22"/>
      <c r="AV21" s="22"/>
      <c r="AW21" s="22"/>
      <c r="AX21" s="24">
        <f>IF(AD21="",0,VLOOKUP(AD21,[1]BD_CUSTO!I:J,2,0)*AE21/E21)</f>
        <v>14.012096774193548</v>
      </c>
      <c r="AY21" s="24">
        <f>IF(AF21="",0,VLOOKUP(AF21,[1]BD_CUSTO!I:J,2,0)*AG21/E21)</f>
        <v>10.685483870967742</v>
      </c>
      <c r="AZ21" s="24">
        <f>IF(AH21="",0,VLOOKUP(AH21,[1]BD_CUSTO!I:J,2,0)*AI21/E21)</f>
        <v>171.67161290322579</v>
      </c>
      <c r="BA21" s="24">
        <f>IF(AJ21="",0,VLOOKUP(AJ21,[1]BD_CUSTO!I:J,2,0)*AK21/E21)</f>
        <v>248.30020161290321</v>
      </c>
      <c r="BB21" s="24">
        <f>IF(AL21="",0,VLOOKUP(AL21,[1]BD_CUSTO!I:J,2,0)*AM21/E21)</f>
        <v>554.77334677419356</v>
      </c>
      <c r="BC21" s="24">
        <f>IF(AN21="",0,VLOOKUP(AN21,[1]BD_CUSTO!I:J,2,0)*AO21/E21)</f>
        <v>160.7523991935484</v>
      </c>
      <c r="BD21" s="24">
        <f>IF(AP21="",0,VLOOKUP(AP21,[1]BD_CUSTO!I:J,2,0)*AQ21/E21)</f>
        <v>46.673387096774192</v>
      </c>
      <c r="BE21" s="24">
        <f>IF(AR21="",0,VLOOKUP(AR21,CUSTO!I:J,2,0)*AS21/E21)</f>
        <v>0</v>
      </c>
      <c r="BF21" s="24">
        <f>IF(AT21="",0,VLOOKUP(AT21,[1]BD_CUSTO!I:J,2,0)*AU21/E21)</f>
        <v>0</v>
      </c>
      <c r="BG21" s="24">
        <f>IF(Tabela13[[#This Row],[LZ 10]]="",0,VLOOKUP(Tabela13[[#This Row],[LZ 10]],[1]BD_CUSTO!I:J,2,0)*Tabela13[[#This Row],[QTD922]]/E21)</f>
        <v>0</v>
      </c>
      <c r="BH21" s="22" t="s">
        <v>112</v>
      </c>
      <c r="BI21" s="25">
        <f>180/Tabela13[[#This Row],[Nº UNDS]]</f>
        <v>0.36290322580645162</v>
      </c>
      <c r="BJ21" s="22" t="s">
        <v>113</v>
      </c>
      <c r="BK21" s="25">
        <v>0</v>
      </c>
      <c r="BL21" s="24">
        <f>IF(BH21=[1]BD_CUSTO!$M$6,[1]BD_CUSTO!$N$6)*BI21</f>
        <v>1088.7096774193549</v>
      </c>
      <c r="BM21" s="24">
        <f>IF(BJ21=[1]BD_CUSTO!$M$4,[1]BD_CUSTO!$N$4,[1]BD_CUSTO!$N$5)*BK21</f>
        <v>0</v>
      </c>
      <c r="BN21" s="22" t="s">
        <v>114</v>
      </c>
      <c r="BO21" s="22">
        <f>194+15</f>
        <v>209</v>
      </c>
      <c r="BP21" s="25">
        <f>Tabela13[[#This Row],[QTD ]]/Tabela13[[#This Row],[Nº UNDS]]</f>
        <v>0.4213709677419355</v>
      </c>
      <c r="BQ21" s="22" t="s">
        <v>123</v>
      </c>
      <c r="BR21" s="22">
        <v>2</v>
      </c>
      <c r="BS21" s="22" t="s">
        <v>116</v>
      </c>
      <c r="BT21" s="22">
        <v>0</v>
      </c>
      <c r="BU21" s="22" t="s">
        <v>16</v>
      </c>
      <c r="BV21" s="22">
        <v>0</v>
      </c>
      <c r="BW21" s="24">
        <f>IF(BN21=[1]BD_CUSTO!$Q$7,[1]BD_CUSTO!$R$7,[1]BD_CUSTO!$R$8)*BO21/E21</f>
        <v>842.74193548387098</v>
      </c>
      <c r="BX21" s="24">
        <f>IF(BQ21=[1]BD_CUSTO!$Q$4,[1]BD_CUSTO!$R$4,[1]BD_CUSTO!$R$5)*BR21/E21</f>
        <v>4.032258064516129</v>
      </c>
      <c r="BY21" s="22">
        <f>IF(BS21=[1]BD_CUSTO!$Q$13,[1]BD_CUSTO!$R$13,[1]BD_CUSTO!$R$14)*BT21/E21</f>
        <v>0</v>
      </c>
      <c r="BZ21" s="24">
        <f>BV21*CUSTO!$R$10/E21</f>
        <v>0</v>
      </c>
      <c r="CA21" s="26">
        <f>SUM(Tabela13[[#This Row],[SOMA_PISO SALA E QUARTO]],Tabela13[[#This Row],[SOMA_PAREDE HIDR]],Tabela13[[#This Row],[SOMA_TETO]],Tabela13[[#This Row],[SOMA_BANCADA]],Tabela13[[#This Row],[SOMA_PEDRAS]])</f>
        <v>2390</v>
      </c>
      <c r="CB21" s="27" t="str">
        <f>IF(CA21&lt;=RÉGUAS!$D$4,"ACAB 01",IF(CA21&lt;=RÉGUAS!$F$4,"ACAB 02",IF(CA21&gt;RÉGUAS!$F$4,"ACAB 03",)))</f>
        <v>ACAB 01</v>
      </c>
      <c r="CC21" s="26">
        <f>SUM(Tabela13[[#This Row],[SOMA_LZ 01]:[SOMA_LZ 10]])</f>
        <v>1206.8685282258064</v>
      </c>
      <c r="CD21" s="22" t="str">
        <f>IF(CC21&lt;=RÉGUAS!$D$13,"LZ 01",IF(CC21&lt;=RÉGUAS!$F$13,"LZ 02",IF(CC21&lt;=RÉGUAS!$H$13,"LZ 03",IF(CC21&gt;RÉGUAS!$H$13,"LZ 04",))))</f>
        <v>LZ 02</v>
      </c>
      <c r="CE21" s="28">
        <f t="shared" si="1"/>
        <v>1088.7096774193549</v>
      </c>
      <c r="CF21" s="22" t="str">
        <f>IF(CE21&lt;=RÉGUAS!$D$22,"TIP 01",IF(CE21&lt;=RÉGUAS!$F$22,"TIP 02",IF(CE21&gt;RÉGUAS!$F$22,"TIP 03",)))</f>
        <v>TIP 01</v>
      </c>
      <c r="CG21" s="28">
        <f t="shared" si="2"/>
        <v>846.77419354838707</v>
      </c>
      <c r="CH21" s="22" t="str">
        <f>IF(CG21&lt;=RÉGUAS!$D$32,"VAGA 01",IF(CG21&lt;=RÉGUAS!$F$32,"VAGA 02",IF(CG21&gt;RÉGUAS!$F$32,"VAGA 03",)))</f>
        <v>VAGA 01</v>
      </c>
      <c r="CI21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242.16129032258064</v>
      </c>
      <c r="CJ21" s="85" t="str">
        <f>IF(AND(G21="BLOCO",CI21&lt;=RÉGUAS!$D$40),"ELEV 01",IF(AND(G21="BLOCO",CI21&gt;RÉGUAS!$D$40),"ELEV 02",IF(AND(G21="TORRE",CI21&lt;=RÉGUAS!$K$40),"ELEV 01",IF(AND(G21="TORRE",CI21&lt;=RÉGUAS!$M$40),"ELEV 02",IF(AND(G21="TORRE",CI21&gt;RÉGUAS!$M$40),"ELEV 03",)))))</f>
        <v>ELEV 02</v>
      </c>
      <c r="CK21" s="85">
        <f>SUM(Tabela13[[#This Row],[TOTAL  ACAB]],Tabela13[[#This Row],[TOTAL LAZER ]],Tabela13[[#This Row],[TOTAL TIPOLOGIA]],Tabela13[[#This Row],[TOTAL VAGA]],Tabela13[[#This Row],[TOTAL ELEVADOR]])</f>
        <v>5774.5136895161295</v>
      </c>
      <c r="CL21" s="72" t="str">
        <f>IF(AND(G21="BLOCO",CK21&lt;=RÉGUAS!$D$50),"ESSENCIAL",IF(AND(G21="BLOCO",CK21&lt;=RÉGUAS!$F$50),"ECO",IF(AND(G21="BLOCO",CK21&gt;RÉGUAS!$F$50),"BIO",IF(AND(G21="TORRE",CK21&lt;=RÉGUAS!$K$50),"ESSENCIAL",IF(AND(G21="TORRE",CK21&lt;=RÉGUAS!$M$50),"ECO",IF(AND(G21="TORRE",CK21&gt;RÉGUAS!$M$50),"BIO",))))))</f>
        <v>ESSENCIAL</v>
      </c>
      <c r="CM21" s="28" t="str">
        <f>IF(AND(G21="BLOCO",CK21&gt;=RÉGUAS!$D$51,CK21&lt;=RÉGUAS!$D$50),"ESSENCIAL-10%",IF(AND(G21="BLOCO",CK21&gt;RÉGUAS!$D$50,CK21&lt;=RÉGUAS!$E$51),"ECO+10%",IF(AND(G21="BLOCO",CK21&gt;=RÉGUAS!$F$51,CK21&lt;=RÉGUAS!$F$50),"ECO-10%",IF(AND(G21="BLOCO",CK21&gt;RÉGUAS!$F$50,CK21&lt;=RÉGUAS!$G$51),"BIO+10%",IF(AND(G21="TORRE",CK21&gt;=RÉGUAS!$K$51,CK21&lt;=RÉGUAS!$K$50),"ESSENCIAL-10%",IF(AND(G21="TORRE",CK21&gt;RÉGUAS!$K$50,CK21&lt;=RÉGUAS!$L$51),"ECO+10%",IF(AND(G21="TORRE",CK21&gt;=RÉGUAS!$M$51,CK21&lt;=RÉGUAS!$M$50),"ECO-10%",IF(AND(G21="TORRE",CK21&gt;RÉGUAS!$M$50,CK21&lt;=RÉGUAS!$N$51),"BIO+10%","-"))))))))</f>
        <v>-</v>
      </c>
      <c r="CN21" s="73">
        <f t="shared" si="3"/>
        <v>5532.352399193549</v>
      </c>
      <c r="CO21" s="72" t="str">
        <f>IF(CN21&lt;=RÉGUAS!$D$58,"ESSENCIAL",IF(CN21&lt;=RÉGUAS!$F$58,"ECO",IF(CN21&gt;RÉGUAS!$F$58,"BIO",)))</f>
        <v>ESSENCIAL</v>
      </c>
      <c r="CP21" s="72" t="str">
        <f>IF(Tabela13[[#This Row],[INTERVALO DE INTERSEÇÃO 5D]]="-",Tabela13[[#This Row],[CLASSIFICAÇÃO 
5D ]],Tabela13[[#This Row],[CLASSIFICAÇÃO 
4D]])</f>
        <v>ESSENCIAL</v>
      </c>
      <c r="CQ21" s="72" t="str">
        <f t="shared" si="4"/>
        <v>-</v>
      </c>
      <c r="CR21" s="72" t="str">
        <f t="shared" si="5"/>
        <v>ESSENCIAL</v>
      </c>
      <c r="CS21" s="22" t="str">
        <f>IF(Tabela13[[#This Row],[PRODUTO ATUAL ]]=Tabela13[[#This Row],[CLASSIFICAÇÃO FINAL 5D]],"ADERÊNTE","NÃO ADERÊNTE")</f>
        <v>ADERÊNTE</v>
      </c>
      <c r="CT21" s="24">
        <f>SUM(Tabela13[[#This Row],[TOTAL  ACAB]],Tabela13[[#This Row],[TOTAL LAZER ]],Tabela13[[#This Row],[TOTAL TIPOLOGIA]],Tabela13[[#This Row],[TOTAL VAGA]])</f>
        <v>5532.352399193549</v>
      </c>
      <c r="CU21" s="22" t="str">
        <f>IF(CT21&lt;=RÉGUAS!$D$58,"ESSENCIAL",IF(CT21&lt;=RÉGUAS!$F$58,"ECO",IF(CT21&gt;RÉGUAS!$F$58,"BIO",)))</f>
        <v>ESSENCIAL</v>
      </c>
      <c r="CV21" s="22" t="str">
        <f>IF(AND(CT21&gt;=RÉGUAS!$D$59,CT21&lt;=RÉGUAS!$E$59),"ESSENCIAL/ECO",IF(AND(CT21&gt;=RÉGUAS!$F$59,CT21&lt;=RÉGUAS!$G$59),"ECO/BIO","-"))</f>
        <v>-</v>
      </c>
      <c r="CW21" s="85">
        <f>SUM(Tabela13[[#This Row],[TOTAL LAZER ]],Tabela13[[#This Row],[TOTAL TIPOLOGIA]])</f>
        <v>2295.5782056451612</v>
      </c>
      <c r="CX21" s="22" t="str">
        <f>IF(CW21&lt;=RÉGUAS!$D$72,"ESSENCIAL",IF(CW21&lt;=RÉGUAS!$F$72,"ECO",IF(CN21&gt;RÉGUAS!$F$72,"BIO",)))</f>
        <v>ESSENCIAL</v>
      </c>
      <c r="CY21" s="22" t="str">
        <f t="shared" si="6"/>
        <v>ESSENCIAL</v>
      </c>
      <c r="CZ21" s="22" t="str">
        <f>IF(Tabela13[[#This Row],[PRODUTO ATUAL ]]=CY21,"ADERENTE","NÃO ADERENTE")</f>
        <v>ADERENTE</v>
      </c>
      <c r="DA21" s="22" t="str">
        <f>IF(Tabela13[[#This Row],[PRODUTO ATUAL ]]=Tabela13[[#This Row],[CLASSIFICAÇÃO 
4D2]],"ADERENTE","NÃO ADERENTE")</f>
        <v>ADERENTE</v>
      </c>
    </row>
    <row r="22" spans="2:105" hidden="1" x14ac:dyDescent="0.35">
      <c r="B22" s="27">
        <v>19</v>
      </c>
      <c r="C22" s="22" t="s">
        <v>146</v>
      </c>
      <c r="D22" s="22" t="s">
        <v>147</v>
      </c>
      <c r="E22" s="23">
        <v>280</v>
      </c>
      <c r="F22" s="22" t="str">
        <f t="shared" si="0"/>
        <v>De 200 a 400 und</v>
      </c>
      <c r="G22" s="22" t="s">
        <v>1</v>
      </c>
      <c r="H22" s="36">
        <v>14</v>
      </c>
      <c r="I22" s="36">
        <v>5</v>
      </c>
      <c r="J22" s="36"/>
      <c r="K22" s="36"/>
      <c r="L22" s="36">
        <f>SUM(Tabela13[[#This Row],[QTD DE B/T 2]],Tabela13[[#This Row],[QTD DE B/T]])</f>
        <v>14</v>
      </c>
      <c r="M22" s="22">
        <v>0</v>
      </c>
      <c r="N22" s="22">
        <f>Tabela13[[#This Row],[ELEVADOR]]/Tabela13[[#This Row],[BLOCO TOTAL]]</f>
        <v>0</v>
      </c>
      <c r="O22" s="22" t="s">
        <v>6</v>
      </c>
      <c r="P22" s="22" t="s">
        <v>119</v>
      </c>
      <c r="Q22" s="22" t="s">
        <v>101</v>
      </c>
      <c r="R22" s="22" t="s">
        <v>142</v>
      </c>
      <c r="S22" s="22" t="s">
        <v>103</v>
      </c>
      <c r="T22" s="22" t="s">
        <v>104</v>
      </c>
      <c r="U22" s="22" t="s">
        <v>105</v>
      </c>
      <c r="V22" s="22" t="s">
        <v>106</v>
      </c>
      <c r="W22" s="24">
        <f>IF(P22=[1]BD_CUSTO!$E$4,[1]BD_CUSTO!$F$4,[1]BD_CUSTO!$F$5)</f>
        <v>530</v>
      </c>
      <c r="X22" s="24">
        <f>IF(Q22=[1]BD_CUSTO!$E$6,[1]BD_CUSTO!$F$6,[1]BD_CUSTO!$F$7)</f>
        <v>260</v>
      </c>
      <c r="Y22" s="24">
        <f>IF(R22=[1]BD_CUSTO!$E$8,[1]BD_CUSTO!$F$8,[1]BD_CUSTO!$F$9)</f>
        <v>900</v>
      </c>
      <c r="Z22" s="24">
        <f>IF(S22=[1]BD_CUSTO!$E$10,[1]BD_CUSTO!$F$10,[1]BD_CUSTO!$F$11)</f>
        <v>500</v>
      </c>
      <c r="AA22" s="24">
        <f>IF(T22=[1]BD_CUSTO!$E$12,[1]BD_CUSTO!$F$12,[1]BD_CUSTO!$F$13)</f>
        <v>370</v>
      </c>
      <c r="AB22" s="24">
        <f>IF(U22=[1]BD_CUSTO!$E$14,[1]BD_CUSTO!$F$14,[1]BD_CUSTO!$F$15)</f>
        <v>90</v>
      </c>
      <c r="AC22" s="24">
        <f>IF(V22=[1]BD_CUSTO!$E$16,[1]BD_CUSTO!$F$16,[1]BD_CUSTO!$F$17)</f>
        <v>720</v>
      </c>
      <c r="AD22" s="22" t="s">
        <v>107</v>
      </c>
      <c r="AE22" s="22">
        <v>1</v>
      </c>
      <c r="AF22" s="22" t="s">
        <v>108</v>
      </c>
      <c r="AG22" s="22">
        <v>1</v>
      </c>
      <c r="AH22" s="22" t="s">
        <v>109</v>
      </c>
      <c r="AI22" s="22">
        <v>1</v>
      </c>
      <c r="AJ22" s="22" t="s">
        <v>110</v>
      </c>
      <c r="AK22" s="22">
        <v>1</v>
      </c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4">
        <f>IF(AD22="",0,VLOOKUP(AD22,[1]BD_CUSTO!I:J,2,0)*AE22/E22)</f>
        <v>304.10399999999998</v>
      </c>
      <c r="AY22" s="24">
        <f>IF(AF22="",0,VLOOKUP(AF22,[1]BD_CUSTO!I:J,2,0)*AG22/E22)</f>
        <v>82.678571428571431</v>
      </c>
      <c r="AZ22" s="24">
        <f>IF(AH22="",0,VLOOKUP(AH22,[1]BD_CUSTO!I:J,2,0)*AI22/E22)</f>
        <v>24.821428571428573</v>
      </c>
      <c r="BA22" s="24">
        <f>IF(AJ22="",0,VLOOKUP(AJ22,[1]BD_CUSTO!I:J,2,0)*AK22/E22)</f>
        <v>18.928571428571427</v>
      </c>
      <c r="BB22" s="24">
        <f>IF(AL22="",0,VLOOKUP(AL22,[1]BD_CUSTO!I:J,2,0)*AM22/E22)</f>
        <v>0</v>
      </c>
      <c r="BC22" s="24">
        <f>IF(AN22="",0,VLOOKUP(AN22,[1]BD_CUSTO!I:J,2,0)*AO22/E22)</f>
        <v>0</v>
      </c>
      <c r="BD22" s="24">
        <f>IF(AP22="",0,VLOOKUP(AP22,[1]BD_CUSTO!I:J,2,0)*AQ22/E22)</f>
        <v>0</v>
      </c>
      <c r="BE22" s="24">
        <f>IF(AR22="",0,VLOOKUP(AR22,CUSTO!I:J,2,0)*AS22/E22)</f>
        <v>0</v>
      </c>
      <c r="BF22" s="24">
        <f>IF(AT22="",0,VLOOKUP(AT22,[1]BD_CUSTO!I:J,2,0)*AU22/E22)</f>
        <v>0</v>
      </c>
      <c r="BG22" s="24">
        <f>IF(Tabela13[[#This Row],[LZ 10]]="",0,VLOOKUP(Tabela13[[#This Row],[LZ 10]],[1]BD_CUSTO!I:J,2,0)*Tabela13[[#This Row],[QTD922]]/E22)</f>
        <v>0</v>
      </c>
      <c r="BH22" s="22" t="s">
        <v>122</v>
      </c>
      <c r="BI22" s="25">
        <v>0</v>
      </c>
      <c r="BJ22" s="22" t="s">
        <v>113</v>
      </c>
      <c r="BK22" s="25">
        <v>0</v>
      </c>
      <c r="BL22" s="24">
        <f>IF(BH22=[1]BD_CUSTO!$M$6,[1]BD_CUSTO!$N$6)*BI22</f>
        <v>0</v>
      </c>
      <c r="BM22" s="24">
        <f>IF(BJ22=[1]BD_CUSTO!$M$4,[1]BD_CUSTO!$N$4,[1]BD_CUSTO!$N$5)*BK22</f>
        <v>0</v>
      </c>
      <c r="BN22" s="22" t="s">
        <v>114</v>
      </c>
      <c r="BO22" s="22">
        <f>142+14+4</f>
        <v>160</v>
      </c>
      <c r="BP22" s="25">
        <f>Tabela13[[#This Row],[QTD ]]/Tabela13[[#This Row],[Nº UNDS]]</f>
        <v>0.5714285714285714</v>
      </c>
      <c r="BQ22" s="22" t="s">
        <v>123</v>
      </c>
      <c r="BR22" s="22">
        <v>22</v>
      </c>
      <c r="BS22" s="22" t="s">
        <v>116</v>
      </c>
      <c r="BT22" s="22">
        <v>0</v>
      </c>
      <c r="BU22" s="22" t="s">
        <v>16</v>
      </c>
      <c r="BV22" s="22">
        <v>0</v>
      </c>
      <c r="BW22" s="24">
        <f>IF(BN22=[1]BD_CUSTO!$Q$7,[1]BD_CUSTO!$R$7,[1]BD_CUSTO!$R$8)*BO22/E22</f>
        <v>1142.8571428571429</v>
      </c>
      <c r="BX22" s="24">
        <f>IF(BQ22=[1]BD_CUSTO!$Q$4,[1]BD_CUSTO!$R$4,[1]BD_CUSTO!$R$5)*BR22/E22</f>
        <v>78.571428571428569</v>
      </c>
      <c r="BY22" s="22">
        <f>IF(BS22=[1]BD_CUSTO!$Q$13,[1]BD_CUSTO!$R$13,[1]BD_CUSTO!$R$14)*BT22/E22</f>
        <v>0</v>
      </c>
      <c r="BZ22" s="24">
        <f>BV22*CUSTO!$R$10/E22</f>
        <v>0</v>
      </c>
      <c r="CA22" s="26">
        <f>SUM(Tabela13[[#This Row],[SOMA_PISO SALA E QUARTO]],Tabela13[[#This Row],[SOMA_PAREDE HIDR]],Tabela13[[#This Row],[SOMA_TETO]],Tabela13[[#This Row],[SOMA_BANCADA]],Tabela13[[#This Row],[SOMA_PEDRAS]])</f>
        <v>2390</v>
      </c>
      <c r="CB22" s="27" t="str">
        <f>IF(CA22&lt;=RÉGUAS!$D$4,"ACAB 01",IF(CA22&lt;=RÉGUAS!$F$4,"ACAB 02",IF(CA22&gt;RÉGUAS!$F$4,"ACAB 03",)))</f>
        <v>ACAB 01</v>
      </c>
      <c r="CC22" s="26">
        <f>SUM(Tabela13[[#This Row],[SOMA_LZ 01]:[SOMA_LZ 10]])</f>
        <v>430.53257142857143</v>
      </c>
      <c r="CD22" s="22" t="str">
        <f>IF(CC22&lt;=RÉGUAS!$D$13,"LZ 01",IF(CC22&lt;=RÉGUAS!$F$13,"LZ 02",IF(CC22&lt;=RÉGUAS!$H$13,"LZ 03",IF(CC22&gt;RÉGUAS!$H$13,"LZ 04",))))</f>
        <v>LZ 01</v>
      </c>
      <c r="CE22" s="28">
        <f t="shared" si="1"/>
        <v>0</v>
      </c>
      <c r="CF22" s="22" t="str">
        <f>IF(CE22&lt;=RÉGUAS!$D$22,"TIP 01",IF(CE22&lt;=RÉGUAS!$F$22,"TIP 02",IF(CE22&gt;RÉGUAS!$F$22,"TIP 03",)))</f>
        <v>TIP 01</v>
      </c>
      <c r="CG22" s="28">
        <f t="shared" si="2"/>
        <v>1221.4285714285716</v>
      </c>
      <c r="CH22" s="22" t="str">
        <f>IF(CG22&lt;=RÉGUAS!$D$32,"VAGA 01",IF(CG22&lt;=RÉGUAS!$F$32,"VAGA 02",IF(CG22&gt;RÉGUAS!$F$32,"VAGA 03",)))</f>
        <v>VAGA 01</v>
      </c>
      <c r="CI22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22" s="85" t="str">
        <f>IF(AND(G22="BLOCO",CI22&lt;=RÉGUAS!$D$40),"ELEV 01",IF(AND(G22="BLOCO",CI22&gt;RÉGUAS!$D$40),"ELEV 02",IF(AND(G22="TORRE",CI22&lt;=RÉGUAS!$K$40),"ELEV 01",IF(AND(G22="TORRE",CI22&lt;=RÉGUAS!$M$40),"ELEV 02",IF(AND(G22="TORRE",CI22&gt;RÉGUAS!$M$40),"ELEV 03",)))))</f>
        <v>ELEV 01</v>
      </c>
      <c r="CK22" s="85">
        <f>SUM(Tabela13[[#This Row],[TOTAL  ACAB]],Tabela13[[#This Row],[TOTAL LAZER ]],Tabela13[[#This Row],[TOTAL TIPOLOGIA]],Tabela13[[#This Row],[TOTAL VAGA]],Tabela13[[#This Row],[TOTAL ELEVADOR]])</f>
        <v>4041.9611428571429</v>
      </c>
      <c r="CL22" s="72" t="str">
        <f>IF(AND(G22="BLOCO",CK22&lt;=RÉGUAS!$D$50),"ESSENCIAL",IF(AND(G22="BLOCO",CK22&lt;=RÉGUAS!$F$50),"ECO",IF(AND(G22="BLOCO",CK22&gt;RÉGUAS!$F$50),"BIO",IF(AND(G22="TORRE",CK22&lt;=RÉGUAS!$K$50),"ESSENCIAL",IF(AND(G22="TORRE",CK22&lt;=RÉGUAS!$M$50),"ECO",IF(AND(G22="TORRE",CK22&gt;RÉGUAS!$M$50),"BIO",))))))</f>
        <v>ESSENCIAL</v>
      </c>
      <c r="CM22" s="28" t="str">
        <f>IF(AND(G22="BLOCO",CK22&gt;=RÉGUAS!$D$51,CK22&lt;=RÉGUAS!$D$50),"ESSENCIAL-10%",IF(AND(G22="BLOCO",CK22&gt;RÉGUAS!$D$50,CK22&lt;=RÉGUAS!$E$51),"ECO+10%",IF(AND(G22="BLOCO",CK22&gt;=RÉGUAS!$F$51,CK22&lt;=RÉGUAS!$F$50),"ECO-10%",IF(AND(G22="BLOCO",CK22&gt;RÉGUAS!$F$50,CK22&lt;=RÉGUAS!$G$51),"BIO+10%",IF(AND(G22="TORRE",CK22&gt;=RÉGUAS!$K$51,CK22&lt;=RÉGUAS!$K$50),"ESSENCIAL-10%",IF(AND(G22="TORRE",CK22&gt;RÉGUAS!$K$50,CK22&lt;=RÉGUAS!$L$51),"ECO+10%",IF(AND(G22="TORRE",CK22&gt;=RÉGUAS!$M$51,CK22&lt;=RÉGUAS!$M$50),"ECO-10%",IF(AND(G22="TORRE",CK22&gt;RÉGUAS!$M$50,CK22&lt;=RÉGUAS!$N$51),"BIO+10%","-"))))))))</f>
        <v>-</v>
      </c>
      <c r="CN22" s="73">
        <f t="shared" si="3"/>
        <v>4041.9611428571429</v>
      </c>
      <c r="CO22" s="72" t="str">
        <f>IF(CN22&lt;=RÉGUAS!$D$58,"ESSENCIAL",IF(CN22&lt;=RÉGUAS!$F$58,"ECO",IF(CN22&gt;RÉGUAS!$F$58,"BIO",)))</f>
        <v>ESSENCIAL</v>
      </c>
      <c r="CP22" s="72" t="str">
        <f>IF(Tabela13[[#This Row],[INTERVALO DE INTERSEÇÃO 5D]]="-",Tabela13[[#This Row],[CLASSIFICAÇÃO 
5D ]],Tabela13[[#This Row],[CLASSIFICAÇÃO 
4D]])</f>
        <v>ESSENCIAL</v>
      </c>
      <c r="CQ22" s="72" t="str">
        <f t="shared" si="4"/>
        <v>-</v>
      </c>
      <c r="CR22" s="72" t="str">
        <f t="shared" si="5"/>
        <v>ESSENCIAL</v>
      </c>
      <c r="CS22" s="22" t="str">
        <f>IF(Tabela13[[#This Row],[PRODUTO ATUAL ]]=Tabela13[[#This Row],[CLASSIFICAÇÃO FINAL 5D]],"ADERÊNTE","NÃO ADERÊNTE")</f>
        <v>ADERÊNTE</v>
      </c>
      <c r="CT22" s="24">
        <f>SUM(Tabela13[[#This Row],[TOTAL  ACAB]],Tabela13[[#This Row],[TOTAL LAZER ]],Tabela13[[#This Row],[TOTAL TIPOLOGIA]],Tabela13[[#This Row],[TOTAL VAGA]])</f>
        <v>4041.9611428571429</v>
      </c>
      <c r="CU22" s="22" t="str">
        <f>IF(CT22&lt;=RÉGUAS!$D$58,"ESSENCIAL",IF(CT22&lt;=RÉGUAS!$F$58,"ECO",IF(CT22&gt;RÉGUAS!$F$58,"BIO",)))</f>
        <v>ESSENCIAL</v>
      </c>
      <c r="CV22" s="22" t="str">
        <f>IF(AND(CT22&gt;=RÉGUAS!$D$59,CT22&lt;=RÉGUAS!$E$59),"ESSENCIAL/ECO",IF(AND(CT22&gt;=RÉGUAS!$F$59,CT22&lt;=RÉGUAS!$G$59),"ECO/BIO","-"))</f>
        <v>-</v>
      </c>
      <c r="CW22" s="85">
        <f>SUM(Tabela13[[#This Row],[TOTAL LAZER ]],Tabela13[[#This Row],[TOTAL TIPOLOGIA]])</f>
        <v>430.53257142857143</v>
      </c>
      <c r="CX22" s="22" t="str">
        <f>IF(CW22&lt;=RÉGUAS!$D$72,"ESSENCIAL",IF(CW22&lt;=RÉGUAS!$F$72,"ECO",IF(CN22&gt;RÉGUAS!$F$72,"BIO",)))</f>
        <v>ESSENCIAL</v>
      </c>
      <c r="CY22" s="22" t="str">
        <f t="shared" si="6"/>
        <v>ESSENCIAL</v>
      </c>
      <c r="CZ22" s="22" t="str">
        <f>IF(Tabela13[[#This Row],[PRODUTO ATUAL ]]=CY22,"ADERENTE","NÃO ADERENTE")</f>
        <v>ADERENTE</v>
      </c>
      <c r="DA22" s="22" t="str">
        <f>IF(Tabela13[[#This Row],[PRODUTO ATUAL ]]=Tabela13[[#This Row],[CLASSIFICAÇÃO 
4D2]],"ADERENTE","NÃO ADERENTE")</f>
        <v>ADERENTE</v>
      </c>
    </row>
    <row r="23" spans="2:105" x14ac:dyDescent="0.35">
      <c r="B23" s="27">
        <v>40</v>
      </c>
      <c r="C23" s="22" t="s">
        <v>180</v>
      </c>
      <c r="D23" s="22" t="s">
        <v>147</v>
      </c>
      <c r="E23" s="23">
        <v>416</v>
      </c>
      <c r="F23" s="22" t="str">
        <f t="shared" si="0"/>
        <v>Acima de 400 und</v>
      </c>
      <c r="G23" s="22" t="s">
        <v>1</v>
      </c>
      <c r="H23" s="36">
        <v>26</v>
      </c>
      <c r="I23" s="36">
        <v>4</v>
      </c>
      <c r="J23" s="36"/>
      <c r="K23" s="36"/>
      <c r="L23" s="36">
        <f>SUM(Tabela13[[#This Row],[QTD DE B/T 2]],Tabela13[[#This Row],[QTD DE B/T]])</f>
        <v>26</v>
      </c>
      <c r="M23" s="22">
        <v>0</v>
      </c>
      <c r="N23" s="22">
        <f>Tabela13[[#This Row],[ELEVADOR]]/Tabela13[[#This Row],[BLOCO TOTAL]]</f>
        <v>0</v>
      </c>
      <c r="O23" s="22" t="s">
        <v>6</v>
      </c>
      <c r="P23" s="22" t="s">
        <v>101</v>
      </c>
      <c r="Q23" s="22" t="s">
        <v>101</v>
      </c>
      <c r="R23" s="22" t="s">
        <v>142</v>
      </c>
      <c r="S23" s="22" t="s">
        <v>103</v>
      </c>
      <c r="T23" s="22" t="s">
        <v>104</v>
      </c>
      <c r="U23" s="22" t="s">
        <v>105</v>
      </c>
      <c r="V23" s="22" t="s">
        <v>106</v>
      </c>
      <c r="W23" s="24">
        <f>IF(P23=[1]BD_CUSTO!$E$4,[1]BD_CUSTO!$F$4,[1]BD_CUSTO!$F$5)</f>
        <v>2430</v>
      </c>
      <c r="X23" s="24">
        <f>IF(Q23=[1]BD_CUSTO!$E$6,[1]BD_CUSTO!$F$6,[1]BD_CUSTO!$F$7)</f>
        <v>260</v>
      </c>
      <c r="Y23" s="24">
        <f>IF(R23=[1]BD_CUSTO!$E$8,[1]BD_CUSTO!$F$8,[1]BD_CUSTO!$F$9)</f>
        <v>900</v>
      </c>
      <c r="Z23" s="24">
        <f>IF(S23=[1]BD_CUSTO!$E$10,[1]BD_CUSTO!$F$10,[1]BD_CUSTO!$F$11)</f>
        <v>500</v>
      </c>
      <c r="AA23" s="24">
        <f>IF(T23=[1]BD_CUSTO!$E$12,[1]BD_CUSTO!$F$12,[1]BD_CUSTO!$F$13)</f>
        <v>370</v>
      </c>
      <c r="AB23" s="24">
        <f>IF(U23=[1]BD_CUSTO!$E$14,[1]BD_CUSTO!$F$14,[1]BD_CUSTO!$F$15)</f>
        <v>90</v>
      </c>
      <c r="AC23" s="24">
        <f>IF(V23=[1]BD_CUSTO!$E$16,[1]BD_CUSTO!$F$16,[1]BD_CUSTO!$F$17)</f>
        <v>720</v>
      </c>
      <c r="AD23" s="22" t="s">
        <v>110</v>
      </c>
      <c r="AE23" s="22">
        <v>1</v>
      </c>
      <c r="AF23" s="22" t="s">
        <v>107</v>
      </c>
      <c r="AG23" s="22">
        <v>1</v>
      </c>
      <c r="AH23" s="22" t="s">
        <v>108</v>
      </c>
      <c r="AI23" s="22">
        <v>1</v>
      </c>
      <c r="AJ23" s="22" t="s">
        <v>108</v>
      </c>
      <c r="AK23" s="22">
        <v>1</v>
      </c>
      <c r="AL23" s="22" t="s">
        <v>135</v>
      </c>
      <c r="AM23" s="22">
        <v>1</v>
      </c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4">
        <f>IF(AD23="",0,VLOOKUP(AD23,[1]BD_CUSTO!I:J,2,0)*AE23/E23)</f>
        <v>12.740384615384615</v>
      </c>
      <c r="AY23" s="24">
        <f>IF(AF23="",0,VLOOKUP(AF23,[1]BD_CUSTO!I:J,2,0)*AG23/E23)</f>
        <v>204.68538461538461</v>
      </c>
      <c r="AZ23" s="24">
        <f>IF(AH23="",0,VLOOKUP(AH23,[1]BD_CUSTO!I:J,2,0)*AI23/E23)</f>
        <v>55.64903846153846</v>
      </c>
      <c r="BA23" s="24">
        <f>IF(AJ23="",0,VLOOKUP(AJ23,[1]BD_CUSTO!I:J,2,0)*AK23/E23)</f>
        <v>55.64903846153846</v>
      </c>
      <c r="BB23" s="24">
        <f>IF(AL23="",0,VLOOKUP(AL23,[1]BD_CUSTO!I:J,2,0)*AM23/E23)</f>
        <v>303.04961538461538</v>
      </c>
      <c r="BC23" s="24">
        <f>IF(AN23="",0,VLOOKUP(AN23,[1]BD_CUSTO!I:J,2,0)*AO23/E23)</f>
        <v>0</v>
      </c>
      <c r="BD23" s="24">
        <f>IF(AP23="",0,VLOOKUP(AP23,[1]BD_CUSTO!I:J,2,0)*AQ23/E23)</f>
        <v>0</v>
      </c>
      <c r="BE23" s="24">
        <f>IF(AR23="",0,VLOOKUP(AR23,CUSTO!I:J,2,0)*AS23/E23)</f>
        <v>0</v>
      </c>
      <c r="BF23" s="24">
        <f>IF(AT23="",0,VLOOKUP(AT23,[1]BD_CUSTO!I:J,2,0)*AU23/E23)</f>
        <v>0</v>
      </c>
      <c r="BG23" s="24">
        <f>IF(Tabela13[[#This Row],[LZ 10]]="",0,VLOOKUP(Tabela13[[#This Row],[LZ 10]],[1]BD_CUSTO!I:J,2,0)*Tabela13[[#This Row],[QTD922]]/E23)</f>
        <v>0</v>
      </c>
      <c r="BH23" s="22" t="s">
        <v>122</v>
      </c>
      <c r="BI23" s="25">
        <v>0</v>
      </c>
      <c r="BJ23" s="22" t="s">
        <v>113</v>
      </c>
      <c r="BK23" s="25">
        <v>0</v>
      </c>
      <c r="BL23" s="24">
        <f>IF(BH23=[1]BD_CUSTO!$M$6,[1]BD_CUSTO!$N$6)*BI23</f>
        <v>0</v>
      </c>
      <c r="BM23" s="24">
        <f>IF(BJ23=[1]BD_CUSTO!$M$4,[1]BD_CUSTO!$N$4,[1]BD_CUSTO!$N$5)*BK23</f>
        <v>0</v>
      </c>
      <c r="BN23" s="22" t="s">
        <v>114</v>
      </c>
      <c r="BO23" s="22">
        <f>403+13+3</f>
        <v>419</v>
      </c>
      <c r="BP23" s="25">
        <f>Tabela13[[#This Row],[QTD ]]/Tabela13[[#This Row],[Nº UNDS]]</f>
        <v>1.0072115384615385</v>
      </c>
      <c r="BQ23" s="22" t="s">
        <v>123</v>
      </c>
      <c r="BR23" s="22">
        <v>42</v>
      </c>
      <c r="BS23" s="22" t="s">
        <v>116</v>
      </c>
      <c r="BT23" s="22">
        <v>0</v>
      </c>
      <c r="BU23" s="22" t="s">
        <v>16</v>
      </c>
      <c r="BV23" s="22">
        <v>0</v>
      </c>
      <c r="BW23" s="24">
        <f>IF(BN23=[1]BD_CUSTO!$Q$7,[1]BD_CUSTO!$R$7,[1]BD_CUSTO!$R$8)*BO23/E23</f>
        <v>2014.4230769230769</v>
      </c>
      <c r="BX23" s="24">
        <f>IF(BQ23=[1]BD_CUSTO!$Q$4,[1]BD_CUSTO!$R$4,[1]BD_CUSTO!$R$5)*BR23/E23</f>
        <v>100.96153846153847</v>
      </c>
      <c r="BY23" s="22">
        <f>IF(BS23=[1]BD_CUSTO!$Q$13,[1]BD_CUSTO!$R$13,[1]BD_CUSTO!$R$14)*BT23/E23</f>
        <v>0</v>
      </c>
      <c r="BZ23" s="24">
        <f>BV23*CUSTO!$R$10/E23</f>
        <v>0</v>
      </c>
      <c r="CA23" s="26">
        <f>SUM(Tabela13[[#This Row],[SOMA_PISO SALA E QUARTO]],Tabela13[[#This Row],[SOMA_PAREDE HIDR]],Tabela13[[#This Row],[SOMA_TETO]],Tabela13[[#This Row],[SOMA_BANCADA]],Tabela13[[#This Row],[SOMA_PEDRAS]])</f>
        <v>4290</v>
      </c>
      <c r="CB23" s="27" t="str">
        <f>IF(CA23&lt;=RÉGUAS!$D$4,"ACAB 01",IF(CA23&lt;=RÉGUAS!$F$4,"ACAB 02",IF(CA23&gt;RÉGUAS!$F$4,"ACAB 03",)))</f>
        <v>ACAB 02</v>
      </c>
      <c r="CC23" s="26">
        <f>SUM(Tabela13[[#This Row],[SOMA_LZ 01]:[SOMA_LZ 10]])</f>
        <v>631.77346153846156</v>
      </c>
      <c r="CD23" s="22" t="str">
        <f>IF(CC23&lt;=RÉGUAS!$D$13,"LZ 01",IF(CC23&lt;=RÉGUAS!$F$13,"LZ 02",IF(CC23&lt;=RÉGUAS!$H$13,"LZ 03",IF(CC23&gt;RÉGUAS!$H$13,"LZ 04",))))</f>
        <v>LZ 01</v>
      </c>
      <c r="CE23" s="28">
        <f t="shared" si="1"/>
        <v>0</v>
      </c>
      <c r="CF23" s="22" t="str">
        <f>IF(CE23&lt;=RÉGUAS!$D$22,"TIP 01",IF(CE23&lt;=RÉGUAS!$F$22,"TIP 02",IF(CE23&gt;RÉGUAS!$F$22,"TIP 03",)))</f>
        <v>TIP 01</v>
      </c>
      <c r="CG23" s="28">
        <f t="shared" si="2"/>
        <v>2115.3846153846152</v>
      </c>
      <c r="CH23" s="22" t="str">
        <f>IF(CG23&lt;=RÉGUAS!$D$32,"VAGA 01",IF(CG23&lt;=RÉGUAS!$F$32,"VAGA 02",IF(CG23&gt;RÉGUAS!$F$32,"VAGA 03",)))</f>
        <v>VAGA 02</v>
      </c>
      <c r="CI23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23" s="85" t="str">
        <f>IF(AND(G23="BLOCO",CI23&lt;=RÉGUAS!$D$40),"ELEV 01",IF(AND(G23="BLOCO",CI23&gt;RÉGUAS!$D$40),"ELEV 02",IF(AND(G23="TORRE",CI23&lt;=RÉGUAS!$K$40),"ELEV 01",IF(AND(G23="TORRE",CI23&lt;=RÉGUAS!$M$40),"ELEV 02",IF(AND(G23="TORRE",CI23&gt;RÉGUAS!$M$40),"ELEV 03",)))))</f>
        <v>ELEV 01</v>
      </c>
      <c r="CK23" s="85">
        <f>SUM(Tabela13[[#This Row],[TOTAL  ACAB]],Tabela13[[#This Row],[TOTAL LAZER ]],Tabela13[[#This Row],[TOTAL TIPOLOGIA]],Tabela13[[#This Row],[TOTAL VAGA]],Tabela13[[#This Row],[TOTAL ELEVADOR]])</f>
        <v>7037.1580769230768</v>
      </c>
      <c r="CL23" s="72" t="str">
        <f>IF(AND(G23="BLOCO",CK23&lt;=RÉGUAS!$D$50),"ESSENCIAL",IF(AND(G23="BLOCO",CK23&lt;=RÉGUAS!$F$50),"ECO",IF(AND(G23="BLOCO",CK23&gt;RÉGUAS!$F$50),"BIO",IF(AND(G23="TORRE",CK23&lt;=RÉGUAS!$K$50),"ESSENCIAL",IF(AND(G23="TORRE",CK23&lt;=RÉGUAS!$M$50),"ECO",IF(AND(G23="TORRE",CK23&gt;RÉGUAS!$M$50),"BIO",))))))</f>
        <v>ESSENCIAL</v>
      </c>
      <c r="CM23" s="28" t="str">
        <f>IF(AND(G23="BLOCO",CK23&gt;=RÉGUAS!$D$51,CK23&lt;=RÉGUAS!$D$50),"ESSENCIAL-10%",IF(AND(G23="BLOCO",CK23&gt;RÉGUAS!$D$50,CK23&lt;=RÉGUAS!$E$51),"ECO+10%",IF(AND(G23="BLOCO",CK23&gt;=RÉGUAS!$F$51,CK23&lt;=RÉGUAS!$F$50),"ECO-10%",IF(AND(G23="BLOCO",CK23&gt;RÉGUAS!$F$50,CK23&lt;=RÉGUAS!$G$51),"BIO+10%",IF(AND(G23="TORRE",CK23&gt;=RÉGUAS!$K$51,CK23&lt;=RÉGUAS!$K$50),"ESSENCIAL-10%",IF(AND(G23="TORRE",CK23&gt;RÉGUAS!$K$50,CK23&lt;=RÉGUAS!$L$51),"ECO+10%",IF(AND(G23="TORRE",CK23&gt;=RÉGUAS!$M$51,CK23&lt;=RÉGUAS!$M$50),"ECO-10%",IF(AND(G23="TORRE",CK23&gt;RÉGUAS!$M$50,CK23&lt;=RÉGUAS!$N$51),"BIO+10%","-"))))))))</f>
        <v>-</v>
      </c>
      <c r="CN23" s="73">
        <f t="shared" si="3"/>
        <v>7037.1580769230768</v>
      </c>
      <c r="CO23" s="72" t="str">
        <f>IF(CN23&lt;=RÉGUAS!$D$58,"ESSENCIAL",IF(CN23&lt;=RÉGUAS!$F$58,"ECO",IF(CN23&gt;RÉGUAS!$F$58,"BIO",)))</f>
        <v>ECO</v>
      </c>
      <c r="CP23" s="72" t="str">
        <f>IF(Tabela13[[#This Row],[INTERVALO DE INTERSEÇÃO 5D]]="-",Tabela13[[#This Row],[CLASSIFICAÇÃO 
5D ]],Tabela13[[#This Row],[CLASSIFICAÇÃO 
4D]])</f>
        <v>ESSENCIAL</v>
      </c>
      <c r="CQ23" s="72" t="str">
        <f t="shared" si="4"/>
        <v>-</v>
      </c>
      <c r="CR23" s="72" t="str">
        <f t="shared" si="5"/>
        <v>ESSENCIAL</v>
      </c>
      <c r="CS23" s="22" t="str">
        <f>IF(Tabela13[[#This Row],[PRODUTO ATUAL ]]=Tabela13[[#This Row],[CLASSIFICAÇÃO FINAL 5D]],"ADERÊNTE","NÃO ADERÊNTE")</f>
        <v>ADERÊNTE</v>
      </c>
      <c r="CT23" s="24">
        <f>SUM(Tabela13[[#This Row],[TOTAL  ACAB]],Tabela13[[#This Row],[TOTAL LAZER ]],Tabela13[[#This Row],[TOTAL TIPOLOGIA]],Tabela13[[#This Row],[TOTAL VAGA]])</f>
        <v>7037.1580769230768</v>
      </c>
      <c r="CU23" s="22" t="str">
        <f>IF(CT23&lt;=RÉGUAS!$D$58,"ESSENCIAL",IF(CT23&lt;=RÉGUAS!$F$58,"ECO",IF(CT23&gt;RÉGUAS!$F$58,"BIO",)))</f>
        <v>ECO</v>
      </c>
      <c r="CV23" s="22" t="str">
        <f>IF(AND(CT23&gt;=RÉGUAS!$D$59,CT23&lt;=RÉGUAS!$E$59),"ESSENCIAL/ECO",IF(AND(CT23&gt;=RÉGUAS!$F$59,CT23&lt;=RÉGUAS!$G$59),"ECO/BIO","-"))</f>
        <v>ESSENCIAL/ECO</v>
      </c>
      <c r="CW23" s="85">
        <f>SUM(Tabela13[[#This Row],[TOTAL LAZER ]],Tabela13[[#This Row],[TOTAL TIPOLOGIA]])</f>
        <v>631.77346153846156</v>
      </c>
      <c r="CX23" s="22" t="str">
        <f>IF(CW23&lt;=RÉGUAS!$D$72,"ESSENCIAL",IF(CW23&lt;=RÉGUAS!$F$72,"ECO",IF(CN23&gt;RÉGUAS!$F$72,"BIO",)))</f>
        <v>ESSENCIAL</v>
      </c>
      <c r="CY23" s="22" t="str">
        <f t="shared" si="6"/>
        <v>ESSENCIAL</v>
      </c>
      <c r="CZ23" s="22" t="str">
        <f>IF(Tabela13[[#This Row],[PRODUTO ATUAL ]]=CY23,"ADERENTE","NÃO ADERENTE")</f>
        <v>ADERENTE</v>
      </c>
      <c r="DA23" s="22" t="str">
        <f>IF(Tabela13[[#This Row],[PRODUTO ATUAL ]]=Tabela13[[#This Row],[CLASSIFICAÇÃO 
4D2]],"ADERENTE","NÃO ADERENTE")</f>
        <v>NÃO ADERENTE</v>
      </c>
    </row>
    <row r="24" spans="2:105" x14ac:dyDescent="0.35">
      <c r="B24" s="27">
        <v>17</v>
      </c>
      <c r="C24" s="22" t="s">
        <v>184</v>
      </c>
      <c r="D24" s="22" t="s">
        <v>154</v>
      </c>
      <c r="E24" s="23">
        <v>244</v>
      </c>
      <c r="F24" s="22" t="str">
        <f t="shared" si="0"/>
        <v>De 200 a 400 und</v>
      </c>
      <c r="G24" s="22" t="s">
        <v>1</v>
      </c>
      <c r="H24" s="36">
        <v>15</v>
      </c>
      <c r="I24" s="36">
        <v>5</v>
      </c>
      <c r="J24" s="36"/>
      <c r="K24" s="36"/>
      <c r="L24" s="36">
        <f>SUM(Tabela13[[#This Row],[QTD DE B/T 2]],Tabela13[[#This Row],[QTD DE B/T]])</f>
        <v>15</v>
      </c>
      <c r="M24" s="22">
        <v>1</v>
      </c>
      <c r="N24" s="22">
        <f>Tabela13[[#This Row],[ELEVADOR]]/Tabela13[[#This Row],[BLOCO TOTAL]]</f>
        <v>6.6666666666666666E-2</v>
      </c>
      <c r="O24" s="22" t="s">
        <v>6</v>
      </c>
      <c r="P24" s="22" t="s">
        <v>101</v>
      </c>
      <c r="Q24" s="22" t="s">
        <v>101</v>
      </c>
      <c r="R24" s="22" t="s">
        <v>142</v>
      </c>
      <c r="S24" s="22" t="s">
        <v>103</v>
      </c>
      <c r="T24" s="22" t="s">
        <v>104</v>
      </c>
      <c r="U24" s="22" t="s">
        <v>105</v>
      </c>
      <c r="V24" s="22" t="s">
        <v>106</v>
      </c>
      <c r="W24" s="24">
        <f>IF(P24=[1]BD_CUSTO!$E$4,[1]BD_CUSTO!$F$4,[1]BD_CUSTO!$F$5)</f>
        <v>2430</v>
      </c>
      <c r="X24" s="24">
        <f>IF(Q24=[1]BD_CUSTO!$E$6,[1]BD_CUSTO!$F$6,[1]BD_CUSTO!$F$7)</f>
        <v>260</v>
      </c>
      <c r="Y24" s="24">
        <f>IF(R24=[1]BD_CUSTO!$E$8,[1]BD_CUSTO!$F$8,[1]BD_CUSTO!$F$9)</f>
        <v>900</v>
      </c>
      <c r="Z24" s="24">
        <f>IF(S24=[1]BD_CUSTO!$E$10,[1]BD_CUSTO!$F$10,[1]BD_CUSTO!$F$11)</f>
        <v>500</v>
      </c>
      <c r="AA24" s="24">
        <f>IF(T24=[1]BD_CUSTO!$E$12,[1]BD_CUSTO!$F$12,[1]BD_CUSTO!$F$13)</f>
        <v>370</v>
      </c>
      <c r="AB24" s="24">
        <f>IF(U24=[1]BD_CUSTO!$E$14,[1]BD_CUSTO!$F$14,[1]BD_CUSTO!$F$15)</f>
        <v>90</v>
      </c>
      <c r="AC24" s="24">
        <f>IF(V24=[1]BD_CUSTO!$E$16,[1]BD_CUSTO!$F$16,[1]BD_CUSTO!$F$17)</f>
        <v>720</v>
      </c>
      <c r="AD24" s="22" t="s">
        <v>108</v>
      </c>
      <c r="AE24" s="22">
        <v>1</v>
      </c>
      <c r="AF24" s="22" t="s">
        <v>107</v>
      </c>
      <c r="AG24" s="22">
        <v>1</v>
      </c>
      <c r="AH24" s="22" t="s">
        <v>109</v>
      </c>
      <c r="AI24" s="22">
        <v>1</v>
      </c>
      <c r="AJ24" s="22" t="s">
        <v>110</v>
      </c>
      <c r="AK24" s="22">
        <v>1</v>
      </c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4">
        <f>IF(AD24="",0,VLOOKUP(AD24,[1]BD_CUSTO!I:J,2,0)*AE24/E24)</f>
        <v>94.877049180327873</v>
      </c>
      <c r="AY24" s="24">
        <f>IF(AF24="",0,VLOOKUP(AF24,[1]BD_CUSTO!I:J,2,0)*AG24/E24)</f>
        <v>348.97180327868853</v>
      </c>
      <c r="AZ24" s="24">
        <f>IF(AH24="",0,VLOOKUP(AH24,[1]BD_CUSTO!I:J,2,0)*AI24/E24)</f>
        <v>28.483606557377048</v>
      </c>
      <c r="BA24" s="24">
        <f>IF(AJ24="",0,VLOOKUP(AJ24,[1]BD_CUSTO!I:J,2,0)*AK24/E24)</f>
        <v>21.721311475409838</v>
      </c>
      <c r="BB24" s="24">
        <f>IF(AL24="",0,VLOOKUP(AL24,[1]BD_CUSTO!I:J,2,0)*AM24/E24)</f>
        <v>0</v>
      </c>
      <c r="BC24" s="24">
        <f>IF(AN24="",0,VLOOKUP(AN24,[1]BD_CUSTO!I:J,2,0)*AO24/E24)</f>
        <v>0</v>
      </c>
      <c r="BD24" s="24">
        <f>IF(AP24="",0,VLOOKUP(AP24,[1]BD_CUSTO!I:J,2,0)*AQ24/E24)</f>
        <v>0</v>
      </c>
      <c r="BE24" s="24">
        <f>IF(AR24="",0,VLOOKUP(AR24,CUSTO!I:J,2,0)*AS24/E24)</f>
        <v>0</v>
      </c>
      <c r="BF24" s="24">
        <f>IF(AT24="",0,VLOOKUP(AT24,[1]BD_CUSTO!I:J,2,0)*AU24/E24)</f>
        <v>0</v>
      </c>
      <c r="BG24" s="24">
        <f>IF(Tabela13[[#This Row],[LZ 10]]="",0,VLOOKUP(Tabela13[[#This Row],[LZ 10]],[1]BD_CUSTO!I:J,2,0)*Tabela13[[#This Row],[QTD922]]/E24)</f>
        <v>0</v>
      </c>
      <c r="BH24" s="22" t="s">
        <v>122</v>
      </c>
      <c r="BI24" s="25">
        <v>0</v>
      </c>
      <c r="BJ24" s="22" t="s">
        <v>113</v>
      </c>
      <c r="BK24" s="25">
        <v>0</v>
      </c>
      <c r="BL24" s="24">
        <f>IF(BH24=[1]BD_CUSTO!$M$6,[1]BD_CUSTO!$N$6)*BI24</f>
        <v>0</v>
      </c>
      <c r="BM24" s="24">
        <f>IF(BJ24=[1]BD_CUSTO!$M$4,[1]BD_CUSTO!$N$4,[1]BD_CUSTO!$N$5)*BK24</f>
        <v>0</v>
      </c>
      <c r="BN24" s="22" t="s">
        <v>114</v>
      </c>
      <c r="BO24" s="22">
        <f>258-11</f>
        <v>247</v>
      </c>
      <c r="BP24" s="25">
        <f>Tabela13[[#This Row],[QTD ]]/Tabela13[[#This Row],[Nº UNDS]]</f>
        <v>1.0122950819672132</v>
      </c>
      <c r="BQ24" s="22" t="s">
        <v>123</v>
      </c>
      <c r="BR24" s="22">
        <v>11</v>
      </c>
      <c r="BS24" s="22" t="s">
        <v>116</v>
      </c>
      <c r="BT24" s="22">
        <v>0</v>
      </c>
      <c r="BU24" s="22" t="s">
        <v>16</v>
      </c>
      <c r="BV24" s="22">
        <v>0</v>
      </c>
      <c r="BW24" s="24">
        <f>IF(BN24=[1]BD_CUSTO!$Q$7,[1]BD_CUSTO!$R$7,[1]BD_CUSTO!$R$8)*BO24/E24</f>
        <v>2024.5901639344263</v>
      </c>
      <c r="BX24" s="24">
        <f>IF(BQ24=[1]BD_CUSTO!$Q$4,[1]BD_CUSTO!$R$4,[1]BD_CUSTO!$R$5)*BR24/E24</f>
        <v>45.081967213114751</v>
      </c>
      <c r="BY24" s="22">
        <f>IF(BS24=[1]BD_CUSTO!$Q$13,[1]BD_CUSTO!$R$13,[1]BD_CUSTO!$R$14)*BT24/E24</f>
        <v>0</v>
      </c>
      <c r="BZ24" s="24">
        <f>BV24*CUSTO!$R$10/E24</f>
        <v>0</v>
      </c>
      <c r="CA24" s="26">
        <f>SUM(Tabela13[[#This Row],[SOMA_PISO SALA E QUARTO]],Tabela13[[#This Row],[SOMA_PAREDE HIDR]],Tabela13[[#This Row],[SOMA_TETO]],Tabela13[[#This Row],[SOMA_BANCADA]],Tabela13[[#This Row],[SOMA_PEDRAS]])</f>
        <v>4290</v>
      </c>
      <c r="CB24" s="27" t="str">
        <f>IF(CA24&lt;=RÉGUAS!$D$4,"ACAB 01",IF(CA24&lt;=RÉGUAS!$F$4,"ACAB 02",IF(CA24&gt;RÉGUAS!$F$4,"ACAB 03",)))</f>
        <v>ACAB 02</v>
      </c>
      <c r="CC24" s="26">
        <f>SUM(Tabela13[[#This Row],[SOMA_LZ 01]:[SOMA_LZ 10]])</f>
        <v>494.05377049180328</v>
      </c>
      <c r="CD24" s="22" t="str">
        <f>IF(CC24&lt;=RÉGUAS!$D$13,"LZ 01",IF(CC24&lt;=RÉGUAS!$F$13,"LZ 02",IF(CC24&lt;=RÉGUAS!$H$13,"LZ 03",IF(CC24&gt;RÉGUAS!$H$13,"LZ 04",))))</f>
        <v>LZ 01</v>
      </c>
      <c r="CE24" s="28">
        <f t="shared" si="1"/>
        <v>0</v>
      </c>
      <c r="CF24" s="22" t="str">
        <f>IF(CE24&lt;=RÉGUAS!$D$22,"TIP 01",IF(CE24&lt;=RÉGUAS!$F$22,"TIP 02",IF(CE24&gt;RÉGUAS!$F$22,"TIP 03",)))</f>
        <v>TIP 01</v>
      </c>
      <c r="CG24" s="28">
        <f t="shared" si="2"/>
        <v>2069.6721311475412</v>
      </c>
      <c r="CH24" s="22" t="str">
        <f>IF(CG24&lt;=RÉGUAS!$D$32,"VAGA 01",IF(CG24&lt;=RÉGUAS!$F$32,"VAGA 02",IF(CG24&gt;RÉGUAS!$F$32,"VAGA 03",)))</f>
        <v>VAGA 02</v>
      </c>
      <c r="CI24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615.32786885245901</v>
      </c>
      <c r="CJ24" s="85" t="str">
        <f>IF(AND(G24="BLOCO",CI24&lt;=RÉGUAS!$D$40),"ELEV 01",IF(AND(G24="BLOCO",CI24&gt;RÉGUAS!$D$40),"ELEV 02",IF(AND(G24="TORRE",CI24&lt;=RÉGUAS!$K$40),"ELEV 01",IF(AND(G24="TORRE",CI24&lt;=RÉGUAS!$M$40),"ELEV 02",IF(AND(G24="TORRE",CI24&gt;RÉGUAS!$M$40),"ELEV 03",)))))</f>
        <v>ELEV 02</v>
      </c>
      <c r="CK24" s="85">
        <f>SUM(Tabela13[[#This Row],[TOTAL  ACAB]],Tabela13[[#This Row],[TOTAL LAZER ]],Tabela13[[#This Row],[TOTAL TIPOLOGIA]],Tabela13[[#This Row],[TOTAL VAGA]],Tabela13[[#This Row],[TOTAL ELEVADOR]])</f>
        <v>7469.0537704918033</v>
      </c>
      <c r="CL24" s="72" t="str">
        <f>IF(AND(G24="BLOCO",CK24&lt;=RÉGUAS!$D$50),"ESSENCIAL",IF(AND(G24="BLOCO",CK24&lt;=RÉGUAS!$F$50),"ECO",IF(AND(G24="BLOCO",CK24&gt;RÉGUAS!$F$50),"BIO",IF(AND(G24="TORRE",CK24&lt;=RÉGUAS!$K$50),"ESSENCIAL",IF(AND(G24="TORRE",CK24&lt;=RÉGUAS!$M$50),"ECO",IF(AND(G24="TORRE",CK24&gt;RÉGUAS!$M$50),"BIO",))))))</f>
        <v>ESSENCIAL</v>
      </c>
      <c r="CM24" s="28" t="str">
        <f>IF(AND(G24="BLOCO",CK24&gt;=RÉGUAS!$D$51,CK24&lt;=RÉGUAS!$D$50),"ESSENCIAL-10%",IF(AND(G24="BLOCO",CK24&gt;RÉGUAS!$D$50,CK24&lt;=RÉGUAS!$E$51),"ECO+10%",IF(AND(G24="BLOCO",CK24&gt;=RÉGUAS!$F$51,CK24&lt;=RÉGUAS!$F$50),"ECO-10%",IF(AND(G24="BLOCO",CK24&gt;RÉGUAS!$F$50,CK24&lt;=RÉGUAS!$G$51),"BIO+10%",IF(AND(G24="TORRE",CK24&gt;=RÉGUAS!$K$51,CK24&lt;=RÉGUAS!$K$50),"ESSENCIAL-10%",IF(AND(G24="TORRE",CK24&gt;RÉGUAS!$K$50,CK24&lt;=RÉGUAS!$L$51),"ECO+10%",IF(AND(G24="TORRE",CK24&gt;=RÉGUAS!$M$51,CK24&lt;=RÉGUAS!$M$50),"ECO-10%",IF(AND(G24="TORRE",CK24&gt;RÉGUAS!$M$50,CK24&lt;=RÉGUAS!$N$51),"BIO+10%","-"))))))))</f>
        <v>ESSENCIAL-10%</v>
      </c>
      <c r="CN24" s="73">
        <f t="shared" si="3"/>
        <v>6853.7259016393446</v>
      </c>
      <c r="CO24" s="72" t="str">
        <f>IF(CN24&lt;=RÉGUAS!$D$58,"ESSENCIAL",IF(CN24&lt;=RÉGUAS!$F$58,"ECO",IF(CN24&gt;RÉGUAS!$F$58,"BIO",)))</f>
        <v>ECO</v>
      </c>
      <c r="CP24" s="72" t="str">
        <f>IF(Tabela13[[#This Row],[INTERVALO DE INTERSEÇÃO 5D]]="-",Tabela13[[#This Row],[CLASSIFICAÇÃO 
5D ]],Tabela13[[#This Row],[CLASSIFICAÇÃO 
4D]])</f>
        <v>ECO</v>
      </c>
      <c r="CQ24" s="72" t="str">
        <f t="shared" si="4"/>
        <v>-</v>
      </c>
      <c r="CR24" s="72" t="str">
        <f t="shared" si="5"/>
        <v>ECO</v>
      </c>
      <c r="CS24" s="22" t="str">
        <f>IF(Tabela13[[#This Row],[PRODUTO ATUAL ]]=Tabela13[[#This Row],[CLASSIFICAÇÃO FINAL 5D]],"ADERÊNTE","NÃO ADERÊNTE")</f>
        <v>NÃO ADERÊNTE</v>
      </c>
      <c r="CT24" s="24">
        <f>SUM(Tabela13[[#This Row],[TOTAL  ACAB]],Tabela13[[#This Row],[TOTAL LAZER ]],Tabela13[[#This Row],[TOTAL TIPOLOGIA]],Tabela13[[#This Row],[TOTAL VAGA]])</f>
        <v>6853.7259016393446</v>
      </c>
      <c r="CU24" s="22" t="str">
        <f>IF(CT24&lt;=RÉGUAS!$D$58,"ESSENCIAL",IF(CT24&lt;=RÉGUAS!$F$58,"ECO",IF(CT24&gt;RÉGUAS!$F$58,"BIO",)))</f>
        <v>ECO</v>
      </c>
      <c r="CV24" s="22" t="str">
        <f>IF(AND(CT24&gt;=RÉGUAS!$D$59,CT24&lt;=RÉGUAS!$E$59),"ESSENCIAL/ECO",IF(AND(CT24&gt;=RÉGUAS!$F$59,CT24&lt;=RÉGUAS!$G$59),"ECO/BIO","-"))</f>
        <v>ESSENCIAL/ECO</v>
      </c>
      <c r="CW24" s="85">
        <f>SUM(Tabela13[[#This Row],[TOTAL LAZER ]],Tabela13[[#This Row],[TOTAL TIPOLOGIA]])</f>
        <v>494.05377049180328</v>
      </c>
      <c r="CX24" s="22" t="str">
        <f>IF(CW24&lt;=RÉGUAS!$D$72,"ESSENCIAL",IF(CW24&lt;=RÉGUAS!$F$72,"ECO",IF(CN24&gt;RÉGUAS!$F$72,"BIO",)))</f>
        <v>ESSENCIAL</v>
      </c>
      <c r="CY24" s="22" t="str">
        <f t="shared" si="6"/>
        <v>ESSENCIAL</v>
      </c>
      <c r="CZ24" s="22" t="str">
        <f>IF(Tabela13[[#This Row],[PRODUTO ATUAL ]]=CY24,"ADERENTE","NÃO ADERENTE")</f>
        <v>ADERENTE</v>
      </c>
      <c r="DA24" s="22" t="str">
        <f>IF(Tabela13[[#This Row],[PRODUTO ATUAL ]]=Tabela13[[#This Row],[CLASSIFICAÇÃO 
4D2]],"ADERENTE","NÃO ADERENTE")</f>
        <v>NÃO ADERENTE</v>
      </c>
    </row>
    <row r="25" spans="2:105" hidden="1" x14ac:dyDescent="0.35">
      <c r="B25" s="27">
        <v>23</v>
      </c>
      <c r="C25" s="22" t="s">
        <v>149</v>
      </c>
      <c r="D25" s="22" t="s">
        <v>147</v>
      </c>
      <c r="E25" s="23">
        <v>368</v>
      </c>
      <c r="F25" s="22" t="str">
        <f t="shared" si="0"/>
        <v>De 200 a 400 und</v>
      </c>
      <c r="G25" s="22" t="s">
        <v>1</v>
      </c>
      <c r="H25" s="36">
        <v>23</v>
      </c>
      <c r="I25" s="36">
        <v>4</v>
      </c>
      <c r="J25" s="36"/>
      <c r="K25" s="36"/>
      <c r="L25" s="36">
        <f>SUM(Tabela13[[#This Row],[QTD DE B/T 2]],Tabela13[[#This Row],[QTD DE B/T]])</f>
        <v>23</v>
      </c>
      <c r="M25" s="22">
        <v>1</v>
      </c>
      <c r="N25" s="22">
        <f>Tabela13[[#This Row],[ELEVADOR]]/Tabela13[[#This Row],[BLOCO TOTAL]]</f>
        <v>4.3478260869565216E-2</v>
      </c>
      <c r="O25" s="22" t="s">
        <v>6</v>
      </c>
      <c r="P25" s="22" t="s">
        <v>119</v>
      </c>
      <c r="Q25" s="22" t="s">
        <v>101</v>
      </c>
      <c r="R25" s="22" t="s">
        <v>142</v>
      </c>
      <c r="S25" s="22" t="s">
        <v>103</v>
      </c>
      <c r="T25" s="22" t="s">
        <v>104</v>
      </c>
      <c r="U25" s="22" t="s">
        <v>105</v>
      </c>
      <c r="V25" s="22" t="s">
        <v>106</v>
      </c>
      <c r="W25" s="24">
        <f>IF(P25=[1]BD_CUSTO!$E$4,[1]BD_CUSTO!$F$4,[1]BD_CUSTO!$F$5)</f>
        <v>530</v>
      </c>
      <c r="X25" s="24">
        <f>IF(Q25=[1]BD_CUSTO!$E$6,[1]BD_CUSTO!$F$6,[1]BD_CUSTO!$F$7)</f>
        <v>260</v>
      </c>
      <c r="Y25" s="24">
        <f>IF(R25=[1]BD_CUSTO!$E$8,[1]BD_CUSTO!$F$8,[1]BD_CUSTO!$F$9)</f>
        <v>900</v>
      </c>
      <c r="Z25" s="24">
        <f>IF(S25=[1]BD_CUSTO!$E$10,[1]BD_CUSTO!$F$10,[1]BD_CUSTO!$F$11)</f>
        <v>500</v>
      </c>
      <c r="AA25" s="24">
        <f>IF(T25=[1]BD_CUSTO!$E$12,[1]BD_CUSTO!$F$12,[1]BD_CUSTO!$F$13)</f>
        <v>370</v>
      </c>
      <c r="AB25" s="24">
        <f>IF(U25=[1]BD_CUSTO!$E$14,[1]BD_CUSTO!$F$14,[1]BD_CUSTO!$F$15)</f>
        <v>90</v>
      </c>
      <c r="AC25" s="24">
        <f>IF(V25=[1]BD_CUSTO!$E$16,[1]BD_CUSTO!$F$16,[1]BD_CUSTO!$F$17)</f>
        <v>720</v>
      </c>
      <c r="AD25" s="22" t="s">
        <v>110</v>
      </c>
      <c r="AE25" s="22">
        <v>1</v>
      </c>
      <c r="AF25" s="22" t="s">
        <v>108</v>
      </c>
      <c r="AG25" s="22">
        <v>1</v>
      </c>
      <c r="AH25" s="22" t="s">
        <v>107</v>
      </c>
      <c r="AI25" s="22">
        <v>1</v>
      </c>
      <c r="AJ25" s="22" t="s">
        <v>129</v>
      </c>
      <c r="AK25" s="22">
        <v>1</v>
      </c>
      <c r="AL25" s="22" t="s">
        <v>109</v>
      </c>
      <c r="AM25" s="22">
        <v>1</v>
      </c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4">
        <f>IF(AD25="",0,VLOOKUP(AD25,[1]BD_CUSTO!I:J,2,0)*AE25/E25)</f>
        <v>14.402173913043478</v>
      </c>
      <c r="AY25" s="24">
        <f>IF(AF25="",0,VLOOKUP(AF25,[1]BD_CUSTO!I:J,2,0)*AG25/E25)</f>
        <v>62.907608695652172</v>
      </c>
      <c r="AZ25" s="24">
        <f>IF(AH25="",0,VLOOKUP(AH25,[1]BD_CUSTO!I:J,2,0)*AI25/E25)</f>
        <v>231.38347826086957</v>
      </c>
      <c r="BA25" s="24">
        <f>IF(AJ25="",0,VLOOKUP(AJ25,[1]BD_CUSTO!I:J,2,0)*AK25/E25)</f>
        <v>747.73798913043481</v>
      </c>
      <c r="BB25" s="24">
        <f>IF(AL25="",0,VLOOKUP(AL25,[1]BD_CUSTO!I:J,2,0)*AM25/E25)</f>
        <v>18.885869565217391</v>
      </c>
      <c r="BC25" s="24">
        <f>IF(AN25="",0,VLOOKUP(AN25,[1]BD_CUSTO!I:J,2,0)*AO25/E25)</f>
        <v>0</v>
      </c>
      <c r="BD25" s="24">
        <f>IF(AP25="",0,VLOOKUP(AP25,[1]BD_CUSTO!I:J,2,0)*AQ25/E25)</f>
        <v>0</v>
      </c>
      <c r="BE25" s="24">
        <f>IF(AR25="",0,VLOOKUP(AR25,CUSTO!I:J,2,0)*AS25/E25)</f>
        <v>0</v>
      </c>
      <c r="BF25" s="24">
        <f>IF(AT25="",0,VLOOKUP(AT25,[1]BD_CUSTO!I:J,2,0)*AU25/E25)</f>
        <v>0</v>
      </c>
      <c r="BG25" s="24">
        <f>IF(Tabela13[[#This Row],[LZ 10]]="",0,VLOOKUP(Tabela13[[#This Row],[LZ 10]],[1]BD_CUSTO!I:J,2,0)*Tabela13[[#This Row],[QTD922]]/E25)</f>
        <v>0</v>
      </c>
      <c r="BH25" s="22" t="s">
        <v>112</v>
      </c>
      <c r="BI25" s="25">
        <v>0.37</v>
      </c>
      <c r="BJ25" s="22" t="s">
        <v>113</v>
      </c>
      <c r="BK25" s="25">
        <v>0</v>
      </c>
      <c r="BL25" s="24">
        <f>IF(BH25=[1]BD_CUSTO!$M$6,[1]BD_CUSTO!$N$6)*BI25</f>
        <v>1110</v>
      </c>
      <c r="BM25" s="24">
        <f>IF(BJ25=[1]BD_CUSTO!$M$4,[1]BD_CUSTO!$N$4,[1]BD_CUSTO!$N$5)*BK25</f>
        <v>0</v>
      </c>
      <c r="BN25" s="22" t="s">
        <v>114</v>
      </c>
      <c r="BO25" s="22">
        <v>227</v>
      </c>
      <c r="BP25" s="25">
        <f>Tabela13[[#This Row],[QTD ]]/Tabela13[[#This Row],[Nº UNDS]]</f>
        <v>0.61684782608695654</v>
      </c>
      <c r="BQ25" s="22" t="s">
        <v>115</v>
      </c>
      <c r="BR25" s="22">
        <v>0</v>
      </c>
      <c r="BS25" s="22" t="s">
        <v>116</v>
      </c>
      <c r="BT25" s="22">
        <v>0</v>
      </c>
      <c r="BU25" s="22" t="s">
        <v>16</v>
      </c>
      <c r="BV25" s="22">
        <v>0</v>
      </c>
      <c r="BW25" s="24">
        <f>IF(BN25=[1]BD_CUSTO!$Q$7,[1]BD_CUSTO!$R$7,[1]BD_CUSTO!$R$8)*BO25/E25</f>
        <v>1233.695652173913</v>
      </c>
      <c r="BX25" s="24">
        <f>IF(BQ25=[1]BD_CUSTO!$Q$4,[1]BD_CUSTO!$R$4,[1]BD_CUSTO!$R$5)*BR25/E25</f>
        <v>0</v>
      </c>
      <c r="BY25" s="22">
        <f>IF(BS25=[1]BD_CUSTO!$Q$13,[1]BD_CUSTO!$R$13,[1]BD_CUSTO!$R$14)*BT25/E25</f>
        <v>0</v>
      </c>
      <c r="BZ25" s="24">
        <f>BV25*CUSTO!$R$10/E25</f>
        <v>0</v>
      </c>
      <c r="CA25" s="26">
        <f>SUM(Tabela13[[#This Row],[SOMA_PISO SALA E QUARTO]],Tabela13[[#This Row],[SOMA_PAREDE HIDR]],Tabela13[[#This Row],[SOMA_TETO]],Tabela13[[#This Row],[SOMA_BANCADA]],Tabela13[[#This Row],[SOMA_PEDRAS]])</f>
        <v>2390</v>
      </c>
      <c r="CB25" s="27" t="str">
        <f>IF(CA25&lt;=RÉGUAS!$D$4,"ACAB 01",IF(CA25&lt;=RÉGUAS!$F$4,"ACAB 02",IF(CA25&gt;RÉGUAS!$F$4,"ACAB 03",)))</f>
        <v>ACAB 01</v>
      </c>
      <c r="CC25" s="26">
        <f>SUM(Tabela13[[#This Row],[SOMA_LZ 01]:[SOMA_LZ 10]])</f>
        <v>1075.3171195652176</v>
      </c>
      <c r="CD25" s="22" t="str">
        <f>IF(CC25&lt;=RÉGUAS!$D$13,"LZ 01",IF(CC25&lt;=RÉGUAS!$F$13,"LZ 02",IF(CC25&lt;=RÉGUAS!$H$13,"LZ 03",IF(CC25&gt;RÉGUAS!$H$13,"LZ 04",))))</f>
        <v>LZ 02</v>
      </c>
      <c r="CE25" s="28">
        <f t="shared" si="1"/>
        <v>1110</v>
      </c>
      <c r="CF25" s="22" t="str">
        <f>IF(CE25&lt;=RÉGUAS!$D$22,"TIP 01",IF(CE25&lt;=RÉGUAS!$F$22,"TIP 02",IF(CE25&gt;RÉGUAS!$F$22,"TIP 03",)))</f>
        <v>TIP 01</v>
      </c>
      <c r="CG25" s="28">
        <f t="shared" si="2"/>
        <v>1233.695652173913</v>
      </c>
      <c r="CH25" s="22" t="str">
        <f>IF(CG25&lt;=RÉGUAS!$D$32,"VAGA 01",IF(CG25&lt;=RÉGUAS!$F$32,"VAGA 02",IF(CG25&gt;RÉGUAS!$F$32,"VAGA 03",)))</f>
        <v>VAGA 01</v>
      </c>
      <c r="CI25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326.39130434782606</v>
      </c>
      <c r="CJ25" s="85" t="str">
        <f>IF(AND(G25="BLOCO",CI25&lt;=RÉGUAS!$D$40),"ELEV 01",IF(AND(G25="BLOCO",CI25&gt;RÉGUAS!$D$40),"ELEV 02",IF(AND(G25="TORRE",CI25&lt;=RÉGUAS!$K$40),"ELEV 01",IF(AND(G25="TORRE",CI25&lt;=RÉGUAS!$M$40),"ELEV 02",IF(AND(G25="TORRE",CI25&gt;RÉGUAS!$M$40),"ELEV 03",)))))</f>
        <v>ELEV 02</v>
      </c>
      <c r="CK25" s="85">
        <f>SUM(Tabela13[[#This Row],[TOTAL  ACAB]],Tabela13[[#This Row],[TOTAL LAZER ]],Tabela13[[#This Row],[TOTAL TIPOLOGIA]],Tabela13[[#This Row],[TOTAL VAGA]],Tabela13[[#This Row],[TOTAL ELEVADOR]])</f>
        <v>6135.4040760869566</v>
      </c>
      <c r="CL25" s="72" t="str">
        <f>IF(AND(G25="BLOCO",CK25&lt;=RÉGUAS!$D$50),"ESSENCIAL",IF(AND(G25="BLOCO",CK25&lt;=RÉGUAS!$F$50),"ECO",IF(AND(G25="BLOCO",CK25&gt;RÉGUAS!$F$50),"BIO",IF(AND(G25="TORRE",CK25&lt;=RÉGUAS!$K$50),"ESSENCIAL",IF(AND(G25="TORRE",CK25&lt;=RÉGUAS!$M$50),"ECO",IF(AND(G25="TORRE",CK25&gt;RÉGUAS!$M$50),"BIO",))))))</f>
        <v>ESSENCIAL</v>
      </c>
      <c r="CM25" s="28" t="str">
        <f>IF(AND(G25="BLOCO",CK25&gt;=RÉGUAS!$D$51,CK25&lt;=RÉGUAS!$D$50),"ESSENCIAL-10%",IF(AND(G25="BLOCO",CK25&gt;RÉGUAS!$D$50,CK25&lt;=RÉGUAS!$E$51),"ECO+10%",IF(AND(G25="BLOCO",CK25&gt;=RÉGUAS!$F$51,CK25&lt;=RÉGUAS!$F$50),"ECO-10%",IF(AND(G25="BLOCO",CK25&gt;RÉGUAS!$F$50,CK25&lt;=RÉGUAS!$G$51),"BIO+10%",IF(AND(G25="TORRE",CK25&gt;=RÉGUAS!$K$51,CK25&lt;=RÉGUAS!$K$50),"ESSENCIAL-10%",IF(AND(G25="TORRE",CK25&gt;RÉGUAS!$K$50,CK25&lt;=RÉGUAS!$L$51),"ECO+10%",IF(AND(G25="TORRE",CK25&gt;=RÉGUAS!$M$51,CK25&lt;=RÉGUAS!$M$50),"ECO-10%",IF(AND(G25="TORRE",CK25&gt;RÉGUAS!$M$50,CK25&lt;=RÉGUAS!$N$51),"BIO+10%","-"))))))))</f>
        <v>-</v>
      </c>
      <c r="CN25" s="73">
        <f t="shared" si="3"/>
        <v>5809.0127717391306</v>
      </c>
      <c r="CO25" s="72" t="str">
        <f>IF(CN25&lt;=RÉGUAS!$D$58,"ESSENCIAL",IF(CN25&lt;=RÉGUAS!$F$58,"ECO",IF(CN25&gt;RÉGUAS!$F$58,"BIO",)))</f>
        <v>ESSENCIAL</v>
      </c>
      <c r="CP25" s="72" t="str">
        <f>IF(Tabela13[[#This Row],[INTERVALO DE INTERSEÇÃO 5D]]="-",Tabela13[[#This Row],[CLASSIFICAÇÃO 
5D ]],Tabela13[[#This Row],[CLASSIFICAÇÃO 
4D]])</f>
        <v>ESSENCIAL</v>
      </c>
      <c r="CQ25" s="72" t="str">
        <f t="shared" si="4"/>
        <v>-</v>
      </c>
      <c r="CR25" s="72" t="str">
        <f t="shared" si="5"/>
        <v>ESSENCIAL</v>
      </c>
      <c r="CS25" s="22" t="str">
        <f>IF(Tabela13[[#This Row],[PRODUTO ATUAL ]]=Tabela13[[#This Row],[CLASSIFICAÇÃO FINAL 5D]],"ADERÊNTE","NÃO ADERÊNTE")</f>
        <v>ADERÊNTE</v>
      </c>
      <c r="CT25" s="24">
        <f>SUM(Tabela13[[#This Row],[TOTAL  ACAB]],Tabela13[[#This Row],[TOTAL LAZER ]],Tabela13[[#This Row],[TOTAL TIPOLOGIA]],Tabela13[[#This Row],[TOTAL VAGA]])</f>
        <v>5809.0127717391306</v>
      </c>
      <c r="CU25" s="22" t="str">
        <f>IF(CT25&lt;=RÉGUAS!$D$58,"ESSENCIAL",IF(CT25&lt;=RÉGUAS!$F$58,"ECO",IF(CT25&gt;RÉGUAS!$F$58,"BIO",)))</f>
        <v>ESSENCIAL</v>
      </c>
      <c r="CV25" s="22" t="str">
        <f>IF(AND(CT25&gt;=RÉGUAS!$D$59,CT25&lt;=RÉGUAS!$E$59),"ESSENCIAL/ECO",IF(AND(CT25&gt;=RÉGUAS!$F$59,CT25&lt;=RÉGUAS!$G$59),"ECO/BIO","-"))</f>
        <v>-</v>
      </c>
      <c r="CW25" s="85">
        <f>SUM(Tabela13[[#This Row],[TOTAL LAZER ]],Tabela13[[#This Row],[TOTAL TIPOLOGIA]])</f>
        <v>2185.3171195652176</v>
      </c>
      <c r="CX25" s="22" t="str">
        <f>IF(CW25&lt;=RÉGUAS!$D$72,"ESSENCIAL",IF(CW25&lt;=RÉGUAS!$F$72,"ECO",IF(CN25&gt;RÉGUAS!$F$72,"BIO",)))</f>
        <v>ESSENCIAL</v>
      </c>
      <c r="CY25" s="22" t="str">
        <f t="shared" si="6"/>
        <v>ESSENCIAL</v>
      </c>
      <c r="CZ25" s="22" t="str">
        <f>IF(Tabela13[[#This Row],[PRODUTO ATUAL ]]=CY25,"ADERENTE","NÃO ADERENTE")</f>
        <v>ADERENTE</v>
      </c>
      <c r="DA25" s="22" t="str">
        <f>IF(Tabela13[[#This Row],[PRODUTO ATUAL ]]=Tabela13[[#This Row],[CLASSIFICAÇÃO 
4D2]],"ADERENTE","NÃO ADERENTE")</f>
        <v>ADERENTE</v>
      </c>
    </row>
    <row r="26" spans="2:105" hidden="1" x14ac:dyDescent="0.35">
      <c r="B26" s="27">
        <v>44</v>
      </c>
      <c r="C26" s="22" t="s">
        <v>164</v>
      </c>
      <c r="D26" s="22" t="s">
        <v>131</v>
      </c>
      <c r="E26" s="134">
        <v>359</v>
      </c>
      <c r="F26" s="22" t="str">
        <f t="shared" si="0"/>
        <v>De 200 a 400 und</v>
      </c>
      <c r="G26" s="133" t="s">
        <v>14</v>
      </c>
      <c r="H26" s="135">
        <v>2</v>
      </c>
      <c r="I26" s="135">
        <v>15</v>
      </c>
      <c r="J26" s="36"/>
      <c r="K26" s="36"/>
      <c r="L26" s="36">
        <f>SUM(Tabela13[[#This Row],[QTD DE B/T 2]],Tabela13[[#This Row],[QTD DE B/T]])</f>
        <v>2</v>
      </c>
      <c r="M26" s="22">
        <v>6</v>
      </c>
      <c r="N26" s="22">
        <f>Tabela13[[#This Row],[ELEVADOR]]/Tabela13[[#This Row],[BLOCO TOTAL]]</f>
        <v>3</v>
      </c>
      <c r="O26" s="22" t="s">
        <v>6</v>
      </c>
      <c r="P26" s="22" t="s">
        <v>119</v>
      </c>
      <c r="Q26" s="22" t="s">
        <v>101</v>
      </c>
      <c r="R26" s="22" t="s">
        <v>142</v>
      </c>
      <c r="S26" s="22" t="s">
        <v>103</v>
      </c>
      <c r="T26" s="22" t="s">
        <v>104</v>
      </c>
      <c r="U26" s="22" t="s">
        <v>105</v>
      </c>
      <c r="V26" s="22" t="s">
        <v>106</v>
      </c>
      <c r="W26" s="24">
        <f>IF(P26=[1]BD_CUSTO!$E$4,[1]BD_CUSTO!$F$4,[1]BD_CUSTO!$F$5)</f>
        <v>530</v>
      </c>
      <c r="X26" s="24">
        <f>IF(Q26=[1]BD_CUSTO!$E$6,[1]BD_CUSTO!$F$6,[1]BD_CUSTO!$F$7)</f>
        <v>260</v>
      </c>
      <c r="Y26" s="24">
        <f>IF(R26=[1]BD_CUSTO!$E$8,[1]BD_CUSTO!$F$8,[1]BD_CUSTO!$F$9)</f>
        <v>900</v>
      </c>
      <c r="Z26" s="24">
        <f>IF(S26=[1]BD_CUSTO!$E$10,[1]BD_CUSTO!$F$10,[1]BD_CUSTO!$F$11)</f>
        <v>500</v>
      </c>
      <c r="AA26" s="24">
        <f>IF(T26=[1]BD_CUSTO!$E$12,[1]BD_CUSTO!$F$12,[1]BD_CUSTO!$F$13)</f>
        <v>370</v>
      </c>
      <c r="AB26" s="24">
        <f>IF(U26=[1]BD_CUSTO!$E$14,[1]BD_CUSTO!$F$14,[1]BD_CUSTO!$F$15)</f>
        <v>90</v>
      </c>
      <c r="AC26" s="24">
        <f>IF(V26=[1]BD_CUSTO!$E$16,[1]BD_CUSTO!$F$16,[1]BD_CUSTO!$F$17)</f>
        <v>720</v>
      </c>
      <c r="AD26" s="133" t="s">
        <v>110</v>
      </c>
      <c r="AE26" s="133">
        <v>1</v>
      </c>
      <c r="AF26" s="133" t="s">
        <v>107</v>
      </c>
      <c r="AG26" s="133">
        <v>1</v>
      </c>
      <c r="AH26" s="133" t="s">
        <v>129</v>
      </c>
      <c r="AI26" s="133">
        <v>1</v>
      </c>
      <c r="AJ26" s="133" t="s">
        <v>111</v>
      </c>
      <c r="AK26" s="133">
        <v>1</v>
      </c>
      <c r="AL26" s="133" t="s">
        <v>109</v>
      </c>
      <c r="AM26" s="133">
        <v>1</v>
      </c>
      <c r="AN26" s="133" t="s">
        <v>108</v>
      </c>
      <c r="AO26" s="133">
        <v>1</v>
      </c>
      <c r="AP26" s="133" t="s">
        <v>126</v>
      </c>
      <c r="AQ26" s="133">
        <v>1</v>
      </c>
      <c r="AR26" s="22"/>
      <c r="AS26" s="22"/>
      <c r="AT26" s="22"/>
      <c r="AU26" s="22"/>
      <c r="AV26" s="22"/>
      <c r="AW26" s="22"/>
      <c r="AX26" s="24">
        <f>IF(AD26="",0,VLOOKUP(AD26,[1]BD_CUSTO!I:J,2,0)*AE26/E26)</f>
        <v>14.763231197771587</v>
      </c>
      <c r="AY26" s="24">
        <f>IF(AF26="",0,VLOOKUP(AF26,[1]BD_CUSTO!I:J,2,0)*AG26/E26)</f>
        <v>237.18417827298049</v>
      </c>
      <c r="AZ26" s="24">
        <f>IF(AH26="",0,VLOOKUP(AH26,[1]BD_CUSTO!I:J,2,0)*AI26/E26)</f>
        <v>766.48350974930372</v>
      </c>
      <c r="BA26" s="24">
        <f>IF(AJ26="",0,VLOOKUP(AJ26,[1]BD_CUSTO!I:J,2,0)*AK26/E26)</f>
        <v>45.125348189415043</v>
      </c>
      <c r="BB26" s="24">
        <f>IF(AL26="",0,VLOOKUP(AL26,[1]BD_CUSTO!I:J,2,0)*AM26/E26)</f>
        <v>19.359331476323121</v>
      </c>
      <c r="BC26" s="24">
        <f>IF(AN26="",0,VLOOKUP(AN26,[1]BD_CUSTO!I:J,2,0)*AO26/E26)</f>
        <v>64.484679665738156</v>
      </c>
      <c r="BD26" s="24">
        <f>IF(AP26="",0,VLOOKUP(AP26,[1]BD_CUSTO!I:J,2,0)*AQ26/E26)</f>
        <v>21.058495821727018</v>
      </c>
      <c r="BE26" s="24">
        <f>IF(AR26="",0,VLOOKUP(AR26,CUSTO!I:J,2,0)*AS26/E26)</f>
        <v>0</v>
      </c>
      <c r="BF26" s="24">
        <f>IF(AT26="",0,VLOOKUP(AT26,[1]BD_CUSTO!I:J,2,0)*AU26/E26)</f>
        <v>0</v>
      </c>
      <c r="BG26" s="24">
        <f>IF(Tabela13[[#This Row],[LZ 10]]="",0,VLOOKUP(Tabela13[[#This Row],[LZ 10]],[1]BD_CUSTO!I:J,2,0)*Tabela13[[#This Row],[QTD922]]/E26)</f>
        <v>0</v>
      </c>
      <c r="BH26" s="133" t="s">
        <v>122</v>
      </c>
      <c r="BI26" s="136">
        <v>0</v>
      </c>
      <c r="BJ26" s="133" t="s">
        <v>113</v>
      </c>
      <c r="BK26" s="136">
        <v>0</v>
      </c>
      <c r="BL26" s="24">
        <f>IF(BH26=[1]BD_CUSTO!$M$6,[1]BD_CUSTO!$N$6)*BI26</f>
        <v>0</v>
      </c>
      <c r="BM26" s="24">
        <f>IF(BJ26=[1]BD_CUSTO!$M$4,[1]BD_CUSTO!$N$4,[1]BD_CUSTO!$N$5)*BK26</f>
        <v>0</v>
      </c>
      <c r="BN26" s="133" t="s">
        <v>114</v>
      </c>
      <c r="BO26" s="133">
        <f>166+11</f>
        <v>177</v>
      </c>
      <c r="BP26" s="136">
        <f>Tabela13[[#This Row],[QTD ]]/Tabela13[[#This Row],[Nº UNDS]]</f>
        <v>0.49303621169916434</v>
      </c>
      <c r="BQ26" s="133" t="s">
        <v>123</v>
      </c>
      <c r="BR26" s="133">
        <v>38</v>
      </c>
      <c r="BS26" s="22" t="s">
        <v>116</v>
      </c>
      <c r="BT26" s="22">
        <v>0</v>
      </c>
      <c r="BU26" s="22" t="s">
        <v>16</v>
      </c>
      <c r="BV26" s="22">
        <v>0</v>
      </c>
      <c r="BW26" s="24">
        <f>IF(BN26=[1]BD_CUSTO!$Q$7,[1]BD_CUSTO!$R$7,[1]BD_CUSTO!$R$8)*BO26/E26</f>
        <v>986.07242339832874</v>
      </c>
      <c r="BX26" s="24">
        <f>IF(BQ26=[1]BD_CUSTO!$Q$4,[1]BD_CUSTO!$R$4,[1]BD_CUSTO!$R$5)*BR26/E26</f>
        <v>105.84958217270194</v>
      </c>
      <c r="BY26" s="22">
        <f>IF(BS26=[1]BD_CUSTO!$Q$13,[1]BD_CUSTO!$R$13,[1]BD_CUSTO!$R$14)*BT26/E26</f>
        <v>0</v>
      </c>
      <c r="BZ26" s="24">
        <f>BV26*CUSTO!$R$10/E26</f>
        <v>0</v>
      </c>
      <c r="CA26" s="26">
        <f>SUM(Tabela13[[#This Row],[SOMA_PISO SALA E QUARTO]],Tabela13[[#This Row],[SOMA_PAREDE HIDR]],Tabela13[[#This Row],[SOMA_TETO]],Tabela13[[#This Row],[SOMA_BANCADA]],Tabela13[[#This Row],[SOMA_PEDRAS]])</f>
        <v>2390</v>
      </c>
      <c r="CB26" s="27" t="str">
        <f>IF(CA26&lt;=RÉGUAS!$D$4,"ACAB 01",IF(CA26&lt;=RÉGUAS!$F$4,"ACAB 02",IF(CA26&gt;RÉGUAS!$F$4,"ACAB 03",)))</f>
        <v>ACAB 01</v>
      </c>
      <c r="CC26" s="26">
        <f>SUM(Tabela13[[#This Row],[SOMA_LZ 01]:[SOMA_LZ 10]])</f>
        <v>1168.4587743732593</v>
      </c>
      <c r="CD26" s="22" t="str">
        <f>IF(CC26&lt;=RÉGUAS!$D$13,"LZ 01",IF(CC26&lt;=RÉGUAS!$F$13,"LZ 02",IF(CC26&lt;=RÉGUAS!$H$13,"LZ 03",IF(CC26&gt;RÉGUAS!$H$13,"LZ 04",))))</f>
        <v>LZ 02</v>
      </c>
      <c r="CE26" s="28">
        <f t="shared" si="1"/>
        <v>0</v>
      </c>
      <c r="CF26" s="22" t="str">
        <f>IF(CE26&lt;=RÉGUAS!$D$22,"TIP 01",IF(CE26&lt;=RÉGUAS!$F$22,"TIP 02",IF(CE26&gt;RÉGUAS!$F$22,"TIP 03",)))</f>
        <v>TIP 01</v>
      </c>
      <c r="CG26" s="28">
        <f t="shared" si="2"/>
        <v>1091.9220055710307</v>
      </c>
      <c r="CH26" s="22" t="str">
        <f>IF(CG26&lt;=RÉGUAS!$D$32,"VAGA 01",IF(CG26&lt;=RÉGUAS!$F$32,"VAGA 02",IF(CG26&gt;RÉGUAS!$F$32,"VAGA 03",)))</f>
        <v>VAGA 01</v>
      </c>
      <c r="CI26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4206.4345403899724</v>
      </c>
      <c r="CJ26" s="85" t="str">
        <f>IF(AND(G26="BLOCO",CI26&lt;=RÉGUAS!$D$40),"ELEV 01",IF(AND(G26="BLOCO",CI26&gt;RÉGUAS!$D$40),"ELEV 02",IF(AND(G26="TORRE",CI26&lt;=RÉGUAS!$K$40),"ELEV 01",IF(AND(G26="TORRE",CI26&lt;=RÉGUAS!$M$40),"ELEV 02",IF(AND(G26="TORRE",CI26&gt;RÉGUAS!$M$40),"ELEV 03",)))))</f>
        <v>ELEV 03</v>
      </c>
      <c r="CK26" s="85">
        <f>SUM(Tabela13[[#This Row],[TOTAL  ACAB]],Tabela13[[#This Row],[TOTAL LAZER ]],Tabela13[[#This Row],[TOTAL TIPOLOGIA]],Tabela13[[#This Row],[TOTAL VAGA]],Tabela13[[#This Row],[TOTAL ELEVADOR]])</f>
        <v>8856.8153203342627</v>
      </c>
      <c r="CL26" s="72" t="str">
        <f>IF(AND(G26="BLOCO",CK26&lt;=RÉGUAS!$D$50),"ESSENCIAL",IF(AND(G26="BLOCO",CK26&lt;=RÉGUAS!$F$50),"ECO",IF(AND(G26="BLOCO",CK26&gt;RÉGUAS!$F$50),"BIO",IF(AND(G26="TORRE",CK26&lt;=RÉGUAS!$K$50),"ESSENCIAL",IF(AND(G26="TORRE",CK26&lt;=RÉGUAS!$M$50),"ECO",IF(AND(G26="TORRE",CK26&gt;RÉGUAS!$M$50),"BIO",))))))</f>
        <v>ESSENCIAL</v>
      </c>
      <c r="CM26" s="28" t="str">
        <f>IF(AND(G26="BLOCO",CK26&gt;=RÉGUAS!$D$51,CK26&lt;=RÉGUAS!$D$50),"ESSENCIAL-10%",IF(AND(G26="BLOCO",CK26&gt;RÉGUAS!$D$50,CK26&lt;=RÉGUAS!$E$51),"ECO+10%",IF(AND(G26="BLOCO",CK26&gt;=RÉGUAS!$F$51,CK26&lt;=RÉGUAS!$F$50),"ECO-10%",IF(AND(G26="BLOCO",CK26&gt;RÉGUAS!$F$50,CK26&lt;=RÉGUAS!$G$51),"BIO+10%",IF(AND(G26="TORRE",CK26&gt;=RÉGUAS!$K$51,CK26&lt;=RÉGUAS!$K$50),"ESSENCIAL-10%",IF(AND(G26="TORRE",CK26&gt;RÉGUAS!$K$50,CK26&lt;=RÉGUAS!$L$51),"ECO+10%",IF(AND(G26="TORRE",CK26&gt;=RÉGUAS!$M$51,CK26&lt;=RÉGUAS!$M$50),"ECO-10%",IF(AND(G26="TORRE",CK26&gt;RÉGUAS!$M$50,CK26&lt;=RÉGUAS!$N$51),"BIO+10%","-"))))))))</f>
        <v>-</v>
      </c>
      <c r="CN26" s="73">
        <f t="shared" si="3"/>
        <v>4650.3807799442893</v>
      </c>
      <c r="CO26" s="72" t="str">
        <f>IF(CN26&lt;=RÉGUAS!$D$58,"ESSENCIAL",IF(CN26&lt;=RÉGUAS!$F$58,"ECO",IF(CN26&gt;RÉGUAS!$F$58,"BIO",)))</f>
        <v>ESSENCIAL</v>
      </c>
      <c r="CP26" s="72" t="str">
        <f>IF(Tabela13[[#This Row],[INTERVALO DE INTERSEÇÃO 5D]]="-",Tabela13[[#This Row],[CLASSIFICAÇÃO 
5D ]],Tabela13[[#This Row],[CLASSIFICAÇÃO 
4D]])</f>
        <v>ESSENCIAL</v>
      </c>
      <c r="CQ26" s="72" t="str">
        <f t="shared" si="4"/>
        <v>-</v>
      </c>
      <c r="CR26" s="72" t="str">
        <f t="shared" si="5"/>
        <v>ESSENCIAL</v>
      </c>
      <c r="CS26" s="22" t="str">
        <f>IF(Tabela13[[#This Row],[PRODUTO ATUAL ]]=Tabela13[[#This Row],[CLASSIFICAÇÃO FINAL 5D]],"ADERÊNTE","NÃO ADERÊNTE")</f>
        <v>ADERÊNTE</v>
      </c>
      <c r="CT26" s="24">
        <f>SUM(Tabela13[[#This Row],[TOTAL  ACAB]],Tabela13[[#This Row],[TOTAL LAZER ]],Tabela13[[#This Row],[TOTAL TIPOLOGIA]],Tabela13[[#This Row],[TOTAL VAGA]])</f>
        <v>4650.3807799442893</v>
      </c>
      <c r="CU26" s="22" t="str">
        <f>IF(CT26&lt;=RÉGUAS!$D$58,"ESSENCIAL",IF(CT26&lt;=RÉGUAS!$F$58,"ECO",IF(CT26&gt;RÉGUAS!$F$58,"BIO",)))</f>
        <v>ESSENCIAL</v>
      </c>
      <c r="CV26" s="22" t="str">
        <f>IF(AND(CT26&gt;=RÉGUAS!$D$59,CT26&lt;=RÉGUAS!$E$59),"ESSENCIAL/ECO",IF(AND(CT26&gt;=RÉGUAS!$F$59,CT26&lt;=RÉGUAS!$G$59),"ECO/BIO","-"))</f>
        <v>-</v>
      </c>
      <c r="CW26" s="85">
        <f>SUM(Tabela13[[#This Row],[TOTAL LAZER ]],Tabela13[[#This Row],[TOTAL TIPOLOGIA]])</f>
        <v>1168.4587743732593</v>
      </c>
      <c r="CX26" s="22" t="str">
        <f>IF(CW26&lt;=RÉGUAS!$D$72,"ESSENCIAL",IF(CW26&lt;=RÉGUAS!$F$72,"ECO",IF(CN26&gt;RÉGUAS!$F$72,"BIO",)))</f>
        <v>ESSENCIAL</v>
      </c>
      <c r="CY26" s="22" t="str">
        <f t="shared" si="6"/>
        <v>ESSENCIAL</v>
      </c>
      <c r="CZ26" s="22" t="str">
        <f>IF(Tabela13[[#This Row],[PRODUTO ATUAL ]]=CY26,"ADERENTE","NÃO ADERENTE")</f>
        <v>ADERENTE</v>
      </c>
      <c r="DA26" s="22" t="str">
        <f>IF(Tabela13[[#This Row],[PRODUTO ATUAL ]]=Tabela13[[#This Row],[CLASSIFICAÇÃO 
4D2]],"ADERENTE","NÃO ADERENTE")</f>
        <v>ADERENTE</v>
      </c>
    </row>
    <row r="27" spans="2:105" hidden="1" x14ac:dyDescent="0.35">
      <c r="B27" s="27">
        <v>32</v>
      </c>
      <c r="C27" s="22" t="s">
        <v>153</v>
      </c>
      <c r="D27" s="22" t="s">
        <v>154</v>
      </c>
      <c r="E27" s="23">
        <v>336</v>
      </c>
      <c r="F27" s="22" t="str">
        <f t="shared" si="0"/>
        <v>De 200 a 400 und</v>
      </c>
      <c r="G27" s="22" t="s">
        <v>1</v>
      </c>
      <c r="H27" s="36">
        <v>21</v>
      </c>
      <c r="I27" s="36">
        <v>4</v>
      </c>
      <c r="J27" s="36"/>
      <c r="K27" s="36"/>
      <c r="L27" s="36">
        <f>SUM(Tabela13[[#This Row],[QTD DE B/T 2]],Tabela13[[#This Row],[QTD DE B/T]])</f>
        <v>21</v>
      </c>
      <c r="M27" s="22">
        <v>0</v>
      </c>
      <c r="N27" s="22">
        <f>Tabela13[[#This Row],[ELEVADOR]]/Tabela13[[#This Row],[BLOCO TOTAL]]</f>
        <v>0</v>
      </c>
      <c r="O27" s="22" t="s">
        <v>6</v>
      </c>
      <c r="P27" s="22" t="s">
        <v>119</v>
      </c>
      <c r="Q27" s="22" t="s">
        <v>101</v>
      </c>
      <c r="R27" s="22" t="s">
        <v>142</v>
      </c>
      <c r="S27" s="22" t="s">
        <v>103</v>
      </c>
      <c r="T27" s="22" t="s">
        <v>104</v>
      </c>
      <c r="U27" s="22" t="s">
        <v>105</v>
      </c>
      <c r="V27" s="22" t="s">
        <v>106</v>
      </c>
      <c r="W27" s="24">
        <f>IF(P27=[1]BD_CUSTO!$E$4,[1]BD_CUSTO!$F$4,[1]BD_CUSTO!$F$5)</f>
        <v>530</v>
      </c>
      <c r="X27" s="24">
        <f>IF(Q27=[1]BD_CUSTO!$E$6,[1]BD_CUSTO!$F$6,[1]BD_CUSTO!$F$7)</f>
        <v>260</v>
      </c>
      <c r="Y27" s="24">
        <f>IF(R27=[1]BD_CUSTO!$E$8,[1]BD_CUSTO!$F$8,[1]BD_CUSTO!$F$9)</f>
        <v>900</v>
      </c>
      <c r="Z27" s="24">
        <f>IF(S27=[1]BD_CUSTO!$E$10,[1]BD_CUSTO!$F$10,[1]BD_CUSTO!$F$11)</f>
        <v>500</v>
      </c>
      <c r="AA27" s="24">
        <f>IF(T27=[1]BD_CUSTO!$E$12,[1]BD_CUSTO!$F$12,[1]BD_CUSTO!$F$13)</f>
        <v>370</v>
      </c>
      <c r="AB27" s="24">
        <f>IF(U27=[1]BD_CUSTO!$E$14,[1]BD_CUSTO!$F$14,[1]BD_CUSTO!$F$15)</f>
        <v>90</v>
      </c>
      <c r="AC27" s="24">
        <f>IF(V27=[1]BD_CUSTO!$E$16,[1]BD_CUSTO!$F$16,[1]BD_CUSTO!$F$17)</f>
        <v>720</v>
      </c>
      <c r="AD27" s="22" t="s">
        <v>121</v>
      </c>
      <c r="AE27" s="22">
        <v>1</v>
      </c>
      <c r="AF27" s="22" t="s">
        <v>107</v>
      </c>
      <c r="AG27" s="22">
        <v>1</v>
      </c>
      <c r="AH27" s="22" t="s">
        <v>109</v>
      </c>
      <c r="AI27" s="22">
        <v>1</v>
      </c>
      <c r="AJ27" s="22" t="s">
        <v>108</v>
      </c>
      <c r="AK27" s="22">
        <v>1</v>
      </c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4">
        <f>IF(AD27="",0,VLOOKUP(AD27,[1]BD_CUSTO!I:J,2,0)*AE27/E27)</f>
        <v>366.53839285714287</v>
      </c>
      <c r="AY27" s="24">
        <f>IF(AF27="",0,VLOOKUP(AF27,[1]BD_CUSTO!I:J,2,0)*AG27/E27)</f>
        <v>253.42</v>
      </c>
      <c r="AZ27" s="24">
        <f>IF(AH27="",0,VLOOKUP(AH27,[1]BD_CUSTO!I:J,2,0)*AI27/E27)</f>
        <v>20.68452380952381</v>
      </c>
      <c r="BA27" s="24">
        <f>IF(AJ27="",0,VLOOKUP(AJ27,[1]BD_CUSTO!I:J,2,0)*AK27/E27)</f>
        <v>68.898809523809518</v>
      </c>
      <c r="BB27" s="24">
        <f>IF(AL27="",0,VLOOKUP(AL27,[1]BD_CUSTO!I:J,2,0)*AM27/E27)</f>
        <v>0</v>
      </c>
      <c r="BC27" s="24">
        <f>IF(AN27="",0,VLOOKUP(AN27,[1]BD_CUSTO!I:J,2,0)*AO27/E27)</f>
        <v>0</v>
      </c>
      <c r="BD27" s="24">
        <f>IF(AP27="",0,VLOOKUP(AP27,[1]BD_CUSTO!I:J,2,0)*AQ27/E27)</f>
        <v>0</v>
      </c>
      <c r="BE27" s="24">
        <f>IF(AR27="",0,VLOOKUP(AR27,CUSTO!I:J,2,0)*AS27/E27)</f>
        <v>0</v>
      </c>
      <c r="BF27" s="24">
        <f>IF(AT27="",0,VLOOKUP(AT27,[1]BD_CUSTO!I:J,2,0)*AU27/E27)</f>
        <v>0</v>
      </c>
      <c r="BG27" s="24">
        <f>IF(Tabela13[[#This Row],[LZ 10]]="",0,VLOOKUP(Tabela13[[#This Row],[LZ 10]],[1]BD_CUSTO!I:J,2,0)*Tabela13[[#This Row],[QTD922]]/E27)</f>
        <v>0</v>
      </c>
      <c r="BH27" s="22" t="s">
        <v>122</v>
      </c>
      <c r="BI27" s="25">
        <v>0</v>
      </c>
      <c r="BJ27" s="22" t="s">
        <v>113</v>
      </c>
      <c r="BK27" s="25">
        <v>0</v>
      </c>
      <c r="BL27" s="24">
        <f>IF(BH27=[1]BD_CUSTO!$M$6,[1]BD_CUSTO!$N$6)*BI27</f>
        <v>0</v>
      </c>
      <c r="BM27" s="24">
        <f>IF(BJ27=[1]BD_CUSTO!$M$4,[1]BD_CUSTO!$N$4,[1]BD_CUSTO!$N$5)*BK27</f>
        <v>0</v>
      </c>
      <c r="BN27" s="22" t="s">
        <v>114</v>
      </c>
      <c r="BO27" s="22">
        <v>336</v>
      </c>
      <c r="BP27" s="25">
        <f>Tabela13[[#This Row],[QTD ]]/Tabela13[[#This Row],[Nº UNDS]]</f>
        <v>1</v>
      </c>
      <c r="BQ27" s="22" t="s">
        <v>115</v>
      </c>
      <c r="BR27" s="22">
        <v>0</v>
      </c>
      <c r="BS27" s="22" t="s">
        <v>116</v>
      </c>
      <c r="BT27" s="22">
        <v>0</v>
      </c>
      <c r="BU27" s="22" t="s">
        <v>16</v>
      </c>
      <c r="BV27" s="22">
        <v>0</v>
      </c>
      <c r="BW27" s="24">
        <f>IF(BN27=[1]BD_CUSTO!$Q$7,[1]BD_CUSTO!$R$7,[1]BD_CUSTO!$R$8)*BO27/E27</f>
        <v>2000</v>
      </c>
      <c r="BX27" s="24">
        <f>IF(BQ27=[1]BD_CUSTO!$Q$4,[1]BD_CUSTO!$R$4,[1]BD_CUSTO!$R$5)*BR27/E27</f>
        <v>0</v>
      </c>
      <c r="BY27" s="22">
        <f>IF(BS27=[1]BD_CUSTO!$Q$13,[1]BD_CUSTO!$R$13,[1]BD_CUSTO!$R$14)*BT27/E27</f>
        <v>0</v>
      </c>
      <c r="BZ27" s="24">
        <f>BV27*CUSTO!$R$10/E27</f>
        <v>0</v>
      </c>
      <c r="CA27" s="26">
        <f>SUM(Tabela13[[#This Row],[SOMA_PISO SALA E QUARTO]],Tabela13[[#This Row],[SOMA_PAREDE HIDR]],Tabela13[[#This Row],[SOMA_TETO]],Tabela13[[#This Row],[SOMA_BANCADA]],Tabela13[[#This Row],[SOMA_PEDRAS]])</f>
        <v>2390</v>
      </c>
      <c r="CB27" s="27" t="str">
        <f>IF(CA27&lt;=RÉGUAS!$D$4,"ACAB 01",IF(CA27&lt;=RÉGUAS!$F$4,"ACAB 02",IF(CA27&gt;RÉGUAS!$F$4,"ACAB 03",)))</f>
        <v>ACAB 01</v>
      </c>
      <c r="CC27" s="26">
        <f>SUM(Tabela13[[#This Row],[SOMA_LZ 01]:[SOMA_LZ 10]])</f>
        <v>709.5417261904762</v>
      </c>
      <c r="CD27" s="22" t="str">
        <f>IF(CC27&lt;=RÉGUAS!$D$13,"LZ 01",IF(CC27&lt;=RÉGUAS!$F$13,"LZ 02",IF(CC27&lt;=RÉGUAS!$H$13,"LZ 03",IF(CC27&gt;RÉGUAS!$H$13,"LZ 04",))))</f>
        <v>LZ 01</v>
      </c>
      <c r="CE27" s="28">
        <f t="shared" si="1"/>
        <v>0</v>
      </c>
      <c r="CF27" s="22" t="str">
        <f>IF(CE27&lt;=RÉGUAS!$D$22,"TIP 01",IF(CE27&lt;=RÉGUAS!$F$22,"TIP 02",IF(CE27&gt;RÉGUAS!$F$22,"TIP 03",)))</f>
        <v>TIP 01</v>
      </c>
      <c r="CG27" s="28">
        <f t="shared" si="2"/>
        <v>2000</v>
      </c>
      <c r="CH27" s="22" t="str">
        <f>IF(CG27&lt;=RÉGUAS!$D$32,"VAGA 01",IF(CG27&lt;=RÉGUAS!$F$32,"VAGA 02",IF(CG27&gt;RÉGUAS!$F$32,"VAGA 03",)))</f>
        <v>VAGA 02</v>
      </c>
      <c r="CI27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27" s="85" t="str">
        <f>IF(AND(G27="BLOCO",CI27&lt;=RÉGUAS!$D$40),"ELEV 01",IF(AND(G27="BLOCO",CI27&gt;RÉGUAS!$D$40),"ELEV 02",IF(AND(G27="TORRE",CI27&lt;=RÉGUAS!$K$40),"ELEV 01",IF(AND(G27="TORRE",CI27&lt;=RÉGUAS!$M$40),"ELEV 02",IF(AND(G27="TORRE",CI27&gt;RÉGUAS!$M$40),"ELEV 03",)))))</f>
        <v>ELEV 01</v>
      </c>
      <c r="CK27" s="85">
        <f>SUM(Tabela13[[#This Row],[TOTAL  ACAB]],Tabela13[[#This Row],[TOTAL LAZER ]],Tabela13[[#This Row],[TOTAL TIPOLOGIA]],Tabela13[[#This Row],[TOTAL VAGA]],Tabela13[[#This Row],[TOTAL ELEVADOR]])</f>
        <v>5099.5417261904768</v>
      </c>
      <c r="CL27" s="72" t="str">
        <f>IF(AND(G27="BLOCO",CK27&lt;=RÉGUAS!$D$50),"ESSENCIAL",IF(AND(G27="BLOCO",CK27&lt;=RÉGUAS!$F$50),"ECO",IF(AND(G27="BLOCO",CK27&gt;RÉGUAS!$F$50),"BIO",IF(AND(G27="TORRE",CK27&lt;=RÉGUAS!$K$50),"ESSENCIAL",IF(AND(G27="TORRE",CK27&lt;=RÉGUAS!$M$50),"ECO",IF(AND(G27="TORRE",CK27&gt;RÉGUAS!$M$50),"BIO",))))))</f>
        <v>ESSENCIAL</v>
      </c>
      <c r="CM27" s="28" t="str">
        <f>IF(AND(G27="BLOCO",CK27&gt;=RÉGUAS!$D$51,CK27&lt;=RÉGUAS!$D$50),"ESSENCIAL-10%",IF(AND(G27="BLOCO",CK27&gt;RÉGUAS!$D$50,CK27&lt;=RÉGUAS!$E$51),"ECO+10%",IF(AND(G27="BLOCO",CK27&gt;=RÉGUAS!$F$51,CK27&lt;=RÉGUAS!$F$50),"ECO-10%",IF(AND(G27="BLOCO",CK27&gt;RÉGUAS!$F$50,CK27&lt;=RÉGUAS!$G$51),"BIO+10%",IF(AND(G27="TORRE",CK27&gt;=RÉGUAS!$K$51,CK27&lt;=RÉGUAS!$K$50),"ESSENCIAL-10%",IF(AND(G27="TORRE",CK27&gt;RÉGUAS!$K$50,CK27&lt;=RÉGUAS!$L$51),"ECO+10%",IF(AND(G27="TORRE",CK27&gt;=RÉGUAS!$M$51,CK27&lt;=RÉGUAS!$M$50),"ECO-10%",IF(AND(G27="TORRE",CK27&gt;RÉGUAS!$M$50,CK27&lt;=RÉGUAS!$N$51),"BIO+10%","-"))))))))</f>
        <v>-</v>
      </c>
      <c r="CN27" s="73">
        <f t="shared" si="3"/>
        <v>5099.5417261904768</v>
      </c>
      <c r="CO27" s="72" t="str">
        <f>IF(CN27&lt;=RÉGUAS!$D$58,"ESSENCIAL",IF(CN27&lt;=RÉGUAS!$F$58,"ECO",IF(CN27&gt;RÉGUAS!$F$58,"BIO",)))</f>
        <v>ESSENCIAL</v>
      </c>
      <c r="CP27" s="72" t="str">
        <f>IF(Tabela13[[#This Row],[INTERVALO DE INTERSEÇÃO 5D]]="-",Tabela13[[#This Row],[CLASSIFICAÇÃO 
5D ]],Tabela13[[#This Row],[CLASSIFICAÇÃO 
4D]])</f>
        <v>ESSENCIAL</v>
      </c>
      <c r="CQ27" s="72" t="str">
        <f t="shared" si="4"/>
        <v>-</v>
      </c>
      <c r="CR27" s="72" t="str">
        <f t="shared" si="5"/>
        <v>ESSENCIAL</v>
      </c>
      <c r="CS27" s="22" t="str">
        <f>IF(Tabela13[[#This Row],[PRODUTO ATUAL ]]=Tabela13[[#This Row],[CLASSIFICAÇÃO FINAL 5D]],"ADERÊNTE","NÃO ADERÊNTE")</f>
        <v>ADERÊNTE</v>
      </c>
      <c r="CT27" s="24">
        <f>SUM(Tabela13[[#This Row],[TOTAL  ACAB]],Tabela13[[#This Row],[TOTAL LAZER ]],Tabela13[[#This Row],[TOTAL TIPOLOGIA]],Tabela13[[#This Row],[TOTAL VAGA]])</f>
        <v>5099.5417261904768</v>
      </c>
      <c r="CU27" s="22" t="str">
        <f>IF(CT27&lt;=RÉGUAS!$D$58,"ESSENCIAL",IF(CT27&lt;=RÉGUAS!$F$58,"ECO",IF(CT27&gt;RÉGUAS!$F$58,"BIO",)))</f>
        <v>ESSENCIAL</v>
      </c>
      <c r="CV27" s="22" t="str">
        <f>IF(AND(CT27&gt;=RÉGUAS!$D$59,CT27&lt;=RÉGUAS!$E$59),"ESSENCIAL/ECO",IF(AND(CT27&gt;=RÉGUAS!$F$59,CT27&lt;=RÉGUAS!$G$59),"ECO/BIO","-"))</f>
        <v>-</v>
      </c>
      <c r="CW27" s="85">
        <f>SUM(Tabela13[[#This Row],[TOTAL LAZER ]],Tabela13[[#This Row],[TOTAL TIPOLOGIA]])</f>
        <v>709.5417261904762</v>
      </c>
      <c r="CX27" s="22" t="str">
        <f>IF(CW27&lt;=RÉGUAS!$D$72,"ESSENCIAL",IF(CW27&lt;=RÉGUAS!$F$72,"ECO",IF(CN27&gt;RÉGUAS!$F$72,"BIO",)))</f>
        <v>ESSENCIAL</v>
      </c>
      <c r="CY27" s="22" t="str">
        <f t="shared" si="6"/>
        <v>ESSENCIAL</v>
      </c>
      <c r="CZ27" s="22" t="str">
        <f>IF(Tabela13[[#This Row],[PRODUTO ATUAL ]]=CY27,"ADERENTE","NÃO ADERENTE")</f>
        <v>ADERENTE</v>
      </c>
      <c r="DA27" s="22" t="str">
        <f>IF(Tabela13[[#This Row],[PRODUTO ATUAL ]]=Tabela13[[#This Row],[CLASSIFICAÇÃO 
4D2]],"ADERENTE","NÃO ADERENTE")</f>
        <v>ADERENTE</v>
      </c>
    </row>
    <row r="28" spans="2:105" x14ac:dyDescent="0.35">
      <c r="B28" s="27">
        <v>16</v>
      </c>
      <c r="C28" s="22" t="s">
        <v>169</v>
      </c>
      <c r="D28" s="22" t="s">
        <v>125</v>
      </c>
      <c r="E28" s="23">
        <v>436</v>
      </c>
      <c r="F28" s="22" t="str">
        <f t="shared" si="0"/>
        <v>Acima de 400 und</v>
      </c>
      <c r="G28" s="22" t="s">
        <v>1</v>
      </c>
      <c r="H28" s="36">
        <v>27</v>
      </c>
      <c r="I28" s="36">
        <v>5</v>
      </c>
      <c r="J28" s="36"/>
      <c r="K28" s="36"/>
      <c r="L28" s="36">
        <f>SUM(Tabela13[[#This Row],[QTD DE B/T 2]],Tabela13[[#This Row],[QTD DE B/T]])</f>
        <v>27</v>
      </c>
      <c r="M28" s="22">
        <v>1</v>
      </c>
      <c r="N28" s="22">
        <f>Tabela13[[#This Row],[ELEVADOR]]/Tabela13[[#This Row],[BLOCO TOTAL]]</f>
        <v>3.7037037037037035E-2</v>
      </c>
      <c r="O28" s="22" t="s">
        <v>6</v>
      </c>
      <c r="P28" s="22" t="s">
        <v>119</v>
      </c>
      <c r="Q28" s="22" t="s">
        <v>101</v>
      </c>
      <c r="R28" s="22" t="s">
        <v>142</v>
      </c>
      <c r="S28" s="22" t="s">
        <v>103</v>
      </c>
      <c r="T28" s="22" t="s">
        <v>104</v>
      </c>
      <c r="U28" s="22" t="s">
        <v>105</v>
      </c>
      <c r="V28" s="22" t="s">
        <v>106</v>
      </c>
      <c r="W28" s="24">
        <f>IF(P28=[1]BD_CUSTO!$E$4,[1]BD_CUSTO!$F$4,[1]BD_CUSTO!$F$5)</f>
        <v>530</v>
      </c>
      <c r="X28" s="24">
        <f>IF(Q28=[1]BD_CUSTO!$E$6,[1]BD_CUSTO!$F$6,[1]BD_CUSTO!$F$7)</f>
        <v>260</v>
      </c>
      <c r="Y28" s="24">
        <f>IF(R28=[1]BD_CUSTO!$E$8,[1]BD_CUSTO!$F$8,[1]BD_CUSTO!$F$9)</f>
        <v>900</v>
      </c>
      <c r="Z28" s="24">
        <f>IF(S28=[1]BD_CUSTO!$E$10,[1]BD_CUSTO!$F$10,[1]BD_CUSTO!$F$11)</f>
        <v>500</v>
      </c>
      <c r="AA28" s="24">
        <f>IF(T28=[1]BD_CUSTO!$E$12,[1]BD_CUSTO!$F$12,[1]BD_CUSTO!$F$13)</f>
        <v>370</v>
      </c>
      <c r="AB28" s="24">
        <f>IF(U28=[1]BD_CUSTO!$E$14,[1]BD_CUSTO!$F$14,[1]BD_CUSTO!$F$15)</f>
        <v>90</v>
      </c>
      <c r="AC28" s="24">
        <f>IF(V28=[1]BD_CUSTO!$E$16,[1]BD_CUSTO!$F$16,[1]BD_CUSTO!$F$17)</f>
        <v>720</v>
      </c>
      <c r="AD28" s="22" t="s">
        <v>110</v>
      </c>
      <c r="AE28" s="22">
        <v>1</v>
      </c>
      <c r="AF28" s="22" t="s">
        <v>107</v>
      </c>
      <c r="AG28" s="22">
        <v>2</v>
      </c>
      <c r="AH28" s="22" t="s">
        <v>111</v>
      </c>
      <c r="AI28" s="22">
        <v>2</v>
      </c>
      <c r="AJ28" s="22" t="s">
        <v>109</v>
      </c>
      <c r="AK28" s="22">
        <v>1</v>
      </c>
      <c r="AL28" s="22" t="s">
        <v>133</v>
      </c>
      <c r="AM28" s="22">
        <v>12</v>
      </c>
      <c r="AN28" s="22" t="s">
        <v>129</v>
      </c>
      <c r="AO28" s="22">
        <v>1</v>
      </c>
      <c r="AP28" s="22" t="s">
        <v>108</v>
      </c>
      <c r="AQ28" s="22">
        <v>1</v>
      </c>
      <c r="AR28" s="22" t="s">
        <v>126</v>
      </c>
      <c r="AS28" s="22">
        <v>3</v>
      </c>
      <c r="AT28" s="22"/>
      <c r="AU28" s="22"/>
      <c r="AV28" s="22"/>
      <c r="AW28" s="22"/>
      <c r="AX28" s="24">
        <f>IF(AD28="",0,VLOOKUP(AD28,[1]BD_CUSTO!I:J,2,0)*AE28/E28)</f>
        <v>12.155963302752294</v>
      </c>
      <c r="AY28" s="24">
        <f>IF(AF28="",0,VLOOKUP(AF28,[1]BD_CUSTO!I:J,2,0)*AG28/E28)</f>
        <v>390.59229357798165</v>
      </c>
      <c r="AZ28" s="24">
        <f>IF(AH28="",0,VLOOKUP(AH28,[1]BD_CUSTO!I:J,2,0)*AI28/E28)</f>
        <v>74.311926605504581</v>
      </c>
      <c r="BA28" s="24">
        <f>IF(AJ28="",0,VLOOKUP(AJ28,[1]BD_CUSTO!I:J,2,0)*AK28/E28)</f>
        <v>15.940366972477063</v>
      </c>
      <c r="BB28" s="24">
        <f>IF(AL28="",0,VLOOKUP(AL28,[1]BD_CUSTO!I:J,2,0)*AM28/E28)</f>
        <v>191.55963302752295</v>
      </c>
      <c r="BC28" s="24">
        <f>IF(AN28="",0,VLOOKUP(AN28,[1]BD_CUSTO!I:J,2,0)*AO28/E28)</f>
        <v>631.11830275229363</v>
      </c>
      <c r="BD28" s="24">
        <f>IF(AP28="",0,VLOOKUP(AP28,[1]BD_CUSTO!I:J,2,0)*AQ28/E28)</f>
        <v>53.096330275229356</v>
      </c>
      <c r="BE28" s="24">
        <f>IF(AR28="",0,VLOOKUP(AR28,CUSTO!I:J,2,0)*AS28/E28)</f>
        <v>52.018348623853214</v>
      </c>
      <c r="BF28" s="24">
        <f>IF(AT28="",0,VLOOKUP(AT28,[1]BD_CUSTO!I:J,2,0)*AU28/E28)</f>
        <v>0</v>
      </c>
      <c r="BG28" s="24">
        <f>IF(Tabela13[[#This Row],[LZ 10]]="",0,VLOOKUP(Tabela13[[#This Row],[LZ 10]],[1]BD_CUSTO!I:J,2,0)*Tabela13[[#This Row],[QTD922]]/E28)</f>
        <v>0</v>
      </c>
      <c r="BH28" s="22" t="s">
        <v>112</v>
      </c>
      <c r="BI28" s="25">
        <f>156/Tabela13[[#This Row],[Nº UNDS]]</f>
        <v>0.3577981651376147</v>
      </c>
      <c r="BJ28" s="22" t="s">
        <v>113</v>
      </c>
      <c r="BK28" s="25">
        <v>0</v>
      </c>
      <c r="BL28" s="24">
        <f>IF(BH28=[1]BD_CUSTO!$M$6,[1]BD_CUSTO!$N$6)*BI28</f>
        <v>1073.3944954128442</v>
      </c>
      <c r="BM28" s="24">
        <f>IF(BJ28=[1]BD_CUSTO!$M$4,[1]BD_CUSTO!$N$4,[1]BD_CUSTO!$N$5)*BK28</f>
        <v>0</v>
      </c>
      <c r="BN28" s="22" t="s">
        <v>114</v>
      </c>
      <c r="BO28" s="22">
        <v>436</v>
      </c>
      <c r="BP28" s="25">
        <f>Tabela13[[#This Row],[QTD ]]/Tabela13[[#This Row],[Nº UNDS]]</f>
        <v>1</v>
      </c>
      <c r="BQ28" s="22" t="s">
        <v>115</v>
      </c>
      <c r="BR28" s="22">
        <v>0</v>
      </c>
      <c r="BS28" s="22" t="s">
        <v>116</v>
      </c>
      <c r="BT28" s="22">
        <v>0</v>
      </c>
      <c r="BU28" s="22" t="s">
        <v>16</v>
      </c>
      <c r="BV28" s="22">
        <v>0</v>
      </c>
      <c r="BW28" s="24">
        <f>IF(BN28=[1]BD_CUSTO!$Q$7,[1]BD_CUSTO!$R$7,[1]BD_CUSTO!$R$8)*BO28/E28</f>
        <v>2000</v>
      </c>
      <c r="BX28" s="24">
        <f>IF(BQ28=[1]BD_CUSTO!$Q$4,[1]BD_CUSTO!$R$4,[1]BD_CUSTO!$R$5)*BR28/E28</f>
        <v>0</v>
      </c>
      <c r="BY28" s="22">
        <f>IF(BS28=[1]BD_CUSTO!$Q$13,[1]BD_CUSTO!$R$13,[1]BD_CUSTO!$R$14)*BT28/E28</f>
        <v>0</v>
      </c>
      <c r="BZ28" s="24">
        <f>BV28*CUSTO!$R$10/E28</f>
        <v>0</v>
      </c>
      <c r="CA28" s="26">
        <f>SUM(Tabela13[[#This Row],[SOMA_PISO SALA E QUARTO]],Tabela13[[#This Row],[SOMA_PAREDE HIDR]],Tabela13[[#This Row],[SOMA_TETO]],Tabela13[[#This Row],[SOMA_BANCADA]],Tabela13[[#This Row],[SOMA_PEDRAS]])</f>
        <v>2390</v>
      </c>
      <c r="CB28" s="27" t="str">
        <f>IF(CA28&lt;=RÉGUAS!$D$4,"ACAB 01",IF(CA28&lt;=RÉGUAS!$F$4,"ACAB 02",IF(CA28&gt;RÉGUAS!$F$4,"ACAB 03",)))</f>
        <v>ACAB 01</v>
      </c>
      <c r="CC28" s="26">
        <f>SUM(Tabela13[[#This Row],[SOMA_LZ 01]:[SOMA_LZ 10]])</f>
        <v>1420.7931651376146</v>
      </c>
      <c r="CD28" s="22" t="str">
        <f>IF(CC28&lt;=RÉGUAS!$D$13,"LZ 01",IF(CC28&lt;=RÉGUAS!$F$13,"LZ 02",IF(CC28&lt;=RÉGUAS!$H$13,"LZ 03",IF(CC28&gt;RÉGUAS!$H$13,"LZ 04",))))</f>
        <v>LZ 02</v>
      </c>
      <c r="CE28" s="28">
        <f t="shared" si="1"/>
        <v>1073.3944954128442</v>
      </c>
      <c r="CF28" s="22" t="str">
        <f>IF(CE28&lt;=RÉGUAS!$D$22,"TIP 01",IF(CE28&lt;=RÉGUAS!$F$22,"TIP 02",IF(CE28&gt;RÉGUAS!$F$22,"TIP 03",)))</f>
        <v>TIP 01</v>
      </c>
      <c r="CG28" s="28">
        <f t="shared" si="2"/>
        <v>2000</v>
      </c>
      <c r="CH28" s="22" t="str">
        <f>IF(CG28&lt;=RÉGUAS!$D$32,"VAGA 01",IF(CG28&lt;=RÉGUAS!$F$32,"VAGA 02",IF(CG28&gt;RÉGUAS!$F$32,"VAGA 03",)))</f>
        <v>VAGA 02</v>
      </c>
      <c r="CI28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344.35779816513764</v>
      </c>
      <c r="CJ28" s="85" t="str">
        <f>IF(AND(G28="BLOCO",CI28&lt;=RÉGUAS!$D$40),"ELEV 01",IF(AND(G28="BLOCO",CI28&gt;RÉGUAS!$D$40),"ELEV 02",IF(AND(G28="TORRE",CI28&lt;=RÉGUAS!$K$40),"ELEV 01",IF(AND(G28="TORRE",CI28&lt;=RÉGUAS!$M$40),"ELEV 02",IF(AND(G28="TORRE",CI28&gt;RÉGUAS!$M$40),"ELEV 03",)))))</f>
        <v>ELEV 02</v>
      </c>
      <c r="CK28" s="85">
        <f>SUM(Tabela13[[#This Row],[TOTAL  ACAB]],Tabela13[[#This Row],[TOTAL LAZER ]],Tabela13[[#This Row],[TOTAL TIPOLOGIA]],Tabela13[[#This Row],[TOTAL VAGA]],Tabela13[[#This Row],[TOTAL ELEVADOR]])</f>
        <v>7228.5454587155964</v>
      </c>
      <c r="CL28" s="72" t="str">
        <f>IF(AND(G28="BLOCO",CK28&lt;=RÉGUAS!$D$50),"ESSENCIAL",IF(AND(G28="BLOCO",CK28&lt;=RÉGUAS!$F$50),"ECO",IF(AND(G28="BLOCO",CK28&gt;RÉGUAS!$F$50),"BIO",IF(AND(G28="TORRE",CK28&lt;=RÉGUAS!$K$50),"ESSENCIAL",IF(AND(G28="TORRE",CK28&lt;=RÉGUAS!$M$50),"ECO",IF(AND(G28="TORRE",CK28&gt;RÉGUAS!$M$50),"BIO",))))))</f>
        <v>ESSENCIAL</v>
      </c>
      <c r="CM28" s="28" t="str">
        <f>IF(AND(G28="BLOCO",CK28&gt;=RÉGUAS!$D$51,CK28&lt;=RÉGUAS!$D$50),"ESSENCIAL-10%",IF(AND(G28="BLOCO",CK28&gt;RÉGUAS!$D$50,CK28&lt;=RÉGUAS!$E$51),"ECO+10%",IF(AND(G28="BLOCO",CK28&gt;=RÉGUAS!$F$51,CK28&lt;=RÉGUAS!$F$50),"ECO-10%",IF(AND(G28="BLOCO",CK28&gt;RÉGUAS!$F$50,CK28&lt;=RÉGUAS!$G$51),"BIO+10%",IF(AND(G28="TORRE",CK28&gt;=RÉGUAS!$K$51,CK28&lt;=RÉGUAS!$K$50),"ESSENCIAL-10%",IF(AND(G28="TORRE",CK28&gt;RÉGUAS!$K$50,CK28&lt;=RÉGUAS!$L$51),"ECO+10%",IF(AND(G28="TORRE",CK28&gt;=RÉGUAS!$M$51,CK28&lt;=RÉGUAS!$M$50),"ECO-10%",IF(AND(G28="TORRE",CK28&gt;RÉGUAS!$M$50,CK28&lt;=RÉGUAS!$N$51),"BIO+10%","-"))))))))</f>
        <v>ESSENCIAL-10%</v>
      </c>
      <c r="CN28" s="73">
        <f t="shared" si="3"/>
        <v>6884.1876605504585</v>
      </c>
      <c r="CO28" s="72" t="str">
        <f>IF(CN28&lt;=RÉGUAS!$D$58,"ESSENCIAL",IF(CN28&lt;=RÉGUAS!$F$58,"ECO",IF(CN28&gt;RÉGUAS!$F$58,"BIO",)))</f>
        <v>ECO</v>
      </c>
      <c r="CP28" s="72" t="str">
        <f>IF(Tabela13[[#This Row],[INTERVALO DE INTERSEÇÃO 5D]]="-",Tabela13[[#This Row],[CLASSIFICAÇÃO 
5D ]],Tabela13[[#This Row],[CLASSIFICAÇÃO 
4D]])</f>
        <v>ECO</v>
      </c>
      <c r="CQ28" s="72" t="str">
        <f t="shared" si="4"/>
        <v>-</v>
      </c>
      <c r="CR28" s="72" t="str">
        <f t="shared" si="5"/>
        <v>ECO</v>
      </c>
      <c r="CS28" s="22" t="str">
        <f>IF(Tabela13[[#This Row],[PRODUTO ATUAL ]]=Tabela13[[#This Row],[CLASSIFICAÇÃO FINAL 5D]],"ADERÊNTE","NÃO ADERÊNTE")</f>
        <v>NÃO ADERÊNTE</v>
      </c>
      <c r="CT28" s="24">
        <f>SUM(Tabela13[[#This Row],[TOTAL  ACAB]],Tabela13[[#This Row],[TOTAL LAZER ]],Tabela13[[#This Row],[TOTAL TIPOLOGIA]],Tabela13[[#This Row],[TOTAL VAGA]])</f>
        <v>6884.1876605504585</v>
      </c>
      <c r="CU28" s="22" t="str">
        <f>IF(CT28&lt;=RÉGUAS!$D$58,"ESSENCIAL",IF(CT28&lt;=RÉGUAS!$F$58,"ECO",IF(CT28&gt;RÉGUAS!$F$58,"BIO",)))</f>
        <v>ECO</v>
      </c>
      <c r="CV28" s="22" t="str">
        <f>IF(AND(CT28&gt;=RÉGUAS!$D$59,CT28&lt;=RÉGUAS!$E$59),"ESSENCIAL/ECO",IF(AND(CT28&gt;=RÉGUAS!$F$59,CT28&lt;=RÉGUAS!$G$59),"ECO/BIO","-"))</f>
        <v>ESSENCIAL/ECO</v>
      </c>
      <c r="CW28" s="85">
        <f>SUM(Tabela13[[#This Row],[TOTAL LAZER ]],Tabela13[[#This Row],[TOTAL TIPOLOGIA]])</f>
        <v>2494.1876605504585</v>
      </c>
      <c r="CX28" s="22" t="str">
        <f>IF(CW28&lt;=RÉGUAS!$D$72,"ESSENCIAL",IF(CW28&lt;=RÉGUAS!$F$72,"ECO",IF(CN28&gt;RÉGUAS!$F$72,"BIO",)))</f>
        <v>ECO</v>
      </c>
      <c r="CY28" s="22" t="str">
        <f t="shared" si="6"/>
        <v>ECO</v>
      </c>
      <c r="CZ28" s="22" t="str">
        <f>IF(Tabela13[[#This Row],[PRODUTO ATUAL ]]=CY28,"ADERENTE","NÃO ADERENTE")</f>
        <v>NÃO ADERENTE</v>
      </c>
      <c r="DA28" s="22" t="str">
        <f>IF(Tabela13[[#This Row],[PRODUTO ATUAL ]]=Tabela13[[#This Row],[CLASSIFICAÇÃO 
4D2]],"ADERENTE","NÃO ADERENTE")</f>
        <v>NÃO ADERENTE</v>
      </c>
    </row>
    <row r="29" spans="2:105" hidden="1" x14ac:dyDescent="0.35">
      <c r="B29" s="27">
        <v>31</v>
      </c>
      <c r="C29" s="22" t="s">
        <v>152</v>
      </c>
      <c r="D29" s="22" t="s">
        <v>147</v>
      </c>
      <c r="E29" s="23">
        <v>240</v>
      </c>
      <c r="F29" s="22" t="str">
        <f t="shared" si="0"/>
        <v>De 200 a 400 und</v>
      </c>
      <c r="G29" s="22" t="s">
        <v>1</v>
      </c>
      <c r="H29" s="36">
        <v>12</v>
      </c>
      <c r="I29" s="36">
        <v>5</v>
      </c>
      <c r="J29" s="36"/>
      <c r="K29" s="36"/>
      <c r="L29" s="36">
        <f>SUM(Tabela13[[#This Row],[QTD DE B/T 2]],Tabela13[[#This Row],[QTD DE B/T]])</f>
        <v>12</v>
      </c>
      <c r="M29" s="22">
        <v>0</v>
      </c>
      <c r="N29" s="22">
        <f>Tabela13[[#This Row],[ELEVADOR]]/Tabela13[[#This Row],[BLOCO TOTAL]]</f>
        <v>0</v>
      </c>
      <c r="O29" s="22" t="s">
        <v>6</v>
      </c>
      <c r="P29" s="22" t="s">
        <v>119</v>
      </c>
      <c r="Q29" s="22" t="s">
        <v>101</v>
      </c>
      <c r="R29" s="22" t="s">
        <v>142</v>
      </c>
      <c r="S29" s="22" t="s">
        <v>103</v>
      </c>
      <c r="T29" s="22" t="s">
        <v>104</v>
      </c>
      <c r="U29" s="22" t="s">
        <v>105</v>
      </c>
      <c r="V29" s="22" t="s">
        <v>106</v>
      </c>
      <c r="W29" s="24">
        <f>IF(P29=[1]BD_CUSTO!$E$4,[1]BD_CUSTO!$F$4,[1]BD_CUSTO!$F$5)</f>
        <v>530</v>
      </c>
      <c r="X29" s="24">
        <f>IF(Q29=[1]BD_CUSTO!$E$6,[1]BD_CUSTO!$F$6,[1]BD_CUSTO!$F$7)</f>
        <v>260</v>
      </c>
      <c r="Y29" s="24">
        <f>IF(R29=[1]BD_CUSTO!$E$8,[1]BD_CUSTO!$F$8,[1]BD_CUSTO!$F$9)</f>
        <v>900</v>
      </c>
      <c r="Z29" s="24">
        <f>IF(S29=[1]BD_CUSTO!$E$10,[1]BD_CUSTO!$F$10,[1]BD_CUSTO!$F$11)</f>
        <v>500</v>
      </c>
      <c r="AA29" s="24">
        <f>IF(T29=[1]BD_CUSTO!$E$12,[1]BD_CUSTO!$F$12,[1]BD_CUSTO!$F$13)</f>
        <v>370</v>
      </c>
      <c r="AB29" s="24">
        <f>IF(U29=[1]BD_CUSTO!$E$14,[1]BD_CUSTO!$F$14,[1]BD_CUSTO!$F$15)</f>
        <v>90</v>
      </c>
      <c r="AC29" s="24">
        <f>IF(V29=[1]BD_CUSTO!$E$16,[1]BD_CUSTO!$F$16,[1]BD_CUSTO!$F$17)</f>
        <v>720</v>
      </c>
      <c r="AD29" s="22" t="s">
        <v>126</v>
      </c>
      <c r="AE29" s="22">
        <v>2</v>
      </c>
      <c r="AF29" s="22" t="s">
        <v>111</v>
      </c>
      <c r="AG29" s="22">
        <v>4</v>
      </c>
      <c r="AH29" s="22" t="s">
        <v>108</v>
      </c>
      <c r="AI29" s="22">
        <v>1</v>
      </c>
      <c r="AJ29" s="22" t="s">
        <v>109</v>
      </c>
      <c r="AK29" s="22">
        <v>1</v>
      </c>
      <c r="AL29" s="22" t="s">
        <v>110</v>
      </c>
      <c r="AM29" s="22">
        <v>1</v>
      </c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4">
        <f>IF(AD29="",0,VLOOKUP(AD29,[1]BD_CUSTO!I:J,2,0)*AE29/E29)</f>
        <v>63</v>
      </c>
      <c r="AY29" s="24">
        <f>IF(AF29="",0,VLOOKUP(AF29,[1]BD_CUSTO!I:J,2,0)*AG29/E29)</f>
        <v>270</v>
      </c>
      <c r="AZ29" s="24">
        <f>IF(AH29="",0,VLOOKUP(AH29,[1]BD_CUSTO!I:J,2,0)*AI29/E29)</f>
        <v>96.458333333333329</v>
      </c>
      <c r="BA29" s="24">
        <f>IF(AJ29="",0,VLOOKUP(AJ29,[1]BD_CUSTO!I:J,2,0)*AK29/E29)</f>
        <v>28.958333333333332</v>
      </c>
      <c r="BB29" s="24">
        <f>IF(AL29="",0,VLOOKUP(AL29,[1]BD_CUSTO!I:J,2,0)*AM29/E29)</f>
        <v>22.083333333333332</v>
      </c>
      <c r="BC29" s="24">
        <f>IF(AN29="",0,VLOOKUP(AN29,[1]BD_CUSTO!I:J,2,0)*AO29/E29)</f>
        <v>0</v>
      </c>
      <c r="BD29" s="24">
        <f>IF(AP29="",0,VLOOKUP(AP29,[1]BD_CUSTO!I:J,2,0)*AQ29/E29)</f>
        <v>0</v>
      </c>
      <c r="BE29" s="24">
        <f>IF(AR29="",0,VLOOKUP(AR29,CUSTO!I:J,2,0)*AS29/E29)</f>
        <v>0</v>
      </c>
      <c r="BF29" s="24">
        <f>IF(AT29="",0,VLOOKUP(AT29,[1]BD_CUSTO!I:J,2,0)*AU29/E29)</f>
        <v>0</v>
      </c>
      <c r="BG29" s="24">
        <f>IF(Tabela13[[#This Row],[LZ 10]]="",0,VLOOKUP(Tabela13[[#This Row],[LZ 10]],[1]BD_CUSTO!I:J,2,0)*Tabela13[[#This Row],[QTD922]]/E29)</f>
        <v>0</v>
      </c>
      <c r="BH29" s="22" t="s">
        <v>122</v>
      </c>
      <c r="BI29" s="25">
        <v>0</v>
      </c>
      <c r="BJ29" s="22" t="s">
        <v>113</v>
      </c>
      <c r="BK29" s="25">
        <v>0</v>
      </c>
      <c r="BL29" s="24">
        <f>IF(BH29=[1]BD_CUSTO!$M$6,[1]BD_CUSTO!$N$6)*BI29</f>
        <v>0</v>
      </c>
      <c r="BM29" s="24">
        <f>IF(BJ29=[1]BD_CUSTO!$M$4,[1]BD_CUSTO!$N$4,[1]BD_CUSTO!$N$5)*BK29</f>
        <v>0</v>
      </c>
      <c r="BN29" s="22" t="s">
        <v>114</v>
      </c>
      <c r="BO29" s="22">
        <f>227+13+7</f>
        <v>247</v>
      </c>
      <c r="BP29" s="25">
        <f>Tabela13[[#This Row],[QTD ]]/Tabela13[[#This Row],[Nº UNDS]]</f>
        <v>1.0291666666666666</v>
      </c>
      <c r="BQ29" s="22" t="s">
        <v>123</v>
      </c>
      <c r="BR29" s="22">
        <v>8</v>
      </c>
      <c r="BS29" s="22" t="s">
        <v>116</v>
      </c>
      <c r="BT29" s="22">
        <v>0</v>
      </c>
      <c r="BU29" s="22" t="s">
        <v>16</v>
      </c>
      <c r="BV29" s="22">
        <v>0</v>
      </c>
      <c r="BW29" s="24">
        <f>IF(BN29=[1]BD_CUSTO!$Q$7,[1]BD_CUSTO!$R$7,[1]BD_CUSTO!$R$8)*BO29/E29</f>
        <v>2058.3333333333335</v>
      </c>
      <c r="BX29" s="24">
        <f>IF(BQ29=[1]BD_CUSTO!$Q$4,[1]BD_CUSTO!$R$4,[1]BD_CUSTO!$R$5)*BR29/E29</f>
        <v>33.333333333333336</v>
      </c>
      <c r="BY29" s="22">
        <f>IF(BS29=[1]BD_CUSTO!$Q$13,[1]BD_CUSTO!$R$13,[1]BD_CUSTO!$R$14)*BT29/E29</f>
        <v>0</v>
      </c>
      <c r="BZ29" s="24">
        <f>BV29*CUSTO!$R$10/E29</f>
        <v>0</v>
      </c>
      <c r="CA29" s="26">
        <f>SUM(Tabela13[[#This Row],[SOMA_PISO SALA E QUARTO]],Tabela13[[#This Row],[SOMA_PAREDE HIDR]],Tabela13[[#This Row],[SOMA_TETO]],Tabela13[[#This Row],[SOMA_BANCADA]],Tabela13[[#This Row],[SOMA_PEDRAS]])</f>
        <v>2390</v>
      </c>
      <c r="CB29" s="27" t="str">
        <f>IF(CA29&lt;=RÉGUAS!$D$4,"ACAB 01",IF(CA29&lt;=RÉGUAS!$F$4,"ACAB 02",IF(CA29&gt;RÉGUAS!$F$4,"ACAB 03",)))</f>
        <v>ACAB 01</v>
      </c>
      <c r="CC29" s="26">
        <f>SUM(Tabela13[[#This Row],[SOMA_LZ 01]:[SOMA_LZ 10]])</f>
        <v>480.49999999999994</v>
      </c>
      <c r="CD29" s="22" t="str">
        <f>IF(CC29&lt;=RÉGUAS!$D$13,"LZ 01",IF(CC29&lt;=RÉGUAS!$F$13,"LZ 02",IF(CC29&lt;=RÉGUAS!$H$13,"LZ 03",IF(CC29&gt;RÉGUAS!$H$13,"LZ 04",))))</f>
        <v>LZ 01</v>
      </c>
      <c r="CE29" s="28">
        <f t="shared" si="1"/>
        <v>0</v>
      </c>
      <c r="CF29" s="22" t="str">
        <f>IF(CE29&lt;=RÉGUAS!$D$22,"TIP 01",IF(CE29&lt;=RÉGUAS!$F$22,"TIP 02",IF(CE29&gt;RÉGUAS!$F$22,"TIP 03",)))</f>
        <v>TIP 01</v>
      </c>
      <c r="CG29" s="28">
        <f t="shared" si="2"/>
        <v>2091.666666666667</v>
      </c>
      <c r="CH29" s="22" t="str">
        <f>IF(CG29&lt;=RÉGUAS!$D$32,"VAGA 01",IF(CG29&lt;=RÉGUAS!$F$32,"VAGA 02",IF(CG29&gt;RÉGUAS!$F$32,"VAGA 03",)))</f>
        <v>VAGA 02</v>
      </c>
      <c r="CI29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29" s="85" t="str">
        <f>IF(AND(G29="BLOCO",CI29&lt;=RÉGUAS!$D$40),"ELEV 01",IF(AND(G29="BLOCO",CI29&gt;RÉGUAS!$D$40),"ELEV 02",IF(AND(G29="TORRE",CI29&lt;=RÉGUAS!$K$40),"ELEV 01",IF(AND(G29="TORRE",CI29&lt;=RÉGUAS!$M$40),"ELEV 02",IF(AND(G29="TORRE",CI29&gt;RÉGUAS!$M$40),"ELEV 03",)))))</f>
        <v>ELEV 01</v>
      </c>
      <c r="CK29" s="85">
        <f>SUM(Tabela13[[#This Row],[TOTAL  ACAB]],Tabela13[[#This Row],[TOTAL LAZER ]],Tabela13[[#This Row],[TOTAL TIPOLOGIA]],Tabela13[[#This Row],[TOTAL VAGA]],Tabela13[[#This Row],[TOTAL ELEVADOR]])</f>
        <v>4962.166666666667</v>
      </c>
      <c r="CL29" s="72" t="str">
        <f>IF(AND(G29="BLOCO",CK29&lt;=RÉGUAS!$D$50),"ESSENCIAL",IF(AND(G29="BLOCO",CK29&lt;=RÉGUAS!$F$50),"ECO",IF(AND(G29="BLOCO",CK29&gt;RÉGUAS!$F$50),"BIO",IF(AND(G29="TORRE",CK29&lt;=RÉGUAS!$K$50),"ESSENCIAL",IF(AND(G29="TORRE",CK29&lt;=RÉGUAS!$M$50),"ECO",IF(AND(G29="TORRE",CK29&gt;RÉGUAS!$M$50),"BIO",))))))</f>
        <v>ESSENCIAL</v>
      </c>
      <c r="CM29" s="28" t="str">
        <f>IF(AND(G29="BLOCO",CK29&gt;=RÉGUAS!$D$51,CK29&lt;=RÉGUAS!$D$50),"ESSENCIAL-10%",IF(AND(G29="BLOCO",CK29&gt;RÉGUAS!$D$50,CK29&lt;=RÉGUAS!$E$51),"ECO+10%",IF(AND(G29="BLOCO",CK29&gt;=RÉGUAS!$F$51,CK29&lt;=RÉGUAS!$F$50),"ECO-10%",IF(AND(G29="BLOCO",CK29&gt;RÉGUAS!$F$50,CK29&lt;=RÉGUAS!$G$51),"BIO+10%",IF(AND(G29="TORRE",CK29&gt;=RÉGUAS!$K$51,CK29&lt;=RÉGUAS!$K$50),"ESSENCIAL-10%",IF(AND(G29="TORRE",CK29&gt;RÉGUAS!$K$50,CK29&lt;=RÉGUAS!$L$51),"ECO+10%",IF(AND(G29="TORRE",CK29&gt;=RÉGUAS!$M$51,CK29&lt;=RÉGUAS!$M$50),"ECO-10%",IF(AND(G29="TORRE",CK29&gt;RÉGUAS!$M$50,CK29&lt;=RÉGUAS!$N$51),"BIO+10%","-"))))))))</f>
        <v>-</v>
      </c>
      <c r="CN29" s="73">
        <f t="shared" si="3"/>
        <v>4962.166666666667</v>
      </c>
      <c r="CO29" s="72" t="str">
        <f>IF(CN29&lt;=RÉGUAS!$D$58,"ESSENCIAL",IF(CN29&lt;=RÉGUAS!$F$58,"ECO",IF(CN29&gt;RÉGUAS!$F$58,"BIO",)))</f>
        <v>ESSENCIAL</v>
      </c>
      <c r="CP29" s="72" t="str">
        <f>IF(Tabela13[[#This Row],[INTERVALO DE INTERSEÇÃO 5D]]="-",Tabela13[[#This Row],[CLASSIFICAÇÃO 
5D ]],Tabela13[[#This Row],[CLASSIFICAÇÃO 
4D]])</f>
        <v>ESSENCIAL</v>
      </c>
      <c r="CQ29" s="72" t="str">
        <f t="shared" si="4"/>
        <v>-</v>
      </c>
      <c r="CR29" s="72" t="str">
        <f t="shared" si="5"/>
        <v>ESSENCIAL</v>
      </c>
      <c r="CS29" s="22" t="str">
        <f>IF(Tabela13[[#This Row],[PRODUTO ATUAL ]]=Tabela13[[#This Row],[CLASSIFICAÇÃO FINAL 5D]],"ADERÊNTE","NÃO ADERÊNTE")</f>
        <v>ADERÊNTE</v>
      </c>
      <c r="CT29" s="24">
        <f>SUM(Tabela13[[#This Row],[TOTAL  ACAB]],Tabela13[[#This Row],[TOTAL LAZER ]],Tabela13[[#This Row],[TOTAL TIPOLOGIA]],Tabela13[[#This Row],[TOTAL VAGA]])</f>
        <v>4962.166666666667</v>
      </c>
      <c r="CU29" s="22" t="str">
        <f>IF(CT29&lt;=RÉGUAS!$D$58,"ESSENCIAL",IF(CT29&lt;=RÉGUAS!$F$58,"ECO",IF(CT29&gt;RÉGUAS!$F$58,"BIO",)))</f>
        <v>ESSENCIAL</v>
      </c>
      <c r="CV29" s="22" t="str">
        <f>IF(AND(CT29&gt;=RÉGUAS!$D$59,CT29&lt;=RÉGUAS!$E$59),"ESSENCIAL/ECO",IF(AND(CT29&gt;=RÉGUAS!$F$59,CT29&lt;=RÉGUAS!$G$59),"ECO/BIO","-"))</f>
        <v>-</v>
      </c>
      <c r="CW29" s="85">
        <f>SUM(Tabela13[[#This Row],[TOTAL LAZER ]],Tabela13[[#This Row],[TOTAL TIPOLOGIA]])</f>
        <v>480.49999999999994</v>
      </c>
      <c r="CX29" s="22" t="str">
        <f>IF(CW29&lt;=RÉGUAS!$D$72,"ESSENCIAL",IF(CW29&lt;=RÉGUAS!$F$72,"ECO",IF(CN29&gt;RÉGUAS!$F$72,"BIO",)))</f>
        <v>ESSENCIAL</v>
      </c>
      <c r="CY29" s="22" t="str">
        <f t="shared" si="6"/>
        <v>ESSENCIAL</v>
      </c>
      <c r="CZ29" s="22" t="str">
        <f>IF(Tabela13[[#This Row],[PRODUTO ATUAL ]]=CY29,"ADERENTE","NÃO ADERENTE")</f>
        <v>ADERENTE</v>
      </c>
      <c r="DA29" s="22" t="str">
        <f>IF(Tabela13[[#This Row],[PRODUTO ATUAL ]]=Tabela13[[#This Row],[CLASSIFICAÇÃO 
4D2]],"ADERENTE","NÃO ADERENTE")</f>
        <v>ADERENTE</v>
      </c>
    </row>
    <row r="30" spans="2:105" hidden="1" x14ac:dyDescent="0.35">
      <c r="B30" s="27">
        <v>46</v>
      </c>
      <c r="C30" s="22" t="s">
        <v>160</v>
      </c>
      <c r="D30" s="22" t="s">
        <v>147</v>
      </c>
      <c r="E30" s="23">
        <v>496</v>
      </c>
      <c r="F30" s="22" t="str">
        <f t="shared" si="0"/>
        <v>Acima de 400 und</v>
      </c>
      <c r="G30" s="22" t="s">
        <v>1</v>
      </c>
      <c r="H30" s="36">
        <v>31</v>
      </c>
      <c r="I30" s="36">
        <v>4</v>
      </c>
      <c r="J30" s="36"/>
      <c r="K30" s="36"/>
      <c r="L30" s="36">
        <f>SUM(Tabela13[[#This Row],[QTD DE B/T 2]],Tabela13[[#This Row],[QTD DE B/T]])</f>
        <v>31</v>
      </c>
      <c r="M30" s="22">
        <v>1</v>
      </c>
      <c r="N30" s="22">
        <f>Tabela13[[#This Row],[ELEVADOR]]/Tabela13[[#This Row],[BLOCO TOTAL]]</f>
        <v>3.2258064516129031E-2</v>
      </c>
      <c r="O30" s="22" t="s">
        <v>6</v>
      </c>
      <c r="P30" s="22" t="s">
        <v>119</v>
      </c>
      <c r="Q30" s="22" t="s">
        <v>101</v>
      </c>
      <c r="R30" s="22" t="s">
        <v>142</v>
      </c>
      <c r="S30" s="22" t="s">
        <v>103</v>
      </c>
      <c r="T30" s="22" t="s">
        <v>104</v>
      </c>
      <c r="U30" s="22" t="s">
        <v>105</v>
      </c>
      <c r="V30" s="22" t="s">
        <v>106</v>
      </c>
      <c r="W30" s="24">
        <f>IF(P30=[1]BD_CUSTO!$E$4,[1]BD_CUSTO!$F$4,[1]BD_CUSTO!$F$5)</f>
        <v>530</v>
      </c>
      <c r="X30" s="24">
        <f>IF(Q30=[1]BD_CUSTO!$E$6,[1]BD_CUSTO!$F$6,[1]BD_CUSTO!$F$7)</f>
        <v>260</v>
      </c>
      <c r="Y30" s="24">
        <f>IF(R30=[1]BD_CUSTO!$E$8,[1]BD_CUSTO!$F$8,[1]BD_CUSTO!$F$9)</f>
        <v>900</v>
      </c>
      <c r="Z30" s="24">
        <f>IF(S30=[1]BD_CUSTO!$E$10,[1]BD_CUSTO!$F$10,[1]BD_CUSTO!$F$11)</f>
        <v>500</v>
      </c>
      <c r="AA30" s="24">
        <f>IF(T30=[1]BD_CUSTO!$E$12,[1]BD_CUSTO!$F$12,[1]BD_CUSTO!$F$13)</f>
        <v>370</v>
      </c>
      <c r="AB30" s="24">
        <f>IF(U30=[1]BD_CUSTO!$E$14,[1]BD_CUSTO!$F$14,[1]BD_CUSTO!$F$15)</f>
        <v>90</v>
      </c>
      <c r="AC30" s="24">
        <f>IF(V30=[1]BD_CUSTO!$E$16,[1]BD_CUSTO!$F$16,[1]BD_CUSTO!$F$17)</f>
        <v>720</v>
      </c>
      <c r="AD30" s="22" t="s">
        <v>110</v>
      </c>
      <c r="AE30" s="22">
        <v>1</v>
      </c>
      <c r="AF30" s="22" t="s">
        <v>107</v>
      </c>
      <c r="AG30" s="22">
        <v>2</v>
      </c>
      <c r="AH30" s="22" t="s">
        <v>109</v>
      </c>
      <c r="AI30" s="22">
        <v>1</v>
      </c>
      <c r="AJ30" s="22" t="s">
        <v>129</v>
      </c>
      <c r="AK30" s="22">
        <v>1</v>
      </c>
      <c r="AL30" s="22" t="s">
        <v>108</v>
      </c>
      <c r="AM30" s="22">
        <v>1</v>
      </c>
      <c r="AN30" s="22" t="s">
        <v>120</v>
      </c>
      <c r="AO30" s="22">
        <v>1</v>
      </c>
      <c r="AP30" s="22"/>
      <c r="AQ30" s="22"/>
      <c r="AR30" s="22"/>
      <c r="AS30" s="22"/>
      <c r="AT30" s="22"/>
      <c r="AU30" s="22"/>
      <c r="AV30" s="22"/>
      <c r="AW30" s="22"/>
      <c r="AX30" s="24">
        <f>IF(AD30="",0,VLOOKUP(AD30,[1]BD_CUSTO!I:J,2,0)*AE30/E30)</f>
        <v>10.685483870967742</v>
      </c>
      <c r="AY30" s="24">
        <f>IF(AF30="",0,VLOOKUP(AF30,[1]BD_CUSTO!I:J,2,0)*AG30/E30)</f>
        <v>343.34322580645158</v>
      </c>
      <c r="AZ30" s="24">
        <f>IF(AH30="",0,VLOOKUP(AH30,[1]BD_CUSTO!I:J,2,0)*AI30/E30)</f>
        <v>14.012096774193548</v>
      </c>
      <c r="BA30" s="24">
        <f>IF(AJ30="",0,VLOOKUP(AJ30,[1]BD_CUSTO!I:J,2,0)*AK30/E30)</f>
        <v>554.77334677419356</v>
      </c>
      <c r="BB30" s="24">
        <f>IF(AL30="",0,VLOOKUP(AL30,[1]BD_CUSTO!I:J,2,0)*AM30/E30)</f>
        <v>46.673387096774192</v>
      </c>
      <c r="BC30" s="24">
        <f>IF(AN30="",0,VLOOKUP(AN30,[1]BD_CUSTO!I:J,2,0)*AO30/E30)</f>
        <v>114.73564516129032</v>
      </c>
      <c r="BD30" s="24">
        <f>IF(AP30="",0,VLOOKUP(AP30,[1]BD_CUSTO!I:J,2,0)*AQ30/E30)</f>
        <v>0</v>
      </c>
      <c r="BE30" s="24">
        <f>IF(AR30="",0,VLOOKUP(AR30,CUSTO!I:J,2,0)*AS30/E30)</f>
        <v>0</v>
      </c>
      <c r="BF30" s="24">
        <f>IF(AT30="",0,VLOOKUP(AT30,[1]BD_CUSTO!I:J,2,0)*AU30/E30)</f>
        <v>0</v>
      </c>
      <c r="BG30" s="24">
        <f>IF(Tabela13[[#This Row],[LZ 10]]="",0,VLOOKUP(Tabela13[[#This Row],[LZ 10]],[1]BD_CUSTO!I:J,2,0)*Tabela13[[#This Row],[QTD922]]/E30)</f>
        <v>0</v>
      </c>
      <c r="BH30" s="22" t="s">
        <v>122</v>
      </c>
      <c r="BI30" s="25">
        <v>0</v>
      </c>
      <c r="BJ30" s="22" t="s">
        <v>113</v>
      </c>
      <c r="BK30" s="25">
        <v>0</v>
      </c>
      <c r="BL30" s="24">
        <f>IF(BH30=[1]BD_CUSTO!$M$6,[1]BD_CUSTO!$N$6)*BI30</f>
        <v>0</v>
      </c>
      <c r="BM30" s="24">
        <f>IF(BJ30=[1]BD_CUSTO!$M$4,[1]BD_CUSTO!$N$4,[1]BD_CUSTO!$N$5)*BK30</f>
        <v>0</v>
      </c>
      <c r="BN30" s="22" t="s">
        <v>114</v>
      </c>
      <c r="BO30" s="22">
        <v>511</v>
      </c>
      <c r="BP30" s="25">
        <f>Tabela13[[#This Row],[QTD ]]/Tabela13[[#This Row],[Nº UNDS]]</f>
        <v>1.030241935483871</v>
      </c>
      <c r="BQ30" s="22" t="s">
        <v>115</v>
      </c>
      <c r="BR30" s="22">
        <v>0</v>
      </c>
      <c r="BS30" s="22" t="s">
        <v>116</v>
      </c>
      <c r="BT30" s="22">
        <v>0</v>
      </c>
      <c r="BU30" s="22" t="s">
        <v>16</v>
      </c>
      <c r="BV30" s="22">
        <v>0</v>
      </c>
      <c r="BW30" s="24">
        <f>IF(BN30=[1]BD_CUSTO!$Q$7,[1]BD_CUSTO!$R$7,[1]BD_CUSTO!$R$8)*BO30/E30</f>
        <v>2060.483870967742</v>
      </c>
      <c r="BX30" s="24">
        <f>IF(BQ30=[1]BD_CUSTO!$Q$4,[1]BD_CUSTO!$R$4,[1]BD_CUSTO!$R$5)*BR30/E30</f>
        <v>0</v>
      </c>
      <c r="BY30" s="22">
        <f>IF(BS30=[1]BD_CUSTO!$Q$13,[1]BD_CUSTO!$R$13,[1]BD_CUSTO!$R$14)*BT30/E30</f>
        <v>0</v>
      </c>
      <c r="BZ30" s="24">
        <f>BV30*CUSTO!$R$10/E30</f>
        <v>0</v>
      </c>
      <c r="CA30" s="26">
        <f>SUM(Tabela13[[#This Row],[SOMA_PISO SALA E QUARTO]],Tabela13[[#This Row],[SOMA_PAREDE HIDR]],Tabela13[[#This Row],[SOMA_TETO]],Tabela13[[#This Row],[SOMA_BANCADA]],Tabela13[[#This Row],[SOMA_PEDRAS]])</f>
        <v>2390</v>
      </c>
      <c r="CB30" s="27" t="str">
        <f>IF(CA30&lt;=RÉGUAS!$D$4,"ACAB 01",IF(CA30&lt;=RÉGUAS!$F$4,"ACAB 02",IF(CA30&gt;RÉGUAS!$F$4,"ACAB 03",)))</f>
        <v>ACAB 01</v>
      </c>
      <c r="CC30" s="26">
        <f>SUM(Tabela13[[#This Row],[SOMA_LZ 01]:[SOMA_LZ 10]])</f>
        <v>1084.2231854838708</v>
      </c>
      <c r="CD30" s="22" t="str">
        <f>IF(CC30&lt;=RÉGUAS!$D$13,"LZ 01",IF(CC30&lt;=RÉGUAS!$F$13,"LZ 02",IF(CC30&lt;=RÉGUAS!$H$13,"LZ 03",IF(CC30&gt;RÉGUAS!$H$13,"LZ 04",))))</f>
        <v>LZ 02</v>
      </c>
      <c r="CE30" s="28">
        <f t="shared" si="1"/>
        <v>0</v>
      </c>
      <c r="CF30" s="22" t="str">
        <f>IF(CE30&lt;=RÉGUAS!$D$22,"TIP 01",IF(CE30&lt;=RÉGUAS!$F$22,"TIP 02",IF(CE30&gt;RÉGUAS!$F$22,"TIP 03",)))</f>
        <v>TIP 01</v>
      </c>
      <c r="CG30" s="28">
        <f t="shared" si="2"/>
        <v>2060.483870967742</v>
      </c>
      <c r="CH30" s="22" t="str">
        <f>IF(CG30&lt;=RÉGUAS!$D$32,"VAGA 01",IF(CG30&lt;=RÉGUAS!$F$32,"VAGA 02",IF(CG30&gt;RÉGUAS!$F$32,"VAGA 03",)))</f>
        <v>VAGA 02</v>
      </c>
      <c r="CI30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242.16129032258064</v>
      </c>
      <c r="CJ30" s="85" t="str">
        <f>IF(AND(G30="BLOCO",CI30&lt;=RÉGUAS!$D$40),"ELEV 01",IF(AND(G30="BLOCO",CI30&gt;RÉGUAS!$D$40),"ELEV 02",IF(AND(G30="TORRE",CI30&lt;=RÉGUAS!$K$40),"ELEV 01",IF(AND(G30="TORRE",CI30&lt;=RÉGUAS!$M$40),"ELEV 02",IF(AND(G30="TORRE",CI30&gt;RÉGUAS!$M$40),"ELEV 03",)))))</f>
        <v>ELEV 02</v>
      </c>
      <c r="CK30" s="85">
        <f>SUM(Tabela13[[#This Row],[TOTAL  ACAB]],Tabela13[[#This Row],[TOTAL LAZER ]],Tabela13[[#This Row],[TOTAL TIPOLOGIA]],Tabela13[[#This Row],[TOTAL VAGA]],Tabela13[[#This Row],[TOTAL ELEVADOR]])</f>
        <v>5776.868346774193</v>
      </c>
      <c r="CL30" s="72" t="str">
        <f>IF(AND(G30="BLOCO",CK30&lt;=RÉGUAS!$D$50),"ESSENCIAL",IF(AND(G30="BLOCO",CK30&lt;=RÉGUAS!$F$50),"ECO",IF(AND(G30="BLOCO",CK30&gt;RÉGUAS!$F$50),"BIO",IF(AND(G30="TORRE",CK30&lt;=RÉGUAS!$K$50),"ESSENCIAL",IF(AND(G30="TORRE",CK30&lt;=RÉGUAS!$M$50),"ECO",IF(AND(G30="TORRE",CK30&gt;RÉGUAS!$M$50),"BIO",))))))</f>
        <v>ESSENCIAL</v>
      </c>
      <c r="CM30" s="28" t="str">
        <f>IF(AND(G30="BLOCO",CK30&gt;=RÉGUAS!$D$51,CK30&lt;=RÉGUAS!$D$50),"ESSENCIAL-10%",IF(AND(G30="BLOCO",CK30&gt;RÉGUAS!$D$50,CK30&lt;=RÉGUAS!$E$51),"ECO+10%",IF(AND(G30="BLOCO",CK30&gt;=RÉGUAS!$F$51,CK30&lt;=RÉGUAS!$F$50),"ECO-10%",IF(AND(G30="BLOCO",CK30&gt;RÉGUAS!$F$50,CK30&lt;=RÉGUAS!$G$51),"BIO+10%",IF(AND(G30="TORRE",CK30&gt;=RÉGUAS!$K$51,CK30&lt;=RÉGUAS!$K$50),"ESSENCIAL-10%",IF(AND(G30="TORRE",CK30&gt;RÉGUAS!$K$50,CK30&lt;=RÉGUAS!$L$51),"ECO+10%",IF(AND(G30="TORRE",CK30&gt;=RÉGUAS!$M$51,CK30&lt;=RÉGUAS!$M$50),"ECO-10%",IF(AND(G30="TORRE",CK30&gt;RÉGUAS!$M$50,CK30&lt;=RÉGUAS!$N$51),"BIO+10%","-"))))))))</f>
        <v>-</v>
      </c>
      <c r="CN30" s="73">
        <f t="shared" si="3"/>
        <v>5534.7070564516125</v>
      </c>
      <c r="CO30" s="72" t="str">
        <f>IF(CN30&lt;=RÉGUAS!$D$58,"ESSENCIAL",IF(CN30&lt;=RÉGUAS!$F$58,"ECO",IF(CN30&gt;RÉGUAS!$F$58,"BIO",)))</f>
        <v>ESSENCIAL</v>
      </c>
      <c r="CP30" s="72" t="str">
        <f>IF(Tabela13[[#This Row],[INTERVALO DE INTERSEÇÃO 5D]]="-",Tabela13[[#This Row],[CLASSIFICAÇÃO 
5D ]],Tabela13[[#This Row],[CLASSIFICAÇÃO 
4D]])</f>
        <v>ESSENCIAL</v>
      </c>
      <c r="CQ30" s="72" t="str">
        <f t="shared" si="4"/>
        <v>-</v>
      </c>
      <c r="CR30" s="72" t="str">
        <f t="shared" si="5"/>
        <v>ESSENCIAL</v>
      </c>
      <c r="CS30" s="22" t="str">
        <f>IF(Tabela13[[#This Row],[PRODUTO ATUAL ]]=Tabela13[[#This Row],[CLASSIFICAÇÃO FINAL 5D]],"ADERÊNTE","NÃO ADERÊNTE")</f>
        <v>ADERÊNTE</v>
      </c>
      <c r="CT30" s="24">
        <f>SUM(Tabela13[[#This Row],[TOTAL  ACAB]],Tabela13[[#This Row],[TOTAL LAZER ]],Tabela13[[#This Row],[TOTAL TIPOLOGIA]],Tabela13[[#This Row],[TOTAL VAGA]])</f>
        <v>5534.7070564516125</v>
      </c>
      <c r="CU30" s="22" t="str">
        <f>IF(CT30&lt;=RÉGUAS!$D$58,"ESSENCIAL",IF(CT30&lt;=RÉGUAS!$F$58,"ECO",IF(CT30&gt;RÉGUAS!$F$58,"BIO",)))</f>
        <v>ESSENCIAL</v>
      </c>
      <c r="CV30" s="22" t="str">
        <f>IF(AND(CT30&gt;=RÉGUAS!$D$59,CT30&lt;=RÉGUAS!$E$59),"ESSENCIAL/ECO",IF(AND(CT30&gt;=RÉGUAS!$F$59,CT30&lt;=RÉGUAS!$G$59),"ECO/BIO","-"))</f>
        <v>-</v>
      </c>
      <c r="CW30" s="85">
        <f>SUM(Tabela13[[#This Row],[TOTAL LAZER ]],Tabela13[[#This Row],[TOTAL TIPOLOGIA]])</f>
        <v>1084.2231854838708</v>
      </c>
      <c r="CX30" s="22" t="str">
        <f>IF(CW30&lt;=RÉGUAS!$D$72,"ESSENCIAL",IF(CW30&lt;=RÉGUAS!$F$72,"ECO",IF(CN30&gt;RÉGUAS!$F$72,"BIO",)))</f>
        <v>ESSENCIAL</v>
      </c>
      <c r="CY30" s="22" t="str">
        <f t="shared" si="6"/>
        <v>ESSENCIAL</v>
      </c>
      <c r="CZ30" s="22" t="str">
        <f>IF(Tabela13[[#This Row],[PRODUTO ATUAL ]]=CY30,"ADERENTE","NÃO ADERENTE")</f>
        <v>ADERENTE</v>
      </c>
      <c r="DA30" s="22" t="str">
        <f>IF(Tabela13[[#This Row],[PRODUTO ATUAL ]]=Tabela13[[#This Row],[CLASSIFICAÇÃO 
4D2]],"ADERENTE","NÃO ADERENTE")</f>
        <v>ADERENTE</v>
      </c>
    </row>
    <row r="31" spans="2:105" hidden="1" x14ac:dyDescent="0.35">
      <c r="B31" s="27">
        <v>34</v>
      </c>
      <c r="C31" s="22" t="s">
        <v>155</v>
      </c>
      <c r="D31" s="22" t="s">
        <v>125</v>
      </c>
      <c r="E31" s="23">
        <v>176</v>
      </c>
      <c r="F31" s="22" t="str">
        <f t="shared" si="0"/>
        <v>Até 200 und</v>
      </c>
      <c r="G31" s="22" t="s">
        <v>1</v>
      </c>
      <c r="H31" s="36">
        <v>9</v>
      </c>
      <c r="I31" s="36">
        <v>5</v>
      </c>
      <c r="J31" s="36"/>
      <c r="K31" s="36"/>
      <c r="L31" s="36">
        <f>SUM(Tabela13[[#This Row],[QTD DE B/T 2]],Tabela13[[#This Row],[QTD DE B/T]])</f>
        <v>9</v>
      </c>
      <c r="M31" s="22">
        <v>0</v>
      </c>
      <c r="N31" s="22">
        <f>Tabela13[[#This Row],[ELEVADOR]]/Tabela13[[#This Row],[BLOCO TOTAL]]</f>
        <v>0</v>
      </c>
      <c r="O31" s="22" t="s">
        <v>6</v>
      </c>
      <c r="P31" s="22" t="s">
        <v>119</v>
      </c>
      <c r="Q31" s="22" t="s">
        <v>101</v>
      </c>
      <c r="R31" s="22" t="s">
        <v>142</v>
      </c>
      <c r="S31" s="22" t="s">
        <v>103</v>
      </c>
      <c r="T31" s="22" t="s">
        <v>104</v>
      </c>
      <c r="U31" s="22" t="s">
        <v>105</v>
      </c>
      <c r="V31" s="22" t="s">
        <v>106</v>
      </c>
      <c r="W31" s="24">
        <f>IF(P31=[1]BD_CUSTO!$E$4,[1]BD_CUSTO!$F$4,[1]BD_CUSTO!$F$5)</f>
        <v>530</v>
      </c>
      <c r="X31" s="24">
        <f>IF(Q31=[1]BD_CUSTO!$E$6,[1]BD_CUSTO!$F$6,[1]BD_CUSTO!$F$7)</f>
        <v>260</v>
      </c>
      <c r="Y31" s="24">
        <f>IF(R31=[1]BD_CUSTO!$E$8,[1]BD_CUSTO!$F$8,[1]BD_CUSTO!$F$9)</f>
        <v>900</v>
      </c>
      <c r="Z31" s="24">
        <f>IF(S31=[1]BD_CUSTO!$E$10,[1]BD_CUSTO!$F$10,[1]BD_CUSTO!$F$11)</f>
        <v>500</v>
      </c>
      <c r="AA31" s="24">
        <f>IF(T31=[1]BD_CUSTO!$E$12,[1]BD_CUSTO!$F$12,[1]BD_CUSTO!$F$13)</f>
        <v>370</v>
      </c>
      <c r="AB31" s="24">
        <f>IF(U31=[1]BD_CUSTO!$E$14,[1]BD_CUSTO!$F$14,[1]BD_CUSTO!$F$15)</f>
        <v>90</v>
      </c>
      <c r="AC31" s="24">
        <f>IF(V31=[1]BD_CUSTO!$E$16,[1]BD_CUSTO!$F$16,[1]BD_CUSTO!$F$17)</f>
        <v>720</v>
      </c>
      <c r="AD31" s="22" t="s">
        <v>109</v>
      </c>
      <c r="AE31" s="22">
        <v>1</v>
      </c>
      <c r="AF31" s="22" t="s">
        <v>111</v>
      </c>
      <c r="AG31" s="22">
        <v>1</v>
      </c>
      <c r="AH31" s="22" t="s">
        <v>110</v>
      </c>
      <c r="AI31" s="22">
        <v>1</v>
      </c>
      <c r="AJ31" s="22" t="s">
        <v>156</v>
      </c>
      <c r="AK31" s="22">
        <v>1</v>
      </c>
      <c r="AL31" s="22" t="s">
        <v>108</v>
      </c>
      <c r="AM31" s="22">
        <v>1</v>
      </c>
      <c r="AN31" s="22" t="s">
        <v>107</v>
      </c>
      <c r="AO31" s="22">
        <v>1</v>
      </c>
      <c r="AP31" s="22" t="s">
        <v>133</v>
      </c>
      <c r="AQ31" s="22">
        <v>1</v>
      </c>
      <c r="AR31" s="22"/>
      <c r="AS31" s="22"/>
      <c r="AT31" s="22"/>
      <c r="AU31" s="22"/>
      <c r="AV31" s="22"/>
      <c r="AW31" s="22"/>
      <c r="AX31" s="24">
        <f>IF(AD31="",0,VLOOKUP(AD31,[1]BD_CUSTO!I:J,2,0)*AE31/E31)</f>
        <v>39.488636363636367</v>
      </c>
      <c r="AY31" s="24">
        <f>IF(AF31="",0,VLOOKUP(AF31,[1]BD_CUSTO!I:J,2,0)*AG31/E31)</f>
        <v>92.045454545454547</v>
      </c>
      <c r="AZ31" s="24">
        <f>IF(AH31="",0,VLOOKUP(AH31,[1]BD_CUSTO!I:J,2,0)*AI31/E31)</f>
        <v>30.113636363636363</v>
      </c>
      <c r="BA31" s="24">
        <f>IF(AJ31="",0,VLOOKUP(AJ31,[1]BD_CUSTO!I:J,2,0)*AK31/E31)</f>
        <v>557.10227272727275</v>
      </c>
      <c r="BB31" s="24">
        <f>IF(AL31="",0,VLOOKUP(AL31,[1]BD_CUSTO!I:J,2,0)*AM31/E31)</f>
        <v>131.53409090909091</v>
      </c>
      <c r="BC31" s="24">
        <f>IF(AN31="",0,VLOOKUP(AN31,[1]BD_CUSTO!I:J,2,0)*AO31/E31)</f>
        <v>483.80181818181813</v>
      </c>
      <c r="BD31" s="24">
        <f>IF(AP31="",0,VLOOKUP(AP31,[1]BD_CUSTO!I:J,2,0)*AQ31/E31)</f>
        <v>39.545454545454547</v>
      </c>
      <c r="BE31" s="24">
        <f>IF(AR31="",0,VLOOKUP(AR31,CUSTO!I:J,2,0)*AS31/E31)</f>
        <v>0</v>
      </c>
      <c r="BF31" s="24">
        <f>IF(AT31="",0,VLOOKUP(AT31,[1]BD_CUSTO!I:J,2,0)*AU31/E31)</f>
        <v>0</v>
      </c>
      <c r="BG31" s="24">
        <f>IF(Tabela13[[#This Row],[LZ 10]]="",0,VLOOKUP(Tabela13[[#This Row],[LZ 10]],[1]BD_CUSTO!I:J,2,0)*Tabela13[[#This Row],[QTD922]]/E31)</f>
        <v>0</v>
      </c>
      <c r="BH31" s="22" t="s">
        <v>122</v>
      </c>
      <c r="BI31" s="25">
        <v>0</v>
      </c>
      <c r="BJ31" s="22" t="s">
        <v>113</v>
      </c>
      <c r="BK31" s="25">
        <v>0</v>
      </c>
      <c r="BL31" s="24">
        <f>IF(BH31=[1]BD_CUSTO!$M$6,[1]BD_CUSTO!$N$6)*BI31</f>
        <v>0</v>
      </c>
      <c r="BM31" s="24">
        <f>IF(BJ31=[1]BD_CUSTO!$M$4,[1]BD_CUSTO!$N$4,[1]BD_CUSTO!$N$5)*BK31</f>
        <v>0</v>
      </c>
      <c r="BN31" s="22" t="s">
        <v>114</v>
      </c>
      <c r="BO31" s="22">
        <v>182</v>
      </c>
      <c r="BP31" s="25">
        <f>Tabela13[[#This Row],[QTD ]]/Tabela13[[#This Row],[Nº UNDS]]</f>
        <v>1.0340909090909092</v>
      </c>
      <c r="BQ31" s="22" t="s">
        <v>115</v>
      </c>
      <c r="BR31" s="22">
        <v>0</v>
      </c>
      <c r="BS31" s="22" t="s">
        <v>116</v>
      </c>
      <c r="BT31" s="22">
        <v>0</v>
      </c>
      <c r="BU31" s="22" t="s">
        <v>16</v>
      </c>
      <c r="BV31" s="22">
        <v>0</v>
      </c>
      <c r="BW31" s="24">
        <f>IF(BN31=[1]BD_CUSTO!$Q$7,[1]BD_CUSTO!$R$7,[1]BD_CUSTO!$R$8)*BO31/E31</f>
        <v>2068.181818181818</v>
      </c>
      <c r="BX31" s="24">
        <f>IF(BQ31=[1]BD_CUSTO!$Q$4,[1]BD_CUSTO!$R$4,[1]BD_CUSTO!$R$5)*BR31/E31</f>
        <v>0</v>
      </c>
      <c r="BY31" s="22">
        <f>IF(BS31=[1]BD_CUSTO!$Q$13,[1]BD_CUSTO!$R$13,[1]BD_CUSTO!$R$14)*BT31/E31</f>
        <v>0</v>
      </c>
      <c r="BZ31" s="24">
        <f>BV31*CUSTO!$R$10/E31</f>
        <v>0</v>
      </c>
      <c r="CA31" s="26">
        <f>SUM(Tabela13[[#This Row],[SOMA_PISO SALA E QUARTO]],Tabela13[[#This Row],[SOMA_PAREDE HIDR]],Tabela13[[#This Row],[SOMA_TETO]],Tabela13[[#This Row],[SOMA_BANCADA]],Tabela13[[#This Row],[SOMA_PEDRAS]])</f>
        <v>2390</v>
      </c>
      <c r="CB31" s="27" t="str">
        <f>IF(CA31&lt;=RÉGUAS!$D$4,"ACAB 01",IF(CA31&lt;=RÉGUAS!$F$4,"ACAB 02",IF(CA31&gt;RÉGUAS!$F$4,"ACAB 03",)))</f>
        <v>ACAB 01</v>
      </c>
      <c r="CC31" s="26">
        <f>SUM(Tabela13[[#This Row],[SOMA_LZ 01]:[SOMA_LZ 10]])</f>
        <v>1373.6313636363634</v>
      </c>
      <c r="CD31" s="22" t="str">
        <f>IF(CC31&lt;=RÉGUAS!$D$13,"LZ 01",IF(CC31&lt;=RÉGUAS!$F$13,"LZ 02",IF(CC31&lt;=RÉGUAS!$H$13,"LZ 03",IF(CC31&gt;RÉGUAS!$H$13,"LZ 04",))))</f>
        <v>LZ 02</v>
      </c>
      <c r="CE31" s="28">
        <f t="shared" si="1"/>
        <v>0</v>
      </c>
      <c r="CF31" s="22" t="str">
        <f>IF(CE31&lt;=RÉGUAS!$D$22,"TIP 01",IF(CE31&lt;=RÉGUAS!$F$22,"TIP 02",IF(CE31&gt;RÉGUAS!$F$22,"TIP 03",)))</f>
        <v>TIP 01</v>
      </c>
      <c r="CG31" s="28">
        <f t="shared" si="2"/>
        <v>2068.181818181818</v>
      </c>
      <c r="CH31" s="22" t="str">
        <f>IF(CG31&lt;=RÉGUAS!$D$32,"VAGA 01",IF(CG31&lt;=RÉGUAS!$F$32,"VAGA 02",IF(CG31&gt;RÉGUAS!$F$32,"VAGA 03",)))</f>
        <v>VAGA 02</v>
      </c>
      <c r="CI31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31" s="85" t="str">
        <f>IF(AND(G31="BLOCO",CI31&lt;=RÉGUAS!$D$40),"ELEV 01",IF(AND(G31="BLOCO",CI31&gt;RÉGUAS!$D$40),"ELEV 02",IF(AND(G31="TORRE",CI31&lt;=RÉGUAS!$K$40),"ELEV 01",IF(AND(G31="TORRE",CI31&lt;=RÉGUAS!$M$40),"ELEV 02",IF(AND(G31="TORRE",CI31&gt;RÉGUAS!$M$40),"ELEV 03",)))))</f>
        <v>ELEV 01</v>
      </c>
      <c r="CK31" s="85">
        <f>SUM(Tabela13[[#This Row],[TOTAL  ACAB]],Tabela13[[#This Row],[TOTAL LAZER ]],Tabela13[[#This Row],[TOTAL TIPOLOGIA]],Tabela13[[#This Row],[TOTAL VAGA]],Tabela13[[#This Row],[TOTAL ELEVADOR]])</f>
        <v>5831.813181818181</v>
      </c>
      <c r="CL31" s="72" t="str">
        <f>IF(AND(G31="BLOCO",CK31&lt;=RÉGUAS!$D$50),"ESSENCIAL",IF(AND(G31="BLOCO",CK31&lt;=RÉGUAS!$F$50),"ECO",IF(AND(G31="BLOCO",CK31&gt;RÉGUAS!$F$50),"BIO",IF(AND(G31="TORRE",CK31&lt;=RÉGUAS!$K$50),"ESSENCIAL",IF(AND(G31="TORRE",CK31&lt;=RÉGUAS!$M$50),"ECO",IF(AND(G31="TORRE",CK31&gt;RÉGUAS!$M$50),"BIO",))))))</f>
        <v>ESSENCIAL</v>
      </c>
      <c r="CM31" s="28" t="str">
        <f>IF(AND(G31="BLOCO",CK31&gt;=RÉGUAS!$D$51,CK31&lt;=RÉGUAS!$D$50),"ESSENCIAL-10%",IF(AND(G31="BLOCO",CK31&gt;RÉGUAS!$D$50,CK31&lt;=RÉGUAS!$E$51),"ECO+10%",IF(AND(G31="BLOCO",CK31&gt;=RÉGUAS!$F$51,CK31&lt;=RÉGUAS!$F$50),"ECO-10%",IF(AND(G31="BLOCO",CK31&gt;RÉGUAS!$F$50,CK31&lt;=RÉGUAS!$G$51),"BIO+10%",IF(AND(G31="TORRE",CK31&gt;=RÉGUAS!$K$51,CK31&lt;=RÉGUAS!$K$50),"ESSENCIAL-10%",IF(AND(G31="TORRE",CK31&gt;RÉGUAS!$K$50,CK31&lt;=RÉGUAS!$L$51),"ECO+10%",IF(AND(G31="TORRE",CK31&gt;=RÉGUAS!$M$51,CK31&lt;=RÉGUAS!$M$50),"ECO-10%",IF(AND(G31="TORRE",CK31&gt;RÉGUAS!$M$50,CK31&lt;=RÉGUAS!$N$51),"BIO+10%","-"))))))))</f>
        <v>-</v>
      </c>
      <c r="CN31" s="73">
        <f t="shared" si="3"/>
        <v>5831.813181818181</v>
      </c>
      <c r="CO31" s="72" t="str">
        <f>IF(CN31&lt;=RÉGUAS!$D$58,"ESSENCIAL",IF(CN31&lt;=RÉGUAS!$F$58,"ECO",IF(CN31&gt;RÉGUAS!$F$58,"BIO",)))</f>
        <v>ESSENCIAL</v>
      </c>
      <c r="CP31" s="72" t="str">
        <f>IF(Tabela13[[#This Row],[INTERVALO DE INTERSEÇÃO 5D]]="-",Tabela13[[#This Row],[CLASSIFICAÇÃO 
5D ]],Tabela13[[#This Row],[CLASSIFICAÇÃO 
4D]])</f>
        <v>ESSENCIAL</v>
      </c>
      <c r="CQ31" s="72" t="str">
        <f t="shared" si="4"/>
        <v>-</v>
      </c>
      <c r="CR31" s="72" t="str">
        <f t="shared" si="5"/>
        <v>ESSENCIAL</v>
      </c>
      <c r="CS31" s="22" t="str">
        <f>IF(Tabela13[[#This Row],[PRODUTO ATUAL ]]=Tabela13[[#This Row],[CLASSIFICAÇÃO FINAL 5D]],"ADERÊNTE","NÃO ADERÊNTE")</f>
        <v>ADERÊNTE</v>
      </c>
      <c r="CT31" s="24">
        <f>SUM(Tabela13[[#This Row],[TOTAL  ACAB]],Tabela13[[#This Row],[TOTAL LAZER ]],Tabela13[[#This Row],[TOTAL TIPOLOGIA]],Tabela13[[#This Row],[TOTAL VAGA]])</f>
        <v>5831.813181818181</v>
      </c>
      <c r="CU31" s="22" t="str">
        <f>IF(CT31&lt;=RÉGUAS!$D$58,"ESSENCIAL",IF(CT31&lt;=RÉGUAS!$F$58,"ECO",IF(CT31&gt;RÉGUAS!$F$58,"BIO",)))</f>
        <v>ESSENCIAL</v>
      </c>
      <c r="CV31" s="22" t="str">
        <f>IF(AND(CT31&gt;=RÉGUAS!$D$59,CT31&lt;=RÉGUAS!$E$59),"ESSENCIAL/ECO",IF(AND(CT31&gt;=RÉGUAS!$F$59,CT31&lt;=RÉGUAS!$G$59),"ECO/BIO","-"))</f>
        <v>-</v>
      </c>
      <c r="CW31" s="85">
        <f>SUM(Tabela13[[#This Row],[TOTAL LAZER ]],Tabela13[[#This Row],[TOTAL TIPOLOGIA]])</f>
        <v>1373.6313636363634</v>
      </c>
      <c r="CX31" s="22" t="str">
        <f>IF(CW31&lt;=RÉGUAS!$D$72,"ESSENCIAL",IF(CW31&lt;=RÉGUAS!$F$72,"ECO",IF(CN31&gt;RÉGUAS!$F$72,"BIO",)))</f>
        <v>ESSENCIAL</v>
      </c>
      <c r="CY31" s="22" t="str">
        <f t="shared" si="6"/>
        <v>ESSENCIAL</v>
      </c>
      <c r="CZ31" s="22" t="str">
        <f>IF(Tabela13[[#This Row],[PRODUTO ATUAL ]]=CY31,"ADERENTE","NÃO ADERENTE")</f>
        <v>ADERENTE</v>
      </c>
      <c r="DA31" s="22" t="str">
        <f>IF(Tabela13[[#This Row],[PRODUTO ATUAL ]]=Tabela13[[#This Row],[CLASSIFICAÇÃO 
4D2]],"ADERENTE","NÃO ADERENTE")</f>
        <v>ADERENTE</v>
      </c>
    </row>
    <row r="32" spans="2:105" hidden="1" x14ac:dyDescent="0.35">
      <c r="B32" s="27">
        <v>36</v>
      </c>
      <c r="C32" s="22" t="s">
        <v>157</v>
      </c>
      <c r="D32" s="22" t="s">
        <v>147</v>
      </c>
      <c r="E32" s="23">
        <v>292</v>
      </c>
      <c r="F32" s="22" t="str">
        <f t="shared" si="0"/>
        <v>De 200 a 400 und</v>
      </c>
      <c r="G32" s="22" t="s">
        <v>1</v>
      </c>
      <c r="H32" s="36">
        <v>18</v>
      </c>
      <c r="I32" s="36">
        <v>5</v>
      </c>
      <c r="J32" s="36"/>
      <c r="K32" s="36"/>
      <c r="L32" s="36">
        <f>SUM(Tabela13[[#This Row],[QTD DE B/T 2]],Tabela13[[#This Row],[QTD DE B/T]])</f>
        <v>18</v>
      </c>
      <c r="M32" s="22">
        <v>1</v>
      </c>
      <c r="N32" s="22">
        <f>Tabela13[[#This Row],[ELEVADOR]]/Tabela13[[#This Row],[BLOCO TOTAL]]</f>
        <v>5.5555555555555552E-2</v>
      </c>
      <c r="O32" s="22" t="s">
        <v>6</v>
      </c>
      <c r="P32" s="22" t="s">
        <v>119</v>
      </c>
      <c r="Q32" s="22" t="s">
        <v>101</v>
      </c>
      <c r="R32" s="22" t="s">
        <v>142</v>
      </c>
      <c r="S32" s="22" t="s">
        <v>103</v>
      </c>
      <c r="T32" s="22" t="s">
        <v>104</v>
      </c>
      <c r="U32" s="22" t="s">
        <v>105</v>
      </c>
      <c r="V32" s="22" t="s">
        <v>106</v>
      </c>
      <c r="W32" s="24">
        <f>IF(P32=[1]BD_CUSTO!$E$4,[1]BD_CUSTO!$F$4,[1]BD_CUSTO!$F$5)</f>
        <v>530</v>
      </c>
      <c r="X32" s="24">
        <f>IF(Q32=[1]BD_CUSTO!$E$6,[1]BD_CUSTO!$F$6,[1]BD_CUSTO!$F$7)</f>
        <v>260</v>
      </c>
      <c r="Y32" s="24">
        <f>IF(R32=[1]BD_CUSTO!$E$8,[1]BD_CUSTO!$F$8,[1]BD_CUSTO!$F$9)</f>
        <v>900</v>
      </c>
      <c r="Z32" s="24">
        <f>IF(S32=[1]BD_CUSTO!$E$10,[1]BD_CUSTO!$F$10,[1]BD_CUSTO!$F$11)</f>
        <v>500</v>
      </c>
      <c r="AA32" s="24">
        <f>IF(T32=[1]BD_CUSTO!$E$12,[1]BD_CUSTO!$F$12,[1]BD_CUSTO!$F$13)</f>
        <v>370</v>
      </c>
      <c r="AB32" s="24">
        <f>IF(U32=[1]BD_CUSTO!$E$14,[1]BD_CUSTO!$F$14,[1]BD_CUSTO!$F$15)</f>
        <v>90</v>
      </c>
      <c r="AC32" s="24">
        <f>IF(V32=[1]BD_CUSTO!$E$16,[1]BD_CUSTO!$F$16,[1]BD_CUSTO!$F$17)</f>
        <v>720</v>
      </c>
      <c r="AD32" s="22" t="s">
        <v>108</v>
      </c>
      <c r="AE32" s="22">
        <v>1</v>
      </c>
      <c r="AF32" s="22" t="s">
        <v>109</v>
      </c>
      <c r="AG32" s="22">
        <v>1</v>
      </c>
      <c r="AH32" s="22" t="s">
        <v>110</v>
      </c>
      <c r="AI32" s="22">
        <v>1</v>
      </c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4">
        <f>IF(AD32="",0,VLOOKUP(AD32,[1]BD_CUSTO!I:J,2,0)*AE32/E32)</f>
        <v>79.280821917808225</v>
      </c>
      <c r="AY32" s="24">
        <f>IF(AF32="",0,VLOOKUP(AF32,[1]BD_CUSTO!I:J,2,0)*AG32/E32)</f>
        <v>23.801369863013697</v>
      </c>
      <c r="AZ32" s="24">
        <f>IF(AH32="",0,VLOOKUP(AH32,[1]BD_CUSTO!I:J,2,0)*AI32/E32)</f>
        <v>18.150684931506849</v>
      </c>
      <c r="BA32" s="24">
        <f>IF(AJ32="",0,VLOOKUP(AJ32,[1]BD_CUSTO!I:J,2,0)*AK32/E32)</f>
        <v>0</v>
      </c>
      <c r="BB32" s="24">
        <f>IF(AL32="",0,VLOOKUP(AL32,[1]BD_CUSTO!I:J,2,0)*AM32/E32)</f>
        <v>0</v>
      </c>
      <c r="BC32" s="24">
        <f>IF(AN32="",0,VLOOKUP(AN32,[1]BD_CUSTO!I:J,2,0)*AO32/E32)</f>
        <v>0</v>
      </c>
      <c r="BD32" s="24">
        <f>IF(AP32="",0,VLOOKUP(AP32,[1]BD_CUSTO!I:J,2,0)*AQ32/E32)</f>
        <v>0</v>
      </c>
      <c r="BE32" s="24">
        <f>IF(AR32="",0,VLOOKUP(AR32,CUSTO!I:J,2,0)*AS32/E32)</f>
        <v>0</v>
      </c>
      <c r="BF32" s="24">
        <f>IF(AT32="",0,VLOOKUP(AT32,[1]BD_CUSTO!I:J,2,0)*AU32/E32)</f>
        <v>0</v>
      </c>
      <c r="BG32" s="24">
        <f>IF(Tabela13[[#This Row],[LZ 10]]="",0,VLOOKUP(Tabela13[[#This Row],[LZ 10]],[1]BD_CUSTO!I:J,2,0)*Tabela13[[#This Row],[QTD922]]/E32)</f>
        <v>0</v>
      </c>
      <c r="BH32" s="22" t="s">
        <v>122</v>
      </c>
      <c r="BI32" s="25">
        <v>0</v>
      </c>
      <c r="BJ32" s="22" t="s">
        <v>113</v>
      </c>
      <c r="BK32" s="25">
        <v>0</v>
      </c>
      <c r="BL32" s="24">
        <f>IF(BH32=[1]BD_CUSTO!$M$6,[1]BD_CUSTO!$N$6)*BI32</f>
        <v>0</v>
      </c>
      <c r="BM32" s="24">
        <f>IF(BJ32=[1]BD_CUSTO!$M$4,[1]BD_CUSTO!$N$4,[1]BD_CUSTO!$N$5)*BK32</f>
        <v>0</v>
      </c>
      <c r="BN32" s="22" t="s">
        <v>114</v>
      </c>
      <c r="BO32" s="22">
        <f>283+13+10</f>
        <v>306</v>
      </c>
      <c r="BP32" s="25">
        <f>Tabela13[[#This Row],[QTD ]]/Tabela13[[#This Row],[Nº UNDS]]</f>
        <v>1.047945205479452</v>
      </c>
      <c r="BQ32" s="22" t="s">
        <v>123</v>
      </c>
      <c r="BR32" s="22">
        <v>9</v>
      </c>
      <c r="BS32" s="22" t="s">
        <v>116</v>
      </c>
      <c r="BT32" s="22">
        <v>0</v>
      </c>
      <c r="BU32" s="22" t="s">
        <v>16</v>
      </c>
      <c r="BV32" s="22">
        <v>0</v>
      </c>
      <c r="BW32" s="24">
        <f>IF(BN32=[1]BD_CUSTO!$Q$7,[1]BD_CUSTO!$R$7,[1]BD_CUSTO!$R$8)*BO32/E32</f>
        <v>2095.8904109589039</v>
      </c>
      <c r="BX32" s="24">
        <f>IF(BQ32=[1]BD_CUSTO!$Q$4,[1]BD_CUSTO!$R$4,[1]BD_CUSTO!$R$5)*BR32/E32</f>
        <v>30.82191780821918</v>
      </c>
      <c r="BY32" s="22">
        <f>IF(BS32=[1]BD_CUSTO!$Q$13,[1]BD_CUSTO!$R$13,[1]BD_CUSTO!$R$14)*BT32/E32</f>
        <v>0</v>
      </c>
      <c r="BZ32" s="24">
        <f>BV32*CUSTO!$R$10/E32</f>
        <v>0</v>
      </c>
      <c r="CA32" s="26">
        <f>SUM(Tabela13[[#This Row],[SOMA_PISO SALA E QUARTO]],Tabela13[[#This Row],[SOMA_PAREDE HIDR]],Tabela13[[#This Row],[SOMA_TETO]],Tabela13[[#This Row],[SOMA_BANCADA]],Tabela13[[#This Row],[SOMA_PEDRAS]])</f>
        <v>2390</v>
      </c>
      <c r="CB32" s="27" t="str">
        <f>IF(CA32&lt;=RÉGUAS!$D$4,"ACAB 01",IF(CA32&lt;=RÉGUAS!$F$4,"ACAB 02",IF(CA32&gt;RÉGUAS!$F$4,"ACAB 03",)))</f>
        <v>ACAB 01</v>
      </c>
      <c r="CC32" s="26">
        <f>SUM(Tabela13[[#This Row],[SOMA_LZ 01]:[SOMA_LZ 10]])</f>
        <v>121.23287671232876</v>
      </c>
      <c r="CD32" s="22" t="str">
        <f>IF(CC32&lt;=RÉGUAS!$D$13,"LZ 01",IF(CC32&lt;=RÉGUAS!$F$13,"LZ 02",IF(CC32&lt;=RÉGUAS!$H$13,"LZ 03",IF(CC32&gt;RÉGUAS!$H$13,"LZ 04",))))</f>
        <v>LZ 01</v>
      </c>
      <c r="CE32" s="28">
        <f t="shared" si="1"/>
        <v>0</v>
      </c>
      <c r="CF32" s="22" t="str">
        <f>IF(CE32&lt;=RÉGUAS!$D$22,"TIP 01",IF(CE32&lt;=RÉGUAS!$F$22,"TIP 02",IF(CE32&gt;RÉGUAS!$F$22,"TIP 03",)))</f>
        <v>TIP 01</v>
      </c>
      <c r="CG32" s="28">
        <f t="shared" si="2"/>
        <v>2126.7123287671229</v>
      </c>
      <c r="CH32" s="22" t="str">
        <f>IF(CG32&lt;=RÉGUAS!$D$32,"VAGA 01",IF(CG32&lt;=RÉGUAS!$F$32,"VAGA 02",IF(CG32&gt;RÉGUAS!$F$32,"VAGA 03",)))</f>
        <v>VAGA 02</v>
      </c>
      <c r="CI32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514.17808219178085</v>
      </c>
      <c r="CJ32" s="85" t="str">
        <f>IF(AND(G32="BLOCO",CI32&lt;=RÉGUAS!$D$40),"ELEV 01",IF(AND(G32="BLOCO",CI32&gt;RÉGUAS!$D$40),"ELEV 02",IF(AND(G32="TORRE",CI32&lt;=RÉGUAS!$K$40),"ELEV 01",IF(AND(G32="TORRE",CI32&lt;=RÉGUAS!$M$40),"ELEV 02",IF(AND(G32="TORRE",CI32&gt;RÉGUAS!$M$40),"ELEV 03",)))))</f>
        <v>ELEV 02</v>
      </c>
      <c r="CK32" s="85">
        <f>SUM(Tabela13[[#This Row],[TOTAL  ACAB]],Tabela13[[#This Row],[TOTAL LAZER ]],Tabela13[[#This Row],[TOTAL TIPOLOGIA]],Tabela13[[#This Row],[TOTAL VAGA]],Tabela13[[#This Row],[TOTAL ELEVADOR]])</f>
        <v>5152.123287671232</v>
      </c>
      <c r="CL32" s="72" t="str">
        <f>IF(AND(G32="BLOCO",CK32&lt;=RÉGUAS!$D$50),"ESSENCIAL",IF(AND(G32="BLOCO",CK32&lt;=RÉGUAS!$F$50),"ECO",IF(AND(G32="BLOCO",CK32&gt;RÉGUAS!$F$50),"BIO",IF(AND(G32="TORRE",CK32&lt;=RÉGUAS!$K$50),"ESSENCIAL",IF(AND(G32="TORRE",CK32&lt;=RÉGUAS!$M$50),"ECO",IF(AND(G32="TORRE",CK32&gt;RÉGUAS!$M$50),"BIO",))))))</f>
        <v>ESSENCIAL</v>
      </c>
      <c r="CM32" s="28" t="str">
        <f>IF(AND(G32="BLOCO",CK32&gt;=RÉGUAS!$D$51,CK32&lt;=RÉGUAS!$D$50),"ESSENCIAL-10%",IF(AND(G32="BLOCO",CK32&gt;RÉGUAS!$D$50,CK32&lt;=RÉGUAS!$E$51),"ECO+10%",IF(AND(G32="BLOCO",CK32&gt;=RÉGUAS!$F$51,CK32&lt;=RÉGUAS!$F$50),"ECO-10%",IF(AND(G32="BLOCO",CK32&gt;RÉGUAS!$F$50,CK32&lt;=RÉGUAS!$G$51),"BIO+10%",IF(AND(G32="TORRE",CK32&gt;=RÉGUAS!$K$51,CK32&lt;=RÉGUAS!$K$50),"ESSENCIAL-10%",IF(AND(G32="TORRE",CK32&gt;RÉGUAS!$K$50,CK32&lt;=RÉGUAS!$L$51),"ECO+10%",IF(AND(G32="TORRE",CK32&gt;=RÉGUAS!$M$51,CK32&lt;=RÉGUAS!$M$50),"ECO-10%",IF(AND(G32="TORRE",CK32&gt;RÉGUAS!$M$50,CK32&lt;=RÉGUAS!$N$51),"BIO+10%","-"))))))))</f>
        <v>-</v>
      </c>
      <c r="CN32" s="73">
        <f t="shared" si="3"/>
        <v>4637.945205479451</v>
      </c>
      <c r="CO32" s="72" t="str">
        <f>IF(CN32&lt;=RÉGUAS!$D$58,"ESSENCIAL",IF(CN32&lt;=RÉGUAS!$F$58,"ECO",IF(CN32&gt;RÉGUAS!$F$58,"BIO",)))</f>
        <v>ESSENCIAL</v>
      </c>
      <c r="CP32" s="72" t="str">
        <f>IF(Tabela13[[#This Row],[INTERVALO DE INTERSEÇÃO 5D]]="-",Tabela13[[#This Row],[CLASSIFICAÇÃO 
5D ]],Tabela13[[#This Row],[CLASSIFICAÇÃO 
4D]])</f>
        <v>ESSENCIAL</v>
      </c>
      <c r="CQ32" s="72" t="str">
        <f t="shared" si="4"/>
        <v>-</v>
      </c>
      <c r="CR32" s="72" t="str">
        <f t="shared" si="5"/>
        <v>ESSENCIAL</v>
      </c>
      <c r="CS32" s="22" t="str">
        <f>IF(Tabela13[[#This Row],[PRODUTO ATUAL ]]=Tabela13[[#This Row],[CLASSIFICAÇÃO FINAL 5D]],"ADERÊNTE","NÃO ADERÊNTE")</f>
        <v>ADERÊNTE</v>
      </c>
      <c r="CT32" s="24">
        <f>SUM(Tabela13[[#This Row],[TOTAL  ACAB]],Tabela13[[#This Row],[TOTAL LAZER ]],Tabela13[[#This Row],[TOTAL TIPOLOGIA]],Tabela13[[#This Row],[TOTAL VAGA]])</f>
        <v>4637.945205479451</v>
      </c>
      <c r="CU32" s="22" t="str">
        <f>IF(CT32&lt;=RÉGUAS!$D$58,"ESSENCIAL",IF(CT32&lt;=RÉGUAS!$F$58,"ECO",IF(CT32&gt;RÉGUAS!$F$58,"BIO",)))</f>
        <v>ESSENCIAL</v>
      </c>
      <c r="CV32" s="22" t="str">
        <f>IF(AND(CT32&gt;=RÉGUAS!$D$59,CT32&lt;=RÉGUAS!$E$59),"ESSENCIAL/ECO",IF(AND(CT32&gt;=RÉGUAS!$F$59,CT32&lt;=RÉGUAS!$G$59),"ECO/BIO","-"))</f>
        <v>-</v>
      </c>
      <c r="CW32" s="85">
        <f>SUM(Tabela13[[#This Row],[TOTAL LAZER ]],Tabela13[[#This Row],[TOTAL TIPOLOGIA]])</f>
        <v>121.23287671232876</v>
      </c>
      <c r="CX32" s="22" t="str">
        <f>IF(CW32&lt;=RÉGUAS!$D$72,"ESSENCIAL",IF(CW32&lt;=RÉGUAS!$F$72,"ECO",IF(CN32&gt;RÉGUAS!$F$72,"BIO",)))</f>
        <v>ESSENCIAL</v>
      </c>
      <c r="CY32" s="22" t="str">
        <f t="shared" si="6"/>
        <v>ESSENCIAL</v>
      </c>
      <c r="CZ32" s="22" t="str">
        <f>IF(Tabela13[[#This Row],[PRODUTO ATUAL ]]=CY32,"ADERENTE","NÃO ADERENTE")</f>
        <v>ADERENTE</v>
      </c>
      <c r="DA32" s="22" t="str">
        <f>IF(Tabela13[[#This Row],[PRODUTO ATUAL ]]=Tabela13[[#This Row],[CLASSIFICAÇÃO 
4D2]],"ADERENTE","NÃO ADERENTE")</f>
        <v>ADERENTE</v>
      </c>
    </row>
    <row r="33" spans="2:105" s="212" customFormat="1" x14ac:dyDescent="0.35">
      <c r="B33" s="213">
        <v>48</v>
      </c>
      <c r="C33" s="170" t="s">
        <v>161</v>
      </c>
      <c r="D33" s="170" t="s">
        <v>147</v>
      </c>
      <c r="E33" s="214">
        <v>120</v>
      </c>
      <c r="F33" s="170" t="str">
        <f t="shared" si="0"/>
        <v>Até 200 und</v>
      </c>
      <c r="G33" s="170" t="s">
        <v>1</v>
      </c>
      <c r="H33" s="215">
        <v>6</v>
      </c>
      <c r="I33" s="215">
        <v>5</v>
      </c>
      <c r="J33" s="215"/>
      <c r="K33" s="215"/>
      <c r="L33" s="215">
        <f>SUM(Tabela13[[#This Row],[QTD DE B/T 2]],Tabela13[[#This Row],[QTD DE B/T]])</f>
        <v>6</v>
      </c>
      <c r="M33" s="170">
        <v>0</v>
      </c>
      <c r="N33" s="170">
        <f>Tabela13[[#This Row],[ELEVADOR]]/Tabela13[[#This Row],[BLOCO TOTAL]]</f>
        <v>0</v>
      </c>
      <c r="O33" s="170" t="s">
        <v>6</v>
      </c>
      <c r="P33" s="170" t="s">
        <v>119</v>
      </c>
      <c r="Q33" s="170" t="s">
        <v>101</v>
      </c>
      <c r="R33" s="170" t="s">
        <v>142</v>
      </c>
      <c r="S33" s="170" t="s">
        <v>103</v>
      </c>
      <c r="T33" s="170" t="s">
        <v>104</v>
      </c>
      <c r="U33" s="170" t="s">
        <v>105</v>
      </c>
      <c r="V33" s="170" t="s">
        <v>106</v>
      </c>
      <c r="W33" s="173">
        <f>IF(P33=[1]BD_CUSTO!$E$4,[1]BD_CUSTO!$F$4,[1]BD_CUSTO!$F$5)</f>
        <v>530</v>
      </c>
      <c r="X33" s="173">
        <f>IF(Q33=[1]BD_CUSTO!$E$6,[1]BD_CUSTO!$F$6,[1]BD_CUSTO!$F$7)</f>
        <v>260</v>
      </c>
      <c r="Y33" s="173">
        <f>IF(R33=[1]BD_CUSTO!$E$8,[1]BD_CUSTO!$F$8,[1]BD_CUSTO!$F$9)</f>
        <v>900</v>
      </c>
      <c r="Z33" s="173">
        <f>IF(S33=[1]BD_CUSTO!$E$10,[1]BD_CUSTO!$F$10,[1]BD_CUSTO!$F$11)</f>
        <v>500</v>
      </c>
      <c r="AA33" s="173">
        <f>IF(T33=[1]BD_CUSTO!$E$12,[1]BD_CUSTO!$F$12,[1]BD_CUSTO!$F$13)</f>
        <v>370</v>
      </c>
      <c r="AB33" s="173">
        <f>IF(U33=[1]BD_CUSTO!$E$14,[1]BD_CUSTO!$F$14,[1]BD_CUSTO!$F$15)</f>
        <v>90</v>
      </c>
      <c r="AC33" s="173">
        <f>IF(V33=[1]BD_CUSTO!$E$16,[1]BD_CUSTO!$F$16,[1]BD_CUSTO!$F$17)</f>
        <v>720</v>
      </c>
      <c r="AD33" s="170" t="s">
        <v>110</v>
      </c>
      <c r="AE33" s="170">
        <v>1</v>
      </c>
      <c r="AF33" s="170" t="s">
        <v>107</v>
      </c>
      <c r="AG33" s="170">
        <v>1</v>
      </c>
      <c r="AH33" s="170" t="s">
        <v>109</v>
      </c>
      <c r="AI33" s="170">
        <v>1</v>
      </c>
      <c r="AJ33" s="170" t="s">
        <v>108</v>
      </c>
      <c r="AK33" s="170">
        <v>1</v>
      </c>
      <c r="AL33" s="170"/>
      <c r="AM33" s="170"/>
      <c r="AN33" s="170"/>
      <c r="AO33" s="170"/>
      <c r="AP33" s="170"/>
      <c r="AQ33" s="170"/>
      <c r="AR33" s="170"/>
      <c r="AS33" s="170"/>
      <c r="AT33" s="170"/>
      <c r="AU33" s="170"/>
      <c r="AV33" s="170"/>
      <c r="AW33" s="170"/>
      <c r="AX33" s="173">
        <f>IF(AD33="",0,VLOOKUP(AD33,[1]BD_CUSTO!I:J,2,0)*AE33/E33)</f>
        <v>44.166666666666664</v>
      </c>
      <c r="AY33" s="173">
        <f>IF(AF33="",0,VLOOKUP(AF33,[1]BD_CUSTO!I:J,2,0)*AG33/E33)</f>
        <v>709.57599999999991</v>
      </c>
      <c r="AZ33" s="173">
        <f>IF(AH33="",0,VLOOKUP(AH33,[1]BD_CUSTO!I:J,2,0)*AI33/E33)</f>
        <v>57.916666666666664</v>
      </c>
      <c r="BA33" s="173">
        <f>IF(AJ33="",0,VLOOKUP(AJ33,[1]BD_CUSTO!I:J,2,0)*AK33/E33)</f>
        <v>192.91666666666666</v>
      </c>
      <c r="BB33" s="173">
        <f>IF(AL33="",0,VLOOKUP(AL33,[1]BD_CUSTO!I:J,2,0)*AM33/E33)</f>
        <v>0</v>
      </c>
      <c r="BC33" s="173">
        <f>IF(AN33="",0,VLOOKUP(AN33,[1]BD_CUSTO!I:J,2,0)*AO33/E33)</f>
        <v>0</v>
      </c>
      <c r="BD33" s="173">
        <f>IF(AP33="",0,VLOOKUP(AP33,[1]BD_CUSTO!I:J,2,0)*AQ33/E33)</f>
        <v>0</v>
      </c>
      <c r="BE33" s="173">
        <f>IF(AR33="",0,VLOOKUP(AR33,CUSTO!I:J,2,0)*AS33/E33)</f>
        <v>0</v>
      </c>
      <c r="BF33" s="173">
        <f>IF(AT33="",0,VLOOKUP(AT33,[1]BD_CUSTO!I:J,2,0)*AU33/E33)</f>
        <v>0</v>
      </c>
      <c r="BG33" s="173">
        <f>IF(Tabela13[[#This Row],[LZ 10]]="",0,VLOOKUP(Tabela13[[#This Row],[LZ 10]],[1]BD_CUSTO!I:J,2,0)*Tabela13[[#This Row],[QTD922]]/E33)</f>
        <v>0</v>
      </c>
      <c r="BH33" s="170" t="s">
        <v>112</v>
      </c>
      <c r="BI33" s="216">
        <f>48/Tabela13[[#This Row],[Nº UNDS]]</f>
        <v>0.4</v>
      </c>
      <c r="BJ33" s="170" t="s">
        <v>113</v>
      </c>
      <c r="BK33" s="216">
        <v>0</v>
      </c>
      <c r="BL33" s="173">
        <f>IF(BH33=[1]BD_CUSTO!$M$6,[1]BD_CUSTO!$N$6)*BI33</f>
        <v>1200</v>
      </c>
      <c r="BM33" s="173">
        <f>IF(BJ33=[1]BD_CUSTO!$M$4,[1]BD_CUSTO!$N$4,[1]BD_CUSTO!$N$5)*BK33</f>
        <v>0</v>
      </c>
      <c r="BN33" s="170" t="s">
        <v>114</v>
      </c>
      <c r="BO33" s="170">
        <v>127</v>
      </c>
      <c r="BP33" s="216">
        <f>Tabela13[[#This Row],[QTD ]]/Tabela13[[#This Row],[Nº UNDS]]</f>
        <v>1.0583333333333333</v>
      </c>
      <c r="BQ33" s="170" t="s">
        <v>115</v>
      </c>
      <c r="BR33" s="170">
        <v>0</v>
      </c>
      <c r="BS33" s="170" t="s">
        <v>116</v>
      </c>
      <c r="BT33" s="170">
        <v>0</v>
      </c>
      <c r="BU33" s="170" t="s">
        <v>16</v>
      </c>
      <c r="BV33" s="170">
        <v>0</v>
      </c>
      <c r="BW33" s="173">
        <f>IF(BN33=[1]BD_CUSTO!$Q$7,[1]BD_CUSTO!$R$7,[1]BD_CUSTO!$R$8)*BO33/E33</f>
        <v>2116.6666666666665</v>
      </c>
      <c r="BX33" s="173">
        <f>IF(BQ33=[1]BD_CUSTO!$Q$4,[1]BD_CUSTO!$R$4,[1]BD_CUSTO!$R$5)*BR33/E33</f>
        <v>0</v>
      </c>
      <c r="BY33" s="170">
        <f>IF(BS33=[1]BD_CUSTO!$Q$13,[1]BD_CUSTO!$R$13,[1]BD_CUSTO!$R$14)*BT33/E33</f>
        <v>0</v>
      </c>
      <c r="BZ33" s="173">
        <f>BV33*CUSTO!$R$10/E33</f>
        <v>0</v>
      </c>
      <c r="CA33" s="169">
        <f>SUM(Tabela13[[#This Row],[SOMA_PISO SALA E QUARTO]],Tabela13[[#This Row],[SOMA_PAREDE HIDR]],Tabela13[[#This Row],[SOMA_TETO]],Tabela13[[#This Row],[SOMA_BANCADA]],Tabela13[[#This Row],[SOMA_PEDRAS]])</f>
        <v>2390</v>
      </c>
      <c r="CB33" s="213" t="str">
        <f>IF(CA33&lt;=RÉGUAS!$D$4,"ACAB 01",IF(CA33&lt;=RÉGUAS!$F$4,"ACAB 02",IF(CA33&gt;RÉGUAS!$F$4,"ACAB 03",)))</f>
        <v>ACAB 01</v>
      </c>
      <c r="CC33" s="169">
        <f>SUM(Tabela13[[#This Row],[SOMA_LZ 01]:[SOMA_LZ 10]])</f>
        <v>1004.5759999999998</v>
      </c>
      <c r="CD33" s="170" t="str">
        <f>IF(CC33&lt;=RÉGUAS!$D$13,"LZ 01",IF(CC33&lt;=RÉGUAS!$F$13,"LZ 02",IF(CC33&lt;=RÉGUAS!$H$13,"LZ 03",IF(CC33&gt;RÉGUAS!$H$13,"LZ 04",))))</f>
        <v>LZ 02</v>
      </c>
      <c r="CE33" s="171">
        <f t="shared" si="1"/>
        <v>1200</v>
      </c>
      <c r="CF33" s="170" t="str">
        <f>IF(CE33&lt;=RÉGUAS!$D$22,"TIP 01",IF(CE33&lt;=RÉGUAS!$F$22,"TIP 02",IF(CE33&gt;RÉGUAS!$F$22,"TIP 03",)))</f>
        <v>TIP 01</v>
      </c>
      <c r="CG33" s="171">
        <f t="shared" si="2"/>
        <v>2116.6666666666665</v>
      </c>
      <c r="CH33" s="170" t="str">
        <f>IF(CG33&lt;=RÉGUAS!$D$32,"VAGA 01",IF(CG33&lt;=RÉGUAS!$F$32,"VAGA 02",IF(CG33&gt;RÉGUAS!$F$32,"VAGA 03",)))</f>
        <v>VAGA 02</v>
      </c>
      <c r="CI33" s="172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33" s="172" t="str">
        <f>IF(AND(G33="BLOCO",CI33&lt;=RÉGUAS!$D$40),"ELEV 01",IF(AND(G33="BLOCO",CI33&gt;RÉGUAS!$D$40),"ELEV 02",IF(AND(G33="TORRE",CI33&lt;=RÉGUAS!$K$40),"ELEV 01",IF(AND(G33="TORRE",CI33&lt;=RÉGUAS!$M$40),"ELEV 02",IF(AND(G33="TORRE",CI33&gt;RÉGUAS!$M$40),"ELEV 03",)))))</f>
        <v>ELEV 01</v>
      </c>
      <c r="CK33" s="85">
        <f>SUM(Tabela13[[#This Row],[TOTAL  ACAB]],Tabela13[[#This Row],[TOTAL LAZER ]],Tabela13[[#This Row],[TOTAL TIPOLOGIA]],Tabela13[[#This Row],[TOTAL VAGA]],Tabela13[[#This Row],[TOTAL ELEVADOR]])</f>
        <v>6711.242666666667</v>
      </c>
      <c r="CL33" s="72" t="str">
        <f>IF(AND(G33="BLOCO",CK33&lt;=RÉGUAS!$D$50),"ESSENCIAL",IF(AND(G33="BLOCO",CK33&lt;=RÉGUAS!$F$50),"ECO",IF(AND(G33="BLOCO",CK33&gt;RÉGUAS!$F$50),"BIO",IF(AND(G33="TORRE",CK33&lt;=RÉGUAS!$K$50),"ESSENCIAL",IF(AND(G33="TORRE",CK33&lt;=RÉGUAS!$M$50),"ECO",IF(AND(G33="TORRE",CK33&gt;RÉGUAS!$M$50),"BIO",))))))</f>
        <v>ESSENCIAL</v>
      </c>
      <c r="CM33" s="28" t="str">
        <f>IF(AND(G33="BLOCO",CK33&gt;=RÉGUAS!$D$51,CK33&lt;=RÉGUAS!$D$50),"ESSENCIAL-10%",IF(AND(G33="BLOCO",CK33&gt;RÉGUAS!$D$50,CK33&lt;=RÉGUAS!$E$51),"ECO+10%",IF(AND(G33="BLOCO",CK33&gt;=RÉGUAS!$F$51,CK33&lt;=RÉGUAS!$F$50),"ECO-10%",IF(AND(G33="BLOCO",CK33&gt;RÉGUAS!$F$50,CK33&lt;=RÉGUAS!$G$51),"BIO+10%",IF(AND(G33="TORRE",CK33&gt;=RÉGUAS!$K$51,CK33&lt;=RÉGUAS!$K$50),"ESSENCIAL-10%",IF(AND(G33="TORRE",CK33&gt;RÉGUAS!$K$50,CK33&lt;=RÉGUAS!$L$51),"ECO+10%",IF(AND(G33="TORRE",CK33&gt;=RÉGUAS!$M$51,CK33&lt;=RÉGUAS!$M$50),"ECO-10%",IF(AND(G33="TORRE",CK33&gt;RÉGUAS!$M$50,CK33&lt;=RÉGUAS!$N$51),"BIO+10%","-"))))))))</f>
        <v>-</v>
      </c>
      <c r="CN33" s="73">
        <f t="shared" si="3"/>
        <v>6711.242666666667</v>
      </c>
      <c r="CO33" s="72" t="str">
        <f>IF(CN33&lt;=RÉGUAS!$D$58,"ESSENCIAL",IF(CN33&lt;=RÉGUAS!$F$58,"ECO",IF(CN33&gt;RÉGUAS!$F$58,"BIO",)))</f>
        <v>ESSENCIAL</v>
      </c>
      <c r="CP33" s="72" t="str">
        <f>IF(Tabela13[[#This Row],[INTERVALO DE INTERSEÇÃO 5D]]="-",Tabela13[[#This Row],[CLASSIFICAÇÃO 
5D ]],Tabela13[[#This Row],[CLASSIFICAÇÃO 
4D]])</f>
        <v>ESSENCIAL</v>
      </c>
      <c r="CQ33" s="72" t="str">
        <f t="shared" si="4"/>
        <v>-</v>
      </c>
      <c r="CR33" s="72" t="str">
        <f t="shared" si="5"/>
        <v>ESSENCIAL</v>
      </c>
      <c r="CS33" s="22" t="str">
        <f>IF(Tabela13[[#This Row],[PRODUTO ATUAL ]]=Tabela13[[#This Row],[CLASSIFICAÇÃO FINAL 5D]],"ADERÊNTE","NÃO ADERÊNTE")</f>
        <v>ADERÊNTE</v>
      </c>
      <c r="CT33" s="173">
        <f>SUM(Tabela13[[#This Row],[TOTAL  ACAB]],Tabela13[[#This Row],[TOTAL LAZER ]],Tabela13[[#This Row],[TOTAL TIPOLOGIA]],Tabela13[[#This Row],[TOTAL VAGA]])</f>
        <v>6711.242666666667</v>
      </c>
      <c r="CU33" s="170" t="str">
        <f>IF(CT33&lt;=RÉGUAS!$D$58,"ESSENCIAL",IF(CT33&lt;=RÉGUAS!$F$58,"ECO",IF(CT33&gt;RÉGUAS!$F$58,"BIO",)))</f>
        <v>ESSENCIAL</v>
      </c>
      <c r="CV33" s="170" t="str">
        <f>IF(AND(CT33&gt;=RÉGUAS!$D$59,CT33&lt;=RÉGUAS!$E$59),"ESSENCIAL/ECO",IF(AND(CT33&gt;=RÉGUAS!$F$59,CT33&lt;=RÉGUAS!$G$59),"ECO/BIO","-"))</f>
        <v>ESSENCIAL/ECO</v>
      </c>
      <c r="CW33" s="172">
        <f>SUM(Tabela13[[#This Row],[TOTAL LAZER ]],Tabela13[[#This Row],[TOTAL TIPOLOGIA]])</f>
        <v>2204.576</v>
      </c>
      <c r="CX33" s="170" t="str">
        <f>IF(CW33&lt;=RÉGUAS!$D$72,"ESSENCIAL",IF(CW33&lt;=RÉGUAS!$F$72,"ECO",IF(CN33&gt;RÉGUAS!$F$72,"BIO",)))</f>
        <v>ESSENCIAL</v>
      </c>
      <c r="CY33" s="170" t="str">
        <f t="shared" si="6"/>
        <v>ESSENCIAL</v>
      </c>
      <c r="CZ33" s="170" t="str">
        <f>IF(Tabela13[[#This Row],[PRODUTO ATUAL ]]=CY33,"ADERENTE","NÃO ADERENTE")</f>
        <v>ADERENTE</v>
      </c>
      <c r="DA33" s="170" t="str">
        <f>IF(Tabela13[[#This Row],[PRODUTO ATUAL ]]=Tabela13[[#This Row],[CLASSIFICAÇÃO 
4D2]],"ADERENTE","NÃO ADERENTE")</f>
        <v>ADERENTE</v>
      </c>
    </row>
    <row r="34" spans="2:105" x14ac:dyDescent="0.35">
      <c r="B34" s="27">
        <v>22</v>
      </c>
      <c r="C34" s="22" t="s">
        <v>179</v>
      </c>
      <c r="D34" s="22" t="s">
        <v>147</v>
      </c>
      <c r="E34" s="23">
        <v>224</v>
      </c>
      <c r="F34" s="22" t="str">
        <f t="shared" si="0"/>
        <v>De 200 a 400 und</v>
      </c>
      <c r="G34" s="22" t="s">
        <v>1</v>
      </c>
      <c r="H34" s="36">
        <v>13</v>
      </c>
      <c r="I34" s="36">
        <v>4</v>
      </c>
      <c r="J34" s="36"/>
      <c r="K34" s="36"/>
      <c r="L34" s="36">
        <f>SUM(Tabela13[[#This Row],[QTD DE B/T 2]],Tabela13[[#This Row],[QTD DE B/T]])</f>
        <v>13</v>
      </c>
      <c r="M34" s="22">
        <v>0</v>
      </c>
      <c r="N34" s="22">
        <f>Tabela13[[#This Row],[ELEVADOR]]/Tabela13[[#This Row],[BLOCO TOTAL]]</f>
        <v>0</v>
      </c>
      <c r="O34" s="22" t="s">
        <v>6</v>
      </c>
      <c r="P34" s="22" t="s">
        <v>101</v>
      </c>
      <c r="Q34" s="22" t="s">
        <v>101</v>
      </c>
      <c r="R34" s="22" t="s">
        <v>142</v>
      </c>
      <c r="S34" s="22" t="s">
        <v>103</v>
      </c>
      <c r="T34" s="22" t="s">
        <v>104</v>
      </c>
      <c r="U34" s="22" t="s">
        <v>105</v>
      </c>
      <c r="V34" s="22" t="s">
        <v>106</v>
      </c>
      <c r="W34" s="24">
        <f>IF(P34=[1]BD_CUSTO!$E$4,[1]BD_CUSTO!$F$4,[1]BD_CUSTO!$F$5)</f>
        <v>2430</v>
      </c>
      <c r="X34" s="24">
        <f>IF(Q34=[1]BD_CUSTO!$E$6,[1]BD_CUSTO!$F$6,[1]BD_CUSTO!$F$7)</f>
        <v>260</v>
      </c>
      <c r="Y34" s="24">
        <f>IF(R34=[1]BD_CUSTO!$E$8,[1]BD_CUSTO!$F$8,[1]BD_CUSTO!$F$9)</f>
        <v>900</v>
      </c>
      <c r="Z34" s="24">
        <f>IF(S34=[1]BD_CUSTO!$E$10,[1]BD_CUSTO!$F$10,[1]BD_CUSTO!$F$11)</f>
        <v>500</v>
      </c>
      <c r="AA34" s="24">
        <f>IF(T34=[1]BD_CUSTO!$E$12,[1]BD_CUSTO!$F$12,[1]BD_CUSTO!$F$13)</f>
        <v>370</v>
      </c>
      <c r="AB34" s="24">
        <f>IF(U34=[1]BD_CUSTO!$E$14,[1]BD_CUSTO!$F$14,[1]BD_CUSTO!$F$15)</f>
        <v>90</v>
      </c>
      <c r="AC34" s="24">
        <f>IF(V34=[1]BD_CUSTO!$E$16,[1]BD_CUSTO!$F$16,[1]BD_CUSTO!$F$17)</f>
        <v>720</v>
      </c>
      <c r="AD34" s="22" t="s">
        <v>107</v>
      </c>
      <c r="AE34" s="22">
        <v>1</v>
      </c>
      <c r="AF34" s="22" t="s">
        <v>108</v>
      </c>
      <c r="AG34" s="22">
        <v>1</v>
      </c>
      <c r="AH34" s="22" t="s">
        <v>109</v>
      </c>
      <c r="AI34" s="22">
        <v>1</v>
      </c>
      <c r="AJ34" s="22" t="s">
        <v>110</v>
      </c>
      <c r="AK34" s="22">
        <v>1</v>
      </c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4">
        <f>IF(AD34="",0,VLOOKUP(AD34,[1]BD_CUSTO!I:J,2,0)*AE34/E34)</f>
        <v>380.13</v>
      </c>
      <c r="AY34" s="24">
        <f>IF(AF34="",0,VLOOKUP(AF34,[1]BD_CUSTO!I:J,2,0)*AG34/E34)</f>
        <v>103.34821428571429</v>
      </c>
      <c r="AZ34" s="24">
        <f>IF(AH34="",0,VLOOKUP(AH34,[1]BD_CUSTO!I:J,2,0)*AI34/E34)</f>
        <v>31.026785714285715</v>
      </c>
      <c r="BA34" s="24">
        <f>IF(AJ34="",0,VLOOKUP(AJ34,[1]BD_CUSTO!I:J,2,0)*AK34/E34)</f>
        <v>23.660714285714285</v>
      </c>
      <c r="BB34" s="24">
        <f>IF(AL34="",0,VLOOKUP(AL34,[1]BD_CUSTO!I:J,2,0)*AM34/E34)</f>
        <v>0</v>
      </c>
      <c r="BC34" s="24">
        <f>IF(AN34="",0,VLOOKUP(AN34,[1]BD_CUSTO!I:J,2,0)*AO34/E34)</f>
        <v>0</v>
      </c>
      <c r="BD34" s="24">
        <f>IF(AP34="",0,VLOOKUP(AP34,[1]BD_CUSTO!I:J,2,0)*AQ34/E34)</f>
        <v>0</v>
      </c>
      <c r="BE34" s="24">
        <f>IF(AR34="",0,VLOOKUP(AR34,CUSTO!I:J,2,0)*AS34/E34)</f>
        <v>0</v>
      </c>
      <c r="BF34" s="24">
        <f>IF(AT34="",0,VLOOKUP(AT34,[1]BD_CUSTO!I:J,2,0)*AU34/E34)</f>
        <v>0</v>
      </c>
      <c r="BG34" s="24">
        <f>IF(Tabela13[[#This Row],[LZ 10]]="",0,VLOOKUP(Tabela13[[#This Row],[LZ 10]],[1]BD_CUSTO!I:J,2,0)*Tabela13[[#This Row],[QTD922]]/E34)</f>
        <v>0</v>
      </c>
      <c r="BH34" s="22" t="s">
        <v>122</v>
      </c>
      <c r="BI34" s="25">
        <v>0</v>
      </c>
      <c r="BJ34" s="22" t="s">
        <v>113</v>
      </c>
      <c r="BK34" s="25">
        <v>0</v>
      </c>
      <c r="BL34" s="24">
        <f>IF(BH34=[1]BD_CUSTO!$M$6,[1]BD_CUSTO!$N$6)*BI34</f>
        <v>0</v>
      </c>
      <c r="BM34" s="24">
        <f>IF(BJ34=[1]BD_CUSTO!$M$4,[1]BD_CUSTO!$N$4,[1]BD_CUSTO!$N$5)*BK34</f>
        <v>0</v>
      </c>
      <c r="BN34" s="22" t="s">
        <v>114</v>
      </c>
      <c r="BO34" s="22">
        <v>240</v>
      </c>
      <c r="BP34" s="25">
        <f>Tabela13[[#This Row],[QTD ]]/Tabela13[[#This Row],[Nº UNDS]]</f>
        <v>1.0714285714285714</v>
      </c>
      <c r="BQ34" s="22" t="s">
        <v>115</v>
      </c>
      <c r="BR34" s="22">
        <v>0</v>
      </c>
      <c r="BS34" s="22" t="s">
        <v>116</v>
      </c>
      <c r="BT34" s="22">
        <v>0</v>
      </c>
      <c r="BU34" s="22" t="s">
        <v>16</v>
      </c>
      <c r="BV34" s="22">
        <v>0</v>
      </c>
      <c r="BW34" s="24">
        <f>IF(BN34=[1]BD_CUSTO!$Q$7,[1]BD_CUSTO!$R$7,[1]BD_CUSTO!$R$8)*BO34/E34</f>
        <v>2142.8571428571427</v>
      </c>
      <c r="BX34" s="24">
        <f>IF(BQ34=[1]BD_CUSTO!$Q$4,[1]BD_CUSTO!$R$4,[1]BD_CUSTO!$R$5)*BR34/E34</f>
        <v>0</v>
      </c>
      <c r="BY34" s="22">
        <f>IF(BS34=[1]BD_CUSTO!$Q$13,[1]BD_CUSTO!$R$13,[1]BD_CUSTO!$R$14)*BT34/E34</f>
        <v>0</v>
      </c>
      <c r="BZ34" s="24">
        <f>BV34*CUSTO!$R$10/E34</f>
        <v>0</v>
      </c>
      <c r="CA34" s="26">
        <f>SUM(Tabela13[[#This Row],[SOMA_PISO SALA E QUARTO]],Tabela13[[#This Row],[SOMA_PAREDE HIDR]],Tabela13[[#This Row],[SOMA_TETO]],Tabela13[[#This Row],[SOMA_BANCADA]],Tabela13[[#This Row],[SOMA_PEDRAS]])</f>
        <v>4290</v>
      </c>
      <c r="CB34" s="27" t="str">
        <f>IF(CA34&lt;=RÉGUAS!$D$4,"ACAB 01",IF(CA34&lt;=RÉGUAS!$F$4,"ACAB 02",IF(CA34&gt;RÉGUAS!$F$4,"ACAB 03",)))</f>
        <v>ACAB 02</v>
      </c>
      <c r="CC34" s="26">
        <f>SUM(Tabela13[[#This Row],[SOMA_LZ 01]:[SOMA_LZ 10]])</f>
        <v>538.16571428571433</v>
      </c>
      <c r="CD34" s="22" t="str">
        <f>IF(CC34&lt;=RÉGUAS!$D$13,"LZ 01",IF(CC34&lt;=RÉGUAS!$F$13,"LZ 02",IF(CC34&lt;=RÉGUAS!$H$13,"LZ 03",IF(CC34&gt;RÉGUAS!$H$13,"LZ 04",))))</f>
        <v>LZ 01</v>
      </c>
      <c r="CE34" s="28">
        <f t="shared" si="1"/>
        <v>0</v>
      </c>
      <c r="CF34" s="22" t="str">
        <f>IF(CE34&lt;=RÉGUAS!$D$22,"TIP 01",IF(CE34&lt;=RÉGUAS!$F$22,"TIP 02",IF(CE34&gt;RÉGUAS!$F$22,"TIP 03",)))</f>
        <v>TIP 01</v>
      </c>
      <c r="CG34" s="28">
        <f t="shared" si="2"/>
        <v>2142.8571428571427</v>
      </c>
      <c r="CH34" s="22" t="str">
        <f>IF(CG34&lt;=RÉGUAS!$D$32,"VAGA 01",IF(CG34&lt;=RÉGUAS!$F$32,"VAGA 02",IF(CG34&gt;RÉGUAS!$F$32,"VAGA 03",)))</f>
        <v>VAGA 02</v>
      </c>
      <c r="CI34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34" s="85" t="str">
        <f>IF(AND(G34="BLOCO",CI34&lt;=RÉGUAS!$D$40),"ELEV 01",IF(AND(G34="BLOCO",CI34&gt;RÉGUAS!$D$40),"ELEV 02",IF(AND(G34="TORRE",CI34&lt;=RÉGUAS!$K$40),"ELEV 01",IF(AND(G34="TORRE",CI34&lt;=RÉGUAS!$M$40),"ELEV 02",IF(AND(G34="TORRE",CI34&gt;RÉGUAS!$M$40),"ELEV 03",)))))</f>
        <v>ELEV 01</v>
      </c>
      <c r="CK34" s="85">
        <f>SUM(Tabela13[[#This Row],[TOTAL  ACAB]],Tabela13[[#This Row],[TOTAL LAZER ]],Tabela13[[#This Row],[TOTAL TIPOLOGIA]],Tabela13[[#This Row],[TOTAL VAGA]],Tabela13[[#This Row],[TOTAL ELEVADOR]])</f>
        <v>6971.0228571428579</v>
      </c>
      <c r="CL34" s="72" t="str">
        <f>IF(AND(G34="BLOCO",CK34&lt;=RÉGUAS!$D$50),"ESSENCIAL",IF(AND(G34="BLOCO",CK34&lt;=RÉGUAS!$F$50),"ECO",IF(AND(G34="BLOCO",CK34&gt;RÉGUAS!$F$50),"BIO",IF(AND(G34="TORRE",CK34&lt;=RÉGUAS!$K$50),"ESSENCIAL",IF(AND(G34="TORRE",CK34&lt;=RÉGUAS!$M$50),"ECO",IF(AND(G34="TORRE",CK34&gt;RÉGUAS!$M$50),"BIO",))))))</f>
        <v>ESSENCIAL</v>
      </c>
      <c r="CM34" s="28" t="str">
        <f>IF(AND(G34="BLOCO",CK34&gt;=RÉGUAS!$D$51,CK34&lt;=RÉGUAS!$D$50),"ESSENCIAL-10%",IF(AND(G34="BLOCO",CK34&gt;RÉGUAS!$D$50,CK34&lt;=RÉGUAS!$E$51),"ECO+10%",IF(AND(G34="BLOCO",CK34&gt;=RÉGUAS!$F$51,CK34&lt;=RÉGUAS!$F$50),"ECO-10%",IF(AND(G34="BLOCO",CK34&gt;RÉGUAS!$F$50,CK34&lt;=RÉGUAS!$G$51),"BIO+10%",IF(AND(G34="TORRE",CK34&gt;=RÉGUAS!$K$51,CK34&lt;=RÉGUAS!$K$50),"ESSENCIAL-10%",IF(AND(G34="TORRE",CK34&gt;RÉGUAS!$K$50,CK34&lt;=RÉGUAS!$L$51),"ECO+10%",IF(AND(G34="TORRE",CK34&gt;=RÉGUAS!$M$51,CK34&lt;=RÉGUAS!$M$50),"ECO-10%",IF(AND(G34="TORRE",CK34&gt;RÉGUAS!$M$50,CK34&lt;=RÉGUAS!$N$51),"BIO+10%","-"))))))))</f>
        <v>-</v>
      </c>
      <c r="CN34" s="73">
        <f t="shared" si="3"/>
        <v>6971.0228571428579</v>
      </c>
      <c r="CO34" s="72" t="str">
        <f>IF(CN34&lt;=RÉGUAS!$D$58,"ESSENCIAL",IF(CN34&lt;=RÉGUAS!$F$58,"ECO",IF(CN34&gt;RÉGUAS!$F$58,"BIO",)))</f>
        <v>ECO</v>
      </c>
      <c r="CP34" s="72" t="str">
        <f>IF(Tabela13[[#This Row],[INTERVALO DE INTERSEÇÃO 5D]]="-",Tabela13[[#This Row],[CLASSIFICAÇÃO 
5D ]],Tabela13[[#This Row],[CLASSIFICAÇÃO 
4D]])</f>
        <v>ESSENCIAL</v>
      </c>
      <c r="CQ34" s="72" t="str">
        <f t="shared" si="4"/>
        <v>-</v>
      </c>
      <c r="CR34" s="72" t="str">
        <f t="shared" si="5"/>
        <v>ESSENCIAL</v>
      </c>
      <c r="CS34" s="22" t="str">
        <f>IF(Tabela13[[#This Row],[PRODUTO ATUAL ]]=Tabela13[[#This Row],[CLASSIFICAÇÃO FINAL 5D]],"ADERÊNTE","NÃO ADERÊNTE")</f>
        <v>ADERÊNTE</v>
      </c>
      <c r="CT34" s="24">
        <f>SUM(Tabela13[[#This Row],[TOTAL  ACAB]],Tabela13[[#This Row],[TOTAL LAZER ]],Tabela13[[#This Row],[TOTAL TIPOLOGIA]],Tabela13[[#This Row],[TOTAL VAGA]])</f>
        <v>6971.0228571428579</v>
      </c>
      <c r="CU34" s="22" t="str">
        <f>IF(CT34&lt;=RÉGUAS!$D$58,"ESSENCIAL",IF(CT34&lt;=RÉGUAS!$F$58,"ECO",IF(CT34&gt;RÉGUAS!$F$58,"BIO",)))</f>
        <v>ECO</v>
      </c>
      <c r="CV34" s="22" t="str">
        <f>IF(AND(CT34&gt;=RÉGUAS!$D$59,CT34&lt;=RÉGUAS!$E$59),"ESSENCIAL/ECO",IF(AND(CT34&gt;=RÉGUAS!$F$59,CT34&lt;=RÉGUAS!$G$59),"ECO/BIO","-"))</f>
        <v>ESSENCIAL/ECO</v>
      </c>
      <c r="CW34" s="85">
        <f>SUM(Tabela13[[#This Row],[TOTAL LAZER ]],Tabela13[[#This Row],[TOTAL TIPOLOGIA]])</f>
        <v>538.16571428571433</v>
      </c>
      <c r="CX34" s="22" t="str">
        <f>IF(CW34&lt;=RÉGUAS!$D$72,"ESSENCIAL",IF(CW34&lt;=RÉGUAS!$F$72,"ECO",IF(CN34&gt;RÉGUAS!$F$72,"BIO",)))</f>
        <v>ESSENCIAL</v>
      </c>
      <c r="CY34" s="22" t="str">
        <f t="shared" si="6"/>
        <v>ESSENCIAL</v>
      </c>
      <c r="CZ34" s="22" t="str">
        <f>IF(Tabela13[[#This Row],[PRODUTO ATUAL ]]=CY34,"ADERENTE","NÃO ADERENTE")</f>
        <v>ADERENTE</v>
      </c>
      <c r="DA34" s="22" t="str">
        <f>IF(Tabela13[[#This Row],[PRODUTO ATUAL ]]=Tabela13[[#This Row],[CLASSIFICAÇÃO 
4D2]],"ADERENTE","NÃO ADERENTE")</f>
        <v>NÃO ADERENTE</v>
      </c>
    </row>
    <row r="35" spans="2:105" x14ac:dyDescent="0.35">
      <c r="B35" s="27">
        <v>12</v>
      </c>
      <c r="C35" s="22" t="s">
        <v>170</v>
      </c>
      <c r="D35" s="22" t="s">
        <v>100</v>
      </c>
      <c r="E35" s="23">
        <v>384</v>
      </c>
      <c r="F35" s="22" t="str">
        <f t="shared" si="0"/>
        <v>De 200 a 400 und</v>
      </c>
      <c r="G35" s="22" t="s">
        <v>1</v>
      </c>
      <c r="H35" s="36">
        <v>24</v>
      </c>
      <c r="I35" s="36">
        <v>4</v>
      </c>
      <c r="J35" s="36"/>
      <c r="K35" s="36"/>
      <c r="L35" s="36">
        <f>SUM(Tabela13[[#This Row],[QTD DE B/T 2]],Tabela13[[#This Row],[QTD DE B/T]])</f>
        <v>24</v>
      </c>
      <c r="M35" s="22">
        <v>0</v>
      </c>
      <c r="N35" s="22">
        <f>Tabela13[[#This Row],[ELEVADOR]]/Tabela13[[#This Row],[BLOCO TOTAL]]</f>
        <v>0</v>
      </c>
      <c r="O35" s="22" t="s">
        <v>6</v>
      </c>
      <c r="P35" s="22" t="s">
        <v>101</v>
      </c>
      <c r="Q35" s="22" t="s">
        <v>101</v>
      </c>
      <c r="R35" s="22" t="s">
        <v>102</v>
      </c>
      <c r="S35" s="22" t="s">
        <v>103</v>
      </c>
      <c r="T35" s="22" t="s">
        <v>104</v>
      </c>
      <c r="U35" s="22" t="s">
        <v>105</v>
      </c>
      <c r="V35" s="22" t="s">
        <v>106</v>
      </c>
      <c r="W35" s="24">
        <f>IF(P35=[1]BD_CUSTO!$E$4,[1]BD_CUSTO!$F$4,[1]BD_CUSTO!$F$5)</f>
        <v>2430</v>
      </c>
      <c r="X35" s="24">
        <f>IF(Q35=[1]BD_CUSTO!$E$6,[1]BD_CUSTO!$F$6,[1]BD_CUSTO!$F$7)</f>
        <v>260</v>
      </c>
      <c r="Y35" s="24">
        <f>IF(R35=[1]BD_CUSTO!$E$8,[1]BD_CUSTO!$F$8,[1]BD_CUSTO!$F$9)</f>
        <v>600</v>
      </c>
      <c r="Z35" s="24">
        <f>IF(S35=[1]BD_CUSTO!$E$10,[1]BD_CUSTO!$F$10,[1]BD_CUSTO!$F$11)</f>
        <v>500</v>
      </c>
      <c r="AA35" s="24">
        <f>IF(T35=[1]BD_CUSTO!$E$12,[1]BD_CUSTO!$F$12,[1]BD_CUSTO!$F$13)</f>
        <v>370</v>
      </c>
      <c r="AB35" s="24">
        <f>IF(U35=[1]BD_CUSTO!$E$14,[1]BD_CUSTO!$F$14,[1]BD_CUSTO!$F$15)</f>
        <v>90</v>
      </c>
      <c r="AC35" s="24">
        <f>IF(V35=[1]BD_CUSTO!$E$16,[1]BD_CUSTO!$F$16,[1]BD_CUSTO!$F$17)</f>
        <v>720</v>
      </c>
      <c r="AD35" s="22" t="s">
        <v>107</v>
      </c>
      <c r="AE35" s="22">
        <v>2</v>
      </c>
      <c r="AF35" s="22" t="s">
        <v>110</v>
      </c>
      <c r="AG35" s="22">
        <v>1</v>
      </c>
      <c r="AH35" s="22" t="s">
        <v>111</v>
      </c>
      <c r="AI35" s="22">
        <v>1</v>
      </c>
      <c r="AJ35" s="22" t="s">
        <v>108</v>
      </c>
      <c r="AK35" s="22">
        <v>1</v>
      </c>
      <c r="AL35" s="22" t="s">
        <v>135</v>
      </c>
      <c r="AM35" s="22">
        <v>1</v>
      </c>
      <c r="AN35" s="22" t="s">
        <v>109</v>
      </c>
      <c r="AO35" s="22">
        <v>1</v>
      </c>
      <c r="AP35" s="22"/>
      <c r="AQ35" s="22"/>
      <c r="AR35" s="22"/>
      <c r="AS35" s="22"/>
      <c r="AT35" s="22"/>
      <c r="AU35" s="22"/>
      <c r="AV35" s="22"/>
      <c r="AW35" s="22"/>
      <c r="AX35" s="24">
        <f>IF(AD35="",0,VLOOKUP(AD35,[1]BD_CUSTO!I:J,2,0)*AE35/E35)</f>
        <v>443.48499999999996</v>
      </c>
      <c r="AY35" s="24">
        <f>IF(AF35="",0,VLOOKUP(AF35,[1]BD_CUSTO!I:J,2,0)*AG35/E35)</f>
        <v>13.802083333333334</v>
      </c>
      <c r="AZ35" s="24">
        <f>IF(AH35="",0,VLOOKUP(AH35,[1]BD_CUSTO!I:J,2,0)*AI35/E35)</f>
        <v>42.1875</v>
      </c>
      <c r="BA35" s="24">
        <f>IF(AJ35="",0,VLOOKUP(AJ35,[1]BD_CUSTO!I:J,2,0)*AK35/E35)</f>
        <v>60.286458333333336</v>
      </c>
      <c r="BB35" s="24">
        <f>IF(AL35="",0,VLOOKUP(AL35,[1]BD_CUSTO!I:J,2,0)*AM35/E35)</f>
        <v>328.30374999999998</v>
      </c>
      <c r="BC35" s="24">
        <f>IF(AN35="",0,VLOOKUP(AN35,[1]BD_CUSTO!I:J,2,0)*AO35/E35)</f>
        <v>18.098958333333332</v>
      </c>
      <c r="BD35" s="24">
        <f>IF(AP35="",0,VLOOKUP(AP35,[1]BD_CUSTO!I:J,2,0)*AQ35/E35)</f>
        <v>0</v>
      </c>
      <c r="BE35" s="24">
        <f>IF(AR35="",0,VLOOKUP(AR35,CUSTO!I:J,2,0)*AS35/E35)</f>
        <v>0</v>
      </c>
      <c r="BF35" s="24">
        <f>IF(AT35="",0,VLOOKUP(AT35,[1]BD_CUSTO!I:J,2,0)*AU35/E35)</f>
        <v>0</v>
      </c>
      <c r="BG35" s="24">
        <f>IF(Tabela13[[#This Row],[LZ 10]]="",0,VLOOKUP(Tabela13[[#This Row],[LZ 10]],[1]BD_CUSTO!I:J,2,0)*Tabela13[[#This Row],[QTD922]]/E35)</f>
        <v>0</v>
      </c>
      <c r="BH35" s="22" t="s">
        <v>122</v>
      </c>
      <c r="BI35" s="25">
        <v>0</v>
      </c>
      <c r="BJ35" s="22" t="s">
        <v>113</v>
      </c>
      <c r="BK35" s="25">
        <v>0</v>
      </c>
      <c r="BL35" s="24">
        <f>IF(BH35=[1]BD_CUSTO!$M$6,[1]BD_CUSTO!$N$6)*BI35</f>
        <v>0</v>
      </c>
      <c r="BM35" s="24">
        <f>IF(BJ35=[1]BD_CUSTO!$M$4,[1]BD_CUSTO!$N$4,[1]BD_CUSTO!$N$5)*BK35</f>
        <v>0</v>
      </c>
      <c r="BN35" s="22" t="s">
        <v>114</v>
      </c>
      <c r="BO35" s="22">
        <v>439</v>
      </c>
      <c r="BP35" s="25">
        <f>Tabela13[[#This Row],[QTD ]]/Tabela13[[#This Row],[Nº UNDS]]</f>
        <v>1.1432291666666667</v>
      </c>
      <c r="BQ35" s="22" t="s">
        <v>115</v>
      </c>
      <c r="BR35" s="22">
        <v>0</v>
      </c>
      <c r="BS35" s="22" t="s">
        <v>116</v>
      </c>
      <c r="BT35" s="22">
        <v>0</v>
      </c>
      <c r="BU35" s="22" t="s">
        <v>16</v>
      </c>
      <c r="BV35" s="22">
        <v>0</v>
      </c>
      <c r="BW35" s="24">
        <f>IF(BN35=[1]BD_CUSTO!$Q$7,[1]BD_CUSTO!$R$7,[1]BD_CUSTO!$R$8)*BO35/E35</f>
        <v>2286.4583333333335</v>
      </c>
      <c r="BX35" s="24">
        <f>IF(BQ35=[1]BD_CUSTO!$Q$4,[1]BD_CUSTO!$R$4,[1]BD_CUSTO!$R$5)*BR35/E35</f>
        <v>0</v>
      </c>
      <c r="BY35" s="22">
        <f>IF(BS35=[1]BD_CUSTO!$Q$13,[1]BD_CUSTO!$R$13,[1]BD_CUSTO!$R$14)*BT35/E35</f>
        <v>0</v>
      </c>
      <c r="BZ35" s="24">
        <f>BV35*CUSTO!$R$10/E35</f>
        <v>0</v>
      </c>
      <c r="CA35" s="26">
        <f>SUM(Tabela13[[#This Row],[SOMA_PISO SALA E QUARTO]],Tabela13[[#This Row],[SOMA_PAREDE HIDR]],Tabela13[[#This Row],[SOMA_TETO]],Tabela13[[#This Row],[SOMA_BANCADA]],Tabela13[[#This Row],[SOMA_PEDRAS]])</f>
        <v>3990</v>
      </c>
      <c r="CB35" s="27" t="str">
        <f>IF(CA35&lt;=RÉGUAS!$D$4,"ACAB 01",IF(CA35&lt;=RÉGUAS!$F$4,"ACAB 02",IF(CA35&gt;RÉGUAS!$F$4,"ACAB 03",)))</f>
        <v>ACAB 02</v>
      </c>
      <c r="CC35" s="26">
        <f>SUM(Tabela13[[#This Row],[SOMA_LZ 01]:[SOMA_LZ 10]])</f>
        <v>906.16375000000005</v>
      </c>
      <c r="CD35" s="22" t="str">
        <f>IF(CC35&lt;=RÉGUAS!$D$13,"LZ 01",IF(CC35&lt;=RÉGUAS!$F$13,"LZ 02",IF(CC35&lt;=RÉGUAS!$H$13,"LZ 03",IF(CC35&gt;RÉGUAS!$H$13,"LZ 04",))))</f>
        <v>LZ 02</v>
      </c>
      <c r="CE35" s="28">
        <f t="shared" si="1"/>
        <v>0</v>
      </c>
      <c r="CF35" s="22" t="str">
        <f>IF(CE35&lt;=RÉGUAS!$D$22,"TIP 01",IF(CE35&lt;=RÉGUAS!$F$22,"TIP 02",IF(CE35&gt;RÉGUAS!$F$22,"TIP 03",)))</f>
        <v>TIP 01</v>
      </c>
      <c r="CG35" s="28">
        <f t="shared" si="2"/>
        <v>2286.4583333333335</v>
      </c>
      <c r="CH35" s="22" t="str">
        <f>IF(CG35&lt;=RÉGUAS!$D$32,"VAGA 01",IF(CG35&lt;=RÉGUAS!$F$32,"VAGA 02",IF(CG35&gt;RÉGUAS!$F$32,"VAGA 03",)))</f>
        <v>VAGA 02</v>
      </c>
      <c r="CI35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35" s="85" t="str">
        <f>IF(AND(G35="BLOCO",CI35&lt;=RÉGUAS!$D$40),"ELEV 01",IF(AND(G35="BLOCO",CI35&gt;RÉGUAS!$D$40),"ELEV 02",IF(AND(G35="TORRE",CI35&lt;=RÉGUAS!$K$40),"ELEV 01",IF(AND(G35="TORRE",CI35&lt;=RÉGUAS!$M$40),"ELEV 02",IF(AND(G35="TORRE",CI35&gt;RÉGUAS!$M$40),"ELEV 03",)))))</f>
        <v>ELEV 01</v>
      </c>
      <c r="CK35" s="85">
        <f>SUM(Tabela13[[#This Row],[TOTAL  ACAB]],Tabela13[[#This Row],[TOTAL LAZER ]],Tabela13[[#This Row],[TOTAL TIPOLOGIA]],Tabela13[[#This Row],[TOTAL VAGA]],Tabela13[[#This Row],[TOTAL ELEVADOR]])</f>
        <v>7182.6220833333336</v>
      </c>
      <c r="CL35" s="72" t="str">
        <f>IF(AND(G35="BLOCO",CK35&lt;=RÉGUAS!$D$50),"ESSENCIAL",IF(AND(G35="BLOCO",CK35&lt;=RÉGUAS!$F$50),"ECO",IF(AND(G35="BLOCO",CK35&gt;RÉGUAS!$F$50),"BIO",IF(AND(G35="TORRE",CK35&lt;=RÉGUAS!$K$50),"ESSENCIAL",IF(AND(G35="TORRE",CK35&lt;=RÉGUAS!$M$50),"ECO",IF(AND(G35="TORRE",CK35&gt;RÉGUAS!$M$50),"BIO",))))))</f>
        <v>ESSENCIAL</v>
      </c>
      <c r="CM35" s="28" t="str">
        <f>IF(AND(G35="BLOCO",CK35&gt;=RÉGUAS!$D$51,CK35&lt;=RÉGUAS!$D$50),"ESSENCIAL-10%",IF(AND(G35="BLOCO",CK35&gt;RÉGUAS!$D$50,CK35&lt;=RÉGUAS!$E$51),"ECO+10%",IF(AND(G35="BLOCO",CK35&gt;=RÉGUAS!$F$51,CK35&lt;=RÉGUAS!$F$50),"ECO-10%",IF(AND(G35="BLOCO",CK35&gt;RÉGUAS!$F$50,CK35&lt;=RÉGUAS!$G$51),"BIO+10%",IF(AND(G35="TORRE",CK35&gt;=RÉGUAS!$K$51,CK35&lt;=RÉGUAS!$K$50),"ESSENCIAL-10%",IF(AND(G35="TORRE",CK35&gt;RÉGUAS!$K$50,CK35&lt;=RÉGUAS!$L$51),"ECO+10%",IF(AND(G35="TORRE",CK35&gt;=RÉGUAS!$M$51,CK35&lt;=RÉGUAS!$M$50),"ECO-10%",IF(AND(G35="TORRE",CK35&gt;RÉGUAS!$M$50,CK35&lt;=RÉGUAS!$N$51),"BIO+10%","-"))))))))</f>
        <v>-</v>
      </c>
      <c r="CN35" s="73">
        <f t="shared" si="3"/>
        <v>7182.6220833333336</v>
      </c>
      <c r="CO35" s="72" t="str">
        <f>IF(CN35&lt;=RÉGUAS!$D$58,"ESSENCIAL",IF(CN35&lt;=RÉGUAS!$F$58,"ECO",IF(CN35&gt;RÉGUAS!$F$58,"BIO",)))</f>
        <v>ECO</v>
      </c>
      <c r="CP35" s="72" t="str">
        <f>IF(Tabela13[[#This Row],[INTERVALO DE INTERSEÇÃO 5D]]="-",Tabela13[[#This Row],[CLASSIFICAÇÃO 
5D ]],Tabela13[[#This Row],[CLASSIFICAÇÃO 
4D]])</f>
        <v>ESSENCIAL</v>
      </c>
      <c r="CQ35" s="72" t="str">
        <f t="shared" si="4"/>
        <v>-</v>
      </c>
      <c r="CR35" s="72" t="str">
        <f t="shared" si="5"/>
        <v>ESSENCIAL</v>
      </c>
      <c r="CS35" s="22" t="str">
        <f>IF(Tabela13[[#This Row],[PRODUTO ATUAL ]]=Tabela13[[#This Row],[CLASSIFICAÇÃO FINAL 5D]],"ADERÊNTE","NÃO ADERÊNTE")</f>
        <v>ADERÊNTE</v>
      </c>
      <c r="CT35" s="24">
        <f>SUM(Tabela13[[#This Row],[TOTAL  ACAB]],Tabela13[[#This Row],[TOTAL LAZER ]],Tabela13[[#This Row],[TOTAL TIPOLOGIA]],Tabela13[[#This Row],[TOTAL VAGA]])</f>
        <v>7182.6220833333336</v>
      </c>
      <c r="CU35" s="22" t="str">
        <f>IF(CT35&lt;=RÉGUAS!$D$58,"ESSENCIAL",IF(CT35&lt;=RÉGUAS!$F$58,"ECO",IF(CT35&gt;RÉGUAS!$F$58,"BIO",)))</f>
        <v>ECO</v>
      </c>
      <c r="CV35" s="22" t="str">
        <f>IF(AND(CT35&gt;=RÉGUAS!$D$59,CT35&lt;=RÉGUAS!$E$59),"ESSENCIAL/ECO",IF(AND(CT35&gt;=RÉGUAS!$F$59,CT35&lt;=RÉGUAS!$G$59),"ECO/BIO","-"))</f>
        <v>ESSENCIAL/ECO</v>
      </c>
      <c r="CW35" s="85">
        <f>SUM(Tabela13[[#This Row],[TOTAL LAZER ]],Tabela13[[#This Row],[TOTAL TIPOLOGIA]])</f>
        <v>906.16375000000005</v>
      </c>
      <c r="CX35" s="22" t="str">
        <f>IF(CW35&lt;=RÉGUAS!$D$72,"ESSENCIAL",IF(CW35&lt;=RÉGUAS!$F$72,"ECO",IF(CN35&gt;RÉGUAS!$F$72,"BIO",)))</f>
        <v>ESSENCIAL</v>
      </c>
      <c r="CY35" s="22" t="str">
        <f t="shared" si="6"/>
        <v>ESSENCIAL</v>
      </c>
      <c r="CZ35" s="22" t="str">
        <f>IF(Tabela13[[#This Row],[PRODUTO ATUAL ]]=CY35,"ADERENTE","NÃO ADERENTE")</f>
        <v>ADERENTE</v>
      </c>
      <c r="DA35" s="22" t="str">
        <f>IF(Tabela13[[#This Row],[PRODUTO ATUAL ]]=Tabela13[[#This Row],[CLASSIFICAÇÃO 
4D2]],"ADERENTE","NÃO ADERENTE")</f>
        <v>NÃO ADERENTE</v>
      </c>
    </row>
    <row r="36" spans="2:105" hidden="1" x14ac:dyDescent="0.35">
      <c r="B36" s="27">
        <v>21</v>
      </c>
      <c r="C36" s="22" t="s">
        <v>148</v>
      </c>
      <c r="D36" s="22" t="s">
        <v>131</v>
      </c>
      <c r="E36" s="23">
        <v>160</v>
      </c>
      <c r="F36" s="22" t="str">
        <f t="shared" si="0"/>
        <v>Até 200 und</v>
      </c>
      <c r="G36" s="133" t="s">
        <v>1</v>
      </c>
      <c r="H36" s="135">
        <v>8</v>
      </c>
      <c r="I36" s="135">
        <v>5</v>
      </c>
      <c r="J36" s="36"/>
      <c r="K36" s="36"/>
      <c r="L36" s="36">
        <f>SUM(Tabela13[[#This Row],[QTD DE B/T 2]],Tabela13[[#This Row],[QTD DE B/T]])</f>
        <v>8</v>
      </c>
      <c r="M36" s="22">
        <v>0</v>
      </c>
      <c r="N36" s="22">
        <f>Tabela13[[#This Row],[ELEVADOR]]/Tabela13[[#This Row],[BLOCO TOTAL]]</f>
        <v>0</v>
      </c>
      <c r="O36" s="22" t="s">
        <v>6</v>
      </c>
      <c r="P36" s="22" t="s">
        <v>119</v>
      </c>
      <c r="Q36" s="22" t="s">
        <v>101</v>
      </c>
      <c r="R36" s="22" t="s">
        <v>142</v>
      </c>
      <c r="S36" s="22" t="s">
        <v>103</v>
      </c>
      <c r="T36" s="22" t="s">
        <v>104</v>
      </c>
      <c r="U36" s="22" t="s">
        <v>105</v>
      </c>
      <c r="V36" s="22" t="s">
        <v>106</v>
      </c>
      <c r="W36" s="24">
        <f>IF(P36=[1]BD_CUSTO!$E$4,[1]BD_CUSTO!$F$4,[1]BD_CUSTO!$F$5)</f>
        <v>530</v>
      </c>
      <c r="X36" s="24">
        <f>IF(Q36=[1]BD_CUSTO!$E$6,[1]BD_CUSTO!$F$6,[1]BD_CUSTO!$F$7)</f>
        <v>260</v>
      </c>
      <c r="Y36" s="24">
        <f>IF(R36=[1]BD_CUSTO!$E$8,[1]BD_CUSTO!$F$8,[1]BD_CUSTO!$F$9)</f>
        <v>900</v>
      </c>
      <c r="Z36" s="24">
        <f>IF(S36=[1]BD_CUSTO!$E$10,[1]BD_CUSTO!$F$10,[1]BD_CUSTO!$F$11)</f>
        <v>500</v>
      </c>
      <c r="AA36" s="24">
        <f>IF(T36=[1]BD_CUSTO!$E$12,[1]BD_CUSTO!$F$12,[1]BD_CUSTO!$F$13)</f>
        <v>370</v>
      </c>
      <c r="AB36" s="24">
        <f>IF(U36=[1]BD_CUSTO!$E$14,[1]BD_CUSTO!$F$14,[1]BD_CUSTO!$F$15)</f>
        <v>90</v>
      </c>
      <c r="AC36" s="24">
        <f>IF(V36=[1]BD_CUSTO!$E$16,[1]BD_CUSTO!$F$16,[1]BD_CUSTO!$F$17)</f>
        <v>720</v>
      </c>
      <c r="AD36" s="133" t="s">
        <v>110</v>
      </c>
      <c r="AE36" s="133">
        <v>1</v>
      </c>
      <c r="AF36" s="133" t="s">
        <v>108</v>
      </c>
      <c r="AG36" s="133">
        <v>1</v>
      </c>
      <c r="AH36" s="133" t="s">
        <v>107</v>
      </c>
      <c r="AI36" s="133">
        <v>1</v>
      </c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4">
        <f>IF(AD36="",0,VLOOKUP(AD36,[1]BD_CUSTO!I:J,2,0)*AE36/E36)</f>
        <v>33.125</v>
      </c>
      <c r="AY36" s="24">
        <f>IF(AF36="",0,VLOOKUP(AF36,[1]BD_CUSTO!I:J,2,0)*AG36/E36)</f>
        <v>144.6875</v>
      </c>
      <c r="AZ36" s="24">
        <f>IF(AH36="",0,VLOOKUP(AH36,[1]BD_CUSTO!I:J,2,0)*AI36/E36)</f>
        <v>532.18200000000002</v>
      </c>
      <c r="BA36" s="24">
        <f>IF(AJ36="",0,VLOOKUP(AJ36,[1]BD_CUSTO!I:J,2,0)*AK36/E36)</f>
        <v>0</v>
      </c>
      <c r="BB36" s="24">
        <f>IF(AL36="",0,VLOOKUP(AL36,[1]BD_CUSTO!I:J,2,0)*AM36/E36)</f>
        <v>0</v>
      </c>
      <c r="BC36" s="24">
        <f>IF(AN36="",0,VLOOKUP(AN36,[1]BD_CUSTO!I:J,2,0)*AO36/E36)</f>
        <v>0</v>
      </c>
      <c r="BD36" s="24">
        <f>IF(AP36="",0,VLOOKUP(AP36,[1]BD_CUSTO!I:J,2,0)*AQ36/E36)</f>
        <v>0</v>
      </c>
      <c r="BE36" s="24">
        <f>IF(AR36="",0,VLOOKUP(AR36,CUSTO!I:J,2,0)*AS36/E36)</f>
        <v>0</v>
      </c>
      <c r="BF36" s="24">
        <f>IF(AT36="",0,VLOOKUP(AT36,[1]BD_CUSTO!I:J,2,0)*AU36/E36)</f>
        <v>0</v>
      </c>
      <c r="BG36" s="24">
        <f>IF(Tabela13[[#This Row],[LZ 10]]="",0,VLOOKUP(Tabela13[[#This Row],[LZ 10]],[1]BD_CUSTO!I:J,2,0)*Tabela13[[#This Row],[QTD922]]/E36)</f>
        <v>0</v>
      </c>
      <c r="BH36" s="133" t="s">
        <v>122</v>
      </c>
      <c r="BI36" s="136">
        <v>0</v>
      </c>
      <c r="BJ36" s="133" t="s">
        <v>113</v>
      </c>
      <c r="BK36" s="136">
        <v>0</v>
      </c>
      <c r="BL36" s="24">
        <f>IF(BH36=[1]BD_CUSTO!$M$6,[1]BD_CUSTO!$N$6)*BI36</f>
        <v>0</v>
      </c>
      <c r="BM36" s="24">
        <f>IF(BJ36=[1]BD_CUSTO!$M$4,[1]BD_CUSTO!$N$4,[1]BD_CUSTO!$N$5)*BK36</f>
        <v>0</v>
      </c>
      <c r="BN36" s="22" t="s">
        <v>114</v>
      </c>
      <c r="BO36" s="22">
        <v>110</v>
      </c>
      <c r="BP36" s="25">
        <f>Tabela13[[#This Row],[QTD ]]/Tabela13[[#This Row],[Nº UNDS]]</f>
        <v>0.6875</v>
      </c>
      <c r="BQ36" s="133" t="s">
        <v>115</v>
      </c>
      <c r="BR36" s="133">
        <v>0</v>
      </c>
      <c r="BS36" s="22" t="s">
        <v>116</v>
      </c>
      <c r="BT36" s="22">
        <v>0</v>
      </c>
      <c r="BU36" s="22" t="s">
        <v>16</v>
      </c>
      <c r="BV36" s="22">
        <v>0</v>
      </c>
      <c r="BW36" s="24">
        <f>IF(BN36=[1]BD_CUSTO!$Q$7,[1]BD_CUSTO!$R$7,[1]BD_CUSTO!$R$8)*BO36/E36</f>
        <v>1375</v>
      </c>
      <c r="BX36" s="24">
        <f>IF(BQ36=[1]BD_CUSTO!$Q$4,[1]BD_CUSTO!$R$4,[1]BD_CUSTO!$R$5)*BR36/E36</f>
        <v>0</v>
      </c>
      <c r="BY36" s="22">
        <f>IF(BS36=[1]BD_CUSTO!$Q$13,[1]BD_CUSTO!$R$13,[1]BD_CUSTO!$R$14)*BT36/E36</f>
        <v>0</v>
      </c>
      <c r="BZ36" s="24">
        <f>BV36*CUSTO!$R$10/E36</f>
        <v>0</v>
      </c>
      <c r="CA36" s="26">
        <f>SUM(Tabela13[[#This Row],[SOMA_PISO SALA E QUARTO]],Tabela13[[#This Row],[SOMA_PAREDE HIDR]],Tabela13[[#This Row],[SOMA_TETO]],Tabela13[[#This Row],[SOMA_BANCADA]],Tabela13[[#This Row],[SOMA_PEDRAS]])</f>
        <v>2390</v>
      </c>
      <c r="CB36" s="27" t="str">
        <f>IF(CA36&lt;=RÉGUAS!$D$4,"ACAB 01",IF(CA36&lt;=RÉGUAS!$F$4,"ACAB 02",IF(CA36&gt;RÉGUAS!$F$4,"ACAB 03",)))</f>
        <v>ACAB 01</v>
      </c>
      <c r="CC36" s="26">
        <f>SUM(Tabela13[[#This Row],[SOMA_LZ 01]:[SOMA_LZ 10]])</f>
        <v>709.99450000000002</v>
      </c>
      <c r="CD36" s="22" t="str">
        <f>IF(CC36&lt;=RÉGUAS!$D$13,"LZ 01",IF(CC36&lt;=RÉGUAS!$F$13,"LZ 02",IF(CC36&lt;=RÉGUAS!$H$13,"LZ 03",IF(CC36&gt;RÉGUAS!$H$13,"LZ 04",))))</f>
        <v>LZ 01</v>
      </c>
      <c r="CE36" s="28">
        <f t="shared" si="1"/>
        <v>0</v>
      </c>
      <c r="CF36" s="22" t="str">
        <f>IF(CE36&lt;=RÉGUAS!$D$22,"TIP 01",IF(CE36&lt;=RÉGUAS!$F$22,"TIP 02",IF(CE36&gt;RÉGUAS!$F$22,"TIP 03",)))</f>
        <v>TIP 01</v>
      </c>
      <c r="CG36" s="28">
        <f t="shared" si="2"/>
        <v>1375</v>
      </c>
      <c r="CH36" s="22" t="str">
        <f>IF(CG36&lt;=RÉGUAS!$D$32,"VAGA 01",IF(CG36&lt;=RÉGUAS!$F$32,"VAGA 02",IF(CG36&gt;RÉGUAS!$F$32,"VAGA 03",)))</f>
        <v>VAGA 02</v>
      </c>
      <c r="CI36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36" s="85" t="str">
        <f>IF(AND(G36="BLOCO",CI36&lt;=RÉGUAS!$D$40),"ELEV 01",IF(AND(G36="BLOCO",CI36&gt;RÉGUAS!$D$40),"ELEV 02",IF(AND(G36="TORRE",CI36&lt;=RÉGUAS!$K$40),"ELEV 01",IF(AND(G36="TORRE",CI36&lt;=RÉGUAS!$M$40),"ELEV 02",IF(AND(G36="TORRE",CI36&gt;RÉGUAS!$M$40),"ELEV 03",)))))</f>
        <v>ELEV 01</v>
      </c>
      <c r="CK36" s="85">
        <f>SUM(Tabela13[[#This Row],[TOTAL  ACAB]],Tabela13[[#This Row],[TOTAL LAZER ]],Tabela13[[#This Row],[TOTAL TIPOLOGIA]],Tabela13[[#This Row],[TOTAL VAGA]],Tabela13[[#This Row],[TOTAL ELEVADOR]])</f>
        <v>4474.9944999999998</v>
      </c>
      <c r="CL36" s="72" t="str">
        <f>IF(AND(G36="BLOCO",CK36&lt;=RÉGUAS!$D$50),"ESSENCIAL",IF(AND(G36="BLOCO",CK36&lt;=RÉGUAS!$F$50),"ECO",IF(AND(G36="BLOCO",CK36&gt;RÉGUAS!$F$50),"BIO",IF(AND(G36="TORRE",CK36&lt;=RÉGUAS!$K$50),"ESSENCIAL",IF(AND(G36="TORRE",CK36&lt;=RÉGUAS!$M$50),"ECO",IF(AND(G36="TORRE",CK36&gt;RÉGUAS!$M$50),"BIO",))))))</f>
        <v>ESSENCIAL</v>
      </c>
      <c r="CM36" s="28" t="str">
        <f>IF(AND(G36="BLOCO",CK36&gt;=RÉGUAS!$D$51,CK36&lt;=RÉGUAS!$D$50),"ESSENCIAL-10%",IF(AND(G36="BLOCO",CK36&gt;RÉGUAS!$D$50,CK36&lt;=RÉGUAS!$E$51),"ECO+10%",IF(AND(G36="BLOCO",CK36&gt;=RÉGUAS!$F$51,CK36&lt;=RÉGUAS!$F$50),"ECO-10%",IF(AND(G36="BLOCO",CK36&gt;RÉGUAS!$F$50,CK36&lt;=RÉGUAS!$G$51),"BIO+10%",IF(AND(G36="TORRE",CK36&gt;=RÉGUAS!$K$51,CK36&lt;=RÉGUAS!$K$50),"ESSENCIAL-10%",IF(AND(G36="TORRE",CK36&gt;RÉGUAS!$K$50,CK36&lt;=RÉGUAS!$L$51),"ECO+10%",IF(AND(G36="TORRE",CK36&gt;=RÉGUAS!$M$51,CK36&lt;=RÉGUAS!$M$50),"ECO-10%",IF(AND(G36="TORRE",CK36&gt;RÉGUAS!$M$50,CK36&lt;=RÉGUAS!$N$51),"BIO+10%","-"))))))))</f>
        <v>-</v>
      </c>
      <c r="CN36" s="73">
        <f t="shared" si="3"/>
        <v>4474.9944999999998</v>
      </c>
      <c r="CO36" s="72" t="str">
        <f>IF(CN36&lt;=RÉGUAS!$D$58,"ESSENCIAL",IF(CN36&lt;=RÉGUAS!$F$58,"ECO",IF(CN36&gt;RÉGUAS!$F$58,"BIO",)))</f>
        <v>ESSENCIAL</v>
      </c>
      <c r="CP36" s="72" t="str">
        <f>IF(Tabela13[[#This Row],[INTERVALO DE INTERSEÇÃO 5D]]="-",Tabela13[[#This Row],[CLASSIFICAÇÃO 
5D ]],Tabela13[[#This Row],[CLASSIFICAÇÃO 
4D]])</f>
        <v>ESSENCIAL</v>
      </c>
      <c r="CQ36" s="72" t="str">
        <f t="shared" si="4"/>
        <v>-</v>
      </c>
      <c r="CR36" s="72" t="str">
        <f t="shared" si="5"/>
        <v>ESSENCIAL</v>
      </c>
      <c r="CS36" s="22" t="str">
        <f>IF(Tabela13[[#This Row],[PRODUTO ATUAL ]]=Tabela13[[#This Row],[CLASSIFICAÇÃO FINAL 5D]],"ADERÊNTE","NÃO ADERÊNTE")</f>
        <v>ADERÊNTE</v>
      </c>
      <c r="CT36" s="24">
        <f>SUM(Tabela13[[#This Row],[TOTAL  ACAB]],Tabela13[[#This Row],[TOTAL LAZER ]],Tabela13[[#This Row],[TOTAL TIPOLOGIA]],Tabela13[[#This Row],[TOTAL VAGA]])</f>
        <v>4474.9944999999998</v>
      </c>
      <c r="CU36" s="22" t="str">
        <f>IF(CT36&lt;=RÉGUAS!$D$58,"ESSENCIAL",IF(CT36&lt;=RÉGUAS!$F$58,"ECO",IF(CT36&gt;RÉGUAS!$F$58,"BIO",)))</f>
        <v>ESSENCIAL</v>
      </c>
      <c r="CV36" s="22" t="str">
        <f>IF(AND(CT36&gt;=RÉGUAS!$D$59,CT36&lt;=RÉGUAS!$E$59),"ESSENCIAL/ECO",IF(AND(CT36&gt;=RÉGUAS!$F$59,CT36&lt;=RÉGUAS!$G$59),"ECO/BIO","-"))</f>
        <v>-</v>
      </c>
      <c r="CW36" s="85">
        <f>SUM(Tabela13[[#This Row],[TOTAL LAZER ]],Tabela13[[#This Row],[TOTAL TIPOLOGIA]])</f>
        <v>709.99450000000002</v>
      </c>
      <c r="CX36" s="22" t="str">
        <f>IF(CW36&lt;=RÉGUAS!$D$72,"ESSENCIAL",IF(CW36&lt;=RÉGUAS!$F$72,"ECO",IF(CN36&gt;RÉGUAS!$F$72,"BIO",)))</f>
        <v>ESSENCIAL</v>
      </c>
      <c r="CY36" s="22" t="str">
        <f t="shared" si="6"/>
        <v>ESSENCIAL</v>
      </c>
      <c r="CZ36" s="22" t="str">
        <f>IF(Tabela13[[#This Row],[PRODUTO ATUAL ]]=CY36,"ADERENTE","NÃO ADERENTE")</f>
        <v>ADERENTE</v>
      </c>
      <c r="DA36" s="22" t="str">
        <f>IF(Tabela13[[#This Row],[PRODUTO ATUAL ]]=Tabela13[[#This Row],[CLASSIFICAÇÃO 
4D2]],"ADERENTE","NÃO ADERENTE")</f>
        <v>ADERENTE</v>
      </c>
    </row>
    <row r="37" spans="2:105" x14ac:dyDescent="0.35">
      <c r="B37" s="27">
        <v>43</v>
      </c>
      <c r="C37" s="22" t="s">
        <v>168</v>
      </c>
      <c r="D37" s="22" t="s">
        <v>118</v>
      </c>
      <c r="E37" s="128">
        <v>384</v>
      </c>
      <c r="F37" s="22" t="str">
        <f t="shared" si="0"/>
        <v>De 200 a 400 und</v>
      </c>
      <c r="G37" s="76" t="s">
        <v>14</v>
      </c>
      <c r="H37" s="129">
        <v>2</v>
      </c>
      <c r="I37" s="36">
        <v>24</v>
      </c>
      <c r="J37" s="36"/>
      <c r="K37" s="36"/>
      <c r="L37" s="36">
        <f>SUM(Tabela13[[#This Row],[QTD DE B/T 2]],Tabela13[[#This Row],[QTD DE B/T]])</f>
        <v>2</v>
      </c>
      <c r="M37" s="22">
        <v>8</v>
      </c>
      <c r="N37" s="22">
        <f>Tabela13[[#This Row],[ELEVADOR]]/Tabela13[[#This Row],[BLOCO TOTAL]]</f>
        <v>4</v>
      </c>
      <c r="O37" s="22" t="s">
        <v>6</v>
      </c>
      <c r="P37" s="76" t="s">
        <v>119</v>
      </c>
      <c r="Q37" s="76" t="s">
        <v>119</v>
      </c>
      <c r="R37" s="76" t="s">
        <v>102</v>
      </c>
      <c r="S37" s="76" t="s">
        <v>103</v>
      </c>
      <c r="T37" s="76" t="s">
        <v>104</v>
      </c>
      <c r="U37" s="76" t="s">
        <v>105</v>
      </c>
      <c r="V37" s="22" t="s">
        <v>106</v>
      </c>
      <c r="W37" s="24">
        <f>IF(P37=[1]BD_CUSTO!$E$4,[1]BD_CUSTO!$F$4,[1]BD_CUSTO!$F$5)</f>
        <v>530</v>
      </c>
      <c r="X37" s="24">
        <f>IF(Q37=[1]BD_CUSTO!$E$6,[1]BD_CUSTO!$F$6,[1]BD_CUSTO!$F$7)</f>
        <v>70</v>
      </c>
      <c r="Y37" s="24">
        <f>IF(R37=[1]BD_CUSTO!$E$8,[1]BD_CUSTO!$F$8,[1]BD_CUSTO!$F$9)</f>
        <v>600</v>
      </c>
      <c r="Z37" s="24">
        <f>IF(S37=[1]BD_CUSTO!$E$10,[1]BD_CUSTO!$F$10,[1]BD_CUSTO!$F$11)</f>
        <v>500</v>
      </c>
      <c r="AA37" s="24">
        <f>IF(T37=[1]BD_CUSTO!$E$12,[1]BD_CUSTO!$F$12,[1]BD_CUSTO!$F$13)</f>
        <v>370</v>
      </c>
      <c r="AB37" s="24">
        <f>IF(U37=[1]BD_CUSTO!$E$14,[1]BD_CUSTO!$F$14,[1]BD_CUSTO!$F$15)</f>
        <v>90</v>
      </c>
      <c r="AC37" s="24">
        <f>IF(V37=[1]BD_CUSTO!$E$16,[1]BD_CUSTO!$F$16,[1]BD_CUSTO!$F$17)</f>
        <v>720</v>
      </c>
      <c r="AD37" s="76" t="s">
        <v>110</v>
      </c>
      <c r="AE37" s="76">
        <v>1</v>
      </c>
      <c r="AF37" s="76" t="s">
        <v>108</v>
      </c>
      <c r="AG37" s="76">
        <v>1</v>
      </c>
      <c r="AH37" s="76" t="s">
        <v>121</v>
      </c>
      <c r="AI37" s="76">
        <v>1</v>
      </c>
      <c r="AJ37" s="76" t="s">
        <v>151</v>
      </c>
      <c r="AK37" s="76">
        <v>1</v>
      </c>
      <c r="AL37" s="76" t="s">
        <v>107</v>
      </c>
      <c r="AM37" s="76">
        <v>1</v>
      </c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4">
        <f>IF(AD37="",0,VLOOKUP(AD37,[1]BD_CUSTO!I:J,2,0)*AE37/E37)</f>
        <v>13.802083333333334</v>
      </c>
      <c r="AY37" s="24">
        <f>IF(AF37="",0,VLOOKUP(AF37,[1]BD_CUSTO!I:J,2,0)*AG37/E37)</f>
        <v>60.286458333333336</v>
      </c>
      <c r="AZ37" s="24">
        <f>IF(AH37="",0,VLOOKUP(AH37,[1]BD_CUSTO!I:J,2,0)*AI37/E37)</f>
        <v>320.72109374999997</v>
      </c>
      <c r="BA37" s="24">
        <f>IF(AJ37="",0,VLOOKUP(AJ37,[1]BD_CUSTO!I:J,2,0)*AK37/E37)</f>
        <v>207.638515625</v>
      </c>
      <c r="BB37" s="24">
        <f>IF(AL37="",0,VLOOKUP(AL37,[1]BD_CUSTO!I:J,2,0)*AM37/E37)</f>
        <v>221.74249999999998</v>
      </c>
      <c r="BC37" s="24">
        <f>IF(AN37="",0,VLOOKUP(AN37,[1]BD_CUSTO!I:J,2,0)*AO37/E37)</f>
        <v>0</v>
      </c>
      <c r="BD37" s="24">
        <f>IF(AP37="",0,VLOOKUP(AP37,[1]BD_CUSTO!I:J,2,0)*AQ37/E37)</f>
        <v>0</v>
      </c>
      <c r="BE37" s="24">
        <f>IF(AR37="",0,VLOOKUP(AR37,CUSTO!I:J,2,0)*AS37/E37)</f>
        <v>0</v>
      </c>
      <c r="BF37" s="24">
        <f>IF(AT37="",0,VLOOKUP(AT37,[1]BD_CUSTO!I:J,2,0)*AU37/E37)</f>
        <v>0</v>
      </c>
      <c r="BG37" s="24">
        <f>IF(Tabela13[[#This Row],[LZ 10]]="",0,VLOOKUP(Tabela13[[#This Row],[LZ 10]],[1]BD_CUSTO!I:J,2,0)*Tabela13[[#This Row],[QTD922]]/E37)</f>
        <v>0</v>
      </c>
      <c r="BH37" s="76" t="s">
        <v>112</v>
      </c>
      <c r="BI37" s="127">
        <f>368/Tabela13[[#This Row],[Nº UNDS]]</f>
        <v>0.95833333333333337</v>
      </c>
      <c r="BJ37" s="76" t="s">
        <v>113</v>
      </c>
      <c r="BK37" s="127">
        <v>0</v>
      </c>
      <c r="BL37" s="24">
        <f>IF(BH37=[1]BD_CUSTO!$M$6,[1]BD_CUSTO!$N$6)*BI37</f>
        <v>2875</v>
      </c>
      <c r="BM37" s="24">
        <f>IF(BJ37=[1]BD_CUSTO!$M$4,[1]BD_CUSTO!$N$4,[1]BD_CUSTO!$N$5)*BK37</f>
        <v>0</v>
      </c>
      <c r="BN37" s="76" t="s">
        <v>114</v>
      </c>
      <c r="BO37" s="76">
        <v>81</v>
      </c>
      <c r="BP37" s="25">
        <f>Tabela13[[#This Row],[QTD ]]/Tabela13[[#This Row],[Nº UNDS]]</f>
        <v>0.2109375</v>
      </c>
      <c r="BQ37" s="22" t="s">
        <v>115</v>
      </c>
      <c r="BR37" s="22">
        <v>0</v>
      </c>
      <c r="BS37" s="22" t="s">
        <v>116</v>
      </c>
      <c r="BT37" s="22">
        <v>0</v>
      </c>
      <c r="BU37" s="22" t="s">
        <v>16</v>
      </c>
      <c r="BV37" s="22">
        <v>0</v>
      </c>
      <c r="BW37" s="24">
        <f>IF(BN37=[1]BD_CUSTO!$Q$7,[1]BD_CUSTO!$R$7,[1]BD_CUSTO!$R$8)*BO37/E37</f>
        <v>421.875</v>
      </c>
      <c r="BX37" s="24">
        <f>IF(BQ37=[1]BD_CUSTO!$Q$4,[1]BD_CUSTO!$R$4,[1]BD_CUSTO!$R$5)*BR37/E37</f>
        <v>0</v>
      </c>
      <c r="BY37" s="22">
        <f>IF(BS37=[1]BD_CUSTO!$Q$13,[1]BD_CUSTO!$R$13,[1]BD_CUSTO!$R$14)*BT37/E37</f>
        <v>0</v>
      </c>
      <c r="BZ37" s="24">
        <f>BV37*CUSTO!$R$10/E37</f>
        <v>0</v>
      </c>
      <c r="CA37" s="26">
        <f>SUM(Tabela13[[#This Row],[SOMA_PISO SALA E QUARTO]],Tabela13[[#This Row],[SOMA_PAREDE HIDR]],Tabela13[[#This Row],[SOMA_TETO]],Tabela13[[#This Row],[SOMA_BANCADA]],Tabela13[[#This Row],[SOMA_PEDRAS]])</f>
        <v>2090</v>
      </c>
      <c r="CB37" s="27" t="str">
        <f>IF(CA37&lt;=RÉGUAS!$D$4,"ACAB 01",IF(CA37&lt;=RÉGUAS!$F$4,"ACAB 02",IF(CA37&gt;RÉGUAS!$F$4,"ACAB 03",)))</f>
        <v>ACAB 01</v>
      </c>
      <c r="CC37" s="26">
        <f>SUM(Tabela13[[#This Row],[SOMA_LZ 01]:[SOMA_LZ 10]])</f>
        <v>824.19065104166657</v>
      </c>
      <c r="CD37" s="22" t="str">
        <f>IF(CC37&lt;=RÉGUAS!$D$13,"LZ 01",IF(CC37&lt;=RÉGUAS!$F$13,"LZ 02",IF(CC37&lt;=RÉGUAS!$H$13,"LZ 03",IF(CC37&gt;RÉGUAS!$H$13,"LZ 04",))))</f>
        <v>LZ 02</v>
      </c>
      <c r="CE37" s="28">
        <f t="shared" si="1"/>
        <v>2875</v>
      </c>
      <c r="CF37" s="22" t="str">
        <f>IF(CE37&lt;=RÉGUAS!$D$22,"TIP 01",IF(CE37&lt;=RÉGUAS!$F$22,"TIP 02",IF(CE37&gt;RÉGUAS!$F$22,"TIP 03",)))</f>
        <v>TIP 02</v>
      </c>
      <c r="CG37" s="28">
        <f t="shared" si="2"/>
        <v>421.875</v>
      </c>
      <c r="CH37" s="22" t="str">
        <f>IF(CG37&lt;=RÉGUAS!$D$32,"VAGA 01",IF(CG37&lt;=RÉGUAS!$F$32,"VAGA 02",IF(CG37&gt;RÉGUAS!$F$32,"VAGA 03",)))</f>
        <v>VAGA 01</v>
      </c>
      <c r="CI37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8389.5</v>
      </c>
      <c r="CJ37" s="85" t="str">
        <f>IF(AND(G37="BLOCO",CI37&lt;=RÉGUAS!$D$40),"ELEV 01",IF(AND(G37="BLOCO",CI37&gt;RÉGUAS!$D$40),"ELEV 02",IF(AND(G37="TORRE",CI37&lt;=RÉGUAS!$K$40),"ELEV 01",IF(AND(G37="TORRE",CI37&lt;=RÉGUAS!$M$40),"ELEV 02",IF(AND(G37="TORRE",CI37&gt;RÉGUAS!$M$40),"ELEV 03",)))))</f>
        <v>ELEV 03</v>
      </c>
      <c r="CK37" s="85">
        <f>SUM(Tabela13[[#This Row],[TOTAL  ACAB]],Tabela13[[#This Row],[TOTAL LAZER ]],Tabela13[[#This Row],[TOTAL TIPOLOGIA]],Tabela13[[#This Row],[TOTAL VAGA]],Tabela13[[#This Row],[TOTAL ELEVADOR]])</f>
        <v>14600.565651041667</v>
      </c>
      <c r="CL37" s="72" t="str">
        <f>IF(AND(G37="BLOCO",CK37&lt;=RÉGUAS!$D$50),"ESSENCIAL",IF(AND(G37="BLOCO",CK37&lt;=RÉGUAS!$F$50),"ECO",IF(AND(G37="BLOCO",CK37&gt;RÉGUAS!$F$50),"BIO",IF(AND(G37="TORRE",CK37&lt;=RÉGUAS!$K$50),"ESSENCIAL",IF(AND(G37="TORRE",CK37&lt;=RÉGUAS!$M$50),"ECO",IF(AND(G37="TORRE",CK37&gt;RÉGUAS!$M$50),"BIO",))))))</f>
        <v>BIO</v>
      </c>
      <c r="CM37" s="28" t="str">
        <f>IF(AND(G37="BLOCO",CK37&gt;=RÉGUAS!$D$51,CK37&lt;=RÉGUAS!$D$50),"ESSENCIAL-10%",IF(AND(G37="BLOCO",CK37&gt;RÉGUAS!$D$50,CK37&lt;=RÉGUAS!$E$51),"ECO+10%",IF(AND(G37="BLOCO",CK37&gt;=RÉGUAS!$F$51,CK37&lt;=RÉGUAS!$F$50),"ECO-10%",IF(AND(G37="BLOCO",CK37&gt;RÉGUAS!$F$50,CK37&lt;=RÉGUAS!$G$51),"BIO+10%",IF(AND(G37="TORRE",CK37&gt;=RÉGUAS!$K$51,CK37&lt;=RÉGUAS!$K$50),"ESSENCIAL-10%",IF(AND(G37="TORRE",CK37&gt;RÉGUAS!$K$50,CK37&lt;=RÉGUAS!$L$51),"ECO+10%",IF(AND(G37="TORRE",CK37&gt;=RÉGUAS!$M$51,CK37&lt;=RÉGUAS!$M$50),"ECO-10%",IF(AND(G37="TORRE",CK37&gt;RÉGUAS!$M$50,CK37&lt;=RÉGUAS!$N$51),"BIO+10%","-"))))))))</f>
        <v>BIO+10%</v>
      </c>
      <c r="CN37" s="73">
        <f t="shared" si="3"/>
        <v>6211.0656510416666</v>
      </c>
      <c r="CO37" s="72" t="str">
        <f>IF(CN37&lt;=RÉGUAS!$D$58,"ESSENCIAL",IF(CN37&lt;=RÉGUAS!$F$58,"ECO",IF(CN37&gt;RÉGUAS!$F$58,"BIO",)))</f>
        <v>ESSENCIAL</v>
      </c>
      <c r="CP37" s="72" t="str">
        <f>IF(Tabela13[[#This Row],[INTERVALO DE INTERSEÇÃO 5D]]="-",Tabela13[[#This Row],[CLASSIFICAÇÃO 
5D ]],Tabela13[[#This Row],[CLASSIFICAÇÃO 
4D]])</f>
        <v>ESSENCIAL</v>
      </c>
      <c r="CQ37" s="72" t="str">
        <f t="shared" si="4"/>
        <v>OPOSTO</v>
      </c>
      <c r="CR37" s="72" t="str">
        <f t="shared" si="5"/>
        <v>ECO</v>
      </c>
      <c r="CS37" s="22" t="str">
        <f>IF(Tabela13[[#This Row],[PRODUTO ATUAL ]]=Tabela13[[#This Row],[CLASSIFICAÇÃO FINAL 5D]],"ADERÊNTE","NÃO ADERÊNTE")</f>
        <v>NÃO ADERÊNTE</v>
      </c>
      <c r="CT37" s="24">
        <f>SUM(Tabela13[[#This Row],[TOTAL  ACAB]],Tabela13[[#This Row],[TOTAL LAZER ]],Tabela13[[#This Row],[TOTAL TIPOLOGIA]],Tabela13[[#This Row],[TOTAL VAGA]])</f>
        <v>6211.0656510416666</v>
      </c>
      <c r="CU37" s="22" t="str">
        <f>IF(CT37&lt;=RÉGUAS!$D$58,"ESSENCIAL",IF(CT37&lt;=RÉGUAS!$F$58,"ECO",IF(CT37&gt;RÉGUAS!$F$58,"BIO",)))</f>
        <v>ESSENCIAL</v>
      </c>
      <c r="CV37" s="22" t="str">
        <f>IF(AND(CT37&gt;=RÉGUAS!$D$59,CT37&lt;=RÉGUAS!$E$59),"ESSENCIAL/ECO",IF(AND(CT37&gt;=RÉGUAS!$F$59,CT37&lt;=RÉGUAS!$G$59),"ECO/BIO","-"))</f>
        <v>ESSENCIAL/ECO</v>
      </c>
      <c r="CW37" s="85">
        <f>SUM(Tabela13[[#This Row],[TOTAL LAZER ]],Tabela13[[#This Row],[TOTAL TIPOLOGIA]])</f>
        <v>3699.1906510416666</v>
      </c>
      <c r="CX37" s="22" t="str">
        <f>IF(CW37&lt;=RÉGUAS!$D$72,"ESSENCIAL",IF(CW37&lt;=RÉGUAS!$F$72,"ECO",IF(CN37&gt;RÉGUAS!$F$72,"BIO",)))</f>
        <v>ECO</v>
      </c>
      <c r="CY37" s="22" t="str">
        <f t="shared" si="6"/>
        <v>ECO</v>
      </c>
      <c r="CZ37" s="22" t="str">
        <f>IF(Tabela13[[#This Row],[PRODUTO ATUAL ]]=CY37,"ADERENTE","NÃO ADERENTE")</f>
        <v>NÃO ADERENTE</v>
      </c>
      <c r="DA37" s="22" t="str">
        <f>IF(Tabela13[[#This Row],[PRODUTO ATUAL ]]=Tabela13[[#This Row],[CLASSIFICAÇÃO 
4D2]],"ADERENTE","NÃO ADERENTE")</f>
        <v>ADERENTE</v>
      </c>
    </row>
    <row r="38" spans="2:105" hidden="1" x14ac:dyDescent="0.35">
      <c r="B38" s="27">
        <v>33</v>
      </c>
      <c r="C38" s="22" t="s">
        <v>189</v>
      </c>
      <c r="D38" s="76" t="s">
        <v>125</v>
      </c>
      <c r="E38" s="128">
        <v>96</v>
      </c>
      <c r="F38" s="22" t="str">
        <f t="shared" si="0"/>
        <v>Até 200 und</v>
      </c>
      <c r="G38" s="76" t="s">
        <v>1</v>
      </c>
      <c r="H38" s="129">
        <v>6</v>
      </c>
      <c r="I38" s="129">
        <v>4</v>
      </c>
      <c r="J38" s="129"/>
      <c r="K38" s="129"/>
      <c r="L38" s="129">
        <f>SUM(Tabela13[[#This Row],[QTD DE B/T 2]],Tabela13[[#This Row],[QTD DE B/T]])</f>
        <v>6</v>
      </c>
      <c r="M38" s="22">
        <v>0</v>
      </c>
      <c r="N38" s="22">
        <f>Tabela13[[#This Row],[ELEVADOR]]/Tabela13[[#This Row],[BLOCO TOTAL]]</f>
        <v>0</v>
      </c>
      <c r="O38" s="76" t="s">
        <v>6</v>
      </c>
      <c r="P38" s="76" t="s">
        <v>119</v>
      </c>
      <c r="Q38" s="76" t="s">
        <v>101</v>
      </c>
      <c r="R38" s="76" t="s">
        <v>102</v>
      </c>
      <c r="S38" s="76" t="s">
        <v>103</v>
      </c>
      <c r="T38" s="76" t="s">
        <v>104</v>
      </c>
      <c r="U38" s="76" t="s">
        <v>105</v>
      </c>
      <c r="V38" s="22" t="s">
        <v>106</v>
      </c>
      <c r="W38" s="24">
        <f>IF(P38=[1]BD_CUSTO!$E$4,[1]BD_CUSTO!$F$4,[1]BD_CUSTO!$F$5)</f>
        <v>530</v>
      </c>
      <c r="X38" s="24">
        <f>IF(Q38=[1]BD_CUSTO!$E$6,[1]BD_CUSTO!$F$6,[1]BD_CUSTO!$F$7)</f>
        <v>260</v>
      </c>
      <c r="Y38" s="24">
        <f>IF(R38=[1]BD_CUSTO!$E$8,[1]BD_CUSTO!$F$8,[1]BD_CUSTO!$F$9)</f>
        <v>600</v>
      </c>
      <c r="Z38" s="24">
        <f>IF(S38=[1]BD_CUSTO!$E$10,[1]BD_CUSTO!$F$10,[1]BD_CUSTO!$F$11)</f>
        <v>500</v>
      </c>
      <c r="AA38" s="24">
        <f>IF(T38=[1]BD_CUSTO!$E$12,[1]BD_CUSTO!$F$12,[1]BD_CUSTO!$F$13)</f>
        <v>370</v>
      </c>
      <c r="AB38" s="24">
        <f>IF(U38=[1]BD_CUSTO!$E$14,[1]BD_CUSTO!$F$14,[1]BD_CUSTO!$F$15)</f>
        <v>90</v>
      </c>
      <c r="AC38" s="24">
        <f>IF(V38=[1]BD_CUSTO!$E$16,[1]BD_CUSTO!$F$16,[1]BD_CUSTO!$F$17)</f>
        <v>720</v>
      </c>
      <c r="AD38" s="76" t="s">
        <v>129</v>
      </c>
      <c r="AE38" s="22">
        <v>1</v>
      </c>
      <c r="AF38" s="76" t="s">
        <v>108</v>
      </c>
      <c r="AG38" s="22">
        <v>1</v>
      </c>
      <c r="AH38" s="76" t="s">
        <v>107</v>
      </c>
      <c r="AI38" s="22">
        <v>1</v>
      </c>
      <c r="AJ38" s="76" t="s">
        <v>110</v>
      </c>
      <c r="AK38" s="22">
        <v>1</v>
      </c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4">
        <f>IF(AD38="",0,VLOOKUP(AD38,[1]BD_CUSTO!I:J,2,0)*AE38/E38)</f>
        <v>2866.3289583333335</v>
      </c>
      <c r="AY38" s="24">
        <f>IF(AF38="",0,VLOOKUP(AF38,[1]BD_CUSTO!I:J,2,0)*AG38/E38)</f>
        <v>241.14583333333334</v>
      </c>
      <c r="AZ38" s="24">
        <f>IF(AH38="",0,VLOOKUP(AH38,[1]BD_CUSTO!I:J,2,0)*AI38/E38)</f>
        <v>886.96999999999991</v>
      </c>
      <c r="BA38" s="24">
        <f>IF(AJ38="",0,VLOOKUP(AJ38,[1]BD_CUSTO!I:J,2,0)*AK38/E38)</f>
        <v>55.208333333333336</v>
      </c>
      <c r="BB38" s="24">
        <f>IF(AL38="",0,VLOOKUP(AL38,[1]BD_CUSTO!I:J,2,0)*AM38/E38)</f>
        <v>0</v>
      </c>
      <c r="BC38" s="24">
        <f>IF(AN38="",0,VLOOKUP(AN38,[1]BD_CUSTO!I:J,2,0)*AO38/E38)</f>
        <v>0</v>
      </c>
      <c r="BD38" s="24">
        <f>IF(AP38="",0,VLOOKUP(AP38,[1]BD_CUSTO!I:J,2,0)*AQ38/E38)</f>
        <v>0</v>
      </c>
      <c r="BE38" s="24">
        <f>IF(AR38="",0,VLOOKUP(AR38,CUSTO!I:J,2,0)*AS38/E38)</f>
        <v>0</v>
      </c>
      <c r="BF38" s="24">
        <f>IF(AT38="",0,VLOOKUP(AT38,[1]BD_CUSTO!I:J,2,0)*AU38/E38)</f>
        <v>0</v>
      </c>
      <c r="BG38" s="24">
        <f>IF(Tabela13[[#This Row],[LZ 10]]="",0,VLOOKUP(Tabela13[[#This Row],[LZ 10]],[1]BD_CUSTO!I:J,2,0)*Tabela13[[#This Row],[QTD922]]/E38)</f>
        <v>0</v>
      </c>
      <c r="BH38" s="76" t="s">
        <v>112</v>
      </c>
      <c r="BI38" s="127">
        <v>0.38</v>
      </c>
      <c r="BJ38" s="76" t="s">
        <v>113</v>
      </c>
      <c r="BK38" s="127">
        <v>0</v>
      </c>
      <c r="BL38" s="24">
        <f>IF(BH38=[1]BD_CUSTO!$M$6,[1]BD_CUSTO!$N$6)*BI38</f>
        <v>1140</v>
      </c>
      <c r="BM38" s="24">
        <f>IF(BJ38=[1]BD_CUSTO!$M$4,[1]BD_CUSTO!$N$4,[1]BD_CUSTO!$N$5)*BK38</f>
        <v>0</v>
      </c>
      <c r="BN38" s="76" t="s">
        <v>114</v>
      </c>
      <c r="BO38" s="76">
        <v>116</v>
      </c>
      <c r="BP38" s="25">
        <f>Tabela13[[#This Row],[QTD ]]/Tabela13[[#This Row],[Nº UNDS]]</f>
        <v>1.2083333333333333</v>
      </c>
      <c r="BQ38" s="22" t="s">
        <v>115</v>
      </c>
      <c r="BR38" s="22">
        <v>0</v>
      </c>
      <c r="BS38" s="22" t="s">
        <v>116</v>
      </c>
      <c r="BT38" s="22">
        <v>0</v>
      </c>
      <c r="BU38" s="22" t="s">
        <v>16</v>
      </c>
      <c r="BV38" s="22">
        <v>0</v>
      </c>
      <c r="BW38" s="24">
        <f>IF(BN38=[1]BD_CUSTO!$Q$7,[1]BD_CUSTO!$R$7,[1]BD_CUSTO!$R$8)*BO38/E38</f>
        <v>2416.6666666666665</v>
      </c>
      <c r="BX38" s="24">
        <f>IF(BQ38=[1]BD_CUSTO!$Q$4,[1]BD_CUSTO!$R$4,[1]BD_CUSTO!$R$5)*BR38/E38</f>
        <v>0</v>
      </c>
      <c r="BY38" s="22">
        <f>IF(BS38=[1]BD_CUSTO!$Q$13,[1]BD_CUSTO!$R$13,[1]BD_CUSTO!$R$14)*BT38/E38</f>
        <v>0</v>
      </c>
      <c r="BZ38" s="24">
        <f>BV38*CUSTO!$R$10/E38</f>
        <v>0</v>
      </c>
      <c r="CA38" s="26">
        <f>SUM(Tabela13[[#This Row],[SOMA_PISO SALA E QUARTO]],Tabela13[[#This Row],[SOMA_PAREDE HIDR]],Tabela13[[#This Row],[SOMA_TETO]],Tabela13[[#This Row],[SOMA_BANCADA]],Tabela13[[#This Row],[SOMA_PEDRAS]])</f>
        <v>2090</v>
      </c>
      <c r="CB38" s="27" t="str">
        <f>IF(CA38&lt;=RÉGUAS!$D$4,"ACAB 01",IF(CA38&lt;=RÉGUAS!$F$4,"ACAB 02",IF(CA38&gt;RÉGUAS!$F$4,"ACAB 03",)))</f>
        <v>ACAB 01</v>
      </c>
      <c r="CC38" s="26">
        <f>SUM(Tabela13[[#This Row],[SOMA_LZ 01]:[SOMA_LZ 10]])</f>
        <v>4049.6531250000003</v>
      </c>
      <c r="CD38" s="22" t="str">
        <f>IF(CC38&lt;=RÉGUAS!$D$13,"LZ 01",IF(CC38&lt;=RÉGUAS!$F$13,"LZ 02",IF(CC38&lt;=RÉGUAS!$H$13,"LZ 03",IF(CC38&gt;RÉGUAS!$H$13,"LZ 04",))))</f>
        <v>LZ 04</v>
      </c>
      <c r="CE38" s="28">
        <f t="shared" si="1"/>
        <v>1140</v>
      </c>
      <c r="CF38" s="22" t="str">
        <f>IF(CE38&lt;=RÉGUAS!$D$22,"TIP 01",IF(CE38&lt;=RÉGUAS!$F$22,"TIP 02",IF(CE38&gt;RÉGUAS!$F$22,"TIP 03",)))</f>
        <v>TIP 01</v>
      </c>
      <c r="CG38" s="28">
        <f t="shared" si="2"/>
        <v>2416.6666666666665</v>
      </c>
      <c r="CH38" s="22" t="str">
        <f>IF(CG38&lt;=RÉGUAS!$D$32,"VAGA 01",IF(CG38&lt;=RÉGUAS!$F$32,"VAGA 02",IF(CG38&gt;RÉGUAS!$F$32,"VAGA 03",)))</f>
        <v>VAGA 02</v>
      </c>
      <c r="CI38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38" s="85" t="str">
        <f>IF(AND(G38="BLOCO",CI38&lt;=RÉGUAS!$D$40),"ELEV 01",IF(AND(G38="BLOCO",CI38&gt;RÉGUAS!$D$40),"ELEV 02",IF(AND(G38="TORRE",CI38&lt;=RÉGUAS!$K$40),"ELEV 01",IF(AND(G38="TORRE",CI38&lt;=RÉGUAS!$M$40),"ELEV 02",IF(AND(G38="TORRE",CI38&gt;RÉGUAS!$M$40),"ELEV 03",)))))</f>
        <v>ELEV 01</v>
      </c>
      <c r="CK38" s="85">
        <f>SUM(Tabela13[[#This Row],[TOTAL  ACAB]],Tabela13[[#This Row],[TOTAL LAZER ]],Tabela13[[#This Row],[TOTAL TIPOLOGIA]],Tabela13[[#This Row],[TOTAL VAGA]],Tabela13[[#This Row],[TOTAL ELEVADOR]])</f>
        <v>9696.3197916666668</v>
      </c>
      <c r="CL38" s="72" t="str">
        <f>IF(AND(G38="BLOCO",CK38&lt;=RÉGUAS!$D$50),"ESSENCIAL",IF(AND(G38="BLOCO",CK38&lt;=RÉGUAS!$F$50),"ECO",IF(AND(G38="BLOCO",CK38&gt;RÉGUAS!$F$50),"BIO",IF(AND(G38="TORRE",CK38&lt;=RÉGUAS!$K$50),"ESSENCIAL",IF(AND(G38="TORRE",CK38&lt;=RÉGUAS!$M$50),"ECO",IF(AND(G38="TORRE",CK38&gt;RÉGUAS!$M$50),"BIO",))))))</f>
        <v>ECO</v>
      </c>
      <c r="CM38" s="28" t="str">
        <f>IF(AND(G38="BLOCO",CK38&gt;=RÉGUAS!$D$51,CK38&lt;=RÉGUAS!$D$50),"ESSENCIAL-10%",IF(AND(G38="BLOCO",CK38&gt;RÉGUAS!$D$50,CK38&lt;=RÉGUAS!$E$51),"ECO+10%",IF(AND(G38="BLOCO",CK38&gt;=RÉGUAS!$F$51,CK38&lt;=RÉGUAS!$F$50),"ECO-10%",IF(AND(G38="BLOCO",CK38&gt;RÉGUAS!$F$50,CK38&lt;=RÉGUAS!$G$51),"BIO+10%",IF(AND(G38="TORRE",CK38&gt;=RÉGUAS!$K$51,CK38&lt;=RÉGUAS!$K$50),"ESSENCIAL-10%",IF(AND(G38="TORRE",CK38&gt;RÉGUAS!$K$50,CK38&lt;=RÉGUAS!$L$51),"ECO+10%",IF(AND(G38="TORRE",CK38&gt;=RÉGUAS!$M$51,CK38&lt;=RÉGUAS!$M$50),"ECO-10%",IF(AND(G38="TORRE",CK38&gt;RÉGUAS!$M$50,CK38&lt;=RÉGUAS!$N$51),"BIO+10%","-"))))))))</f>
        <v>-</v>
      </c>
      <c r="CN38" s="73">
        <f t="shared" si="3"/>
        <v>9696.3197916666668</v>
      </c>
      <c r="CO38" s="72" t="str">
        <f>IF(CN38&lt;=RÉGUAS!$D$58,"ESSENCIAL",IF(CN38&lt;=RÉGUAS!$F$58,"ECO",IF(CN38&gt;RÉGUAS!$F$58,"BIO",)))</f>
        <v>ECO</v>
      </c>
      <c r="CP38" s="72" t="str">
        <f>IF(Tabela13[[#This Row],[INTERVALO DE INTERSEÇÃO 5D]]="-",Tabela13[[#This Row],[CLASSIFICAÇÃO 
5D ]],Tabela13[[#This Row],[CLASSIFICAÇÃO 
4D]])</f>
        <v>ECO</v>
      </c>
      <c r="CQ38" s="72" t="str">
        <f t="shared" si="4"/>
        <v>-</v>
      </c>
      <c r="CR38" s="72" t="str">
        <f t="shared" si="5"/>
        <v>ECO</v>
      </c>
      <c r="CS38" s="22" t="str">
        <f>IF(Tabela13[[#This Row],[PRODUTO ATUAL ]]=Tabela13[[#This Row],[CLASSIFICAÇÃO FINAL 5D]],"ADERÊNTE","NÃO ADERÊNTE")</f>
        <v>NÃO ADERÊNTE</v>
      </c>
      <c r="CT38" s="24">
        <f>SUM(Tabela13[[#This Row],[TOTAL  ACAB]],Tabela13[[#This Row],[TOTAL LAZER ]],Tabela13[[#This Row],[TOTAL TIPOLOGIA]],Tabela13[[#This Row],[TOTAL VAGA]])</f>
        <v>9696.3197916666668</v>
      </c>
      <c r="CU38" s="22" t="str">
        <f>IF(CT38&lt;=RÉGUAS!$D$58,"ESSENCIAL",IF(CT38&lt;=RÉGUAS!$F$58,"ECO",IF(CT38&gt;RÉGUAS!$F$58,"BIO",)))</f>
        <v>ECO</v>
      </c>
      <c r="CV38" s="22" t="str">
        <f>IF(AND(CT38&gt;=RÉGUAS!$D$59,CT38&lt;=RÉGUAS!$E$59),"ESSENCIAL/ECO",IF(AND(CT38&gt;=RÉGUAS!$F$59,CT38&lt;=RÉGUAS!$G$59),"ECO/BIO","-"))</f>
        <v>-</v>
      </c>
      <c r="CW38" s="85">
        <f>SUM(Tabela13[[#This Row],[TOTAL LAZER ]],Tabela13[[#This Row],[TOTAL TIPOLOGIA]])</f>
        <v>5189.6531250000007</v>
      </c>
      <c r="CX38" s="22" t="str">
        <f>IF(CW38&lt;=RÉGUAS!$D$72,"ESSENCIAL",IF(CW38&lt;=RÉGUAS!$F$72,"ECO",IF(CN38&gt;RÉGUAS!$F$72,"BIO",)))</f>
        <v>BIO</v>
      </c>
      <c r="CY38" s="22" t="str">
        <f t="shared" si="6"/>
        <v>ECO</v>
      </c>
      <c r="CZ38" s="22" t="str">
        <f>IF(Tabela13[[#This Row],[PRODUTO ATUAL ]]=CY38,"ADERENTE","NÃO ADERENTE")</f>
        <v>NÃO ADERENTE</v>
      </c>
      <c r="DA38" s="22" t="str">
        <f>IF(Tabela13[[#This Row],[PRODUTO ATUAL ]]=Tabela13[[#This Row],[CLASSIFICAÇÃO 
4D2]],"ADERENTE","NÃO ADERENTE")</f>
        <v>NÃO ADERENTE</v>
      </c>
    </row>
    <row r="39" spans="2:105" ht="13.75" customHeight="1" x14ac:dyDescent="0.35">
      <c r="B39" s="27">
        <v>41</v>
      </c>
      <c r="C39" s="22" t="s">
        <v>182</v>
      </c>
      <c r="D39" s="22" t="s">
        <v>128</v>
      </c>
      <c r="E39" s="23">
        <v>140</v>
      </c>
      <c r="F39" s="22" t="str">
        <f t="shared" si="0"/>
        <v>Até 200 und</v>
      </c>
      <c r="G39" s="22" t="s">
        <v>1</v>
      </c>
      <c r="H39" s="36">
        <v>7</v>
      </c>
      <c r="I39" s="36">
        <v>5</v>
      </c>
      <c r="J39" s="36"/>
      <c r="K39" s="36"/>
      <c r="L39" s="36">
        <f>SUM(Tabela13[[#This Row],[QTD DE B/T 2]],Tabela13[[#This Row],[QTD DE B/T]])</f>
        <v>7</v>
      </c>
      <c r="M39" s="22">
        <v>1</v>
      </c>
      <c r="N39" s="22">
        <f>Tabela13[[#This Row],[ELEVADOR]]/Tabela13[[#This Row],[BLOCO TOTAL]]</f>
        <v>0.14285714285714285</v>
      </c>
      <c r="O39" s="22" t="s">
        <v>6</v>
      </c>
      <c r="P39" s="22" t="s">
        <v>101</v>
      </c>
      <c r="Q39" s="22" t="s">
        <v>101</v>
      </c>
      <c r="R39" s="22" t="s">
        <v>102</v>
      </c>
      <c r="S39" s="22" t="s">
        <v>103</v>
      </c>
      <c r="T39" s="22" t="s">
        <v>104</v>
      </c>
      <c r="U39" s="22" t="s">
        <v>105</v>
      </c>
      <c r="V39" s="22" t="s">
        <v>106</v>
      </c>
      <c r="W39" s="24">
        <f>IF(P39=[1]BD_CUSTO!$E$4,[1]BD_CUSTO!$F$4,[1]BD_CUSTO!$F$5)</f>
        <v>2430</v>
      </c>
      <c r="X39" s="24">
        <f>IF(Q39=[1]BD_CUSTO!$E$6,[1]BD_CUSTO!$F$6,[1]BD_CUSTO!$F$7)</f>
        <v>260</v>
      </c>
      <c r="Y39" s="24">
        <f>IF(R39=[1]BD_CUSTO!$E$8,[1]BD_CUSTO!$F$8,[1]BD_CUSTO!$F$9)</f>
        <v>600</v>
      </c>
      <c r="Z39" s="24">
        <f>IF(S39=[1]BD_CUSTO!$E$10,[1]BD_CUSTO!$F$10,[1]BD_CUSTO!$F$11)</f>
        <v>500</v>
      </c>
      <c r="AA39" s="24">
        <f>IF(T39=[1]BD_CUSTO!$E$12,[1]BD_CUSTO!$F$12,[1]BD_CUSTO!$F$13)</f>
        <v>370</v>
      </c>
      <c r="AB39" s="24">
        <f>IF(U39=[1]BD_CUSTO!$E$14,[1]BD_CUSTO!$F$14,[1]BD_CUSTO!$F$15)</f>
        <v>90</v>
      </c>
      <c r="AC39" s="24">
        <f>IF(V39=[1]BD_CUSTO!$E$16,[1]BD_CUSTO!$F$16,[1]BD_CUSTO!$F$17)</f>
        <v>720</v>
      </c>
      <c r="AD39" s="22" t="s">
        <v>110</v>
      </c>
      <c r="AE39" s="22">
        <v>1</v>
      </c>
      <c r="AF39" s="22" t="s">
        <v>111</v>
      </c>
      <c r="AG39" s="22">
        <v>1</v>
      </c>
      <c r="AH39" s="22" t="s">
        <v>109</v>
      </c>
      <c r="AI39" s="22">
        <v>1</v>
      </c>
      <c r="AJ39" s="22" t="s">
        <v>108</v>
      </c>
      <c r="AK39" s="22">
        <v>1</v>
      </c>
      <c r="AL39" s="22" t="s">
        <v>126</v>
      </c>
      <c r="AM39" s="22">
        <v>1</v>
      </c>
      <c r="AN39" s="22" t="s">
        <v>121</v>
      </c>
      <c r="AO39" s="22">
        <v>1</v>
      </c>
      <c r="AP39" s="22"/>
      <c r="AQ39" s="22"/>
      <c r="AR39" s="22"/>
      <c r="AS39" s="22"/>
      <c r="AT39" s="22"/>
      <c r="AU39" s="22"/>
      <c r="AV39" s="22"/>
      <c r="AW39" s="22"/>
      <c r="AX39" s="24">
        <f>IF(AD39="",0,VLOOKUP(AD39,[1]BD_CUSTO!I:J,2,0)*AE39/E39)</f>
        <v>37.857142857142854</v>
      </c>
      <c r="AY39" s="24">
        <f>IF(AF39="",0,VLOOKUP(AF39,[1]BD_CUSTO!I:J,2,0)*AG39/E39)</f>
        <v>115.71428571428571</v>
      </c>
      <c r="AZ39" s="24">
        <f>IF(AH39="",0,VLOOKUP(AH39,[1]BD_CUSTO!I:J,2,0)*AI39/E39)</f>
        <v>49.642857142857146</v>
      </c>
      <c r="BA39" s="24">
        <f>IF(AJ39="",0,VLOOKUP(AJ39,[1]BD_CUSTO!I:J,2,0)*AK39/E39)</f>
        <v>165.35714285714286</v>
      </c>
      <c r="BB39" s="24">
        <f>IF(AL39="",0,VLOOKUP(AL39,[1]BD_CUSTO!I:J,2,0)*AM39/E39)</f>
        <v>54</v>
      </c>
      <c r="BC39" s="24">
        <f>IF(AN39="",0,VLOOKUP(AN39,[1]BD_CUSTO!I:J,2,0)*AO39/E39)</f>
        <v>879.69214285714281</v>
      </c>
      <c r="BD39" s="24">
        <f>IF(AP39="",0,VLOOKUP(AP39,[1]BD_CUSTO!I:J,2,0)*AQ39/E39)</f>
        <v>0</v>
      </c>
      <c r="BE39" s="24">
        <f>IF(AR39="",0,VLOOKUP(AR39,CUSTO!I:J,2,0)*AS39/E39)</f>
        <v>0</v>
      </c>
      <c r="BF39" s="24">
        <f>IF(AT39="",0,VLOOKUP(AT39,[1]BD_CUSTO!I:J,2,0)*AU39/E39)</f>
        <v>0</v>
      </c>
      <c r="BG39" s="24">
        <f>IF(Tabela13[[#This Row],[LZ 10]]="",0,VLOOKUP(Tabela13[[#This Row],[LZ 10]],[1]BD_CUSTO!I:J,2,0)*Tabela13[[#This Row],[QTD922]]/E39)</f>
        <v>0</v>
      </c>
      <c r="BH39" s="22" t="s">
        <v>112</v>
      </c>
      <c r="BI39" s="25">
        <f>48/Tabela13[[#This Row],[Nº UNDS]]</f>
        <v>0.34285714285714286</v>
      </c>
      <c r="BJ39" s="22" t="s">
        <v>113</v>
      </c>
      <c r="BK39" s="25">
        <v>0</v>
      </c>
      <c r="BL39" s="24">
        <f>IF(BH39=[1]BD_CUSTO!$M$6,[1]BD_CUSTO!$N$6)*BI39</f>
        <v>1028.5714285714287</v>
      </c>
      <c r="BM39" s="24">
        <f>IF(BJ39=[1]BD_CUSTO!$M$4,[1]BD_CUSTO!$N$4,[1]BD_CUSTO!$N$5)*BK39</f>
        <v>0</v>
      </c>
      <c r="BN39" s="22" t="s">
        <v>114</v>
      </c>
      <c r="BO39" s="22">
        <v>11</v>
      </c>
      <c r="BP39" s="25">
        <f>Tabela13[[#This Row],[QTD ]]/Tabela13[[#This Row],[Nº UNDS]]</f>
        <v>7.857142857142857E-2</v>
      </c>
      <c r="BQ39" s="22" t="s">
        <v>115</v>
      </c>
      <c r="BR39" s="22">
        <v>0</v>
      </c>
      <c r="BS39" s="22" t="s">
        <v>116</v>
      </c>
      <c r="BT39" s="22">
        <v>0</v>
      </c>
      <c r="BU39" s="22" t="s">
        <v>16</v>
      </c>
      <c r="BV39" s="22">
        <v>0</v>
      </c>
      <c r="BW39" s="24">
        <f>IF(BN39=[1]BD_CUSTO!$Q$7,[1]BD_CUSTO!$R$7,[1]BD_CUSTO!$R$8)*BO39/E39</f>
        <v>157.14285714285714</v>
      </c>
      <c r="BX39" s="24">
        <f>IF(BQ39=[1]BD_CUSTO!$Q$4,[1]BD_CUSTO!$R$4,[1]BD_CUSTO!$R$5)*BR39/E39</f>
        <v>0</v>
      </c>
      <c r="BY39" s="22">
        <f>IF(BS39=[1]BD_CUSTO!$Q$13,[1]BD_CUSTO!$R$13,[1]BD_CUSTO!$R$14)*BT39/E39</f>
        <v>0</v>
      </c>
      <c r="BZ39" s="24">
        <f>BV39*CUSTO!$R$10/E39</f>
        <v>0</v>
      </c>
      <c r="CA39" s="26">
        <f>SUM(Tabela13[[#This Row],[SOMA_PISO SALA E QUARTO]],Tabela13[[#This Row],[SOMA_PAREDE HIDR]],Tabela13[[#This Row],[SOMA_TETO]],Tabela13[[#This Row],[SOMA_BANCADA]],Tabela13[[#This Row],[SOMA_PEDRAS]])</f>
        <v>3990</v>
      </c>
      <c r="CB39" s="27" t="str">
        <f>IF(CA39&lt;=RÉGUAS!$D$4,"ACAB 01",IF(CA39&lt;=RÉGUAS!$F$4,"ACAB 02",IF(CA39&gt;RÉGUAS!$F$4,"ACAB 03",)))</f>
        <v>ACAB 02</v>
      </c>
      <c r="CC39" s="26">
        <f>SUM(Tabela13[[#This Row],[SOMA_LZ 01]:[SOMA_LZ 10]])</f>
        <v>1302.2635714285714</v>
      </c>
      <c r="CD39" s="22" t="str">
        <f>IF(CC39&lt;=RÉGUAS!$D$13,"LZ 01",IF(CC39&lt;=RÉGUAS!$F$13,"LZ 02",IF(CC39&lt;=RÉGUAS!$H$13,"LZ 03",IF(CC39&gt;RÉGUAS!$H$13,"LZ 04",))))</f>
        <v>LZ 02</v>
      </c>
      <c r="CE39" s="28">
        <f t="shared" si="1"/>
        <v>1028.5714285714287</v>
      </c>
      <c r="CF39" s="22" t="str">
        <f>IF(CE39&lt;=RÉGUAS!$D$22,"TIP 01",IF(CE39&lt;=RÉGUAS!$F$22,"TIP 02",IF(CE39&gt;RÉGUAS!$F$22,"TIP 03",)))</f>
        <v>TIP 01</v>
      </c>
      <c r="CG39" s="28">
        <f t="shared" si="2"/>
        <v>157.14285714285714</v>
      </c>
      <c r="CH39" s="22" t="str">
        <f>IF(CG39&lt;=RÉGUAS!$D$32,"VAGA 01",IF(CG39&lt;=RÉGUAS!$F$32,"VAGA 02",IF(CG39&gt;RÉGUAS!$F$32,"VAGA 03",)))</f>
        <v>VAGA 01</v>
      </c>
      <c r="CI39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1072.4285714285713</v>
      </c>
      <c r="CJ39" s="85" t="str">
        <f>IF(AND(G39="BLOCO",CI39&lt;=RÉGUAS!$D$40),"ELEV 01",IF(AND(G39="BLOCO",CI39&gt;RÉGUAS!$D$40),"ELEV 02",IF(AND(G39="TORRE",CI39&lt;=RÉGUAS!$K$40),"ELEV 01",IF(AND(G39="TORRE",CI39&lt;=RÉGUAS!$M$40),"ELEV 02",IF(AND(G39="TORRE",CI39&gt;RÉGUAS!$M$40),"ELEV 03",)))))</f>
        <v>ELEV 02</v>
      </c>
      <c r="CK39" s="85">
        <f>SUM(Tabela13[[#This Row],[TOTAL  ACAB]],Tabela13[[#This Row],[TOTAL LAZER ]],Tabela13[[#This Row],[TOTAL TIPOLOGIA]],Tabela13[[#This Row],[TOTAL VAGA]],Tabela13[[#This Row],[TOTAL ELEVADOR]])</f>
        <v>7550.4064285714285</v>
      </c>
      <c r="CL39" s="72" t="str">
        <f>IF(AND(G39="BLOCO",CK39&lt;=RÉGUAS!$D$50),"ESSENCIAL",IF(AND(G39="BLOCO",CK39&lt;=RÉGUAS!$F$50),"ECO",IF(AND(G39="BLOCO",CK39&gt;RÉGUAS!$F$50),"BIO",IF(AND(G39="TORRE",CK39&lt;=RÉGUAS!$K$50),"ESSENCIAL",IF(AND(G39="TORRE",CK39&lt;=RÉGUAS!$M$50),"ECO",IF(AND(G39="TORRE",CK39&gt;RÉGUAS!$M$50),"BIO",))))))</f>
        <v>ESSENCIAL</v>
      </c>
      <c r="CM39" s="28" t="str">
        <f>IF(AND(G39="BLOCO",CK39&gt;=RÉGUAS!$D$51,CK39&lt;=RÉGUAS!$D$50),"ESSENCIAL-10%",IF(AND(G39="BLOCO",CK39&gt;RÉGUAS!$D$50,CK39&lt;=RÉGUAS!$E$51),"ECO+10%",IF(AND(G39="BLOCO",CK39&gt;=RÉGUAS!$F$51,CK39&lt;=RÉGUAS!$F$50),"ECO-10%",IF(AND(G39="BLOCO",CK39&gt;RÉGUAS!$F$50,CK39&lt;=RÉGUAS!$G$51),"BIO+10%",IF(AND(G39="TORRE",CK39&gt;=RÉGUAS!$K$51,CK39&lt;=RÉGUAS!$K$50),"ESSENCIAL-10%",IF(AND(G39="TORRE",CK39&gt;RÉGUAS!$K$50,CK39&lt;=RÉGUAS!$L$51),"ECO+10%",IF(AND(G39="TORRE",CK39&gt;=RÉGUAS!$M$51,CK39&lt;=RÉGUAS!$M$50),"ECO-10%",IF(AND(G39="TORRE",CK39&gt;RÉGUAS!$M$50,CK39&lt;=RÉGUAS!$N$51),"BIO+10%","-"))))))))</f>
        <v>ESSENCIAL-10%</v>
      </c>
      <c r="CN39" s="73">
        <f t="shared" si="3"/>
        <v>6477.9778571428569</v>
      </c>
      <c r="CO39" s="72" t="str">
        <f>IF(CN39&lt;=RÉGUAS!$D$58,"ESSENCIAL",IF(CN39&lt;=RÉGUAS!$F$58,"ECO",IF(CN39&gt;RÉGUAS!$F$58,"BIO",)))</f>
        <v>ESSENCIAL</v>
      </c>
      <c r="CP39" s="72" t="str">
        <f>IF(Tabela13[[#This Row],[INTERVALO DE INTERSEÇÃO 5D]]="-",Tabela13[[#This Row],[CLASSIFICAÇÃO 
5D ]],Tabela13[[#This Row],[CLASSIFICAÇÃO 
4D]])</f>
        <v>ESSENCIAL</v>
      </c>
      <c r="CQ39" s="72" t="str">
        <f t="shared" si="4"/>
        <v>-</v>
      </c>
      <c r="CR39" s="72" t="str">
        <f t="shared" si="5"/>
        <v>ESSENCIAL</v>
      </c>
      <c r="CS39" s="22" t="str">
        <f>IF(Tabela13[[#This Row],[PRODUTO ATUAL ]]=Tabela13[[#This Row],[CLASSIFICAÇÃO FINAL 5D]],"ADERÊNTE","NÃO ADERÊNTE")</f>
        <v>ADERÊNTE</v>
      </c>
      <c r="CT39" s="24">
        <f>SUM(Tabela13[[#This Row],[TOTAL  ACAB]],Tabela13[[#This Row],[TOTAL LAZER ]],Tabela13[[#This Row],[TOTAL TIPOLOGIA]],Tabela13[[#This Row],[TOTAL VAGA]])</f>
        <v>6477.9778571428569</v>
      </c>
      <c r="CU39" s="22" t="str">
        <f>IF(CT39&lt;=RÉGUAS!$D$58,"ESSENCIAL",IF(CT39&lt;=RÉGUAS!$F$58,"ECO",IF(CT39&gt;RÉGUAS!$F$58,"BIO",)))</f>
        <v>ESSENCIAL</v>
      </c>
      <c r="CV39" s="22" t="str">
        <f>IF(AND(CT39&gt;=RÉGUAS!$D$59,CT39&lt;=RÉGUAS!$E$59),"ESSENCIAL/ECO",IF(AND(CT39&gt;=RÉGUAS!$F$59,CT39&lt;=RÉGUAS!$G$59),"ECO/BIO","-"))</f>
        <v>ESSENCIAL/ECO</v>
      </c>
      <c r="CW39" s="85">
        <f>SUM(Tabela13[[#This Row],[TOTAL LAZER ]],Tabela13[[#This Row],[TOTAL TIPOLOGIA]])</f>
        <v>2330.835</v>
      </c>
      <c r="CX39" s="22" t="str">
        <f>IF(CW39&lt;=RÉGUAS!$D$72,"ESSENCIAL",IF(CW39&lt;=RÉGUAS!$F$72,"ECO",IF(CN39&gt;RÉGUAS!$F$72,"BIO",)))</f>
        <v>ECO</v>
      </c>
      <c r="CY39" s="22" t="str">
        <f t="shared" si="6"/>
        <v>ECO</v>
      </c>
      <c r="CZ39" s="22" t="str">
        <f>IF(Tabela13[[#This Row],[PRODUTO ATUAL ]]=CY39,"ADERENTE","NÃO ADERENTE")</f>
        <v>NÃO ADERENTE</v>
      </c>
      <c r="DA39" s="22" t="str">
        <f>IF(Tabela13[[#This Row],[PRODUTO ATUAL ]]=Tabela13[[#This Row],[CLASSIFICAÇÃO 
4D2]],"ADERENTE","NÃO ADERENTE")</f>
        <v>ADERENTE</v>
      </c>
    </row>
    <row r="40" spans="2:105" x14ac:dyDescent="0.35">
      <c r="B40" s="27">
        <v>20</v>
      </c>
      <c r="C40" s="22" t="s">
        <v>203</v>
      </c>
      <c r="D40" s="22" t="s">
        <v>118</v>
      </c>
      <c r="E40" s="128">
        <v>528</v>
      </c>
      <c r="F40" s="22" t="str">
        <f t="shared" si="0"/>
        <v>Acima de 400 und</v>
      </c>
      <c r="G40" s="76" t="s">
        <v>14</v>
      </c>
      <c r="H40" s="129">
        <v>1</v>
      </c>
      <c r="I40" s="129">
        <v>22</v>
      </c>
      <c r="J40" s="129">
        <v>1</v>
      </c>
      <c r="K40" s="129">
        <v>23</v>
      </c>
      <c r="L40" s="129">
        <f>SUM(Tabela13[[#This Row],[QTD DE B/T 2]],Tabela13[[#This Row],[QTD DE B/T]])</f>
        <v>2</v>
      </c>
      <c r="M40" s="22">
        <v>8</v>
      </c>
      <c r="N40" s="22">
        <f>Tabela13[[#This Row],[ELEVADOR]]/Tabela13[[#This Row],[BLOCO TOTAL]]</f>
        <v>4</v>
      </c>
      <c r="O40" s="22" t="s">
        <v>6</v>
      </c>
      <c r="P40" s="76" t="s">
        <v>101</v>
      </c>
      <c r="Q40" s="76" t="s">
        <v>101</v>
      </c>
      <c r="R40" s="76" t="s">
        <v>102</v>
      </c>
      <c r="S40" s="76" t="s">
        <v>103</v>
      </c>
      <c r="T40" s="76" t="s">
        <v>104</v>
      </c>
      <c r="U40" s="76" t="s">
        <v>105</v>
      </c>
      <c r="V40" s="22" t="s">
        <v>106</v>
      </c>
      <c r="W40" s="24">
        <f>IF(P40=[1]BD_CUSTO!$E$4,[1]BD_CUSTO!$F$4,[1]BD_CUSTO!$F$5)</f>
        <v>2430</v>
      </c>
      <c r="X40" s="24">
        <f>IF(Q40=[1]BD_CUSTO!$E$6,[1]BD_CUSTO!$F$6,[1]BD_CUSTO!$F$7)</f>
        <v>260</v>
      </c>
      <c r="Y40" s="24">
        <f>IF(R40=[1]BD_CUSTO!$E$8,[1]BD_CUSTO!$F$8,[1]BD_CUSTO!$F$9)</f>
        <v>600</v>
      </c>
      <c r="Z40" s="24">
        <f>IF(S40=[1]BD_CUSTO!$E$10,[1]BD_CUSTO!$F$10,[1]BD_CUSTO!$F$11)</f>
        <v>500</v>
      </c>
      <c r="AA40" s="24">
        <f>IF(T40=[1]BD_CUSTO!$E$12,[1]BD_CUSTO!$F$12,[1]BD_CUSTO!$F$13)</f>
        <v>370</v>
      </c>
      <c r="AB40" s="24">
        <f>IF(U40=[1]BD_CUSTO!$E$14,[1]BD_CUSTO!$F$14,[1]BD_CUSTO!$F$15)</f>
        <v>90</v>
      </c>
      <c r="AC40" s="24">
        <f>IF(V40=[1]BD_CUSTO!$E$16,[1]BD_CUSTO!$F$16,[1]BD_CUSTO!$F$17)</f>
        <v>720</v>
      </c>
      <c r="AD40" s="76" t="s">
        <v>167</v>
      </c>
      <c r="AE40" s="76">
        <v>2</v>
      </c>
      <c r="AF40" s="76" t="s">
        <v>151</v>
      </c>
      <c r="AG40" s="76">
        <v>2</v>
      </c>
      <c r="AH40" s="76" t="s">
        <v>175</v>
      </c>
      <c r="AI40" s="76">
        <v>3</v>
      </c>
      <c r="AJ40" s="76" t="s">
        <v>107</v>
      </c>
      <c r="AK40" s="76">
        <v>3</v>
      </c>
      <c r="AL40" s="76" t="s">
        <v>139</v>
      </c>
      <c r="AM40" s="76">
        <v>2</v>
      </c>
      <c r="AN40" s="76" t="s">
        <v>120</v>
      </c>
      <c r="AO40" s="76">
        <v>1</v>
      </c>
      <c r="AP40" s="76" t="s">
        <v>108</v>
      </c>
      <c r="AQ40" s="76">
        <v>1</v>
      </c>
      <c r="AR40" s="22"/>
      <c r="AS40" s="22"/>
      <c r="AT40" s="22"/>
      <c r="AU40" s="22"/>
      <c r="AV40" s="22"/>
      <c r="AW40" s="22"/>
      <c r="AX40" s="24">
        <f>IF(AD40="",0,VLOOKUP(AD40,[1]BD_CUSTO!I:J,2,0)*AE40/E40)</f>
        <v>310.81481060606063</v>
      </c>
      <c r="AY40" s="24">
        <f>IF(AF40="",0,VLOOKUP(AF40,[1]BD_CUSTO!I:J,2,0)*AG40/E40)</f>
        <v>302.0196590909091</v>
      </c>
      <c r="AZ40" s="24">
        <f>IF(AH40="",0,VLOOKUP(AH40,[1]BD_CUSTO!I:J,2,0)*AI40/E40)</f>
        <v>61.30681818181818</v>
      </c>
      <c r="BA40" s="24">
        <f>IF(AJ40="",0,VLOOKUP(AJ40,[1]BD_CUSTO!I:J,2,0)*AK40/E40)</f>
        <v>483.80181818181813</v>
      </c>
      <c r="BB40" s="24">
        <f>IF(AL40="",0,VLOOKUP(AL40,[1]BD_CUSTO!I:J,2,0)*AM40/E40)</f>
        <v>235.44060606060606</v>
      </c>
      <c r="BC40" s="24">
        <f>IF(AN40="",0,VLOOKUP(AN40,[1]BD_CUSTO!I:J,2,0)*AO40/E40)</f>
        <v>107.7819696969697</v>
      </c>
      <c r="BD40" s="24">
        <f>IF(AP40="",0,VLOOKUP(AP40,[1]BD_CUSTO!I:J,2,0)*AQ40/E40)</f>
        <v>43.844696969696969</v>
      </c>
      <c r="BE40" s="24">
        <f>IF(AR40="",0,VLOOKUP(AR40,CUSTO!I:J,2,0)*AS40/E40)</f>
        <v>0</v>
      </c>
      <c r="BF40" s="24">
        <f>IF(AT40="",0,VLOOKUP(AT40,[1]BD_CUSTO!I:J,2,0)*AU40/E40)</f>
        <v>0</v>
      </c>
      <c r="BG40" s="24">
        <f>IF(Tabela13[[#This Row],[LZ 10]]="",0,VLOOKUP(Tabela13[[#This Row],[LZ 10]],[1]BD_CUSTO!I:J,2,0)*Tabela13[[#This Row],[QTD922]]/E40)</f>
        <v>0</v>
      </c>
      <c r="BH40" s="76" t="s">
        <v>112</v>
      </c>
      <c r="BI40" s="127">
        <v>0.3</v>
      </c>
      <c r="BJ40" s="76" t="s">
        <v>113</v>
      </c>
      <c r="BK40" s="127">
        <v>0</v>
      </c>
      <c r="BL40" s="24">
        <f>IF(BH40=[1]BD_CUSTO!$M$6,[1]BD_CUSTO!$N$6)*BI40</f>
        <v>900</v>
      </c>
      <c r="BM40" s="24">
        <f>IF(BJ40=[1]BD_CUSTO!$M$4,[1]BD_CUSTO!$N$4,[1]BD_CUSTO!$N$5)*BK40</f>
        <v>0</v>
      </c>
      <c r="BN40" s="76" t="s">
        <v>114</v>
      </c>
      <c r="BO40" s="76">
        <v>61</v>
      </c>
      <c r="BP40" s="25">
        <f>Tabela13[[#This Row],[QTD ]]/Tabela13[[#This Row],[Nº UNDS]]</f>
        <v>0.11553030303030302</v>
      </c>
      <c r="BQ40" s="22" t="s">
        <v>115</v>
      </c>
      <c r="BR40" s="22">
        <v>0</v>
      </c>
      <c r="BS40" s="22" t="s">
        <v>116</v>
      </c>
      <c r="BT40" s="22">
        <v>0</v>
      </c>
      <c r="BU40" s="22" t="s">
        <v>16</v>
      </c>
      <c r="BV40" s="22">
        <v>0</v>
      </c>
      <c r="BW40" s="24">
        <f>IF(BN40=[1]BD_CUSTO!$Q$7,[1]BD_CUSTO!$R$7,[1]BD_CUSTO!$R$8)*BO40/E40</f>
        <v>231.06060606060606</v>
      </c>
      <c r="BX40" s="24">
        <f>IF(BQ40=[1]BD_CUSTO!$Q$4,[1]BD_CUSTO!$R$4,[1]BD_CUSTO!$R$5)*BR40/E40</f>
        <v>0</v>
      </c>
      <c r="BY40" s="22">
        <f>IF(BS40=[1]BD_CUSTO!$Q$13,[1]BD_CUSTO!$R$13,[1]BD_CUSTO!$R$14)*BT40/E40</f>
        <v>0</v>
      </c>
      <c r="BZ40" s="24">
        <f>BV40*CUSTO!$R$10/E40</f>
        <v>0</v>
      </c>
      <c r="CA40" s="26">
        <f>SUM(Tabela13[[#This Row],[SOMA_PISO SALA E QUARTO]],Tabela13[[#This Row],[SOMA_PAREDE HIDR]],Tabela13[[#This Row],[SOMA_TETO]],Tabela13[[#This Row],[SOMA_BANCADA]],Tabela13[[#This Row],[SOMA_PEDRAS]])</f>
        <v>3990</v>
      </c>
      <c r="CB40" s="27" t="str">
        <f>IF(CA40&lt;=RÉGUAS!$D$4,"ACAB 01",IF(CA40&lt;=RÉGUAS!$F$4,"ACAB 02",IF(CA40&gt;RÉGUAS!$F$4,"ACAB 03",)))</f>
        <v>ACAB 02</v>
      </c>
      <c r="CC40" s="26">
        <f>SUM(Tabela13[[#This Row],[SOMA_LZ 01]:[SOMA_LZ 10]])</f>
        <v>1545.0103787878791</v>
      </c>
      <c r="CD40" s="22" t="str">
        <f>IF(CC40&lt;=RÉGUAS!$D$13,"LZ 01",IF(CC40&lt;=RÉGUAS!$F$13,"LZ 02",IF(CC40&lt;=RÉGUAS!$H$13,"LZ 03",IF(CC40&gt;RÉGUAS!$H$13,"LZ 04",))))</f>
        <v>LZ 02</v>
      </c>
      <c r="CE40" s="28">
        <f t="shared" si="1"/>
        <v>900</v>
      </c>
      <c r="CF40" s="22" t="str">
        <f>IF(CE40&lt;=RÉGUAS!$D$22,"TIP 01",IF(CE40&lt;=RÉGUAS!$F$22,"TIP 02",IF(CE40&gt;RÉGUAS!$F$22,"TIP 03",)))</f>
        <v>TIP 01</v>
      </c>
      <c r="CG40" s="28">
        <f t="shared" si="2"/>
        <v>231.06060606060606</v>
      </c>
      <c r="CH40" s="22" t="str">
        <f>IF(CG40&lt;=RÉGUAS!$D$32,"VAGA 01",IF(CG40&lt;=RÉGUAS!$F$32,"VAGA 02",IF(CG40&gt;RÉGUAS!$F$32,"VAGA 03",)))</f>
        <v>VAGA 01</v>
      </c>
      <c r="CI40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11440.227272727272</v>
      </c>
      <c r="CJ40" s="85" t="str">
        <f>IF(AND(G40="BLOCO",CI40&lt;=RÉGUAS!$D$40),"ELEV 01",IF(AND(G40="BLOCO",CI40&gt;RÉGUAS!$D$40),"ELEV 02",IF(AND(G40="TORRE",CI40&lt;=RÉGUAS!$K$40),"ELEV 01",IF(AND(G40="TORRE",CI40&lt;=RÉGUAS!$M$40),"ELEV 02",IF(AND(G40="TORRE",CI40&gt;RÉGUAS!$M$40),"ELEV 03",)))))</f>
        <v>ELEV 03</v>
      </c>
      <c r="CK40" s="85">
        <f>SUM(Tabela13[[#This Row],[TOTAL  ACAB]],Tabela13[[#This Row],[TOTAL LAZER ]],Tabela13[[#This Row],[TOTAL TIPOLOGIA]],Tabela13[[#This Row],[TOTAL VAGA]],Tabela13[[#This Row],[TOTAL ELEVADOR]])</f>
        <v>18106.298257575756</v>
      </c>
      <c r="CL40" s="72" t="str">
        <f>IF(AND(G40="BLOCO",CK40&lt;=RÉGUAS!$D$50),"ESSENCIAL",IF(AND(G40="BLOCO",CK40&lt;=RÉGUAS!$F$50),"ECO",IF(AND(G40="BLOCO",CK40&gt;RÉGUAS!$F$50),"BIO",IF(AND(G40="TORRE",CK40&lt;=RÉGUAS!$K$50),"ESSENCIAL",IF(AND(G40="TORRE",CK40&lt;=RÉGUAS!$M$50),"ECO",IF(AND(G40="TORRE",CK40&gt;RÉGUAS!$M$50),"BIO",))))))</f>
        <v>BIO</v>
      </c>
      <c r="CM40" s="28" t="str">
        <f>IF(AND(G40="BLOCO",CK40&gt;=RÉGUAS!$D$51,CK40&lt;=RÉGUAS!$D$50),"ESSENCIAL-10%",IF(AND(G40="BLOCO",CK40&gt;RÉGUAS!$D$50,CK40&lt;=RÉGUAS!$E$51),"ECO+10%",IF(AND(G40="BLOCO",CK40&gt;=RÉGUAS!$F$51,CK40&lt;=RÉGUAS!$F$50),"ECO-10%",IF(AND(G40="BLOCO",CK40&gt;RÉGUAS!$F$50,CK40&lt;=RÉGUAS!$G$51),"BIO+10%",IF(AND(G40="TORRE",CK40&gt;=RÉGUAS!$K$51,CK40&lt;=RÉGUAS!$K$50),"ESSENCIAL-10%",IF(AND(G40="TORRE",CK40&gt;RÉGUAS!$K$50,CK40&lt;=RÉGUAS!$L$51),"ECO+10%",IF(AND(G40="TORRE",CK40&gt;=RÉGUAS!$M$51,CK40&lt;=RÉGUAS!$M$50),"ECO-10%",IF(AND(G40="TORRE",CK40&gt;RÉGUAS!$M$50,CK40&lt;=RÉGUAS!$N$51),"BIO+10%","-"))))))))</f>
        <v>-</v>
      </c>
      <c r="CN40" s="73">
        <f t="shared" si="3"/>
        <v>6666.0709848484848</v>
      </c>
      <c r="CO40" s="72" t="str">
        <f>IF(CN40&lt;=RÉGUAS!$D$58,"ESSENCIAL",IF(CN40&lt;=RÉGUAS!$F$58,"ECO",IF(CN40&gt;RÉGUAS!$F$58,"BIO",)))</f>
        <v>ESSENCIAL</v>
      </c>
      <c r="CP40" s="72" t="str">
        <f>IF(Tabela13[[#This Row],[INTERVALO DE INTERSEÇÃO 5D]]="-",Tabela13[[#This Row],[CLASSIFICAÇÃO 
5D ]],Tabela13[[#This Row],[CLASSIFICAÇÃO 
4D]])</f>
        <v>BIO</v>
      </c>
      <c r="CQ40" s="72" t="str">
        <f t="shared" si="4"/>
        <v>OPOSTO</v>
      </c>
      <c r="CR40" s="72" t="str">
        <f t="shared" si="5"/>
        <v>ECO</v>
      </c>
      <c r="CS40" s="22" t="str">
        <f>IF(Tabela13[[#This Row],[PRODUTO ATUAL ]]=Tabela13[[#This Row],[CLASSIFICAÇÃO FINAL 5D]],"ADERÊNTE","NÃO ADERÊNTE")</f>
        <v>NÃO ADERÊNTE</v>
      </c>
      <c r="CT40" s="24">
        <f>SUM(Tabela13[[#This Row],[TOTAL  ACAB]],Tabela13[[#This Row],[TOTAL LAZER ]],Tabela13[[#This Row],[TOTAL TIPOLOGIA]],Tabela13[[#This Row],[TOTAL VAGA]])</f>
        <v>6666.0709848484848</v>
      </c>
      <c r="CU40" s="22" t="str">
        <f>IF(CT40&lt;=RÉGUAS!$D$58,"ESSENCIAL",IF(CT40&lt;=RÉGUAS!$F$58,"ECO",IF(CT40&gt;RÉGUAS!$F$58,"BIO",)))</f>
        <v>ESSENCIAL</v>
      </c>
      <c r="CV40" s="22" t="str">
        <f>IF(AND(CT40&gt;=RÉGUAS!$D$59,CT40&lt;=RÉGUAS!$E$59),"ESSENCIAL/ECO",IF(AND(CT40&gt;=RÉGUAS!$F$59,CT40&lt;=RÉGUAS!$G$59),"ECO/BIO","-"))</f>
        <v>ESSENCIAL/ECO</v>
      </c>
      <c r="CW40" s="85">
        <f>SUM(Tabela13[[#This Row],[TOTAL LAZER ]],Tabela13[[#This Row],[TOTAL TIPOLOGIA]])</f>
        <v>2445.0103787878788</v>
      </c>
      <c r="CX40" s="22" t="str">
        <f>IF(CW40&lt;=RÉGUAS!$D$72,"ESSENCIAL",IF(CW40&lt;=RÉGUAS!$F$72,"ECO",IF(CN40&gt;RÉGUAS!$F$72,"BIO",)))</f>
        <v>ECO</v>
      </c>
      <c r="CY40" s="22" t="str">
        <f t="shared" si="6"/>
        <v>ECO</v>
      </c>
      <c r="CZ40" s="22" t="str">
        <f>IF(Tabela13[[#This Row],[PRODUTO ATUAL ]]=CY40,"ADERENTE","NÃO ADERENTE")</f>
        <v>NÃO ADERENTE</v>
      </c>
      <c r="DA40" s="22" t="str">
        <f>IF(Tabela13[[#This Row],[PRODUTO ATUAL ]]=Tabela13[[#This Row],[CLASSIFICAÇÃO 
4D2]],"ADERENTE","NÃO ADERENTE")</f>
        <v>ADERENTE</v>
      </c>
    </row>
    <row r="41" spans="2:105" x14ac:dyDescent="0.35">
      <c r="B41" s="27">
        <v>27</v>
      </c>
      <c r="C41" s="22" t="s">
        <v>235</v>
      </c>
      <c r="D41" s="76" t="s">
        <v>100</v>
      </c>
      <c r="E41" s="128">
        <v>720</v>
      </c>
      <c r="F41" s="22" t="str">
        <f t="shared" si="0"/>
        <v>Acima de 400 und</v>
      </c>
      <c r="G41" s="76" t="s">
        <v>1</v>
      </c>
      <c r="H41" s="129">
        <v>36</v>
      </c>
      <c r="I41" s="129">
        <v>5</v>
      </c>
      <c r="J41" s="129"/>
      <c r="K41" s="129"/>
      <c r="L41" s="129">
        <f>SUM(Tabela13[[#This Row],[QTD DE B/T 2]],Tabela13[[#This Row],[QTD DE B/T]])</f>
        <v>36</v>
      </c>
      <c r="M41" s="22">
        <v>0</v>
      </c>
      <c r="N41" s="22">
        <f>Tabela13[[#This Row],[ELEVADOR]]/Tabela13[[#This Row],[BLOCO TOTAL]]</f>
        <v>0</v>
      </c>
      <c r="O41" s="22" t="s">
        <v>6</v>
      </c>
      <c r="P41" s="76" t="s">
        <v>101</v>
      </c>
      <c r="Q41" s="22" t="s">
        <v>101</v>
      </c>
      <c r="R41" s="76" t="s">
        <v>102</v>
      </c>
      <c r="S41" s="76" t="s">
        <v>103</v>
      </c>
      <c r="T41" s="76" t="s">
        <v>104</v>
      </c>
      <c r="U41" s="76" t="s">
        <v>105</v>
      </c>
      <c r="V41" s="22" t="s">
        <v>106</v>
      </c>
      <c r="W41" s="24">
        <f>IF(P41=[1]BD_CUSTO!$E$4,[1]BD_CUSTO!$F$4,[1]BD_CUSTO!$F$5)</f>
        <v>2430</v>
      </c>
      <c r="X41" s="24">
        <f>IF(Q41=[1]BD_CUSTO!$E$6,[1]BD_CUSTO!$F$6,[1]BD_CUSTO!$F$7)</f>
        <v>260</v>
      </c>
      <c r="Y41" s="24">
        <f>IF(R41=[1]BD_CUSTO!$E$8,[1]BD_CUSTO!$F$8,[1]BD_CUSTO!$F$9)</f>
        <v>600</v>
      </c>
      <c r="Z41" s="24">
        <f>IF(S41=[1]BD_CUSTO!$E$10,[1]BD_CUSTO!$F$10,[1]BD_CUSTO!$F$11)</f>
        <v>500</v>
      </c>
      <c r="AA41" s="24">
        <f>IF(T41=[1]BD_CUSTO!$E$12,[1]BD_CUSTO!$F$12,[1]BD_CUSTO!$F$13)</f>
        <v>370</v>
      </c>
      <c r="AB41" s="24">
        <f>IF(U41=[1]BD_CUSTO!$E$14,[1]BD_CUSTO!$F$14,[1]BD_CUSTO!$F$15)</f>
        <v>90</v>
      </c>
      <c r="AC41" s="24">
        <f>IF(V41=[1]BD_CUSTO!$E$16,[1]BD_CUSTO!$F$16,[1]BD_CUSTO!$F$17)</f>
        <v>720</v>
      </c>
      <c r="AD41" s="76" t="s">
        <v>129</v>
      </c>
      <c r="AE41" s="76">
        <v>1</v>
      </c>
      <c r="AF41" s="76" t="s">
        <v>108</v>
      </c>
      <c r="AG41" s="76">
        <v>2</v>
      </c>
      <c r="AH41" s="76" t="s">
        <v>121</v>
      </c>
      <c r="AI41" s="76">
        <v>1</v>
      </c>
      <c r="AJ41" s="76" t="s">
        <v>110</v>
      </c>
      <c r="AK41" s="76">
        <v>1</v>
      </c>
      <c r="AL41" s="76" t="s">
        <v>109</v>
      </c>
      <c r="AM41" s="76">
        <v>1</v>
      </c>
      <c r="AN41" s="76" t="s">
        <v>111</v>
      </c>
      <c r="AO41" s="76">
        <v>1</v>
      </c>
      <c r="AP41" s="76" t="s">
        <v>107</v>
      </c>
      <c r="AQ41" s="76">
        <v>2</v>
      </c>
      <c r="AR41" s="22"/>
      <c r="AS41" s="22"/>
      <c r="AT41" s="22"/>
      <c r="AU41" s="22"/>
      <c r="AV41" s="22"/>
      <c r="AW41" s="22"/>
      <c r="AX41" s="24">
        <f>IF(AD41="",0,VLOOKUP(AD41,[1]BD_CUSTO!I:J,2,0)*AE41/E41)</f>
        <v>382.17719444444447</v>
      </c>
      <c r="AY41" s="24">
        <f>IF(AF41="",0,VLOOKUP(AF41,[1]BD_CUSTO!I:J,2,0)*AG41/E41)</f>
        <v>64.305555555555557</v>
      </c>
      <c r="AZ41" s="24">
        <f>IF(AH41="",0,VLOOKUP(AH41,[1]BD_CUSTO!I:J,2,0)*AI41/E41)</f>
        <v>171.05124999999998</v>
      </c>
      <c r="BA41" s="24">
        <f>IF(AJ41="",0,VLOOKUP(AJ41,[1]BD_CUSTO!I:J,2,0)*AK41/E41)</f>
        <v>7.3611111111111107</v>
      </c>
      <c r="BB41" s="24">
        <f>IF(AL41="",0,VLOOKUP(AL41,[1]BD_CUSTO!I:J,2,0)*AM41/E41)</f>
        <v>9.6527777777777786</v>
      </c>
      <c r="BC41" s="24">
        <f>IF(AN41="",0,VLOOKUP(AN41,[1]BD_CUSTO!I:J,2,0)*AO41/E41)</f>
        <v>22.5</v>
      </c>
      <c r="BD41" s="24">
        <f>IF(AP41="",0,VLOOKUP(AP41,[1]BD_CUSTO!I:J,2,0)*AQ41/E41)</f>
        <v>236.52533333333332</v>
      </c>
      <c r="BE41" s="24">
        <f>IF(AR41="",0,VLOOKUP(AR41,CUSTO!I:J,2,0)*AS41/E41)</f>
        <v>0</v>
      </c>
      <c r="BF41" s="24">
        <f>IF(AT41="",0,VLOOKUP(AT41,[1]BD_CUSTO!I:J,2,0)*AU41/E41)</f>
        <v>0</v>
      </c>
      <c r="BG41" s="24">
        <f>IF(Tabela13[[#This Row],[LZ 10]]="",0,VLOOKUP(Tabela13[[#This Row],[LZ 10]],[1]BD_CUSTO!I:J,2,0)*Tabela13[[#This Row],[QTD922]]/E41)</f>
        <v>0</v>
      </c>
      <c r="BH41" s="76" t="s">
        <v>112</v>
      </c>
      <c r="BI41" s="127">
        <v>0.4</v>
      </c>
      <c r="BJ41" s="76" t="s">
        <v>113</v>
      </c>
      <c r="BK41" s="127">
        <v>0</v>
      </c>
      <c r="BL41" s="24">
        <f>IF(BH41=[1]BD_CUSTO!$M$6,[1]BD_CUSTO!$N$6)*BI41</f>
        <v>1200</v>
      </c>
      <c r="BM41" s="24">
        <f>IF(BJ41=[1]BD_CUSTO!$M$4,[1]BD_CUSTO!$N$4,[1]BD_CUSTO!$N$5)*BK41</f>
        <v>0</v>
      </c>
      <c r="BN41" s="76" t="s">
        <v>114</v>
      </c>
      <c r="BO41" s="76">
        <v>359</v>
      </c>
      <c r="BP41" s="25">
        <f>Tabela13[[#This Row],[QTD ]]/Tabela13[[#This Row],[Nº UNDS]]</f>
        <v>0.49861111111111112</v>
      </c>
      <c r="BQ41" s="76" t="s">
        <v>123</v>
      </c>
      <c r="BR41" s="76">
        <v>220</v>
      </c>
      <c r="BS41" s="22" t="s">
        <v>116</v>
      </c>
      <c r="BT41" s="22">
        <v>0</v>
      </c>
      <c r="BU41" s="22" t="s">
        <v>16</v>
      </c>
      <c r="BV41" s="22">
        <v>0</v>
      </c>
      <c r="BW41" s="24">
        <f>IF(BN41=[1]BD_CUSTO!$Q$7,[1]BD_CUSTO!$R$7,[1]BD_CUSTO!$R$8)*BO41/E41</f>
        <v>997.22222222222217</v>
      </c>
      <c r="BX41" s="24">
        <f>IF(BQ41=[1]BD_CUSTO!$Q$4,[1]BD_CUSTO!$R$4,[1]BD_CUSTO!$R$5)*BR41/E41</f>
        <v>305.55555555555554</v>
      </c>
      <c r="BY41" s="22">
        <f>IF(BS41=[1]BD_CUSTO!$Q$13,[1]BD_CUSTO!$R$13,[1]BD_CUSTO!$R$14)*BT41/E41</f>
        <v>0</v>
      </c>
      <c r="BZ41" s="24">
        <f>BV41*CUSTO!$R$10/E41</f>
        <v>0</v>
      </c>
      <c r="CA41" s="26">
        <f>SUM(Tabela13[[#This Row],[SOMA_PISO SALA E QUARTO]],Tabela13[[#This Row],[SOMA_PAREDE HIDR]],Tabela13[[#This Row],[SOMA_TETO]],Tabela13[[#This Row],[SOMA_BANCADA]],Tabela13[[#This Row],[SOMA_PEDRAS]])</f>
        <v>3990</v>
      </c>
      <c r="CB41" s="27" t="str">
        <f>IF(CA41&lt;=RÉGUAS!$D$4,"ACAB 01",IF(CA41&lt;=RÉGUAS!$F$4,"ACAB 02",IF(CA41&gt;RÉGUAS!$F$4,"ACAB 03",)))</f>
        <v>ACAB 02</v>
      </c>
      <c r="CC41" s="26">
        <f>SUM(Tabela13[[#This Row],[SOMA_LZ 01]:[SOMA_LZ 10]])</f>
        <v>893.57322222222228</v>
      </c>
      <c r="CD41" s="22" t="str">
        <f>IF(CC41&lt;=RÉGUAS!$D$13,"LZ 01",IF(CC41&lt;=RÉGUAS!$F$13,"LZ 02",IF(CC41&lt;=RÉGUAS!$H$13,"LZ 03",IF(CC41&gt;RÉGUAS!$H$13,"LZ 04",))))</f>
        <v>LZ 02</v>
      </c>
      <c r="CE41" s="28">
        <f t="shared" si="1"/>
        <v>1200</v>
      </c>
      <c r="CF41" s="22" t="str">
        <f>IF(CE41&lt;=RÉGUAS!$D$22,"TIP 01",IF(CE41&lt;=RÉGUAS!$F$22,"TIP 02",IF(CE41&gt;RÉGUAS!$F$22,"TIP 03",)))</f>
        <v>TIP 01</v>
      </c>
      <c r="CG41" s="28">
        <f t="shared" si="2"/>
        <v>1302.7777777777778</v>
      </c>
      <c r="CH41" s="22" t="str">
        <f>IF(CG41&lt;=RÉGUAS!$D$32,"VAGA 01",IF(CG41&lt;=RÉGUAS!$F$32,"VAGA 02",IF(CG41&gt;RÉGUAS!$F$32,"VAGA 03",)))</f>
        <v>VAGA 02</v>
      </c>
      <c r="CI41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41" s="85" t="str">
        <f>IF(AND(G41="BLOCO",CI41&lt;=RÉGUAS!$D$40),"ELEV 01",IF(AND(G41="BLOCO",CI41&gt;RÉGUAS!$D$40),"ELEV 02",IF(AND(G41="TORRE",CI41&lt;=RÉGUAS!$K$40),"ELEV 01",IF(AND(G41="TORRE",CI41&lt;=RÉGUAS!$M$40),"ELEV 02",IF(AND(G41="TORRE",CI41&gt;RÉGUAS!$M$40),"ELEV 03",)))))</f>
        <v>ELEV 01</v>
      </c>
      <c r="CK41" s="85">
        <f>SUM(Tabela13[[#This Row],[TOTAL  ACAB]],Tabela13[[#This Row],[TOTAL LAZER ]],Tabela13[[#This Row],[TOTAL TIPOLOGIA]],Tabela13[[#This Row],[TOTAL VAGA]],Tabela13[[#This Row],[TOTAL ELEVADOR]])</f>
        <v>7386.3510000000006</v>
      </c>
      <c r="CL41" s="72" t="str">
        <f>IF(AND(G41="BLOCO",CK41&lt;=RÉGUAS!$D$50),"ESSENCIAL",IF(AND(G41="BLOCO",CK41&lt;=RÉGUAS!$F$50),"ECO",IF(AND(G41="BLOCO",CK41&gt;RÉGUAS!$F$50),"BIO",IF(AND(G41="TORRE",CK41&lt;=RÉGUAS!$K$50),"ESSENCIAL",IF(AND(G41="TORRE",CK41&lt;=RÉGUAS!$M$50),"ECO",IF(AND(G41="TORRE",CK41&gt;RÉGUAS!$M$50),"BIO",))))))</f>
        <v>ESSENCIAL</v>
      </c>
      <c r="CM41" s="28" t="str">
        <f>IF(AND(G41="BLOCO",CK41&gt;=RÉGUAS!$D$51,CK41&lt;=RÉGUAS!$D$50),"ESSENCIAL-10%",IF(AND(G41="BLOCO",CK41&gt;RÉGUAS!$D$50,CK41&lt;=RÉGUAS!$E$51),"ECO+10%",IF(AND(G41="BLOCO",CK41&gt;=RÉGUAS!$F$51,CK41&lt;=RÉGUAS!$F$50),"ECO-10%",IF(AND(G41="BLOCO",CK41&gt;RÉGUAS!$F$50,CK41&lt;=RÉGUAS!$G$51),"BIO+10%",IF(AND(G41="TORRE",CK41&gt;=RÉGUAS!$K$51,CK41&lt;=RÉGUAS!$K$50),"ESSENCIAL-10%",IF(AND(G41="TORRE",CK41&gt;RÉGUAS!$K$50,CK41&lt;=RÉGUAS!$L$51),"ECO+10%",IF(AND(G41="TORRE",CK41&gt;=RÉGUAS!$M$51,CK41&lt;=RÉGUAS!$M$50),"ECO-10%",IF(AND(G41="TORRE",CK41&gt;RÉGUAS!$M$50,CK41&lt;=RÉGUAS!$N$51),"BIO+10%","-"))))))))</f>
        <v>ESSENCIAL-10%</v>
      </c>
      <c r="CN41" s="73">
        <f t="shared" si="3"/>
        <v>7386.3510000000006</v>
      </c>
      <c r="CO41" s="72" t="str">
        <f>IF(CN41&lt;=RÉGUAS!$D$58,"ESSENCIAL",IF(CN41&lt;=RÉGUAS!$F$58,"ECO",IF(CN41&gt;RÉGUAS!$F$58,"BIO",)))</f>
        <v>ECO</v>
      </c>
      <c r="CP41" s="72" t="str">
        <f>IF(Tabela13[[#This Row],[INTERVALO DE INTERSEÇÃO 5D]]="-",Tabela13[[#This Row],[CLASSIFICAÇÃO 
5D ]],Tabela13[[#This Row],[CLASSIFICAÇÃO 
4D]])</f>
        <v>ECO</v>
      </c>
      <c r="CQ41" s="72" t="str">
        <f t="shared" si="4"/>
        <v>-</v>
      </c>
      <c r="CR41" s="72" t="str">
        <f t="shared" si="5"/>
        <v>ECO</v>
      </c>
      <c r="CS41" s="22" t="str">
        <f>IF(Tabela13[[#This Row],[PRODUTO ATUAL ]]=Tabela13[[#This Row],[CLASSIFICAÇÃO FINAL 5D]],"ADERÊNTE","NÃO ADERÊNTE")</f>
        <v>NÃO ADERÊNTE</v>
      </c>
      <c r="CT41" s="24">
        <f>SUM(Tabela13[[#This Row],[TOTAL  ACAB]],Tabela13[[#This Row],[TOTAL LAZER ]],Tabela13[[#This Row],[TOTAL TIPOLOGIA]],Tabela13[[#This Row],[TOTAL VAGA]])</f>
        <v>7386.3510000000006</v>
      </c>
      <c r="CU41" s="22" t="str">
        <f>IF(CT41&lt;=RÉGUAS!$D$58,"ESSENCIAL",IF(CT41&lt;=RÉGUAS!$F$58,"ECO",IF(CT41&gt;RÉGUAS!$F$58,"BIO",)))</f>
        <v>ECO</v>
      </c>
      <c r="CV41" s="22" t="str">
        <f>IF(AND(CT41&gt;=RÉGUAS!$D$59,CT41&lt;=RÉGUAS!$E$59),"ESSENCIAL/ECO",IF(AND(CT41&gt;=RÉGUAS!$F$59,CT41&lt;=RÉGUAS!$G$59),"ECO/BIO","-"))</f>
        <v>ESSENCIAL/ECO</v>
      </c>
      <c r="CW41" s="85">
        <f>SUM(Tabela13[[#This Row],[TOTAL LAZER ]],Tabela13[[#This Row],[TOTAL TIPOLOGIA]])</f>
        <v>2093.5732222222223</v>
      </c>
      <c r="CX41" s="22" t="str">
        <f>IF(CW41&lt;=RÉGUAS!$D$72,"ESSENCIAL",IF(CW41&lt;=RÉGUAS!$F$72,"ECO",IF(CN41&gt;RÉGUAS!$F$72,"BIO",)))</f>
        <v>ESSENCIAL</v>
      </c>
      <c r="CY41" s="22" t="str">
        <f t="shared" si="6"/>
        <v>ESSENCIAL</v>
      </c>
      <c r="CZ41" s="22" t="str">
        <f>IF(Tabela13[[#This Row],[PRODUTO ATUAL ]]=CY41,"ADERENTE","NÃO ADERENTE")</f>
        <v>ADERENTE</v>
      </c>
      <c r="DA41" s="22" t="str">
        <f>IF(Tabela13[[#This Row],[PRODUTO ATUAL ]]=Tabela13[[#This Row],[CLASSIFICAÇÃO 
4D2]],"ADERENTE","NÃO ADERENTE")</f>
        <v>NÃO ADERENTE</v>
      </c>
    </row>
    <row r="42" spans="2:105" hidden="1" x14ac:dyDescent="0.35">
      <c r="B42" s="27">
        <v>29</v>
      </c>
      <c r="C42" s="22" t="s">
        <v>239</v>
      </c>
      <c r="D42" s="76" t="s">
        <v>128</v>
      </c>
      <c r="E42" s="128">
        <v>580</v>
      </c>
      <c r="F42" s="22" t="str">
        <f t="shared" si="0"/>
        <v>Acima de 400 und</v>
      </c>
      <c r="G42" s="76" t="s">
        <v>1</v>
      </c>
      <c r="H42" s="129">
        <v>29</v>
      </c>
      <c r="I42" s="129">
        <v>5</v>
      </c>
      <c r="J42" s="129"/>
      <c r="K42" s="129"/>
      <c r="L42" s="129">
        <f>SUM(Tabela13[[#This Row],[QTD DE B/T 2]],Tabela13[[#This Row],[QTD DE B/T]])</f>
        <v>29</v>
      </c>
      <c r="M42" s="22">
        <v>0</v>
      </c>
      <c r="N42" s="22">
        <f>Tabela13[[#This Row],[ELEVADOR]]/Tabela13[[#This Row],[BLOCO TOTAL]]</f>
        <v>0</v>
      </c>
      <c r="O42" s="22" t="s">
        <v>6</v>
      </c>
      <c r="P42" s="76" t="s">
        <v>101</v>
      </c>
      <c r="Q42" s="76" t="s">
        <v>101</v>
      </c>
      <c r="R42" s="76" t="s">
        <v>102</v>
      </c>
      <c r="S42" s="76" t="s">
        <v>103</v>
      </c>
      <c r="T42" s="76" t="s">
        <v>104</v>
      </c>
      <c r="U42" s="76" t="s">
        <v>105</v>
      </c>
      <c r="V42" s="22" t="s">
        <v>106</v>
      </c>
      <c r="W42" s="24">
        <f>IF(P42=[1]BD_CUSTO!$E$4,[1]BD_CUSTO!$F$4,[1]BD_CUSTO!$F$5)</f>
        <v>2430</v>
      </c>
      <c r="X42" s="24">
        <f>IF(Q42=[1]BD_CUSTO!$E$6,[1]BD_CUSTO!$F$6,[1]BD_CUSTO!$F$7)</f>
        <v>260</v>
      </c>
      <c r="Y42" s="24">
        <f>IF(R42=[1]BD_CUSTO!$E$8,[1]BD_CUSTO!$F$8,[1]BD_CUSTO!$F$9)</f>
        <v>600</v>
      </c>
      <c r="Z42" s="24">
        <f>IF(S42=[1]BD_CUSTO!$E$10,[1]BD_CUSTO!$F$10,[1]BD_CUSTO!$F$11)</f>
        <v>500</v>
      </c>
      <c r="AA42" s="24">
        <f>IF(T42=[1]BD_CUSTO!$E$12,[1]BD_CUSTO!$F$12,[1]BD_CUSTO!$F$13)</f>
        <v>370</v>
      </c>
      <c r="AB42" s="24">
        <f>IF(U42=[1]BD_CUSTO!$E$14,[1]BD_CUSTO!$F$14,[1]BD_CUSTO!$F$15)</f>
        <v>90</v>
      </c>
      <c r="AC42" s="24">
        <f>IF(V42=[1]BD_CUSTO!$E$16,[1]BD_CUSTO!$F$16,[1]BD_CUSTO!$F$17)</f>
        <v>720</v>
      </c>
      <c r="AD42" s="76" t="s">
        <v>110</v>
      </c>
      <c r="AE42" s="76">
        <v>1</v>
      </c>
      <c r="AF42" s="76" t="s">
        <v>108</v>
      </c>
      <c r="AG42" s="76">
        <v>1</v>
      </c>
      <c r="AH42" s="76" t="s">
        <v>129</v>
      </c>
      <c r="AI42" s="76">
        <v>1</v>
      </c>
      <c r="AJ42" s="76" t="s">
        <v>107</v>
      </c>
      <c r="AK42" s="76">
        <v>1</v>
      </c>
      <c r="AL42" s="76" t="s">
        <v>120</v>
      </c>
      <c r="AM42" s="76">
        <v>1</v>
      </c>
      <c r="AN42" s="76" t="s">
        <v>175</v>
      </c>
      <c r="AO42" s="76">
        <v>1</v>
      </c>
      <c r="AP42" s="76" t="s">
        <v>126</v>
      </c>
      <c r="AQ42" s="76">
        <v>1</v>
      </c>
      <c r="AR42" s="76" t="s">
        <v>121</v>
      </c>
      <c r="AS42" s="76">
        <v>1</v>
      </c>
      <c r="AT42" s="22"/>
      <c r="AU42" s="22"/>
      <c r="AV42" s="22"/>
      <c r="AW42" s="22"/>
      <c r="AX42" s="24">
        <f>IF(AD42="",0,VLOOKUP(AD42,[1]BD_CUSTO!I:J,2,0)*AE42/E42)</f>
        <v>9.137931034482758</v>
      </c>
      <c r="AY42" s="24">
        <f>IF(AF42="",0,VLOOKUP(AF42,[1]BD_CUSTO!I:J,2,0)*AG42/E42)</f>
        <v>39.913793103448278</v>
      </c>
      <c r="AZ42" s="24">
        <f>IF(AH42="",0,VLOOKUP(AH42,[1]BD_CUSTO!I:J,2,0)*AI42/E42)</f>
        <v>474.42686206896553</v>
      </c>
      <c r="BA42" s="24">
        <f>IF(AJ42="",0,VLOOKUP(AJ42,[1]BD_CUSTO!I:J,2,0)*AK42/E42)</f>
        <v>146.80882758620689</v>
      </c>
      <c r="BB42" s="24">
        <f>IF(AL42="",0,VLOOKUP(AL42,[1]BD_CUSTO!I:J,2,0)*AM42/E42)</f>
        <v>98.118758620689647</v>
      </c>
      <c r="BC42" s="24">
        <f>IF(AN42="",0,VLOOKUP(AN42,[1]BD_CUSTO!I:J,2,0)*AO42/E42)</f>
        <v>18.603448275862068</v>
      </c>
      <c r="BD42" s="24">
        <f>IF(AP42="",0,VLOOKUP(AP42,[1]BD_CUSTO!I:J,2,0)*AQ42/E42)</f>
        <v>13.03448275862069</v>
      </c>
      <c r="BE42" s="24">
        <f>IF(AR42="",0,VLOOKUP(AR42,CUSTO!I:J,2,0)*AS42/E42)</f>
        <v>359.14827586206894</v>
      </c>
      <c r="BF42" s="24">
        <f>IF(AT42="",0,VLOOKUP(AT42,[1]BD_CUSTO!I:J,2,0)*AU42/E42)</f>
        <v>0</v>
      </c>
      <c r="BG42" s="24">
        <f>IF(Tabela13[[#This Row],[LZ 10]]="",0,VLOOKUP(Tabela13[[#This Row],[LZ 10]],[1]BD_CUSTO!I:J,2,0)*Tabela13[[#This Row],[QTD922]]/E42)</f>
        <v>0</v>
      </c>
      <c r="BH42" s="76" t="s">
        <v>112</v>
      </c>
      <c r="BI42" s="127">
        <v>0.39</v>
      </c>
      <c r="BJ42" s="76" t="s">
        <v>113</v>
      </c>
      <c r="BK42" s="127">
        <v>0</v>
      </c>
      <c r="BL42" s="24">
        <f>IF(BH42=[1]BD_CUSTO!$M$6,[1]BD_CUSTO!$N$6)*BI42</f>
        <v>1170</v>
      </c>
      <c r="BM42" s="24">
        <f>IF(BJ42=[1]BD_CUSTO!$M$4,[1]BD_CUSTO!$N$4,[1]BD_CUSTO!$N$5)*BK42</f>
        <v>0</v>
      </c>
      <c r="BN42" s="76" t="s">
        <v>114</v>
      </c>
      <c r="BO42" s="76">
        <v>309</v>
      </c>
      <c r="BP42" s="25">
        <f>Tabela13[[#This Row],[QTD ]]/Tabela13[[#This Row],[Nº UNDS]]</f>
        <v>0.53275862068965518</v>
      </c>
      <c r="BQ42" s="76" t="s">
        <v>123</v>
      </c>
      <c r="BR42" s="76">
        <v>158</v>
      </c>
      <c r="BS42" s="76" t="s">
        <v>116</v>
      </c>
      <c r="BT42" s="22">
        <v>0</v>
      </c>
      <c r="BU42" s="22" t="s">
        <v>16</v>
      </c>
      <c r="BV42" s="22">
        <v>0</v>
      </c>
      <c r="BW42" s="24">
        <f>IF(BN42=[1]BD_CUSTO!$Q$7,[1]BD_CUSTO!$R$7,[1]BD_CUSTO!$R$8)*BO42/E42</f>
        <v>1065.5172413793102</v>
      </c>
      <c r="BX42" s="24">
        <f>IF(BQ42=[1]BD_CUSTO!$Q$4,[1]BD_CUSTO!$R$4,[1]BD_CUSTO!$R$5)*BR42/E42</f>
        <v>272.41379310344826</v>
      </c>
      <c r="BY42" s="22">
        <f>IF(BS42=[1]BD_CUSTO!$Q$13,[1]BD_CUSTO!$R$13,[1]BD_CUSTO!$R$14)*BT42/E42</f>
        <v>0</v>
      </c>
      <c r="BZ42" s="24">
        <f>BV42*CUSTO!$R$10/E42</f>
        <v>0</v>
      </c>
      <c r="CA42" s="26">
        <f>SUM(Tabela13[[#This Row],[SOMA_PISO SALA E QUARTO]],Tabela13[[#This Row],[SOMA_PAREDE HIDR]],Tabela13[[#This Row],[SOMA_TETO]],Tabela13[[#This Row],[SOMA_BANCADA]],Tabela13[[#This Row],[SOMA_PEDRAS]])</f>
        <v>3990</v>
      </c>
      <c r="CB42" s="27" t="str">
        <f>IF(CA42&lt;=RÉGUAS!$D$4,"ACAB 01",IF(CA42&lt;=RÉGUAS!$F$4,"ACAB 02",IF(CA42&gt;RÉGUAS!$F$4,"ACAB 03",)))</f>
        <v>ACAB 02</v>
      </c>
      <c r="CC42" s="26">
        <f>SUM(Tabela13[[#This Row],[SOMA_LZ 01]:[SOMA_LZ 10]])</f>
        <v>1159.1923793103449</v>
      </c>
      <c r="CD42" s="22" t="str">
        <f>IF(CC42&lt;=RÉGUAS!$D$13,"LZ 01",IF(CC42&lt;=RÉGUAS!$F$13,"LZ 02",IF(CC42&lt;=RÉGUAS!$H$13,"LZ 03",IF(CC42&gt;RÉGUAS!$H$13,"LZ 04",))))</f>
        <v>LZ 02</v>
      </c>
      <c r="CE42" s="28">
        <f t="shared" si="1"/>
        <v>1170</v>
      </c>
      <c r="CF42" s="22" t="str">
        <f>IF(CE42&lt;=RÉGUAS!$D$22,"TIP 01",IF(CE42&lt;=RÉGUAS!$F$22,"TIP 02",IF(CE42&gt;RÉGUAS!$F$22,"TIP 03",)))</f>
        <v>TIP 01</v>
      </c>
      <c r="CG42" s="28">
        <f t="shared" si="2"/>
        <v>1337.9310344827586</v>
      </c>
      <c r="CH42" s="22" t="str">
        <f>IF(CG42&lt;=RÉGUAS!$D$32,"VAGA 01",IF(CG42&lt;=RÉGUAS!$F$32,"VAGA 02",IF(CG42&gt;RÉGUAS!$F$32,"VAGA 03",)))</f>
        <v>VAGA 02</v>
      </c>
      <c r="CI42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42" s="85" t="str">
        <f>IF(AND(G42="BLOCO",CI42&lt;=RÉGUAS!$D$40),"ELEV 01",IF(AND(G42="BLOCO",CI42&gt;RÉGUAS!$D$40),"ELEV 02",IF(AND(G42="TORRE",CI42&lt;=RÉGUAS!$K$40),"ELEV 01",IF(AND(G42="TORRE",CI42&lt;=RÉGUAS!$M$40),"ELEV 02",IF(AND(G42="TORRE",CI42&gt;RÉGUAS!$M$40),"ELEV 03",)))))</f>
        <v>ELEV 01</v>
      </c>
      <c r="CK42" s="85">
        <f>SUM(Tabela13[[#This Row],[TOTAL  ACAB]],Tabela13[[#This Row],[TOTAL LAZER ]],Tabela13[[#This Row],[TOTAL TIPOLOGIA]],Tabela13[[#This Row],[TOTAL VAGA]],Tabela13[[#This Row],[TOTAL ELEVADOR]])</f>
        <v>7657.1234137931042</v>
      </c>
      <c r="CL42" s="72" t="str">
        <f>IF(AND(G42="BLOCO",CK42&lt;=RÉGUAS!$D$50),"ESSENCIAL",IF(AND(G42="BLOCO",CK42&lt;=RÉGUAS!$F$50),"ECO",IF(AND(G42="BLOCO",CK42&gt;RÉGUAS!$F$50),"BIO",IF(AND(G42="TORRE",CK42&lt;=RÉGUAS!$K$50),"ESSENCIAL",IF(AND(G42="TORRE",CK42&lt;=RÉGUAS!$M$50),"ECO",IF(AND(G42="TORRE",CK42&gt;RÉGUAS!$M$50),"BIO",))))))</f>
        <v>ESSENCIAL</v>
      </c>
      <c r="CM42" s="28" t="str">
        <f>IF(AND(G42="BLOCO",CK42&gt;=RÉGUAS!$D$51,CK42&lt;=RÉGUAS!$D$50),"ESSENCIAL-10%",IF(AND(G42="BLOCO",CK42&gt;RÉGUAS!$D$50,CK42&lt;=RÉGUAS!$E$51),"ECO+10%",IF(AND(G42="BLOCO",CK42&gt;=RÉGUAS!$F$51,CK42&lt;=RÉGUAS!$F$50),"ECO-10%",IF(AND(G42="BLOCO",CK42&gt;RÉGUAS!$F$50,CK42&lt;=RÉGUAS!$G$51),"BIO+10%",IF(AND(G42="TORRE",CK42&gt;=RÉGUAS!$K$51,CK42&lt;=RÉGUAS!$K$50),"ESSENCIAL-10%",IF(AND(G42="TORRE",CK42&gt;RÉGUAS!$K$50,CK42&lt;=RÉGUAS!$L$51),"ECO+10%",IF(AND(G42="TORRE",CK42&gt;=RÉGUAS!$M$51,CK42&lt;=RÉGUAS!$M$50),"ECO-10%",IF(AND(G42="TORRE",CK42&gt;RÉGUAS!$M$50,CK42&lt;=RÉGUAS!$N$51),"BIO+10%","-"))))))))</f>
        <v>ESSENCIAL-10%</v>
      </c>
      <c r="CN42" s="73">
        <f t="shared" si="3"/>
        <v>7657.1234137931042</v>
      </c>
      <c r="CO42" s="72" t="str">
        <f>IF(CN42&lt;=RÉGUAS!$D$58,"ESSENCIAL",IF(CN42&lt;=RÉGUAS!$F$58,"ECO",IF(CN42&gt;RÉGUAS!$F$58,"BIO",)))</f>
        <v>ECO</v>
      </c>
      <c r="CP42" s="72" t="str">
        <f>IF(Tabela13[[#This Row],[INTERVALO DE INTERSEÇÃO 5D]]="-",Tabela13[[#This Row],[CLASSIFICAÇÃO 
5D ]],Tabela13[[#This Row],[CLASSIFICAÇÃO 
4D]])</f>
        <v>ECO</v>
      </c>
      <c r="CQ42" s="72" t="str">
        <f t="shared" si="4"/>
        <v>-</v>
      </c>
      <c r="CR42" s="72" t="str">
        <f t="shared" si="5"/>
        <v>ECO</v>
      </c>
      <c r="CS42" s="22" t="str">
        <f>IF(Tabela13[[#This Row],[PRODUTO ATUAL ]]=Tabela13[[#This Row],[CLASSIFICAÇÃO FINAL 5D]],"ADERÊNTE","NÃO ADERÊNTE")</f>
        <v>NÃO ADERÊNTE</v>
      </c>
      <c r="CT42" s="24">
        <f>SUM(Tabela13[[#This Row],[TOTAL  ACAB]],Tabela13[[#This Row],[TOTAL LAZER ]],Tabela13[[#This Row],[TOTAL TIPOLOGIA]],Tabela13[[#This Row],[TOTAL VAGA]])</f>
        <v>7657.1234137931042</v>
      </c>
      <c r="CU42" s="22" t="str">
        <f>IF(CT42&lt;=RÉGUAS!$D$58,"ESSENCIAL",IF(CT42&lt;=RÉGUAS!$F$58,"ECO",IF(CT42&gt;RÉGUAS!$F$58,"BIO",)))</f>
        <v>ECO</v>
      </c>
      <c r="CV42" s="22" t="str">
        <f>IF(AND(CT42&gt;=RÉGUAS!$D$59,CT42&lt;=RÉGUAS!$E$59),"ESSENCIAL/ECO",IF(AND(CT42&gt;=RÉGUAS!$F$59,CT42&lt;=RÉGUAS!$G$59),"ECO/BIO","-"))</f>
        <v>-</v>
      </c>
      <c r="CW42" s="85">
        <f>SUM(Tabela13[[#This Row],[TOTAL LAZER ]],Tabela13[[#This Row],[TOTAL TIPOLOGIA]])</f>
        <v>2329.1923793103451</v>
      </c>
      <c r="CX42" s="22" t="str">
        <f>IF(CW42&lt;=RÉGUAS!$D$72,"ESSENCIAL",IF(CW42&lt;=RÉGUAS!$F$72,"ECO",IF(CN42&gt;RÉGUAS!$F$72,"BIO",)))</f>
        <v>ECO</v>
      </c>
      <c r="CY42" s="22" t="str">
        <f t="shared" si="6"/>
        <v>ECO</v>
      </c>
      <c r="CZ42" s="22" t="str">
        <f>IF(Tabela13[[#This Row],[PRODUTO ATUAL ]]=CY42,"ADERENTE","NÃO ADERENTE")</f>
        <v>NÃO ADERENTE</v>
      </c>
      <c r="DA42" s="22" t="str">
        <f>IF(Tabela13[[#This Row],[PRODUTO ATUAL ]]=Tabela13[[#This Row],[CLASSIFICAÇÃO 
4D2]],"ADERENTE","NÃO ADERENTE")</f>
        <v>NÃO ADERENTE</v>
      </c>
    </row>
    <row r="43" spans="2:105" hidden="1" x14ac:dyDescent="0.35">
      <c r="B43" s="27">
        <v>25</v>
      </c>
      <c r="C43" s="22" t="s">
        <v>185</v>
      </c>
      <c r="D43" s="22" t="s">
        <v>100</v>
      </c>
      <c r="E43" s="23">
        <v>592</v>
      </c>
      <c r="F43" s="22" t="str">
        <f t="shared" si="0"/>
        <v>Acima de 400 und</v>
      </c>
      <c r="G43" s="22" t="s">
        <v>1</v>
      </c>
      <c r="H43" s="36">
        <v>37</v>
      </c>
      <c r="I43" s="36">
        <v>4</v>
      </c>
      <c r="J43" s="36"/>
      <c r="K43" s="36"/>
      <c r="L43" s="36">
        <f>SUM(Tabela13[[#This Row],[QTD DE B/T 2]],Tabela13[[#This Row],[QTD DE B/T]])</f>
        <v>37</v>
      </c>
      <c r="M43" s="22">
        <v>3</v>
      </c>
      <c r="N43" s="22">
        <f>Tabela13[[#This Row],[ELEVADOR]]/Tabela13[[#This Row],[BLOCO TOTAL]]</f>
        <v>8.1081081081081086E-2</v>
      </c>
      <c r="O43" s="22" t="s">
        <v>6</v>
      </c>
      <c r="P43" s="22" t="s">
        <v>101</v>
      </c>
      <c r="Q43" s="22" t="s">
        <v>101</v>
      </c>
      <c r="R43" s="22" t="s">
        <v>102</v>
      </c>
      <c r="S43" s="22" t="s">
        <v>103</v>
      </c>
      <c r="T43" s="22" t="s">
        <v>104</v>
      </c>
      <c r="U43" s="22" t="s">
        <v>105</v>
      </c>
      <c r="V43" s="22" t="s">
        <v>106</v>
      </c>
      <c r="W43" s="24">
        <f>IF(P43=[1]BD_CUSTO!$E$4,[1]BD_CUSTO!$F$4,[1]BD_CUSTO!$F$5)</f>
        <v>2430</v>
      </c>
      <c r="X43" s="24">
        <f>IF(Q43=[1]BD_CUSTO!$E$6,[1]BD_CUSTO!$F$6,[1]BD_CUSTO!$F$7)</f>
        <v>260</v>
      </c>
      <c r="Y43" s="24">
        <f>IF(R43=[1]BD_CUSTO!$E$8,[1]BD_CUSTO!$F$8,[1]BD_CUSTO!$F$9)</f>
        <v>600</v>
      </c>
      <c r="Z43" s="24">
        <f>IF(S43=[1]BD_CUSTO!$E$10,[1]BD_CUSTO!$F$10,[1]BD_CUSTO!$F$11)</f>
        <v>500</v>
      </c>
      <c r="AA43" s="24">
        <f>IF(T43=[1]BD_CUSTO!$E$12,[1]BD_CUSTO!$F$12,[1]BD_CUSTO!$F$13)</f>
        <v>370</v>
      </c>
      <c r="AB43" s="24">
        <f>IF(U43=[1]BD_CUSTO!$E$14,[1]BD_CUSTO!$F$14,[1]BD_CUSTO!$F$15)</f>
        <v>90</v>
      </c>
      <c r="AC43" s="24">
        <f>IF(V43=[1]BD_CUSTO!$E$16,[1]BD_CUSTO!$F$16,[1]BD_CUSTO!$F$17)</f>
        <v>720</v>
      </c>
      <c r="AD43" s="22" t="s">
        <v>110</v>
      </c>
      <c r="AE43" s="22">
        <v>1</v>
      </c>
      <c r="AF43" s="22" t="s">
        <v>108</v>
      </c>
      <c r="AG43" s="22">
        <v>1</v>
      </c>
      <c r="AH43" s="22" t="s">
        <v>111</v>
      </c>
      <c r="AI43" s="22">
        <v>1</v>
      </c>
      <c r="AJ43" s="22" t="s">
        <v>107</v>
      </c>
      <c r="AK43" s="22">
        <v>3</v>
      </c>
      <c r="AL43" s="22" t="s">
        <v>120</v>
      </c>
      <c r="AM43" s="22">
        <v>1</v>
      </c>
      <c r="AN43" s="22" t="s">
        <v>133</v>
      </c>
      <c r="AO43" s="22">
        <v>2</v>
      </c>
      <c r="AP43" s="22" t="s">
        <v>126</v>
      </c>
      <c r="AQ43" s="22">
        <v>1</v>
      </c>
      <c r="AR43" s="22"/>
      <c r="AS43" s="22"/>
      <c r="AT43" s="22"/>
      <c r="AU43" s="22"/>
      <c r="AV43" s="22"/>
      <c r="AW43" s="22"/>
      <c r="AX43" s="24">
        <f>IF(AD43="",0,VLOOKUP(AD43,[1]BD_CUSTO!I:J,2,0)*AE43/E43)</f>
        <v>8.9527027027027035</v>
      </c>
      <c r="AY43" s="24">
        <f>IF(AF43="",0,VLOOKUP(AF43,[1]BD_CUSTO!I:J,2,0)*AG43/E43)</f>
        <v>39.104729729729726</v>
      </c>
      <c r="AZ43" s="24">
        <f>IF(AH43="",0,VLOOKUP(AH43,[1]BD_CUSTO!I:J,2,0)*AI43/E43)</f>
        <v>27.364864864864863</v>
      </c>
      <c r="BA43" s="24">
        <f>IF(AJ43="",0,VLOOKUP(AJ43,[1]BD_CUSTO!I:J,2,0)*AK43/E43)</f>
        <v>431.49891891891889</v>
      </c>
      <c r="BB43" s="24">
        <f>IF(AL43="",0,VLOOKUP(AL43,[1]BD_CUSTO!I:J,2,0)*AM43/E43)</f>
        <v>96.129864864864857</v>
      </c>
      <c r="BC43" s="24">
        <f>IF(AN43="",0,VLOOKUP(AN43,[1]BD_CUSTO!I:J,2,0)*AO43/E43)</f>
        <v>23.513513513513512</v>
      </c>
      <c r="BD43" s="24">
        <f>IF(AP43="",0,VLOOKUP(AP43,[1]BD_CUSTO!I:J,2,0)*AQ43/E43)</f>
        <v>12.77027027027027</v>
      </c>
      <c r="BE43" s="24">
        <f>IF(AR43="",0,VLOOKUP(AR43,CUSTO!I:J,2,0)*AS43/E43)</f>
        <v>0</v>
      </c>
      <c r="BF43" s="24">
        <f>IF(AT43="",0,VLOOKUP(AT43,[1]BD_CUSTO!I:J,2,0)*AU43/E43)</f>
        <v>0</v>
      </c>
      <c r="BG43" s="24">
        <f>IF(Tabela13[[#This Row],[LZ 10]]="",0,VLOOKUP(Tabela13[[#This Row],[LZ 10]],[1]BD_CUSTO!I:J,2,0)*Tabela13[[#This Row],[QTD922]]/E43)</f>
        <v>0</v>
      </c>
      <c r="BH43" s="22" t="s">
        <v>112</v>
      </c>
      <c r="BI43" s="25">
        <v>0.375</v>
      </c>
      <c r="BJ43" s="22" t="s">
        <v>113</v>
      </c>
      <c r="BK43" s="25">
        <v>0</v>
      </c>
      <c r="BL43" s="24">
        <f>IF(BH43=[1]BD_CUSTO!$M$6,[1]BD_CUSTO!$N$6)*BI43</f>
        <v>1125</v>
      </c>
      <c r="BM43" s="24">
        <f>IF(BJ43=[1]BD_CUSTO!$M$4,[1]BD_CUSTO!$N$4,[1]BD_CUSTO!$N$5)*BK43</f>
        <v>0</v>
      </c>
      <c r="BN43" s="22" t="s">
        <v>114</v>
      </c>
      <c r="BO43" s="22">
        <v>592</v>
      </c>
      <c r="BP43" s="25">
        <f>Tabela13[[#This Row],[QTD ]]/Tabela13[[#This Row],[Nº UNDS]]</f>
        <v>1</v>
      </c>
      <c r="BQ43" s="22" t="s">
        <v>115</v>
      </c>
      <c r="BR43" s="22">
        <v>0</v>
      </c>
      <c r="BS43" s="22" t="s">
        <v>116</v>
      </c>
      <c r="BT43" s="22">
        <v>0</v>
      </c>
      <c r="BU43" s="22" t="s">
        <v>16</v>
      </c>
      <c r="BV43" s="22">
        <v>0</v>
      </c>
      <c r="BW43" s="24">
        <f>IF(BN43=[1]BD_CUSTO!$Q$7,[1]BD_CUSTO!$R$7,[1]BD_CUSTO!$R$8)*BO43/E43</f>
        <v>2000</v>
      </c>
      <c r="BX43" s="24">
        <f>IF(BQ43=[1]BD_CUSTO!$Q$4,[1]BD_CUSTO!$R$4,[1]BD_CUSTO!$R$5)*BR43/E43</f>
        <v>0</v>
      </c>
      <c r="BY43" s="22">
        <f>IF(BS43=[1]BD_CUSTO!$Q$13,[1]BD_CUSTO!$R$13,[1]BD_CUSTO!$R$14)*BT43/E43</f>
        <v>0</v>
      </c>
      <c r="BZ43" s="24">
        <f>BV43*CUSTO!$R$10/E43</f>
        <v>0</v>
      </c>
      <c r="CA43" s="26">
        <f>SUM(Tabela13[[#This Row],[SOMA_PISO SALA E QUARTO]],Tabela13[[#This Row],[SOMA_PAREDE HIDR]],Tabela13[[#This Row],[SOMA_TETO]],Tabela13[[#This Row],[SOMA_BANCADA]],Tabela13[[#This Row],[SOMA_PEDRAS]])</f>
        <v>3990</v>
      </c>
      <c r="CB43" s="27" t="str">
        <f>IF(CA43&lt;=RÉGUAS!$D$4,"ACAB 01",IF(CA43&lt;=RÉGUAS!$F$4,"ACAB 02",IF(CA43&gt;RÉGUAS!$F$4,"ACAB 03",)))</f>
        <v>ACAB 02</v>
      </c>
      <c r="CC43" s="26">
        <f>SUM(Tabela13[[#This Row],[SOMA_LZ 01]:[SOMA_LZ 10]])</f>
        <v>639.33486486486493</v>
      </c>
      <c r="CD43" s="22" t="str">
        <f>IF(CC43&lt;=RÉGUAS!$D$13,"LZ 01",IF(CC43&lt;=RÉGUAS!$F$13,"LZ 02",IF(CC43&lt;=RÉGUAS!$H$13,"LZ 03",IF(CC43&gt;RÉGUAS!$H$13,"LZ 04",))))</f>
        <v>LZ 01</v>
      </c>
      <c r="CE43" s="28">
        <f t="shared" si="1"/>
        <v>1125</v>
      </c>
      <c r="CF43" s="22" t="str">
        <f>IF(CE43&lt;=RÉGUAS!$D$22,"TIP 01",IF(CE43&lt;=RÉGUAS!$F$22,"TIP 02",IF(CE43&gt;RÉGUAS!$F$22,"TIP 03",)))</f>
        <v>TIP 01</v>
      </c>
      <c r="CG43" s="28">
        <f t="shared" si="2"/>
        <v>2000</v>
      </c>
      <c r="CH43" s="22" t="str">
        <f>IF(CG43&lt;=RÉGUAS!$D$32,"VAGA 01",IF(CG43&lt;=RÉGUAS!$F$32,"VAGA 02",IF(CG43&gt;RÉGUAS!$F$32,"VAGA 03",)))</f>
        <v>VAGA 02</v>
      </c>
      <c r="CI43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608.67567567567562</v>
      </c>
      <c r="CJ43" s="85" t="str">
        <f>IF(AND(G43="BLOCO",CI43&lt;=RÉGUAS!$D$40),"ELEV 01",IF(AND(G43="BLOCO",CI43&gt;RÉGUAS!$D$40),"ELEV 02",IF(AND(G43="TORRE",CI43&lt;=RÉGUAS!$K$40),"ELEV 01",IF(AND(G43="TORRE",CI43&lt;=RÉGUAS!$M$40),"ELEV 02",IF(AND(G43="TORRE",CI43&gt;RÉGUAS!$M$40),"ELEV 03",)))))</f>
        <v>ELEV 02</v>
      </c>
      <c r="CK43" s="85">
        <f>SUM(Tabela13[[#This Row],[TOTAL  ACAB]],Tabela13[[#This Row],[TOTAL LAZER ]],Tabela13[[#This Row],[TOTAL TIPOLOGIA]],Tabela13[[#This Row],[TOTAL VAGA]],Tabela13[[#This Row],[TOTAL ELEVADOR]])</f>
        <v>8363.0105405405411</v>
      </c>
      <c r="CL43" s="72" t="str">
        <f>IF(AND(G43="BLOCO",CK43&lt;=RÉGUAS!$D$50),"ESSENCIAL",IF(AND(G43="BLOCO",CK43&lt;=RÉGUAS!$F$50),"ECO",IF(AND(G43="BLOCO",CK43&gt;RÉGUAS!$F$50),"BIO",IF(AND(G43="TORRE",CK43&lt;=RÉGUAS!$K$50),"ESSENCIAL",IF(AND(G43="TORRE",CK43&lt;=RÉGUAS!$M$50),"ECO",IF(AND(G43="TORRE",CK43&gt;RÉGUAS!$M$50),"BIO",))))))</f>
        <v>ECO</v>
      </c>
      <c r="CM43" s="28" t="str">
        <f>IF(AND(G43="BLOCO",CK43&gt;=RÉGUAS!$D$51,CK43&lt;=RÉGUAS!$D$50),"ESSENCIAL-10%",IF(AND(G43="BLOCO",CK43&gt;RÉGUAS!$D$50,CK43&lt;=RÉGUAS!$E$51),"ECO+10%",IF(AND(G43="BLOCO",CK43&gt;=RÉGUAS!$F$51,CK43&lt;=RÉGUAS!$F$50),"ECO-10%",IF(AND(G43="BLOCO",CK43&gt;RÉGUAS!$F$50,CK43&lt;=RÉGUAS!$G$51),"BIO+10%",IF(AND(G43="TORRE",CK43&gt;=RÉGUAS!$K$51,CK43&lt;=RÉGUAS!$K$50),"ESSENCIAL-10%",IF(AND(G43="TORRE",CK43&gt;RÉGUAS!$K$50,CK43&lt;=RÉGUAS!$L$51),"ECO+10%",IF(AND(G43="TORRE",CK43&gt;=RÉGUAS!$M$51,CK43&lt;=RÉGUAS!$M$50),"ECO-10%",IF(AND(G43="TORRE",CK43&gt;RÉGUAS!$M$50,CK43&lt;=RÉGUAS!$N$51),"BIO+10%","-"))))))))</f>
        <v>ECO+10%</v>
      </c>
      <c r="CN43" s="73">
        <f t="shared" si="3"/>
        <v>7754.3348648648653</v>
      </c>
      <c r="CO43" s="72" t="str">
        <f>IF(CN43&lt;=RÉGUAS!$D$58,"ESSENCIAL",IF(CN43&lt;=RÉGUAS!$F$58,"ECO",IF(CN43&gt;RÉGUAS!$F$58,"BIO",)))</f>
        <v>ECO</v>
      </c>
      <c r="CP43" s="72" t="str">
        <f>IF(Tabela13[[#This Row],[INTERVALO DE INTERSEÇÃO 5D]]="-",Tabela13[[#This Row],[CLASSIFICAÇÃO 
5D ]],Tabela13[[#This Row],[CLASSIFICAÇÃO 
4D]])</f>
        <v>ECO</v>
      </c>
      <c r="CQ43" s="72" t="str">
        <f t="shared" si="4"/>
        <v>-</v>
      </c>
      <c r="CR43" s="72" t="str">
        <f t="shared" si="5"/>
        <v>ECO</v>
      </c>
      <c r="CS43" s="22" t="str">
        <f>IF(Tabela13[[#This Row],[PRODUTO ATUAL ]]=Tabela13[[#This Row],[CLASSIFICAÇÃO FINAL 5D]],"ADERÊNTE","NÃO ADERÊNTE")</f>
        <v>NÃO ADERÊNTE</v>
      </c>
      <c r="CT43" s="24">
        <f>SUM(Tabela13[[#This Row],[TOTAL  ACAB]],Tabela13[[#This Row],[TOTAL LAZER ]],Tabela13[[#This Row],[TOTAL TIPOLOGIA]],Tabela13[[#This Row],[TOTAL VAGA]])</f>
        <v>7754.3348648648653</v>
      </c>
      <c r="CU43" s="22" t="str">
        <f>IF(CT43&lt;=RÉGUAS!$D$58,"ESSENCIAL",IF(CT43&lt;=RÉGUAS!$F$58,"ECO",IF(CT43&gt;RÉGUAS!$F$58,"BIO",)))</f>
        <v>ECO</v>
      </c>
      <c r="CV43" s="22" t="str">
        <f>IF(AND(CT43&gt;=RÉGUAS!$D$59,CT43&lt;=RÉGUAS!$E$59),"ESSENCIAL/ECO",IF(AND(CT43&gt;=RÉGUAS!$F$59,CT43&lt;=RÉGUAS!$G$59),"ECO/BIO","-"))</f>
        <v>-</v>
      </c>
      <c r="CW43" s="85">
        <f>SUM(Tabela13[[#This Row],[TOTAL LAZER ]],Tabela13[[#This Row],[TOTAL TIPOLOGIA]])</f>
        <v>1764.3348648648648</v>
      </c>
      <c r="CX43" s="22" t="str">
        <f>IF(CW43&lt;=RÉGUAS!$D$72,"ESSENCIAL",IF(CW43&lt;=RÉGUAS!$F$72,"ECO",IF(CN43&gt;RÉGUAS!$F$72,"BIO",)))</f>
        <v>ESSENCIAL</v>
      </c>
      <c r="CY43" s="22" t="str">
        <f t="shared" si="6"/>
        <v>ECO</v>
      </c>
      <c r="CZ43" s="22" t="str">
        <f>IF(Tabela13[[#This Row],[PRODUTO ATUAL ]]=CY43,"ADERENTE","NÃO ADERENTE")</f>
        <v>NÃO ADERENTE</v>
      </c>
      <c r="DA43" s="22" t="str">
        <f>IF(Tabela13[[#This Row],[PRODUTO ATUAL ]]=Tabela13[[#This Row],[CLASSIFICAÇÃO 
4D2]],"ADERENTE","NÃO ADERENTE")</f>
        <v>NÃO ADERENTE</v>
      </c>
    </row>
    <row r="44" spans="2:105" hidden="1" x14ac:dyDescent="0.35">
      <c r="B44" s="27">
        <v>45</v>
      </c>
      <c r="C44" s="22" t="s">
        <v>217</v>
      </c>
      <c r="D44" s="76" t="s">
        <v>125</v>
      </c>
      <c r="E44" s="128">
        <v>560</v>
      </c>
      <c r="F44" s="22" t="str">
        <f t="shared" si="0"/>
        <v>Acima de 400 und</v>
      </c>
      <c r="G44" s="22" t="s">
        <v>14</v>
      </c>
      <c r="H44" s="129">
        <v>1</v>
      </c>
      <c r="I44" s="129">
        <v>10</v>
      </c>
      <c r="J44" s="129">
        <v>5</v>
      </c>
      <c r="K44" s="129">
        <v>12</v>
      </c>
      <c r="L44" s="129">
        <f>SUM(Tabela13[[#This Row],[QTD DE B/T 2]],Tabela13[[#This Row],[QTD DE B/T]])</f>
        <v>6</v>
      </c>
      <c r="M44" s="22">
        <v>12</v>
      </c>
      <c r="N44" s="22">
        <f>Tabela13[[#This Row],[ELEVADOR]]/Tabela13[[#This Row],[BLOCO TOTAL]]</f>
        <v>2</v>
      </c>
      <c r="O44" s="22" t="s">
        <v>6</v>
      </c>
      <c r="P44" s="76" t="s">
        <v>101</v>
      </c>
      <c r="Q44" s="76" t="s">
        <v>101</v>
      </c>
      <c r="R44" s="76" t="s">
        <v>102</v>
      </c>
      <c r="S44" s="76" t="s">
        <v>103</v>
      </c>
      <c r="T44" s="76" t="s">
        <v>104</v>
      </c>
      <c r="U44" s="76" t="s">
        <v>105</v>
      </c>
      <c r="V44" s="22" t="s">
        <v>106</v>
      </c>
      <c r="W44" s="24">
        <f>IF(P44=[1]BD_CUSTO!$E$4,[1]BD_CUSTO!$F$4,[1]BD_CUSTO!$F$5)</f>
        <v>2430</v>
      </c>
      <c r="X44" s="24">
        <f>IF(Q44=[1]BD_CUSTO!$E$6,[1]BD_CUSTO!$F$6,[1]BD_CUSTO!$F$7)</f>
        <v>260</v>
      </c>
      <c r="Y44" s="24">
        <f>IF(R44=[1]BD_CUSTO!$E$8,[1]BD_CUSTO!$F$8,[1]BD_CUSTO!$F$9)</f>
        <v>600</v>
      </c>
      <c r="Z44" s="24">
        <f>IF(S44=[1]BD_CUSTO!$E$10,[1]BD_CUSTO!$F$10,[1]BD_CUSTO!$F$11)</f>
        <v>500</v>
      </c>
      <c r="AA44" s="24">
        <f>IF(T44=[1]BD_CUSTO!$E$12,[1]BD_CUSTO!$F$12,[1]BD_CUSTO!$F$13)</f>
        <v>370</v>
      </c>
      <c r="AB44" s="24">
        <f>IF(U44=[1]BD_CUSTO!$E$14,[1]BD_CUSTO!$F$14,[1]BD_CUSTO!$F$15)</f>
        <v>90</v>
      </c>
      <c r="AC44" s="24">
        <f>IF(V44=[1]BD_CUSTO!$E$16,[1]BD_CUSTO!$F$16,[1]BD_CUSTO!$F$17)</f>
        <v>720</v>
      </c>
      <c r="AD44" s="76" t="s">
        <v>110</v>
      </c>
      <c r="AE44" s="76">
        <v>1</v>
      </c>
      <c r="AF44" s="76" t="s">
        <v>107</v>
      </c>
      <c r="AG44" s="76">
        <v>2</v>
      </c>
      <c r="AH44" s="76" t="s">
        <v>129</v>
      </c>
      <c r="AI44" s="76">
        <v>1</v>
      </c>
      <c r="AJ44" s="76" t="s">
        <v>108</v>
      </c>
      <c r="AK44" s="76">
        <v>1</v>
      </c>
      <c r="AL44" s="130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4">
        <f>IF(AD44="",0,VLOOKUP(AD44,[1]BD_CUSTO!I:J,2,0)*AE44/E44)</f>
        <v>9.4642857142857135</v>
      </c>
      <c r="AY44" s="24">
        <f>IF(AF44="",0,VLOOKUP(AF44,[1]BD_CUSTO!I:J,2,0)*AG44/E44)</f>
        <v>304.10399999999998</v>
      </c>
      <c r="AZ44" s="24">
        <f>IF(AH44="",0,VLOOKUP(AH44,[1]BD_CUSTO!I:J,2,0)*AI44/E44)</f>
        <v>491.37067857142858</v>
      </c>
      <c r="BA44" s="24">
        <f>IF(AJ44="",0,VLOOKUP(AJ44,[1]BD_CUSTO!I:J,2,0)*AK44/E44)</f>
        <v>41.339285714285715</v>
      </c>
      <c r="BB44" s="24">
        <f>IF(AL44="",0,VLOOKUP(AL44,[1]BD_CUSTO!I:J,2,0)*AM44/E44)</f>
        <v>0</v>
      </c>
      <c r="BC44" s="24">
        <f>IF(AN44="",0,VLOOKUP(AN44,[1]BD_CUSTO!I:J,2,0)*AO44/E44)</f>
        <v>0</v>
      </c>
      <c r="BD44" s="24">
        <f>IF(AP44="",0,VLOOKUP(AP44,[1]BD_CUSTO!I:J,2,0)*AQ44/E44)</f>
        <v>0</v>
      </c>
      <c r="BE44" s="24">
        <f>IF(AR44="",0,VLOOKUP(AR44,CUSTO!I:J,2,0)*AS44/E44)</f>
        <v>0</v>
      </c>
      <c r="BF44" s="24">
        <f>IF(AT44="",0,VLOOKUP(AT44,[1]BD_CUSTO!I:J,2,0)*AU44/E44)</f>
        <v>0</v>
      </c>
      <c r="BG44" s="24">
        <f>IF(Tabela13[[#This Row],[LZ 10]]="",0,VLOOKUP(Tabela13[[#This Row],[LZ 10]],[1]BD_CUSTO!I:J,2,0)*Tabela13[[#This Row],[QTD922]]/E44)</f>
        <v>0</v>
      </c>
      <c r="BH44" s="76" t="s">
        <v>112</v>
      </c>
      <c r="BI44" s="127">
        <f>512/Tabela13[[#This Row],[Nº UNDS]]</f>
        <v>0.91428571428571426</v>
      </c>
      <c r="BJ44" s="76" t="s">
        <v>113</v>
      </c>
      <c r="BK44" s="127">
        <v>0</v>
      </c>
      <c r="BL44" s="24">
        <f>IF(BH44=[1]BD_CUSTO!$M$6,[1]BD_CUSTO!$N$6)*BI44</f>
        <v>2742.8571428571427</v>
      </c>
      <c r="BM44" s="24">
        <f>IF(BJ44=[1]BD_CUSTO!$M$4,[1]BD_CUSTO!$N$4,[1]BD_CUSTO!$N$5)*BK44</f>
        <v>0</v>
      </c>
      <c r="BN44" s="76" t="s">
        <v>114</v>
      </c>
      <c r="BO44" s="76">
        <f>564</f>
        <v>564</v>
      </c>
      <c r="BP44" s="25">
        <f>Tabela13[[#This Row],[QTD ]]/Tabela13[[#This Row],[Nº UNDS]]</f>
        <v>1.0071428571428571</v>
      </c>
      <c r="BQ44" s="76" t="s">
        <v>123</v>
      </c>
      <c r="BR44" s="76">
        <v>4</v>
      </c>
      <c r="BS44" s="22" t="s">
        <v>116</v>
      </c>
      <c r="BT44" s="22">
        <v>0</v>
      </c>
      <c r="BU44" s="22" t="s">
        <v>16</v>
      </c>
      <c r="BV44" s="22">
        <v>0</v>
      </c>
      <c r="BW44" s="24">
        <f>IF(BN44=[1]BD_CUSTO!$Q$7,[1]BD_CUSTO!$R$7,[1]BD_CUSTO!$R$8)*BO44/E44</f>
        <v>2014.2857142857142</v>
      </c>
      <c r="BX44" s="24">
        <f>IF(BQ44=[1]BD_CUSTO!$Q$4,[1]BD_CUSTO!$R$4,[1]BD_CUSTO!$R$5)*BR44/E44</f>
        <v>7.1428571428571432</v>
      </c>
      <c r="BY44" s="22">
        <f>IF(BS44=[1]BD_CUSTO!$Q$13,[1]BD_CUSTO!$R$13,[1]BD_CUSTO!$R$14)*BT44/E44</f>
        <v>0</v>
      </c>
      <c r="BZ44" s="24">
        <f>BV44*CUSTO!$R$10/E44</f>
        <v>0</v>
      </c>
      <c r="CA44" s="26">
        <f>SUM(Tabela13[[#This Row],[SOMA_PISO SALA E QUARTO]],Tabela13[[#This Row],[SOMA_PAREDE HIDR]],Tabela13[[#This Row],[SOMA_TETO]],Tabela13[[#This Row],[SOMA_BANCADA]],Tabela13[[#This Row],[SOMA_PEDRAS]])</f>
        <v>3990</v>
      </c>
      <c r="CB44" s="27" t="str">
        <f>IF(CA44&lt;=RÉGUAS!$D$4,"ACAB 01",IF(CA44&lt;=RÉGUAS!$F$4,"ACAB 02",IF(CA44&gt;RÉGUAS!$F$4,"ACAB 03",)))</f>
        <v>ACAB 02</v>
      </c>
      <c r="CC44" s="26">
        <f>SUM(Tabela13[[#This Row],[SOMA_LZ 01]:[SOMA_LZ 10]])</f>
        <v>846.27824999999996</v>
      </c>
      <c r="CD44" s="22" t="str">
        <f>IF(CC44&lt;=RÉGUAS!$D$13,"LZ 01",IF(CC44&lt;=RÉGUAS!$F$13,"LZ 02",IF(CC44&lt;=RÉGUAS!$H$13,"LZ 03",IF(CC44&gt;RÉGUAS!$H$13,"LZ 04",))))</f>
        <v>LZ 02</v>
      </c>
      <c r="CE44" s="28">
        <f t="shared" si="1"/>
        <v>2742.8571428571427</v>
      </c>
      <c r="CF44" s="22" t="str">
        <f>IF(CE44&lt;=RÉGUAS!$D$22,"TIP 01",IF(CE44&lt;=RÉGUAS!$F$22,"TIP 02",IF(CE44&gt;RÉGUAS!$F$22,"TIP 03",)))</f>
        <v>TIP 02</v>
      </c>
      <c r="CG44" s="28">
        <f t="shared" si="2"/>
        <v>2021.4285714285713</v>
      </c>
      <c r="CH44" s="22" t="str">
        <f>IF(CG44&lt;=RÉGUAS!$D$32,"VAGA 01",IF(CG44&lt;=RÉGUAS!$F$32,"VAGA 02",IF(CG44&gt;RÉGUAS!$F$32,"VAGA 03",)))</f>
        <v>VAGA 02</v>
      </c>
      <c r="CI44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9308.3571428571431</v>
      </c>
      <c r="CJ44" s="85" t="str">
        <f>IF(AND(G44="BLOCO",CI44&lt;=RÉGUAS!$D$40),"ELEV 01",IF(AND(G44="BLOCO",CI44&gt;RÉGUAS!$D$40),"ELEV 02",IF(AND(G44="TORRE",CI44&lt;=RÉGUAS!$K$40),"ELEV 01",IF(AND(G44="TORRE",CI44&lt;=RÉGUAS!$M$40),"ELEV 02",IF(AND(G44="TORRE",CI44&gt;RÉGUAS!$M$40),"ELEV 03",)))))</f>
        <v>ELEV 03</v>
      </c>
      <c r="CK44" s="85">
        <f>SUM(Tabela13[[#This Row],[TOTAL  ACAB]],Tabela13[[#This Row],[TOTAL LAZER ]],Tabela13[[#This Row],[TOTAL TIPOLOGIA]],Tabela13[[#This Row],[TOTAL VAGA]],Tabela13[[#This Row],[TOTAL ELEVADOR]])</f>
        <v>18908.921107142858</v>
      </c>
      <c r="CL44" s="72" t="str">
        <f>IF(AND(G44="BLOCO",CK44&lt;=RÉGUAS!$D$50),"ESSENCIAL",IF(AND(G44="BLOCO",CK44&lt;=RÉGUAS!$F$50),"ECO",IF(AND(G44="BLOCO",CK44&gt;RÉGUAS!$F$50),"BIO",IF(AND(G44="TORRE",CK44&lt;=RÉGUAS!$K$50),"ESSENCIAL",IF(AND(G44="TORRE",CK44&lt;=RÉGUAS!$M$50),"ECO",IF(AND(G44="TORRE",CK44&gt;RÉGUAS!$M$50),"BIO",))))))</f>
        <v>BIO</v>
      </c>
      <c r="CM44" s="28" t="str">
        <f>IF(AND(G44="BLOCO",CK44&gt;=RÉGUAS!$D$51,CK44&lt;=RÉGUAS!$D$50),"ESSENCIAL-10%",IF(AND(G44="BLOCO",CK44&gt;RÉGUAS!$D$50,CK44&lt;=RÉGUAS!$E$51),"ECO+10%",IF(AND(G44="BLOCO",CK44&gt;=RÉGUAS!$F$51,CK44&lt;=RÉGUAS!$F$50),"ECO-10%",IF(AND(G44="BLOCO",CK44&gt;RÉGUAS!$F$50,CK44&lt;=RÉGUAS!$G$51),"BIO+10%",IF(AND(G44="TORRE",CK44&gt;=RÉGUAS!$K$51,CK44&lt;=RÉGUAS!$K$50),"ESSENCIAL-10%",IF(AND(G44="TORRE",CK44&gt;RÉGUAS!$K$50,CK44&lt;=RÉGUAS!$L$51),"ECO+10%",IF(AND(G44="TORRE",CK44&gt;=RÉGUAS!$M$51,CK44&lt;=RÉGUAS!$M$50),"ECO-10%",IF(AND(G44="TORRE",CK44&gt;RÉGUAS!$M$50,CK44&lt;=RÉGUAS!$N$51),"BIO+10%","-"))))))))</f>
        <v>-</v>
      </c>
      <c r="CN44" s="73">
        <f t="shared" si="3"/>
        <v>9600.5639642857132</v>
      </c>
      <c r="CO44" s="72" t="str">
        <f>IF(CN44&lt;=RÉGUAS!$D$58,"ESSENCIAL",IF(CN44&lt;=RÉGUAS!$F$58,"ECO",IF(CN44&gt;RÉGUAS!$F$58,"BIO",)))</f>
        <v>ECO</v>
      </c>
      <c r="CP44" s="72" t="str">
        <f>IF(Tabela13[[#This Row],[INTERVALO DE INTERSEÇÃO 5D]]="-",Tabela13[[#This Row],[CLASSIFICAÇÃO 
5D ]],Tabela13[[#This Row],[CLASSIFICAÇÃO 
4D]])</f>
        <v>BIO</v>
      </c>
      <c r="CQ44" s="72" t="str">
        <f t="shared" si="4"/>
        <v>-</v>
      </c>
      <c r="CR44" s="72" t="str">
        <f t="shared" si="5"/>
        <v>BIO</v>
      </c>
      <c r="CS44" s="22" t="str">
        <f>IF(Tabela13[[#This Row],[PRODUTO ATUAL ]]=Tabela13[[#This Row],[CLASSIFICAÇÃO FINAL 5D]],"ADERÊNTE","NÃO ADERÊNTE")</f>
        <v>NÃO ADERÊNTE</v>
      </c>
      <c r="CT44" s="24">
        <f>SUM(Tabela13[[#This Row],[TOTAL  ACAB]],Tabela13[[#This Row],[TOTAL LAZER ]],Tabela13[[#This Row],[TOTAL TIPOLOGIA]],Tabela13[[#This Row],[TOTAL VAGA]])</f>
        <v>9600.5639642857132</v>
      </c>
      <c r="CU44" s="22" t="str">
        <f>IF(CT44&lt;=RÉGUAS!$D$58,"ESSENCIAL",IF(CT44&lt;=RÉGUAS!$F$58,"ECO",IF(CT44&gt;RÉGUAS!$F$58,"BIO",)))</f>
        <v>ECO</v>
      </c>
      <c r="CV44" s="22" t="str">
        <f>IF(AND(CT44&gt;=RÉGUAS!$D$59,CT44&lt;=RÉGUAS!$E$59),"ESSENCIAL/ECO",IF(AND(CT44&gt;=RÉGUAS!$F$59,CT44&lt;=RÉGUAS!$G$59),"ECO/BIO","-"))</f>
        <v>-</v>
      </c>
      <c r="CW44" s="85">
        <f>SUM(Tabela13[[#This Row],[TOTAL LAZER ]],Tabela13[[#This Row],[TOTAL TIPOLOGIA]])</f>
        <v>3589.1353928571425</v>
      </c>
      <c r="CX44" s="22" t="str">
        <f>IF(CW44&lt;=RÉGUAS!$D$72,"ESSENCIAL",IF(CW44&lt;=RÉGUAS!$F$72,"ECO",IF(CN44&gt;RÉGUAS!$F$72,"BIO",)))</f>
        <v>ECO</v>
      </c>
      <c r="CY44" s="22" t="str">
        <f t="shared" si="6"/>
        <v>ECO</v>
      </c>
      <c r="CZ44" s="22" t="str">
        <f>IF(Tabela13[[#This Row],[PRODUTO ATUAL ]]=CY44,"ADERENTE","NÃO ADERENTE")</f>
        <v>NÃO ADERENTE</v>
      </c>
      <c r="DA44" s="22" t="str">
        <f>IF(Tabela13[[#This Row],[PRODUTO ATUAL ]]=Tabela13[[#This Row],[CLASSIFICAÇÃO 
4D2]],"ADERENTE","NÃO ADERENTE")</f>
        <v>NÃO ADERENTE</v>
      </c>
    </row>
    <row r="45" spans="2:105" hidden="1" x14ac:dyDescent="0.35">
      <c r="B45" s="27">
        <v>24</v>
      </c>
      <c r="C45" s="22" t="s">
        <v>216</v>
      </c>
      <c r="D45" s="76" t="s">
        <v>128</v>
      </c>
      <c r="E45" s="128">
        <v>220</v>
      </c>
      <c r="F45" s="22" t="str">
        <f t="shared" si="0"/>
        <v>De 200 a 400 und</v>
      </c>
      <c r="G45" s="76" t="s">
        <v>1</v>
      </c>
      <c r="H45" s="129">
        <v>11</v>
      </c>
      <c r="I45" s="129">
        <v>5</v>
      </c>
      <c r="J45" s="129"/>
      <c r="K45" s="129"/>
      <c r="L45" s="129">
        <f>SUM(Tabela13[[#This Row],[QTD DE B/T 2]],Tabela13[[#This Row],[QTD DE B/T]])</f>
        <v>11</v>
      </c>
      <c r="M45" s="22">
        <v>0</v>
      </c>
      <c r="N45" s="22">
        <f>Tabela13[[#This Row],[ELEVADOR]]/Tabela13[[#This Row],[BLOCO TOTAL]]</f>
        <v>0</v>
      </c>
      <c r="O45" s="76" t="s">
        <v>6</v>
      </c>
      <c r="P45" s="76" t="s">
        <v>101</v>
      </c>
      <c r="Q45" s="22" t="s">
        <v>101</v>
      </c>
      <c r="R45" s="76" t="s">
        <v>102</v>
      </c>
      <c r="S45" s="76" t="s">
        <v>103</v>
      </c>
      <c r="T45" s="76" t="s">
        <v>104</v>
      </c>
      <c r="U45" s="76" t="s">
        <v>105</v>
      </c>
      <c r="V45" s="22" t="s">
        <v>106</v>
      </c>
      <c r="W45" s="24">
        <f>IF(P45=[1]BD_CUSTO!$E$4,[1]BD_CUSTO!$F$4,[1]BD_CUSTO!$F$5)</f>
        <v>2430</v>
      </c>
      <c r="X45" s="24">
        <f>IF(Q45=[1]BD_CUSTO!$E$6,[1]BD_CUSTO!$F$6,[1]BD_CUSTO!$F$7)</f>
        <v>260</v>
      </c>
      <c r="Y45" s="24">
        <f>IF(R45=[1]BD_CUSTO!$E$8,[1]BD_CUSTO!$F$8,[1]BD_CUSTO!$F$9)</f>
        <v>600</v>
      </c>
      <c r="Z45" s="24">
        <f>IF(S45=[1]BD_CUSTO!$E$10,[1]BD_CUSTO!$F$10,[1]BD_CUSTO!$F$11)</f>
        <v>500</v>
      </c>
      <c r="AA45" s="24">
        <f>IF(T45=[1]BD_CUSTO!$E$12,[1]BD_CUSTO!$F$12,[1]BD_CUSTO!$F$13)</f>
        <v>370</v>
      </c>
      <c r="AB45" s="24">
        <f>IF(U45=[1]BD_CUSTO!$E$14,[1]BD_CUSTO!$F$14,[1]BD_CUSTO!$F$15)</f>
        <v>90</v>
      </c>
      <c r="AC45" s="24">
        <f>IF(V45=[1]BD_CUSTO!$E$16,[1]BD_CUSTO!$F$16,[1]BD_CUSTO!$F$17)</f>
        <v>720</v>
      </c>
      <c r="AD45" s="76" t="s">
        <v>109</v>
      </c>
      <c r="AE45" s="76">
        <v>1</v>
      </c>
      <c r="AF45" s="76" t="s">
        <v>110</v>
      </c>
      <c r="AG45" s="76">
        <v>1</v>
      </c>
      <c r="AH45" s="76" t="s">
        <v>108</v>
      </c>
      <c r="AI45" s="76">
        <v>1</v>
      </c>
      <c r="AJ45" s="76" t="s">
        <v>107</v>
      </c>
      <c r="AK45" s="76">
        <v>1</v>
      </c>
      <c r="AL45" s="76" t="s">
        <v>129</v>
      </c>
      <c r="AM45" s="76">
        <v>1</v>
      </c>
      <c r="AN45" s="76" t="s">
        <v>111</v>
      </c>
      <c r="AO45" s="76">
        <v>1</v>
      </c>
      <c r="AP45" s="22"/>
      <c r="AQ45" s="22"/>
      <c r="AR45" s="22"/>
      <c r="AS45" s="22"/>
      <c r="AT45" s="22"/>
      <c r="AU45" s="22"/>
      <c r="AV45" s="22"/>
      <c r="AW45" s="22"/>
      <c r="AX45" s="24">
        <f>IF(AD45="",0,VLOOKUP(AD45,[1]BD_CUSTO!I:J,2,0)*AE45/E45)</f>
        <v>31.59090909090909</v>
      </c>
      <c r="AY45" s="24">
        <f>IF(AF45="",0,VLOOKUP(AF45,[1]BD_CUSTO!I:J,2,0)*AG45/E45)</f>
        <v>24.09090909090909</v>
      </c>
      <c r="AZ45" s="24">
        <f>IF(AH45="",0,VLOOKUP(AH45,[1]BD_CUSTO!I:J,2,0)*AI45/E45)</f>
        <v>105.22727272727273</v>
      </c>
      <c r="BA45" s="24">
        <f>IF(AJ45="",0,VLOOKUP(AJ45,[1]BD_CUSTO!I:J,2,0)*AK45/E45)</f>
        <v>387.04145454545454</v>
      </c>
      <c r="BB45" s="24">
        <f>IF(AL45="",0,VLOOKUP(AL45,[1]BD_CUSTO!I:J,2,0)*AM45/E45)</f>
        <v>1250.7617272727273</v>
      </c>
      <c r="BC45" s="24">
        <f>IF(AN45="",0,VLOOKUP(AN45,[1]BD_CUSTO!I:J,2,0)*AO45/E45)</f>
        <v>73.63636363636364</v>
      </c>
      <c r="BD45" s="24">
        <f>IF(AP45="",0,VLOOKUP(AP45,[1]BD_CUSTO!I:J,2,0)*AQ45/E45)</f>
        <v>0</v>
      </c>
      <c r="BE45" s="24">
        <f>IF(AR45="",0,VLOOKUP(AR45,CUSTO!I:J,2,0)*AS45/E45)</f>
        <v>0</v>
      </c>
      <c r="BF45" s="24">
        <f>IF(AT45="",0,VLOOKUP(AT45,[1]BD_CUSTO!I:J,2,0)*AU45/E45)</f>
        <v>0</v>
      </c>
      <c r="BG45" s="24">
        <f>IF(Tabela13[[#This Row],[LZ 10]]="",0,VLOOKUP(Tabela13[[#This Row],[LZ 10]],[1]BD_CUSTO!I:J,2,0)*Tabela13[[#This Row],[QTD922]]/E45)</f>
        <v>0</v>
      </c>
      <c r="BH45" s="76" t="s">
        <v>112</v>
      </c>
      <c r="BI45" s="127">
        <v>0.46</v>
      </c>
      <c r="BJ45" s="76" t="s">
        <v>113</v>
      </c>
      <c r="BK45" s="127">
        <v>0</v>
      </c>
      <c r="BL45" s="24">
        <f>IF(BH45=[1]BD_CUSTO!$M$6,[1]BD_CUSTO!$N$6)*BI45</f>
        <v>1380</v>
      </c>
      <c r="BM45" s="24">
        <f>IF(BJ45=[1]BD_CUSTO!$M$4,[1]BD_CUSTO!$N$4,[1]BD_CUSTO!$N$5)*BK45</f>
        <v>0</v>
      </c>
      <c r="BN45" s="76" t="s">
        <v>114</v>
      </c>
      <c r="BO45" s="76">
        <v>225</v>
      </c>
      <c r="BP45" s="25">
        <f>Tabela13[[#This Row],[QTD ]]/Tabela13[[#This Row],[Nº UNDS]]</f>
        <v>1.0227272727272727</v>
      </c>
      <c r="BQ45" s="76" t="s">
        <v>115</v>
      </c>
      <c r="BR45" s="76">
        <v>6</v>
      </c>
      <c r="BS45" s="22" t="s">
        <v>116</v>
      </c>
      <c r="BT45" s="22">
        <v>0</v>
      </c>
      <c r="BU45" s="22" t="s">
        <v>16</v>
      </c>
      <c r="BV45" s="22">
        <v>0</v>
      </c>
      <c r="BW45" s="24">
        <f>IF(BN45=[1]BD_CUSTO!$Q$7,[1]BD_CUSTO!$R$7,[1]BD_CUSTO!$R$8)*BO45/E45</f>
        <v>2045.4545454545455</v>
      </c>
      <c r="BX45" s="24">
        <f>IF(BQ45=[1]BD_CUSTO!$Q$4,[1]BD_CUSTO!$R$4,[1]BD_CUSTO!$R$5)*BR45/E45</f>
        <v>0</v>
      </c>
      <c r="BY45" s="22">
        <f>IF(BS45=[1]BD_CUSTO!$Q$13,[1]BD_CUSTO!$R$13,[1]BD_CUSTO!$R$14)*BT45/E45</f>
        <v>0</v>
      </c>
      <c r="BZ45" s="24">
        <f>BV45*CUSTO!$R$10/E45</f>
        <v>0</v>
      </c>
      <c r="CA45" s="26">
        <f>SUM(Tabela13[[#This Row],[SOMA_PISO SALA E QUARTO]],Tabela13[[#This Row],[SOMA_PAREDE HIDR]],Tabela13[[#This Row],[SOMA_TETO]],Tabela13[[#This Row],[SOMA_BANCADA]],Tabela13[[#This Row],[SOMA_PEDRAS]])</f>
        <v>3990</v>
      </c>
      <c r="CB45" s="27" t="str">
        <f>IF(CA45&lt;=RÉGUAS!$D$4,"ACAB 01",IF(CA45&lt;=RÉGUAS!$F$4,"ACAB 02",IF(CA45&gt;RÉGUAS!$F$4,"ACAB 03",)))</f>
        <v>ACAB 02</v>
      </c>
      <c r="CC45" s="26">
        <f>SUM(Tabela13[[#This Row],[SOMA_LZ 01]:[SOMA_LZ 10]])</f>
        <v>1872.3486363636364</v>
      </c>
      <c r="CD45" s="22" t="str">
        <f>IF(CC45&lt;=RÉGUAS!$D$13,"LZ 01",IF(CC45&lt;=RÉGUAS!$F$13,"LZ 02",IF(CC45&lt;=RÉGUAS!$H$13,"LZ 03",IF(CC45&gt;RÉGUAS!$H$13,"LZ 04",))))</f>
        <v>LZ 03</v>
      </c>
      <c r="CE45" s="28">
        <f t="shared" si="1"/>
        <v>1380</v>
      </c>
      <c r="CF45" s="22" t="str">
        <f>IF(CE45&lt;=RÉGUAS!$D$22,"TIP 01",IF(CE45&lt;=RÉGUAS!$F$22,"TIP 02",IF(CE45&gt;RÉGUAS!$F$22,"TIP 03",)))</f>
        <v>TIP 01</v>
      </c>
      <c r="CG45" s="28">
        <f t="shared" si="2"/>
        <v>2045.4545454545455</v>
      </c>
      <c r="CH45" s="22" t="str">
        <f>IF(CG45&lt;=RÉGUAS!$D$32,"VAGA 01",IF(CG45&lt;=RÉGUAS!$F$32,"VAGA 02",IF(CG45&gt;RÉGUAS!$F$32,"VAGA 03",)))</f>
        <v>VAGA 02</v>
      </c>
      <c r="CI45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45" s="85" t="str">
        <f>IF(AND(G45="BLOCO",CI45&lt;=RÉGUAS!$D$40),"ELEV 01",IF(AND(G45="BLOCO",CI45&gt;RÉGUAS!$D$40),"ELEV 02",IF(AND(G45="TORRE",CI45&lt;=RÉGUAS!$K$40),"ELEV 01",IF(AND(G45="TORRE",CI45&lt;=RÉGUAS!$M$40),"ELEV 02",IF(AND(G45="TORRE",CI45&gt;RÉGUAS!$M$40),"ELEV 03",)))))</f>
        <v>ELEV 01</v>
      </c>
      <c r="CK45" s="85">
        <f>SUM(Tabela13[[#This Row],[TOTAL  ACAB]],Tabela13[[#This Row],[TOTAL LAZER ]],Tabela13[[#This Row],[TOTAL TIPOLOGIA]],Tabela13[[#This Row],[TOTAL VAGA]],Tabela13[[#This Row],[TOTAL ELEVADOR]])</f>
        <v>9287.8031818181826</v>
      </c>
      <c r="CL45" s="72" t="str">
        <f>IF(AND(G45="BLOCO",CK45&lt;=RÉGUAS!$D$50),"ESSENCIAL",IF(AND(G45="BLOCO",CK45&lt;=RÉGUAS!$F$50),"ECO",IF(AND(G45="BLOCO",CK45&gt;RÉGUAS!$F$50),"BIO",IF(AND(G45="TORRE",CK45&lt;=RÉGUAS!$K$50),"ESSENCIAL",IF(AND(G45="TORRE",CK45&lt;=RÉGUAS!$M$50),"ECO",IF(AND(G45="TORRE",CK45&gt;RÉGUAS!$M$50),"BIO",))))))</f>
        <v>ECO</v>
      </c>
      <c r="CM45" s="28" t="str">
        <f>IF(AND(G45="BLOCO",CK45&gt;=RÉGUAS!$D$51,CK45&lt;=RÉGUAS!$D$50),"ESSENCIAL-10%",IF(AND(G45="BLOCO",CK45&gt;RÉGUAS!$D$50,CK45&lt;=RÉGUAS!$E$51),"ECO+10%",IF(AND(G45="BLOCO",CK45&gt;=RÉGUAS!$F$51,CK45&lt;=RÉGUAS!$F$50),"ECO-10%",IF(AND(G45="BLOCO",CK45&gt;RÉGUAS!$F$50,CK45&lt;=RÉGUAS!$G$51),"BIO+10%",IF(AND(G45="TORRE",CK45&gt;=RÉGUAS!$K$51,CK45&lt;=RÉGUAS!$K$50),"ESSENCIAL-10%",IF(AND(G45="TORRE",CK45&gt;RÉGUAS!$K$50,CK45&lt;=RÉGUAS!$L$51),"ECO+10%",IF(AND(G45="TORRE",CK45&gt;=RÉGUAS!$M$51,CK45&lt;=RÉGUAS!$M$50),"ECO-10%",IF(AND(G45="TORRE",CK45&gt;RÉGUAS!$M$50,CK45&lt;=RÉGUAS!$N$51),"BIO+10%","-"))))))))</f>
        <v>-</v>
      </c>
      <c r="CN45" s="73">
        <f t="shared" si="3"/>
        <v>9287.8031818181826</v>
      </c>
      <c r="CO45" s="72" t="str">
        <f>IF(CN45&lt;=RÉGUAS!$D$58,"ESSENCIAL",IF(CN45&lt;=RÉGUAS!$F$58,"ECO",IF(CN45&gt;RÉGUAS!$F$58,"BIO",)))</f>
        <v>ECO</v>
      </c>
      <c r="CP45" s="72" t="str">
        <f>IF(Tabela13[[#This Row],[INTERVALO DE INTERSEÇÃO 5D]]="-",Tabela13[[#This Row],[CLASSIFICAÇÃO 
5D ]],Tabela13[[#This Row],[CLASSIFICAÇÃO 
4D]])</f>
        <v>ECO</v>
      </c>
      <c r="CQ45" s="72" t="str">
        <f t="shared" si="4"/>
        <v>-</v>
      </c>
      <c r="CR45" s="72" t="str">
        <f t="shared" si="5"/>
        <v>ECO</v>
      </c>
      <c r="CS45" s="22" t="str">
        <f>IF(Tabela13[[#This Row],[PRODUTO ATUAL ]]=Tabela13[[#This Row],[CLASSIFICAÇÃO FINAL 5D]],"ADERÊNTE","NÃO ADERÊNTE")</f>
        <v>NÃO ADERÊNTE</v>
      </c>
      <c r="CT45" s="24">
        <f>SUM(Tabela13[[#This Row],[TOTAL  ACAB]],Tabela13[[#This Row],[TOTAL LAZER ]],Tabela13[[#This Row],[TOTAL TIPOLOGIA]],Tabela13[[#This Row],[TOTAL VAGA]])</f>
        <v>9287.8031818181826</v>
      </c>
      <c r="CU45" s="22" t="str">
        <f>IF(CT45&lt;=RÉGUAS!$D$58,"ESSENCIAL",IF(CT45&lt;=RÉGUAS!$F$58,"ECO",IF(CT45&gt;RÉGUAS!$F$58,"BIO",)))</f>
        <v>ECO</v>
      </c>
      <c r="CV45" s="22" t="str">
        <f>IF(AND(CT45&gt;=RÉGUAS!$D$59,CT45&lt;=RÉGUAS!$E$59),"ESSENCIAL/ECO",IF(AND(CT45&gt;=RÉGUAS!$F$59,CT45&lt;=RÉGUAS!$G$59),"ECO/BIO","-"))</f>
        <v>-</v>
      </c>
      <c r="CW45" s="85">
        <f>SUM(Tabela13[[#This Row],[TOTAL LAZER ]],Tabela13[[#This Row],[TOTAL TIPOLOGIA]])</f>
        <v>3252.3486363636366</v>
      </c>
      <c r="CX45" s="22" t="str">
        <f>IF(CW45&lt;=RÉGUAS!$D$72,"ESSENCIAL",IF(CW45&lt;=RÉGUAS!$F$72,"ECO",IF(CN45&gt;RÉGUAS!$F$72,"BIO",)))</f>
        <v>ECO</v>
      </c>
      <c r="CY45" s="22" t="str">
        <f t="shared" si="6"/>
        <v>ECO</v>
      </c>
      <c r="CZ45" s="22" t="str">
        <f>IF(Tabela13[[#This Row],[PRODUTO ATUAL ]]=CY45,"ADERENTE","NÃO ADERENTE")</f>
        <v>NÃO ADERENTE</v>
      </c>
      <c r="DA45" s="22" t="str">
        <f>IF(Tabela13[[#This Row],[PRODUTO ATUAL ]]=Tabela13[[#This Row],[CLASSIFICAÇÃO 
4D2]],"ADERENTE","NÃO ADERENTE")</f>
        <v>NÃO ADERENTE</v>
      </c>
    </row>
    <row r="46" spans="2:105" hidden="1" x14ac:dyDescent="0.35">
      <c r="B46" s="27">
        <v>15</v>
      </c>
      <c r="C46" s="22" t="s">
        <v>213</v>
      </c>
      <c r="D46" s="76" t="s">
        <v>128</v>
      </c>
      <c r="E46" s="128">
        <v>192</v>
      </c>
      <c r="F46" s="22" t="str">
        <f t="shared" si="0"/>
        <v>Até 200 und</v>
      </c>
      <c r="G46" s="76" t="s">
        <v>1</v>
      </c>
      <c r="H46" s="129">
        <v>12</v>
      </c>
      <c r="I46" s="129">
        <v>4</v>
      </c>
      <c r="J46" s="129"/>
      <c r="K46" s="129"/>
      <c r="L46" s="129">
        <f>SUM(Tabela13[[#This Row],[QTD DE B/T 2]],Tabela13[[#This Row],[QTD DE B/T]])</f>
        <v>12</v>
      </c>
      <c r="M46" s="22">
        <v>0</v>
      </c>
      <c r="N46" s="22">
        <f>Tabela13[[#This Row],[ELEVADOR]]/Tabela13[[#This Row],[BLOCO TOTAL]]</f>
        <v>0</v>
      </c>
      <c r="O46" s="76" t="s">
        <v>6</v>
      </c>
      <c r="P46" s="76" t="s">
        <v>101</v>
      </c>
      <c r="Q46" s="76" t="s">
        <v>101</v>
      </c>
      <c r="R46" s="76" t="s">
        <v>102</v>
      </c>
      <c r="S46" s="76" t="s">
        <v>103</v>
      </c>
      <c r="T46" s="76" t="s">
        <v>104</v>
      </c>
      <c r="U46" s="76" t="s">
        <v>105</v>
      </c>
      <c r="V46" s="22" t="s">
        <v>106</v>
      </c>
      <c r="W46" s="24">
        <f>IF(P46=[1]BD_CUSTO!$E$4,[1]BD_CUSTO!$F$4,[1]BD_CUSTO!$F$5)</f>
        <v>2430</v>
      </c>
      <c r="X46" s="24">
        <f>IF(Q46=[1]BD_CUSTO!$E$6,[1]BD_CUSTO!$F$6,[1]BD_CUSTO!$F$7)</f>
        <v>260</v>
      </c>
      <c r="Y46" s="24">
        <f>IF(R46=[1]BD_CUSTO!$E$8,[1]BD_CUSTO!$F$8,[1]BD_CUSTO!$F$9)</f>
        <v>600</v>
      </c>
      <c r="Z46" s="24">
        <f>IF(S46=[1]BD_CUSTO!$E$10,[1]BD_CUSTO!$F$10,[1]BD_CUSTO!$F$11)</f>
        <v>500</v>
      </c>
      <c r="AA46" s="24">
        <f>IF(T46=[1]BD_CUSTO!$E$12,[1]BD_CUSTO!$F$12,[1]BD_CUSTO!$F$13)</f>
        <v>370</v>
      </c>
      <c r="AB46" s="24">
        <f>IF(U46=[1]BD_CUSTO!$E$14,[1]BD_CUSTO!$F$14,[1]BD_CUSTO!$F$15)</f>
        <v>90</v>
      </c>
      <c r="AC46" s="24">
        <f>IF(V46=[1]BD_CUSTO!$E$16,[1]BD_CUSTO!$F$16,[1]BD_CUSTO!$F$17)</f>
        <v>720</v>
      </c>
      <c r="AD46" s="76" t="s">
        <v>111</v>
      </c>
      <c r="AE46" s="76">
        <v>3</v>
      </c>
      <c r="AF46" s="76" t="s">
        <v>126</v>
      </c>
      <c r="AG46" s="76">
        <v>4</v>
      </c>
      <c r="AH46" s="76" t="s">
        <v>108</v>
      </c>
      <c r="AI46" s="76">
        <v>1</v>
      </c>
      <c r="AJ46" s="76" t="s">
        <v>107</v>
      </c>
      <c r="AK46" s="76">
        <v>1</v>
      </c>
      <c r="AL46" s="76" t="s">
        <v>129</v>
      </c>
      <c r="AM46" s="76">
        <v>1</v>
      </c>
      <c r="AN46" s="76" t="s">
        <v>175</v>
      </c>
      <c r="AO46" s="76">
        <v>1</v>
      </c>
      <c r="AP46" s="22"/>
      <c r="AQ46" s="22"/>
      <c r="AR46" s="22"/>
      <c r="AS46" s="22"/>
      <c r="AT46" s="22"/>
      <c r="AU46" s="22"/>
      <c r="AV46" s="22"/>
      <c r="AW46" s="22"/>
      <c r="AX46" s="24">
        <f>IF(AD46="",0,VLOOKUP(AD46,[1]BD_CUSTO!I:J,2,0)*AE46/E46)</f>
        <v>253.125</v>
      </c>
      <c r="AY46" s="24">
        <f>IF(AF46="",0,VLOOKUP(AF46,[1]BD_CUSTO!I:J,2,0)*AG46/E46)</f>
        <v>157.5</v>
      </c>
      <c r="AZ46" s="24">
        <f>IF(AH46="",0,VLOOKUP(AH46,[1]BD_CUSTO!I:J,2,0)*AI46/E46)</f>
        <v>120.57291666666667</v>
      </c>
      <c r="BA46" s="24">
        <f>IF(AJ46="",0,VLOOKUP(AJ46,[1]BD_CUSTO!I:J,2,0)*AK46/E46)</f>
        <v>443.48499999999996</v>
      </c>
      <c r="BB46" s="24">
        <f>IF(AL46="",0,VLOOKUP(AL46,[1]BD_CUSTO!I:J,2,0)*AM46/E46)</f>
        <v>1433.1644791666668</v>
      </c>
      <c r="BC46" s="24">
        <f>IF(AN46="",0,VLOOKUP(AN46,[1]BD_CUSTO!I:J,2,0)*AO46/E46)</f>
        <v>56.197916666666664</v>
      </c>
      <c r="BD46" s="24">
        <f>IF(AP46="",0,VLOOKUP(AP46,[1]BD_CUSTO!I:J,2,0)*AQ46/E46)</f>
        <v>0</v>
      </c>
      <c r="BE46" s="24">
        <f>IF(AR46="",0,VLOOKUP(AR46,CUSTO!I:J,2,0)*AS46/E46)</f>
        <v>0</v>
      </c>
      <c r="BF46" s="24">
        <f>IF(AT46="",0,VLOOKUP(AT46,[1]BD_CUSTO!I:J,2,0)*AU46/E46)</f>
        <v>0</v>
      </c>
      <c r="BG46" s="24">
        <f>IF(Tabela13[[#This Row],[LZ 10]]="",0,VLOOKUP(Tabela13[[#This Row],[LZ 10]],[1]BD_CUSTO!I:J,2,0)*Tabela13[[#This Row],[QTD922]]/E46)</f>
        <v>0</v>
      </c>
      <c r="BH46" s="76" t="s">
        <v>112</v>
      </c>
      <c r="BI46" s="127">
        <f>72/Tabela13[[#This Row],[Nº UNDS]]</f>
        <v>0.375</v>
      </c>
      <c r="BJ46" s="22" t="s">
        <v>113</v>
      </c>
      <c r="BK46" s="25">
        <v>0</v>
      </c>
      <c r="BL46" s="24">
        <f>IF(BH46=[1]BD_CUSTO!$M$6,[1]BD_CUSTO!$N$6)*BI46</f>
        <v>1125</v>
      </c>
      <c r="BM46" s="24">
        <f>IF(BJ46=[1]BD_CUSTO!$M$4,[1]BD_CUSTO!$N$4,[1]BD_CUSTO!$N$5)*BK46</f>
        <v>0</v>
      </c>
      <c r="BN46" s="76" t="s">
        <v>114</v>
      </c>
      <c r="BO46" s="76">
        <v>211</v>
      </c>
      <c r="BP46" s="25">
        <f>Tabela13[[#This Row],[QTD ]]/Tabela13[[#This Row],[Nº UNDS]]</f>
        <v>1.0989583333333333</v>
      </c>
      <c r="BQ46" s="22" t="s">
        <v>115</v>
      </c>
      <c r="BR46" s="22">
        <v>0</v>
      </c>
      <c r="BS46" s="22" t="s">
        <v>116</v>
      </c>
      <c r="BT46" s="22">
        <v>0</v>
      </c>
      <c r="BU46" s="22" t="s">
        <v>16</v>
      </c>
      <c r="BV46" s="22">
        <v>0</v>
      </c>
      <c r="BW46" s="24">
        <f>IF(BN46=[1]BD_CUSTO!$Q$7,[1]BD_CUSTO!$R$7,[1]BD_CUSTO!$R$8)*BO46/E46</f>
        <v>2197.9166666666665</v>
      </c>
      <c r="BX46" s="24">
        <f>IF(BQ46=[1]BD_CUSTO!$Q$4,[1]BD_CUSTO!$R$4,[1]BD_CUSTO!$R$5)*BR46/E46</f>
        <v>0</v>
      </c>
      <c r="BY46" s="22">
        <f>IF(BS46=[1]BD_CUSTO!$Q$13,[1]BD_CUSTO!$R$13,[1]BD_CUSTO!$R$14)*BT46/E46</f>
        <v>0</v>
      </c>
      <c r="BZ46" s="24">
        <f>BV46*CUSTO!$R$10/E46</f>
        <v>0</v>
      </c>
      <c r="CA46" s="26">
        <f>SUM(Tabela13[[#This Row],[SOMA_PISO SALA E QUARTO]],Tabela13[[#This Row],[SOMA_PAREDE HIDR]],Tabela13[[#This Row],[SOMA_TETO]],Tabela13[[#This Row],[SOMA_BANCADA]],Tabela13[[#This Row],[SOMA_PEDRAS]])</f>
        <v>3990</v>
      </c>
      <c r="CB46" s="27" t="str">
        <f>IF(CA46&lt;=RÉGUAS!$D$4,"ACAB 01",IF(CA46&lt;=RÉGUAS!$F$4,"ACAB 02",IF(CA46&gt;RÉGUAS!$F$4,"ACAB 03",)))</f>
        <v>ACAB 02</v>
      </c>
      <c r="CC46" s="26">
        <f>SUM(Tabela13[[#This Row],[SOMA_LZ 01]:[SOMA_LZ 10]])</f>
        <v>2464.0453124999999</v>
      </c>
      <c r="CD46" s="22" t="str">
        <f>IF(CC46&lt;=RÉGUAS!$D$13,"LZ 01",IF(CC46&lt;=RÉGUAS!$F$13,"LZ 02",IF(CC46&lt;=RÉGUAS!$H$13,"LZ 03",IF(CC46&gt;RÉGUAS!$H$13,"LZ 04",))))</f>
        <v>LZ 04</v>
      </c>
      <c r="CE46" s="28">
        <f t="shared" si="1"/>
        <v>1125</v>
      </c>
      <c r="CF46" s="22" t="str">
        <f>IF(CE46&lt;=RÉGUAS!$D$22,"TIP 01",IF(CE46&lt;=RÉGUAS!$F$22,"TIP 02",IF(CE46&gt;RÉGUAS!$F$22,"TIP 03",)))</f>
        <v>TIP 01</v>
      </c>
      <c r="CG46" s="28">
        <f t="shared" si="2"/>
        <v>2197.9166666666665</v>
      </c>
      <c r="CH46" s="22" t="str">
        <f>IF(CG46&lt;=RÉGUAS!$D$32,"VAGA 01",IF(CG46&lt;=RÉGUAS!$F$32,"VAGA 02",IF(CG46&gt;RÉGUAS!$F$32,"VAGA 03",)))</f>
        <v>VAGA 02</v>
      </c>
      <c r="CI46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46" s="85" t="str">
        <f>IF(AND(G46="BLOCO",CI46&lt;=RÉGUAS!$D$40),"ELEV 01",IF(AND(G46="BLOCO",CI46&gt;RÉGUAS!$D$40),"ELEV 02",IF(AND(G46="TORRE",CI46&lt;=RÉGUAS!$K$40),"ELEV 01",IF(AND(G46="TORRE",CI46&lt;=RÉGUAS!$M$40),"ELEV 02",IF(AND(G46="TORRE",CI46&gt;RÉGUAS!$M$40),"ELEV 03",)))))</f>
        <v>ELEV 01</v>
      </c>
      <c r="CK46" s="85">
        <f>SUM(Tabela13[[#This Row],[TOTAL  ACAB]],Tabela13[[#This Row],[TOTAL LAZER ]],Tabela13[[#This Row],[TOTAL TIPOLOGIA]],Tabela13[[#This Row],[TOTAL VAGA]],Tabela13[[#This Row],[TOTAL ELEVADOR]])</f>
        <v>9776.9619791666664</v>
      </c>
      <c r="CL46" s="72" t="str">
        <f>IF(AND(G46="BLOCO",CK46&lt;=RÉGUAS!$D$50),"ESSENCIAL",IF(AND(G46="BLOCO",CK46&lt;=RÉGUAS!$F$50),"ECO",IF(AND(G46="BLOCO",CK46&gt;RÉGUAS!$F$50),"BIO",IF(AND(G46="TORRE",CK46&lt;=RÉGUAS!$K$50),"ESSENCIAL",IF(AND(G46="TORRE",CK46&lt;=RÉGUAS!$M$50),"ECO",IF(AND(G46="TORRE",CK46&gt;RÉGUAS!$M$50),"BIO",))))))</f>
        <v>ECO</v>
      </c>
      <c r="CM46" s="28" t="str">
        <f>IF(AND(G46="BLOCO",CK46&gt;=RÉGUAS!$D$51,CK46&lt;=RÉGUAS!$D$50),"ESSENCIAL-10%",IF(AND(G46="BLOCO",CK46&gt;RÉGUAS!$D$50,CK46&lt;=RÉGUAS!$E$51),"ECO+10%",IF(AND(G46="BLOCO",CK46&gt;=RÉGUAS!$F$51,CK46&lt;=RÉGUAS!$F$50),"ECO-10%",IF(AND(G46="BLOCO",CK46&gt;RÉGUAS!$F$50,CK46&lt;=RÉGUAS!$G$51),"BIO+10%",IF(AND(G46="TORRE",CK46&gt;=RÉGUAS!$K$51,CK46&lt;=RÉGUAS!$K$50),"ESSENCIAL-10%",IF(AND(G46="TORRE",CK46&gt;RÉGUAS!$K$50,CK46&lt;=RÉGUAS!$L$51),"ECO+10%",IF(AND(G46="TORRE",CK46&gt;=RÉGUAS!$M$51,CK46&lt;=RÉGUAS!$M$50),"ECO-10%",IF(AND(G46="TORRE",CK46&gt;RÉGUAS!$M$50,CK46&lt;=RÉGUAS!$N$51),"BIO+10%","-"))))))))</f>
        <v>-</v>
      </c>
      <c r="CN46" s="73">
        <f t="shared" si="3"/>
        <v>9776.9619791666664</v>
      </c>
      <c r="CO46" s="72" t="str">
        <f>IF(CN46&lt;=RÉGUAS!$D$58,"ESSENCIAL",IF(CN46&lt;=RÉGUAS!$F$58,"ECO",IF(CN46&gt;RÉGUAS!$F$58,"BIO",)))</f>
        <v>ECO</v>
      </c>
      <c r="CP46" s="72" t="str">
        <f>IF(Tabela13[[#This Row],[INTERVALO DE INTERSEÇÃO 5D]]="-",Tabela13[[#This Row],[CLASSIFICAÇÃO 
5D ]],Tabela13[[#This Row],[CLASSIFICAÇÃO 
4D]])</f>
        <v>ECO</v>
      </c>
      <c r="CQ46" s="72" t="str">
        <f t="shared" si="4"/>
        <v>-</v>
      </c>
      <c r="CR46" s="72" t="str">
        <f t="shared" si="5"/>
        <v>ECO</v>
      </c>
      <c r="CS46" s="22" t="str">
        <f>IF(Tabela13[[#This Row],[PRODUTO ATUAL ]]=Tabela13[[#This Row],[CLASSIFICAÇÃO FINAL 5D]],"ADERÊNTE","NÃO ADERÊNTE")</f>
        <v>NÃO ADERÊNTE</v>
      </c>
      <c r="CT46" s="24">
        <f>SUM(Tabela13[[#This Row],[TOTAL  ACAB]],Tabela13[[#This Row],[TOTAL LAZER ]],Tabela13[[#This Row],[TOTAL TIPOLOGIA]],Tabela13[[#This Row],[TOTAL VAGA]])</f>
        <v>9776.9619791666664</v>
      </c>
      <c r="CU46" s="22" t="str">
        <f>IF(CT46&lt;=RÉGUAS!$D$58,"ESSENCIAL",IF(CT46&lt;=RÉGUAS!$F$58,"ECO",IF(CT46&gt;RÉGUAS!$F$58,"BIO",)))</f>
        <v>ECO</v>
      </c>
      <c r="CV46" s="22" t="str">
        <f>IF(AND(CT46&gt;=RÉGUAS!$D$59,CT46&lt;=RÉGUAS!$E$59),"ESSENCIAL/ECO",IF(AND(CT46&gt;=RÉGUAS!$F$59,CT46&lt;=RÉGUAS!$G$59),"ECO/BIO","-"))</f>
        <v>-</v>
      </c>
      <c r="CW46" s="85">
        <f>SUM(Tabela13[[#This Row],[TOTAL LAZER ]],Tabela13[[#This Row],[TOTAL TIPOLOGIA]])</f>
        <v>3589.0453124999999</v>
      </c>
      <c r="CX46" s="22" t="str">
        <f>IF(CW46&lt;=RÉGUAS!$D$72,"ESSENCIAL",IF(CW46&lt;=RÉGUAS!$F$72,"ECO",IF(CN46&gt;RÉGUAS!$F$72,"BIO",)))</f>
        <v>ECO</v>
      </c>
      <c r="CY46" s="22" t="str">
        <f t="shared" si="6"/>
        <v>ECO</v>
      </c>
      <c r="CZ46" s="22" t="str">
        <f>IF(Tabela13[[#This Row],[PRODUTO ATUAL ]]=CY46,"ADERENTE","NÃO ADERENTE")</f>
        <v>NÃO ADERENTE</v>
      </c>
      <c r="DA46" s="22" t="str">
        <f>IF(Tabela13[[#This Row],[PRODUTO ATUAL ]]=Tabela13[[#This Row],[CLASSIFICAÇÃO 
4D2]],"ADERENTE","NÃO ADERENTE")</f>
        <v>NÃO ADERENTE</v>
      </c>
    </row>
    <row r="47" spans="2:105" hidden="1" x14ac:dyDescent="0.35">
      <c r="B47" s="27">
        <v>38</v>
      </c>
      <c r="C47" s="22" t="s">
        <v>99</v>
      </c>
      <c r="D47" s="76" t="s">
        <v>100</v>
      </c>
      <c r="E47" s="128">
        <v>384</v>
      </c>
      <c r="F47" s="22" t="str">
        <f t="shared" si="0"/>
        <v>De 200 a 400 und</v>
      </c>
      <c r="G47" s="76" t="s">
        <v>1</v>
      </c>
      <c r="H47" s="129">
        <v>24</v>
      </c>
      <c r="I47" s="129">
        <v>4</v>
      </c>
      <c r="J47" s="129"/>
      <c r="K47" s="129"/>
      <c r="L47" s="129">
        <f>SUM(Tabela13[[#This Row],[QTD DE B/T 2]],Tabela13[[#This Row],[QTD DE B/T]])</f>
        <v>24</v>
      </c>
      <c r="M47" s="22">
        <v>2</v>
      </c>
      <c r="N47" s="22">
        <f>Tabela13[[#This Row],[ELEVADOR]]/Tabela13[[#This Row],[BLOCO TOTAL]]</f>
        <v>8.3333333333333329E-2</v>
      </c>
      <c r="O47" s="76" t="s">
        <v>6</v>
      </c>
      <c r="P47" s="76" t="s">
        <v>101</v>
      </c>
      <c r="Q47" s="76" t="s">
        <v>101</v>
      </c>
      <c r="R47" s="76" t="s">
        <v>102</v>
      </c>
      <c r="S47" s="76" t="s">
        <v>103</v>
      </c>
      <c r="T47" s="76" t="s">
        <v>104</v>
      </c>
      <c r="U47" s="76" t="s">
        <v>105</v>
      </c>
      <c r="V47" s="22" t="s">
        <v>106</v>
      </c>
      <c r="W47" s="24">
        <f>IF(P47=[1]BD_CUSTO!$E$4,[1]BD_CUSTO!$F$4,[1]BD_CUSTO!$F$5)</f>
        <v>2430</v>
      </c>
      <c r="X47" s="24">
        <f>IF(Q47=[1]BD_CUSTO!$E$6,[1]BD_CUSTO!$F$6,[1]BD_CUSTO!$F$7)</f>
        <v>260</v>
      </c>
      <c r="Y47" s="24">
        <f>IF(R47=[1]BD_CUSTO!$E$8,[1]BD_CUSTO!$F$8,[1]BD_CUSTO!$F$9)</f>
        <v>600</v>
      </c>
      <c r="Z47" s="24">
        <f>IF(S47=[1]BD_CUSTO!$E$10,[1]BD_CUSTO!$F$10,[1]BD_CUSTO!$F$11)</f>
        <v>500</v>
      </c>
      <c r="AA47" s="24">
        <f>IF(T47=[1]BD_CUSTO!$E$12,[1]BD_CUSTO!$F$12,[1]BD_CUSTO!$F$13)</f>
        <v>370</v>
      </c>
      <c r="AB47" s="24">
        <f>IF(U47=[1]BD_CUSTO!$E$14,[1]BD_CUSTO!$F$14,[1]BD_CUSTO!$F$15)</f>
        <v>90</v>
      </c>
      <c r="AC47" s="24">
        <f>IF(V47=[1]BD_CUSTO!$E$16,[1]BD_CUSTO!$F$16,[1]BD_CUSTO!$F$17)</f>
        <v>720</v>
      </c>
      <c r="AD47" s="76" t="s">
        <v>107</v>
      </c>
      <c r="AE47" s="76">
        <v>2</v>
      </c>
      <c r="AF47" s="76" t="s">
        <v>108</v>
      </c>
      <c r="AG47" s="76">
        <v>1</v>
      </c>
      <c r="AH47" s="76" t="s">
        <v>109</v>
      </c>
      <c r="AI47" s="76">
        <v>1</v>
      </c>
      <c r="AJ47" s="76" t="s">
        <v>110</v>
      </c>
      <c r="AK47" s="76">
        <v>1</v>
      </c>
      <c r="AL47" s="76" t="s">
        <v>111</v>
      </c>
      <c r="AM47" s="76">
        <v>1</v>
      </c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4">
        <f>IF(AD47="",0,VLOOKUP(AD47,[1]BD_CUSTO!I:J,2,0)*AE47/E47)</f>
        <v>443.48499999999996</v>
      </c>
      <c r="AY47" s="24">
        <f>IF(AF47="",0,VLOOKUP(AF47,[1]BD_CUSTO!I:J,2,0)*AG47/E47)</f>
        <v>60.286458333333336</v>
      </c>
      <c r="AZ47" s="24">
        <f>IF(AH47="",0,VLOOKUP(AH47,[1]BD_CUSTO!I:J,2,0)*AI47/E47)</f>
        <v>18.098958333333332</v>
      </c>
      <c r="BA47" s="24">
        <f>IF(AJ47="",0,VLOOKUP(AJ47,[1]BD_CUSTO!I:J,2,0)*AK47/E47)</f>
        <v>13.802083333333334</v>
      </c>
      <c r="BB47" s="24">
        <f>IF(AL47="",0,VLOOKUP(AL47,[1]BD_CUSTO!I:J,2,0)*AM47/E47)</f>
        <v>42.1875</v>
      </c>
      <c r="BC47" s="24">
        <f>IF(AN47="",0,VLOOKUP(AN47,[1]BD_CUSTO!I:J,2,0)*AO47/E47)</f>
        <v>0</v>
      </c>
      <c r="BD47" s="24">
        <f>IF(AP47="",0,VLOOKUP(AP47,[1]BD_CUSTO!I:J,2,0)*AQ47/E47)</f>
        <v>0</v>
      </c>
      <c r="BE47" s="24">
        <f>IF(AR47="",0,VLOOKUP(AR47,CUSTO!I:J,2,0)*AS47/E47)</f>
        <v>0</v>
      </c>
      <c r="BF47" s="24">
        <f>IF(AT47="",0,VLOOKUP(AT47,[1]BD_CUSTO!I:J,2,0)*AU47/E47)</f>
        <v>0</v>
      </c>
      <c r="BG47" s="24">
        <f>IF(Tabela13[[#This Row],[LZ 10]]="",0,VLOOKUP(Tabela13[[#This Row],[LZ 10]],[1]BD_CUSTO!I:J,2,0)*Tabela13[[#This Row],[QTD922]]/E47)</f>
        <v>0</v>
      </c>
      <c r="BH47" s="76" t="s">
        <v>112</v>
      </c>
      <c r="BI47" s="127">
        <f>132/Tabela13[[#This Row],[Nº UNDS]]</f>
        <v>0.34375</v>
      </c>
      <c r="BJ47" s="76" t="s">
        <v>113</v>
      </c>
      <c r="BK47" s="127">
        <v>0</v>
      </c>
      <c r="BL47" s="24">
        <f>IF(BH47=[1]BD_CUSTO!$M$6,[1]BD_CUSTO!$N$6)*BI47</f>
        <v>1031.25</v>
      </c>
      <c r="BM47" s="24">
        <f>IF(BJ47=[1]BD_CUSTO!$M$4,[1]BD_CUSTO!$N$4,[1]BD_CUSTO!$N$5)*BK47</f>
        <v>0</v>
      </c>
      <c r="BN47" s="76" t="s">
        <v>114</v>
      </c>
      <c r="BO47" s="76">
        <v>435</v>
      </c>
      <c r="BP47" s="25">
        <f>Tabela13[[#This Row],[QTD ]]/Tabela13[[#This Row],[Nº UNDS]]</f>
        <v>1.1328125</v>
      </c>
      <c r="BQ47" s="22" t="s">
        <v>115</v>
      </c>
      <c r="BR47" s="22">
        <v>0</v>
      </c>
      <c r="BS47" s="22" t="s">
        <v>116</v>
      </c>
      <c r="BT47" s="22">
        <v>0</v>
      </c>
      <c r="BU47" s="22" t="s">
        <v>16</v>
      </c>
      <c r="BV47" s="22">
        <v>0</v>
      </c>
      <c r="BW47" s="24">
        <f>IF(BN47=[1]BD_CUSTO!$Q$7,[1]BD_CUSTO!$R$7,[1]BD_CUSTO!$R$8)*BO47/E47</f>
        <v>2265.625</v>
      </c>
      <c r="BX47" s="24">
        <f>IF(BQ47=[1]BD_CUSTO!$Q$4,[1]BD_CUSTO!$R$4,[1]BD_CUSTO!$R$5)*BR47/E47</f>
        <v>0</v>
      </c>
      <c r="BY47" s="22">
        <f>IF(BS47=[1]BD_CUSTO!$Q$13,[1]BD_CUSTO!$R$13,[1]BD_CUSTO!$R$14)*BT47/E47</f>
        <v>0</v>
      </c>
      <c r="BZ47" s="163">
        <f>BV47*CUSTO!$R$10/E47</f>
        <v>0</v>
      </c>
      <c r="CA47" s="164">
        <f>SUM(Tabela13[[#This Row],[SOMA_PISO SALA E QUARTO]],Tabela13[[#This Row],[SOMA_PAREDE HIDR]],Tabela13[[#This Row],[SOMA_TETO]],Tabela13[[#This Row],[SOMA_BANCADA]],Tabela13[[#This Row],[SOMA_PEDRAS]])</f>
        <v>3990</v>
      </c>
      <c r="CB47" s="165" t="str">
        <f>IF(CA47&lt;=RÉGUAS!$D$4,"ACAB 01",IF(CA47&lt;=RÉGUAS!$F$4,"ACAB 02",IF(CA47&gt;RÉGUAS!$F$4,"ACAB 03",)))</f>
        <v>ACAB 02</v>
      </c>
      <c r="CC47" s="164">
        <f>SUM(Tabela13[[#This Row],[SOMA_LZ 01]:[SOMA_LZ 10]])</f>
        <v>577.86</v>
      </c>
      <c r="CD47" s="166" t="str">
        <f>IF(CC47&lt;=RÉGUAS!$D$13,"LZ 01",IF(CC47&lt;=RÉGUAS!$F$13,"LZ 02",IF(CC47&lt;=RÉGUAS!$H$13,"LZ 03",IF(CC47&gt;RÉGUAS!$H$13,"LZ 04",))))</f>
        <v>LZ 01</v>
      </c>
      <c r="CE47" s="167">
        <f t="shared" si="1"/>
        <v>1031.25</v>
      </c>
      <c r="CF47" s="166" t="str">
        <f>IF(CE47&lt;=RÉGUAS!$D$22,"TIP 01",IF(CE47&lt;=RÉGUAS!$F$22,"TIP 02",IF(CE47&gt;RÉGUAS!$F$22,"TIP 03",)))</f>
        <v>TIP 01</v>
      </c>
      <c r="CG47" s="167">
        <f t="shared" si="2"/>
        <v>2265.625</v>
      </c>
      <c r="CH47" s="166" t="str">
        <f>IF(CG47&lt;=RÉGUAS!$D$32,"VAGA 01",IF(CG47&lt;=RÉGUAS!$F$32,"VAGA 02",IF(CG47&gt;RÉGUAS!$F$32,"VAGA 03",)))</f>
        <v>VAGA 02</v>
      </c>
      <c r="CI47" s="168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625.58333333333337</v>
      </c>
      <c r="CJ47" s="168" t="str">
        <f>IF(AND(G47="BLOCO",CI47&lt;=RÉGUAS!$D$40),"ELEV 01",IF(AND(G47="BLOCO",CI47&gt;RÉGUAS!$D$40),"ELEV 02",IF(AND(G47="TORRE",CI47&lt;=RÉGUAS!$K$40),"ELEV 01",IF(AND(G47="TORRE",CI47&lt;=RÉGUAS!$M$40),"ELEV 02",IF(AND(G47="TORRE",CI47&gt;RÉGUAS!$M$40),"ELEV 03",)))))</f>
        <v>ELEV 02</v>
      </c>
      <c r="CK47" s="85">
        <f>SUM(Tabela13[[#This Row],[TOTAL  ACAB]],Tabela13[[#This Row],[TOTAL LAZER ]],Tabela13[[#This Row],[TOTAL TIPOLOGIA]],Tabela13[[#This Row],[TOTAL VAGA]],Tabela13[[#This Row],[TOTAL ELEVADOR]])</f>
        <v>8490.3183333333327</v>
      </c>
      <c r="CL47" s="72" t="str">
        <f>IF(AND(G47="BLOCO",CK47&lt;=RÉGUAS!$D$50),"ESSENCIAL",IF(AND(G47="BLOCO",CK47&lt;=RÉGUAS!$F$50),"ECO",IF(AND(G47="BLOCO",CK47&gt;RÉGUAS!$F$50),"BIO",IF(AND(G47="TORRE",CK47&lt;=RÉGUAS!$K$50),"ESSENCIAL",IF(AND(G47="TORRE",CK47&lt;=RÉGUAS!$M$50),"ECO",IF(AND(G47="TORRE",CK47&gt;RÉGUAS!$M$50),"BIO",))))))</f>
        <v>ECO</v>
      </c>
      <c r="CM47" s="28" t="str">
        <f>IF(AND(G47="BLOCO",CK47&gt;=RÉGUAS!$D$51,CK47&lt;=RÉGUAS!$D$50),"ESSENCIAL-10%",IF(AND(G47="BLOCO",CK47&gt;RÉGUAS!$D$50,CK47&lt;=RÉGUAS!$E$51),"ECO+10%",IF(AND(G47="BLOCO",CK47&gt;=RÉGUAS!$F$51,CK47&lt;=RÉGUAS!$F$50),"ECO-10%",IF(AND(G47="BLOCO",CK47&gt;RÉGUAS!$F$50,CK47&lt;=RÉGUAS!$G$51),"BIO+10%",IF(AND(G47="TORRE",CK47&gt;=RÉGUAS!$K$51,CK47&lt;=RÉGUAS!$K$50),"ESSENCIAL-10%",IF(AND(G47="TORRE",CK47&gt;RÉGUAS!$K$50,CK47&lt;=RÉGUAS!$L$51),"ECO+10%",IF(AND(G47="TORRE",CK47&gt;=RÉGUAS!$M$51,CK47&lt;=RÉGUAS!$M$50),"ECO-10%",IF(AND(G47="TORRE",CK47&gt;RÉGUAS!$M$50,CK47&lt;=RÉGUAS!$N$51),"BIO+10%","-"))))))))</f>
        <v>ECO+10%</v>
      </c>
      <c r="CN47" s="73">
        <f t="shared" si="3"/>
        <v>7864.7349999999997</v>
      </c>
      <c r="CO47" s="72" t="str">
        <f>IF(CN47&lt;=RÉGUAS!$D$58,"ESSENCIAL",IF(CN47&lt;=RÉGUAS!$F$58,"ECO",IF(CN47&gt;RÉGUAS!$F$58,"BIO",)))</f>
        <v>ECO</v>
      </c>
      <c r="CP47" s="72" t="str">
        <f>IF(Tabela13[[#This Row],[INTERVALO DE INTERSEÇÃO 5D]]="-",Tabela13[[#This Row],[CLASSIFICAÇÃO 
5D ]],Tabela13[[#This Row],[CLASSIFICAÇÃO 
4D]])</f>
        <v>ECO</v>
      </c>
      <c r="CQ47" s="72" t="str">
        <f t="shared" si="4"/>
        <v>-</v>
      </c>
      <c r="CR47" s="72" t="str">
        <f t="shared" si="5"/>
        <v>ECO</v>
      </c>
      <c r="CS47" s="22" t="str">
        <f>IF(Tabela13[[#This Row],[PRODUTO ATUAL ]]=Tabela13[[#This Row],[CLASSIFICAÇÃO FINAL 5D]],"ADERÊNTE","NÃO ADERÊNTE")</f>
        <v>NÃO ADERÊNTE</v>
      </c>
      <c r="CT47" s="163">
        <f>SUM(Tabela13[[#This Row],[TOTAL  ACAB]],Tabela13[[#This Row],[TOTAL LAZER ]],Tabela13[[#This Row],[TOTAL TIPOLOGIA]],Tabela13[[#This Row],[TOTAL VAGA]])</f>
        <v>7864.7349999999997</v>
      </c>
      <c r="CU47" s="166" t="str">
        <f>IF(CT47&lt;=RÉGUAS!$D$58,"ESSENCIAL",IF(CT47&lt;=RÉGUAS!$F$58,"ECO",IF(CT47&gt;RÉGUAS!$F$58,"BIO",)))</f>
        <v>ECO</v>
      </c>
      <c r="CV47" s="166" t="str">
        <f>IF(AND(CT47&gt;=RÉGUAS!$D$59,CT47&lt;=RÉGUAS!$E$59),"ESSENCIAL/ECO",IF(AND(CT47&gt;=RÉGUAS!$F$59,CT47&lt;=RÉGUAS!$G$59),"ECO/BIO","-"))</f>
        <v>-</v>
      </c>
      <c r="CW47" s="85">
        <f>SUM(Tabela13[[#This Row],[TOTAL LAZER ]],Tabela13[[#This Row],[TOTAL TIPOLOGIA]])</f>
        <v>1609.1100000000001</v>
      </c>
      <c r="CX47" s="166" t="str">
        <f>IF(CW47&lt;=RÉGUAS!$D$72,"ESSENCIAL",IF(CW47&lt;=RÉGUAS!$F$72,"ECO",IF(CN47&gt;RÉGUAS!$F$72,"BIO",)))</f>
        <v>ESSENCIAL</v>
      </c>
      <c r="CY47" s="22" t="str">
        <f t="shared" si="6"/>
        <v>ECO</v>
      </c>
      <c r="CZ47" s="22" t="str">
        <f>IF(Tabela13[[#This Row],[PRODUTO ATUAL ]]=CY47,"ADERENTE","NÃO ADERENTE")</f>
        <v>NÃO ADERENTE</v>
      </c>
      <c r="DA47" s="22" t="str">
        <f>IF(Tabela13[[#This Row],[PRODUTO ATUAL ]]=Tabela13[[#This Row],[CLASSIFICAÇÃO 
4D2]],"ADERENTE","NÃO ADERENTE")</f>
        <v>NÃO ADERENTE</v>
      </c>
    </row>
    <row r="48" spans="2:105" hidden="1" x14ac:dyDescent="0.35">
      <c r="B48" s="27">
        <v>85</v>
      </c>
      <c r="C48" s="22" t="s">
        <v>178</v>
      </c>
      <c r="D48" s="22" t="s">
        <v>147</v>
      </c>
      <c r="E48" s="23">
        <v>184</v>
      </c>
      <c r="F48" s="22" t="str">
        <f t="shared" si="0"/>
        <v>Até 200 und</v>
      </c>
      <c r="G48" s="22" t="s">
        <v>14</v>
      </c>
      <c r="H48" s="36">
        <v>2</v>
      </c>
      <c r="I48" s="36">
        <v>12</v>
      </c>
      <c r="J48" s="36"/>
      <c r="K48" s="36"/>
      <c r="L48" s="36">
        <f>SUM(Tabela13[[#This Row],[QTD DE B/T 2]],Tabela13[[#This Row],[QTD DE B/T]])</f>
        <v>2</v>
      </c>
      <c r="M48" s="22">
        <v>4</v>
      </c>
      <c r="N48" s="22">
        <f>Tabela13[[#This Row],[ELEVADOR]]/Tabela13[[#This Row],[BLOCO TOTAL]]</f>
        <v>2</v>
      </c>
      <c r="O48" s="22" t="s">
        <v>5</v>
      </c>
      <c r="P48" s="22" t="s">
        <v>119</v>
      </c>
      <c r="Q48" s="22" t="s">
        <v>101</v>
      </c>
      <c r="R48" s="22" t="s">
        <v>142</v>
      </c>
      <c r="S48" s="22" t="s">
        <v>103</v>
      </c>
      <c r="T48" s="22" t="s">
        <v>104</v>
      </c>
      <c r="U48" s="22" t="s">
        <v>105</v>
      </c>
      <c r="V48" s="22" t="s">
        <v>106</v>
      </c>
      <c r="W48" s="24">
        <f>IF(P48=[1]BD_CUSTO!$E$4,[1]BD_CUSTO!$F$4,[1]BD_CUSTO!$F$5)</f>
        <v>530</v>
      </c>
      <c r="X48" s="24">
        <f>IF(Q48=[1]BD_CUSTO!$E$6,[1]BD_CUSTO!$F$6,[1]BD_CUSTO!$F$7)</f>
        <v>260</v>
      </c>
      <c r="Y48" s="24">
        <f>IF(R48=[1]BD_CUSTO!$E$8,[1]BD_CUSTO!$F$8,[1]BD_CUSTO!$F$9)</f>
        <v>900</v>
      </c>
      <c r="Z48" s="24">
        <f>IF(S48=[1]BD_CUSTO!$E$10,[1]BD_CUSTO!$F$10,[1]BD_CUSTO!$F$11)</f>
        <v>500</v>
      </c>
      <c r="AA48" s="24">
        <f>IF(T48=[1]BD_CUSTO!$E$12,[1]BD_CUSTO!$F$12,[1]BD_CUSTO!$F$13)</f>
        <v>370</v>
      </c>
      <c r="AB48" s="24">
        <f>IF(U48=[1]BD_CUSTO!$E$14,[1]BD_CUSTO!$F$14,[1]BD_CUSTO!$F$15)</f>
        <v>90</v>
      </c>
      <c r="AC48" s="24">
        <f>IF(V48=[1]BD_CUSTO!$E$16,[1]BD_CUSTO!$F$16,[1]BD_CUSTO!$F$17)</f>
        <v>720</v>
      </c>
      <c r="AD48" s="22" t="s">
        <v>129</v>
      </c>
      <c r="AE48" s="22">
        <v>1</v>
      </c>
      <c r="AF48" s="22" t="s">
        <v>107</v>
      </c>
      <c r="AG48" s="22">
        <v>1</v>
      </c>
      <c r="AH48" s="22" t="s">
        <v>121</v>
      </c>
      <c r="AI48" s="22">
        <v>1</v>
      </c>
      <c r="AJ48" s="22" t="s">
        <v>108</v>
      </c>
      <c r="AK48" s="22">
        <v>1</v>
      </c>
      <c r="AL48" s="22" t="s">
        <v>110</v>
      </c>
      <c r="AM48" s="22">
        <v>1</v>
      </c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4">
        <f>IF(AD48="",0,VLOOKUP(AD48,[1]BD_CUSTO!I:J,2,0)*AE48/E48)</f>
        <v>1495.4759782608696</v>
      </c>
      <c r="AY48" s="24">
        <f>IF(AF48="",0,VLOOKUP(AF48,[1]BD_CUSTO!I:J,2,0)*AG48/E48)</f>
        <v>462.76695652173913</v>
      </c>
      <c r="AZ48" s="24">
        <f>IF(AH48="",0,VLOOKUP(AH48,[1]BD_CUSTO!I:J,2,0)*AI48/E48)</f>
        <v>669.33097826086953</v>
      </c>
      <c r="BA48" s="24">
        <f>IF(AJ48="",0,VLOOKUP(AJ48,[1]BD_CUSTO!I:J,2,0)*AK48/E48)</f>
        <v>125.81521739130434</v>
      </c>
      <c r="BB48" s="24">
        <f>IF(AL48="",0,VLOOKUP(AL48,[1]BD_CUSTO!I:J,2,0)*AM48/E48)</f>
        <v>28.804347826086957</v>
      </c>
      <c r="BC48" s="24">
        <f>IF(AN48="",0,VLOOKUP(AN48,[1]BD_CUSTO!I:J,2,0)*AO48/E48)</f>
        <v>0</v>
      </c>
      <c r="BD48" s="24">
        <f>IF(AP48="",0,VLOOKUP(AP48,[1]BD_CUSTO!I:J,2,0)*AQ48/E48)</f>
        <v>0</v>
      </c>
      <c r="BE48" s="24">
        <f>IF(AR48="",0,VLOOKUP(AR48,CUSTO!I:J,2,0)*AS48/E48)</f>
        <v>0</v>
      </c>
      <c r="BF48" s="24">
        <f>IF(AT48="",0,VLOOKUP(AT48,[1]BD_CUSTO!I:J,2,0)*AU48/E48)</f>
        <v>0</v>
      </c>
      <c r="BG48" s="24">
        <f>IF(Tabela13[[#This Row],[LZ 10]]="",0,VLOOKUP(Tabela13[[#This Row],[LZ 10]],[1]BD_CUSTO!I:J,2,0)*Tabela13[[#This Row],[QTD922]]/E48)</f>
        <v>0</v>
      </c>
      <c r="BH48" s="22" t="s">
        <v>112</v>
      </c>
      <c r="BI48" s="25">
        <f>84/Tabela13[[#This Row],[Nº UNDS]]</f>
        <v>0.45652173913043476</v>
      </c>
      <c r="BJ48" s="22" t="s">
        <v>113</v>
      </c>
      <c r="BK48" s="25">
        <v>0</v>
      </c>
      <c r="BL48" s="24">
        <f>IF(BH48=[1]BD_CUSTO!$M$6,[1]BD_CUSTO!$N$6)*BI48</f>
        <v>1369.5652173913043</v>
      </c>
      <c r="BM48" s="24">
        <f>IF(BJ48=[1]BD_CUSTO!$M$4,[1]BD_CUSTO!$N$4,[1]BD_CUSTO!$N$5)*BK48</f>
        <v>0</v>
      </c>
      <c r="BN48" s="22" t="s">
        <v>114</v>
      </c>
      <c r="BO48" s="22">
        <v>206</v>
      </c>
      <c r="BP48" s="25">
        <f>Tabela13[[#This Row],[QTD ]]/Tabela13[[#This Row],[Nº UNDS]]</f>
        <v>1.1195652173913044</v>
      </c>
      <c r="BQ48" s="22" t="s">
        <v>115</v>
      </c>
      <c r="BR48" s="22">
        <v>0</v>
      </c>
      <c r="BS48" s="22" t="s">
        <v>116</v>
      </c>
      <c r="BT48" s="22">
        <v>0</v>
      </c>
      <c r="BU48" s="22" t="s">
        <v>16</v>
      </c>
      <c r="BV48" s="22">
        <v>0</v>
      </c>
      <c r="BW48" s="24">
        <f>IF(BN48=[1]BD_CUSTO!$Q$7,[1]BD_CUSTO!$R$7,[1]BD_CUSTO!$R$8)*BO48/E48</f>
        <v>2239.1304347826085</v>
      </c>
      <c r="BX48" s="24">
        <f>IF(BQ48=[1]BD_CUSTO!$Q$4,[1]BD_CUSTO!$R$4,[1]BD_CUSTO!$R$5)*BR48/E48</f>
        <v>0</v>
      </c>
      <c r="BY48" s="22">
        <f>IF(BS48=[1]BD_CUSTO!$Q$13,[1]BD_CUSTO!$R$13,[1]BD_CUSTO!$R$14)*BT48/E48</f>
        <v>0</v>
      </c>
      <c r="BZ48" s="24">
        <f>BV48*CUSTO!$R$10/E48</f>
        <v>0</v>
      </c>
      <c r="CA48" s="26">
        <f>SUM(Tabela13[[#This Row],[SOMA_PISO SALA E QUARTO]],Tabela13[[#This Row],[SOMA_PAREDE HIDR]],Tabela13[[#This Row],[SOMA_TETO]],Tabela13[[#This Row],[SOMA_BANCADA]],Tabela13[[#This Row],[SOMA_PEDRAS]])</f>
        <v>2390</v>
      </c>
      <c r="CB48" s="27" t="str">
        <f>IF(CA48&lt;=RÉGUAS!$D$4,"ACAB 01",IF(CA48&lt;=RÉGUAS!$F$4,"ACAB 02",IF(CA48&gt;RÉGUAS!$F$4,"ACAB 03",)))</f>
        <v>ACAB 01</v>
      </c>
      <c r="CC48" s="26">
        <f>SUM(Tabela13[[#This Row],[SOMA_LZ 01]:[SOMA_LZ 10]])</f>
        <v>2782.1934782608696</v>
      </c>
      <c r="CD48" s="22" t="str">
        <f>IF(CC48&lt;=RÉGUAS!$D$13,"LZ 01",IF(CC48&lt;=RÉGUAS!$F$13,"LZ 02",IF(CC48&lt;=RÉGUAS!$H$13,"LZ 03",IF(CC48&gt;RÉGUAS!$H$13,"LZ 04",))))</f>
        <v>LZ 04</v>
      </c>
      <c r="CE48" s="28">
        <f t="shared" si="1"/>
        <v>1369.5652173913043</v>
      </c>
      <c r="CF48" s="22" t="str">
        <f>IF(CE48&lt;=RÉGUAS!$D$22,"TIP 01",IF(CE48&lt;=RÉGUAS!$F$22,"TIP 02",IF(CE48&gt;RÉGUAS!$F$22,"TIP 03",)))</f>
        <v>TIP 01</v>
      </c>
      <c r="CG48" s="28">
        <f t="shared" si="2"/>
        <v>2239.1304347826085</v>
      </c>
      <c r="CH48" s="22" t="str">
        <f>IF(CG48&lt;=RÉGUAS!$D$32,"VAGA 01",IF(CG48&lt;=RÉGUAS!$F$32,"VAGA 02",IF(CG48&gt;RÉGUAS!$F$32,"VAGA 03",)))</f>
        <v>VAGA 02</v>
      </c>
      <c r="CI48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4377.130434782609</v>
      </c>
      <c r="CJ48" s="85" t="str">
        <f>IF(AND(G48="BLOCO",CI48&lt;=RÉGUAS!$D$40),"ELEV 01",IF(AND(G48="BLOCO",CI48&gt;RÉGUAS!$D$40),"ELEV 02",IF(AND(G48="TORRE",CI48&lt;=RÉGUAS!$K$40),"ELEV 01",IF(AND(G48="TORRE",CI48&lt;=RÉGUAS!$M$40),"ELEV 02",IF(AND(G48="TORRE",CI48&gt;RÉGUAS!$M$40),"ELEV 03",)))))</f>
        <v>ELEV 03</v>
      </c>
      <c r="CK48" s="85">
        <f>SUM(Tabela13[[#This Row],[TOTAL  ACAB]],Tabela13[[#This Row],[TOTAL LAZER ]],Tabela13[[#This Row],[TOTAL TIPOLOGIA]],Tabela13[[#This Row],[TOTAL VAGA]],Tabela13[[#This Row],[TOTAL ELEVADOR]])</f>
        <v>13158.01956521739</v>
      </c>
      <c r="CL48" s="72" t="str">
        <f>IF(AND(G48="BLOCO",CK48&lt;=RÉGUAS!$D$50),"ESSENCIAL",IF(AND(G48="BLOCO",CK48&lt;=RÉGUAS!$F$50),"ECO",IF(AND(G48="BLOCO",CK48&gt;RÉGUAS!$F$50),"BIO",IF(AND(G48="TORRE",CK48&lt;=RÉGUAS!$K$50),"ESSENCIAL",IF(AND(G48="TORRE",CK48&lt;=RÉGUAS!$M$50),"ECO",IF(AND(G48="TORRE",CK48&gt;RÉGUAS!$M$50),"BIO",))))))</f>
        <v>ECO</v>
      </c>
      <c r="CM48" s="28" t="str">
        <f>IF(AND(G48="BLOCO",CK48&gt;=RÉGUAS!$D$51,CK48&lt;=RÉGUAS!$D$50),"ESSENCIAL-10%",IF(AND(G48="BLOCO",CK48&gt;RÉGUAS!$D$50,CK48&lt;=RÉGUAS!$E$51),"ECO+10%",IF(AND(G48="BLOCO",CK48&gt;=RÉGUAS!$F$51,CK48&lt;=RÉGUAS!$F$50),"ECO-10%",IF(AND(G48="BLOCO",CK48&gt;RÉGUAS!$F$50,CK48&lt;=RÉGUAS!$G$51),"BIO+10%",IF(AND(G48="TORRE",CK48&gt;=RÉGUAS!$K$51,CK48&lt;=RÉGUAS!$K$50),"ESSENCIAL-10%",IF(AND(G48="TORRE",CK48&gt;RÉGUAS!$K$50,CK48&lt;=RÉGUAS!$L$51),"ECO+10%",IF(AND(G48="TORRE",CK48&gt;=RÉGUAS!$M$51,CK48&lt;=RÉGUAS!$M$50),"ECO-10%",IF(AND(G48="TORRE",CK48&gt;RÉGUAS!$M$50,CK48&lt;=RÉGUAS!$N$51),"BIO+10%","-"))))))))</f>
        <v>ECO-10%</v>
      </c>
      <c r="CN48" s="73">
        <f t="shared" si="3"/>
        <v>8780.8891304347817</v>
      </c>
      <c r="CO48" s="72" t="str">
        <f>IF(CN48&lt;=RÉGUAS!$D$58,"ESSENCIAL",IF(CN48&lt;=RÉGUAS!$F$58,"ECO",IF(CN48&gt;RÉGUAS!$F$58,"BIO",)))</f>
        <v>ECO</v>
      </c>
      <c r="CP48" s="72" t="str">
        <f>IF(Tabela13[[#This Row],[INTERVALO DE INTERSEÇÃO 5D]]="-",Tabela13[[#This Row],[CLASSIFICAÇÃO 
5D ]],Tabela13[[#This Row],[CLASSIFICAÇÃO 
4D]])</f>
        <v>ECO</v>
      </c>
      <c r="CQ48" s="72" t="str">
        <f t="shared" si="4"/>
        <v>-</v>
      </c>
      <c r="CR48" s="72" t="str">
        <f t="shared" si="5"/>
        <v>ECO</v>
      </c>
      <c r="CS48" s="22" t="str">
        <f>IF(Tabela13[[#This Row],[PRODUTO ATUAL ]]=Tabela13[[#This Row],[CLASSIFICAÇÃO FINAL 5D]],"ADERÊNTE","NÃO ADERÊNTE")</f>
        <v>ADERÊNTE</v>
      </c>
      <c r="CT48" s="24">
        <f>SUM(Tabela13[[#This Row],[TOTAL  ACAB]],Tabela13[[#This Row],[TOTAL LAZER ]],Tabela13[[#This Row],[TOTAL TIPOLOGIA]],Tabela13[[#This Row],[TOTAL VAGA]])</f>
        <v>8780.8891304347817</v>
      </c>
      <c r="CU48" s="22" t="str">
        <f>IF(CT48&lt;=RÉGUAS!$D$58,"ESSENCIAL",IF(CT48&lt;=RÉGUAS!$F$58,"ECO",IF(CT48&gt;RÉGUAS!$F$58,"BIO",)))</f>
        <v>ECO</v>
      </c>
      <c r="CV48" s="22" t="str">
        <f>IF(AND(CT48&gt;=RÉGUAS!$D$59,CT48&lt;=RÉGUAS!$E$59),"ESSENCIAL/ECO",IF(AND(CT48&gt;=RÉGUAS!$F$59,CT48&lt;=RÉGUAS!$G$59),"ECO/BIO","-"))</f>
        <v>-</v>
      </c>
      <c r="CW48" s="85">
        <f>SUM(Tabela13[[#This Row],[TOTAL LAZER ]],Tabela13[[#This Row],[TOTAL TIPOLOGIA]])</f>
        <v>4151.7586956521736</v>
      </c>
      <c r="CX48" s="22" t="str">
        <f>IF(CW48&lt;=RÉGUAS!$D$72,"ESSENCIAL",IF(CW48&lt;=RÉGUAS!$F$72,"ECO",IF(CN48&gt;RÉGUAS!$F$72,"BIO",)))</f>
        <v>ECO</v>
      </c>
      <c r="CY48" s="22" t="str">
        <f t="shared" si="6"/>
        <v>ECO</v>
      </c>
      <c r="CZ48" s="22" t="str">
        <f>IF(Tabela13[[#This Row],[PRODUTO ATUAL ]]=CY48,"ADERENTE","NÃO ADERENTE")</f>
        <v>ADERENTE</v>
      </c>
      <c r="DA48" s="22" t="str">
        <f>IF(Tabela13[[#This Row],[PRODUTO ATUAL ]]=Tabela13[[#This Row],[CLASSIFICAÇÃO 
4D2]],"ADERENTE","NÃO ADERENTE")</f>
        <v>ADERENTE</v>
      </c>
    </row>
    <row r="49" spans="2:105" hidden="1" x14ac:dyDescent="0.35">
      <c r="B49" s="27">
        <v>59</v>
      </c>
      <c r="C49" s="22" t="s">
        <v>225</v>
      </c>
      <c r="D49" s="22" t="s">
        <v>125</v>
      </c>
      <c r="E49" s="23">
        <v>264</v>
      </c>
      <c r="F49" s="22" t="str">
        <f t="shared" si="0"/>
        <v>De 200 a 400 und</v>
      </c>
      <c r="G49" s="22" t="s">
        <v>14</v>
      </c>
      <c r="H49" s="36">
        <v>3</v>
      </c>
      <c r="I49" s="36">
        <v>11</v>
      </c>
      <c r="J49" s="36"/>
      <c r="K49" s="36"/>
      <c r="L49" s="36">
        <f>SUM(Tabela13[[#This Row],[QTD DE B/T 2]],Tabela13[[#This Row],[QTD DE B/T]])</f>
        <v>3</v>
      </c>
      <c r="M49" s="22">
        <v>6</v>
      </c>
      <c r="N49" s="22">
        <f>Tabela13[[#This Row],[ELEVADOR]]/Tabela13[[#This Row],[BLOCO TOTAL]]</f>
        <v>2</v>
      </c>
      <c r="O49" s="22" t="s">
        <v>5</v>
      </c>
      <c r="P49" s="22" t="s">
        <v>119</v>
      </c>
      <c r="Q49" s="22" t="s">
        <v>101</v>
      </c>
      <c r="R49" s="22" t="s">
        <v>142</v>
      </c>
      <c r="S49" s="22" t="s">
        <v>159</v>
      </c>
      <c r="T49" s="22" t="s">
        <v>104</v>
      </c>
      <c r="U49" s="22" t="s">
        <v>105</v>
      </c>
      <c r="V49" s="22" t="s">
        <v>137</v>
      </c>
      <c r="W49" s="24">
        <f>IF(P49=[1]BD_CUSTO!$E$4,[1]BD_CUSTO!$F$4,[1]BD_CUSTO!$F$5)</f>
        <v>530</v>
      </c>
      <c r="X49" s="24">
        <f>IF(Q49=[1]BD_CUSTO!$E$6,[1]BD_CUSTO!$F$6,[1]BD_CUSTO!$F$7)</f>
        <v>260</v>
      </c>
      <c r="Y49" s="24">
        <f>IF(R49=[1]BD_CUSTO!$E$8,[1]BD_CUSTO!$F$8,[1]BD_CUSTO!$F$9)</f>
        <v>900</v>
      </c>
      <c r="Z49" s="24">
        <f>IF(S49=[1]BD_CUSTO!$E$10,[1]BD_CUSTO!$F$10,[1]BD_CUSTO!$F$11)</f>
        <v>935</v>
      </c>
      <c r="AA49" s="24">
        <f>IF(T49=[1]BD_CUSTO!$E$12,[1]BD_CUSTO!$F$12,[1]BD_CUSTO!$F$13)</f>
        <v>370</v>
      </c>
      <c r="AB49" s="24">
        <f>IF(U49=[1]BD_CUSTO!$E$14,[1]BD_CUSTO!$F$14,[1]BD_CUSTO!$F$15)</f>
        <v>90</v>
      </c>
      <c r="AC49" s="24">
        <f>IF(V49=[1]BD_CUSTO!$E$16,[1]BD_CUSTO!$F$16,[1]BD_CUSTO!$F$17)</f>
        <v>1320</v>
      </c>
      <c r="AD49" s="22" t="s">
        <v>110</v>
      </c>
      <c r="AE49" s="22">
        <v>1</v>
      </c>
      <c r="AF49" s="22" t="s">
        <v>109</v>
      </c>
      <c r="AG49" s="22">
        <v>1</v>
      </c>
      <c r="AH49" s="22" t="s">
        <v>129</v>
      </c>
      <c r="AI49" s="22">
        <v>1</v>
      </c>
      <c r="AJ49" s="22" t="s">
        <v>108</v>
      </c>
      <c r="AK49" s="22">
        <v>1</v>
      </c>
      <c r="AL49" s="22" t="s">
        <v>111</v>
      </c>
      <c r="AM49" s="22">
        <v>1</v>
      </c>
      <c r="AN49" s="22" t="s">
        <v>121</v>
      </c>
      <c r="AO49" s="22">
        <v>1</v>
      </c>
      <c r="AP49" s="22" t="s">
        <v>107</v>
      </c>
      <c r="AQ49" s="22">
        <v>1</v>
      </c>
      <c r="AR49" s="22" t="s">
        <v>156</v>
      </c>
      <c r="AS49" s="22">
        <v>1</v>
      </c>
      <c r="AT49" s="22"/>
      <c r="AU49" s="22"/>
      <c r="AV49" s="22"/>
      <c r="AW49" s="22"/>
      <c r="AX49" s="24">
        <f>IF(AD49="",0,VLOOKUP(AD49,[1]BD_CUSTO!I:J,2,0)*AE49/E49)</f>
        <v>20.075757575757574</v>
      </c>
      <c r="AY49" s="24">
        <f>IF(AF49="",0,VLOOKUP(AF49,[1]BD_CUSTO!I:J,2,0)*AG49/E49)</f>
        <v>26.325757575757574</v>
      </c>
      <c r="AZ49" s="24">
        <f>IF(AH49="",0,VLOOKUP(AH49,[1]BD_CUSTO!I:J,2,0)*AI49/E49)</f>
        <v>1042.3014393939395</v>
      </c>
      <c r="BA49" s="24">
        <f>IF(AJ49="",0,VLOOKUP(AJ49,[1]BD_CUSTO!I:J,2,0)*AK49/E49)</f>
        <v>87.689393939393938</v>
      </c>
      <c r="BB49" s="24">
        <f>IF(AL49="",0,VLOOKUP(AL49,[1]BD_CUSTO!I:J,2,0)*AM49/E49)</f>
        <v>61.363636363636367</v>
      </c>
      <c r="BC49" s="24">
        <f>IF(AN49="",0,VLOOKUP(AN49,[1]BD_CUSTO!I:J,2,0)*AO49/E49)</f>
        <v>466.50340909090909</v>
      </c>
      <c r="BD49" s="24">
        <f>IF(AP49="",0,VLOOKUP(AP49,[1]BD_CUSTO!I:J,2,0)*AQ49/E49)</f>
        <v>322.53454545454542</v>
      </c>
      <c r="BE49" s="24">
        <f>IF(AR49="",0,VLOOKUP(AR49,CUSTO!I:J,2,0)*AS49/E49)</f>
        <v>371.40151515151513</v>
      </c>
      <c r="BF49" s="24">
        <f>IF(AT49="",0,VLOOKUP(AT49,[1]BD_CUSTO!I:J,2,0)*AU49/E49)</f>
        <v>0</v>
      </c>
      <c r="BG49" s="24">
        <f>IF(Tabela13[[#This Row],[LZ 10]]="",0,VLOOKUP(Tabela13[[#This Row],[LZ 10]],[1]BD_CUSTO!I:J,2,0)*Tabela13[[#This Row],[QTD922]]/E49)</f>
        <v>0</v>
      </c>
      <c r="BH49" s="22" t="s">
        <v>112</v>
      </c>
      <c r="BI49" s="25">
        <f>240/Tabela13[[#This Row],[Nº UNDS]]</f>
        <v>0.90909090909090906</v>
      </c>
      <c r="BJ49" s="22" t="s">
        <v>113</v>
      </c>
      <c r="BK49" s="25">
        <v>0</v>
      </c>
      <c r="BL49" s="24">
        <f>IF(BH49=[1]BD_CUSTO!$M$6,[1]BD_CUSTO!$N$6)*BI49</f>
        <v>2727.272727272727</v>
      </c>
      <c r="BM49" s="24">
        <f>IF(BJ49=[1]BD_CUSTO!$M$4,[1]BD_CUSTO!$N$4,[1]BD_CUSTO!$N$5)*BK49</f>
        <v>0</v>
      </c>
      <c r="BN49" s="22" t="s">
        <v>114</v>
      </c>
      <c r="BO49" s="22">
        <v>264</v>
      </c>
      <c r="BP49" s="25">
        <f>Tabela13[[#This Row],[QTD ]]/Tabela13[[#This Row],[Nº UNDS]]</f>
        <v>1</v>
      </c>
      <c r="BQ49" s="22" t="s">
        <v>115</v>
      </c>
      <c r="BR49" s="22">
        <v>0</v>
      </c>
      <c r="BS49" s="22" t="s">
        <v>116</v>
      </c>
      <c r="BT49" s="22">
        <v>0</v>
      </c>
      <c r="BU49" s="22" t="s">
        <v>16</v>
      </c>
      <c r="BV49" s="22">
        <v>0</v>
      </c>
      <c r="BW49" s="24">
        <f>IF(BN49=[1]BD_CUSTO!$Q$7,[1]BD_CUSTO!$R$7,[1]BD_CUSTO!$R$8)*BO49/E49</f>
        <v>2000</v>
      </c>
      <c r="BX49" s="24">
        <f>IF(BQ49=[1]BD_CUSTO!$Q$4,[1]BD_CUSTO!$R$4,[1]BD_CUSTO!$R$5)*BR49/E49</f>
        <v>0</v>
      </c>
      <c r="BY49" s="22">
        <f>IF(BS49=[1]BD_CUSTO!$Q$13,[1]BD_CUSTO!$R$13,[1]BD_CUSTO!$R$14)*BT49/E49</f>
        <v>0</v>
      </c>
      <c r="BZ49" s="24">
        <f>BV49*CUSTO!$R$10/E49</f>
        <v>0</v>
      </c>
      <c r="CA49" s="26">
        <f>SUM(Tabela13[[#This Row],[SOMA_PISO SALA E QUARTO]],Tabela13[[#This Row],[SOMA_PAREDE HIDR]],Tabela13[[#This Row],[SOMA_TETO]],Tabela13[[#This Row],[SOMA_BANCADA]],Tabela13[[#This Row],[SOMA_PEDRAS]])</f>
        <v>2825</v>
      </c>
      <c r="CB49" s="27" t="str">
        <f>IF(CA49&lt;=RÉGUAS!$D$4,"ACAB 01",IF(CA49&lt;=RÉGUAS!$F$4,"ACAB 02",IF(CA49&gt;RÉGUAS!$F$4,"ACAB 03",)))</f>
        <v>ACAB 01</v>
      </c>
      <c r="CC49" s="26">
        <f>SUM(Tabela13[[#This Row],[SOMA_LZ 01]:[SOMA_LZ 10]])</f>
        <v>2398.1954545454546</v>
      </c>
      <c r="CD49" s="22" t="str">
        <f>IF(CC49&lt;=RÉGUAS!$D$13,"LZ 01",IF(CC49&lt;=RÉGUAS!$F$13,"LZ 02",IF(CC49&lt;=RÉGUAS!$H$13,"LZ 03",IF(CC49&gt;RÉGUAS!$H$13,"LZ 04",))))</f>
        <v>LZ 03</v>
      </c>
      <c r="CE49" s="28">
        <f t="shared" si="1"/>
        <v>2727.272727272727</v>
      </c>
      <c r="CF49" s="22" t="str">
        <f>IF(CE49&lt;=RÉGUAS!$D$22,"TIP 01",IF(CE49&lt;=RÉGUAS!$F$22,"TIP 02",IF(CE49&gt;RÉGUAS!$F$22,"TIP 03",)))</f>
        <v>TIP 02</v>
      </c>
      <c r="CG49" s="28">
        <f t="shared" si="2"/>
        <v>2000</v>
      </c>
      <c r="CH49" s="22" t="str">
        <f>IF(CG49&lt;=RÉGUAS!$D$32,"VAGA 01",IF(CG49&lt;=RÉGUAS!$F$32,"VAGA 02",IF(CG49&gt;RÉGUAS!$F$32,"VAGA 03",)))</f>
        <v>VAGA 02</v>
      </c>
      <c r="CI49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4936.25</v>
      </c>
      <c r="CJ49" s="85" t="str">
        <f>IF(AND(G49="BLOCO",CI49&lt;=RÉGUAS!$D$40),"ELEV 01",IF(AND(G49="BLOCO",CI49&gt;RÉGUAS!$D$40),"ELEV 02",IF(AND(G49="TORRE",CI49&lt;=RÉGUAS!$K$40),"ELEV 01",IF(AND(G49="TORRE",CI49&lt;=RÉGUAS!$M$40),"ELEV 02",IF(AND(G49="TORRE",CI49&gt;RÉGUAS!$M$40),"ELEV 03",)))))</f>
        <v>ELEV 03</v>
      </c>
      <c r="CK49" s="85">
        <f>SUM(Tabela13[[#This Row],[TOTAL  ACAB]],Tabela13[[#This Row],[TOTAL LAZER ]],Tabela13[[#This Row],[TOTAL TIPOLOGIA]],Tabela13[[#This Row],[TOTAL VAGA]],Tabela13[[#This Row],[TOTAL ELEVADOR]])</f>
        <v>14886.718181818182</v>
      </c>
      <c r="CL49" s="72" t="str">
        <f>IF(AND(G49="BLOCO",CK49&lt;=RÉGUAS!$D$50),"ESSENCIAL",IF(AND(G49="BLOCO",CK49&lt;=RÉGUAS!$F$50),"ECO",IF(AND(G49="BLOCO",CK49&gt;RÉGUAS!$F$50),"BIO",IF(AND(G49="TORRE",CK49&lt;=RÉGUAS!$K$50),"ESSENCIAL",IF(AND(G49="TORRE",CK49&lt;=RÉGUAS!$M$50),"ECO",IF(AND(G49="TORRE",CK49&gt;RÉGUAS!$M$50),"BIO",))))))</f>
        <v>BIO</v>
      </c>
      <c r="CM49" s="28" t="str">
        <f>IF(AND(G49="BLOCO",CK49&gt;=RÉGUAS!$D$51,CK49&lt;=RÉGUAS!$D$50),"ESSENCIAL-10%",IF(AND(G49="BLOCO",CK49&gt;RÉGUAS!$D$50,CK49&lt;=RÉGUAS!$E$51),"ECO+10%",IF(AND(G49="BLOCO",CK49&gt;=RÉGUAS!$F$51,CK49&lt;=RÉGUAS!$F$50),"ECO-10%",IF(AND(G49="BLOCO",CK49&gt;RÉGUAS!$F$50,CK49&lt;=RÉGUAS!$G$51),"BIO+10%",IF(AND(G49="TORRE",CK49&gt;=RÉGUAS!$K$51,CK49&lt;=RÉGUAS!$K$50),"ESSENCIAL-10%",IF(AND(G49="TORRE",CK49&gt;RÉGUAS!$K$50,CK49&lt;=RÉGUAS!$L$51),"ECO+10%",IF(AND(G49="TORRE",CK49&gt;=RÉGUAS!$M$51,CK49&lt;=RÉGUAS!$M$50),"ECO-10%",IF(AND(G49="TORRE",CK49&gt;RÉGUAS!$M$50,CK49&lt;=RÉGUAS!$N$51),"BIO+10%","-"))))))))</f>
        <v>BIO+10%</v>
      </c>
      <c r="CN49" s="73">
        <f t="shared" si="3"/>
        <v>9950.4681818181816</v>
      </c>
      <c r="CO49" s="72" t="str">
        <f>IF(CN49&lt;=RÉGUAS!$D$58,"ESSENCIAL",IF(CN49&lt;=RÉGUAS!$F$58,"ECO",IF(CN49&gt;RÉGUAS!$F$58,"BIO",)))</f>
        <v>ECO</v>
      </c>
      <c r="CP49" s="72" t="str">
        <f>IF(Tabela13[[#This Row],[INTERVALO DE INTERSEÇÃO 5D]]="-",Tabela13[[#This Row],[CLASSIFICAÇÃO 
5D ]],Tabela13[[#This Row],[CLASSIFICAÇÃO 
4D]])</f>
        <v>ECO</v>
      </c>
      <c r="CQ49" s="72" t="str">
        <f t="shared" si="4"/>
        <v>-</v>
      </c>
      <c r="CR49" s="72" t="str">
        <f t="shared" si="5"/>
        <v>ECO</v>
      </c>
      <c r="CS49" s="22" t="str">
        <f>IF(Tabela13[[#This Row],[PRODUTO ATUAL ]]=Tabela13[[#This Row],[CLASSIFICAÇÃO FINAL 5D]],"ADERÊNTE","NÃO ADERÊNTE")</f>
        <v>ADERÊNTE</v>
      </c>
      <c r="CT49" s="24">
        <f>SUM(Tabela13[[#This Row],[TOTAL  ACAB]],Tabela13[[#This Row],[TOTAL LAZER ]],Tabela13[[#This Row],[TOTAL TIPOLOGIA]],Tabela13[[#This Row],[TOTAL VAGA]])</f>
        <v>9950.4681818181816</v>
      </c>
      <c r="CU49" s="22" t="str">
        <f>IF(CT49&lt;=RÉGUAS!$D$58,"ESSENCIAL",IF(CT49&lt;=RÉGUAS!$F$58,"ECO",IF(CT49&gt;RÉGUAS!$F$58,"BIO",)))</f>
        <v>ECO</v>
      </c>
      <c r="CV49" s="22" t="str">
        <f>IF(AND(CT49&gt;=RÉGUAS!$D$59,CT49&lt;=RÉGUAS!$E$59),"ESSENCIAL/ECO",IF(AND(CT49&gt;=RÉGUAS!$F$59,CT49&lt;=RÉGUAS!$G$59),"ECO/BIO","-"))</f>
        <v>-</v>
      </c>
      <c r="CW49" s="85">
        <f>SUM(Tabela13[[#This Row],[TOTAL LAZER ]],Tabela13[[#This Row],[TOTAL TIPOLOGIA]])</f>
        <v>5125.4681818181816</v>
      </c>
      <c r="CX49" s="22" t="str">
        <f>IF(CW49&lt;=RÉGUAS!$D$72,"ESSENCIAL",IF(CW49&lt;=RÉGUAS!$F$72,"ECO",IF(CN49&gt;RÉGUAS!$F$72,"BIO",)))</f>
        <v>BIO</v>
      </c>
      <c r="CY49" s="22" t="str">
        <f t="shared" si="6"/>
        <v>ECO</v>
      </c>
      <c r="CZ49" s="22" t="str">
        <f>IF(Tabela13[[#This Row],[PRODUTO ATUAL ]]=CY49,"ADERENTE","NÃO ADERENTE")</f>
        <v>ADERENTE</v>
      </c>
      <c r="DA49" s="22" t="str">
        <f>IF(Tabela13[[#This Row],[PRODUTO ATUAL ]]=Tabela13[[#This Row],[CLASSIFICAÇÃO 
4D2]],"ADERENTE","NÃO ADERENTE")</f>
        <v>ADERENTE</v>
      </c>
    </row>
    <row r="50" spans="2:105" ht="14" hidden="1" customHeight="1" x14ac:dyDescent="0.35">
      <c r="B50" s="27">
        <v>58</v>
      </c>
      <c r="C50" s="22" t="s">
        <v>197</v>
      </c>
      <c r="D50" s="22" t="s">
        <v>128</v>
      </c>
      <c r="E50" s="23">
        <v>200</v>
      </c>
      <c r="F50" s="22" t="str">
        <f t="shared" si="0"/>
        <v>Até 200 und</v>
      </c>
      <c r="G50" s="22" t="s">
        <v>1</v>
      </c>
      <c r="H50" s="36">
        <v>10</v>
      </c>
      <c r="I50" s="36">
        <v>5</v>
      </c>
      <c r="J50" s="36"/>
      <c r="K50" s="36"/>
      <c r="L50" s="36">
        <f>SUM(Tabela13[[#This Row],[QTD DE B/T 2]],Tabela13[[#This Row],[QTD DE B/T]])</f>
        <v>10</v>
      </c>
      <c r="M50" s="22">
        <v>0</v>
      </c>
      <c r="N50" s="22">
        <f>Tabela13[[#This Row],[ELEVADOR]]/Tabela13[[#This Row],[BLOCO TOTAL]]</f>
        <v>0</v>
      </c>
      <c r="O50" s="22" t="s">
        <v>5</v>
      </c>
      <c r="P50" s="22" t="s">
        <v>101</v>
      </c>
      <c r="Q50" s="22" t="s">
        <v>101</v>
      </c>
      <c r="R50" s="22" t="s">
        <v>102</v>
      </c>
      <c r="S50" s="22" t="s">
        <v>103</v>
      </c>
      <c r="T50" s="22" t="s">
        <v>104</v>
      </c>
      <c r="U50" s="22" t="s">
        <v>105</v>
      </c>
      <c r="V50" s="22" t="s">
        <v>106</v>
      </c>
      <c r="W50" s="24">
        <f>IF(P50=[1]BD_CUSTO!$E$4,[1]BD_CUSTO!$F$4,[1]BD_CUSTO!$F$5)</f>
        <v>2430</v>
      </c>
      <c r="X50" s="24">
        <f>IF(Q50=[1]BD_CUSTO!$E$6,[1]BD_CUSTO!$F$6,[1]BD_CUSTO!$F$7)</f>
        <v>260</v>
      </c>
      <c r="Y50" s="24">
        <f>IF(R50=[1]BD_CUSTO!$E$8,[1]BD_CUSTO!$F$8,[1]BD_CUSTO!$F$9)</f>
        <v>600</v>
      </c>
      <c r="Z50" s="24">
        <f>IF(S50=[1]BD_CUSTO!$E$10,[1]BD_CUSTO!$F$10,[1]BD_CUSTO!$F$11)</f>
        <v>500</v>
      </c>
      <c r="AA50" s="24">
        <f>IF(T50=[1]BD_CUSTO!$E$12,[1]BD_CUSTO!$F$12,[1]BD_CUSTO!$F$13)</f>
        <v>370</v>
      </c>
      <c r="AB50" s="24">
        <f>IF(U50=[1]BD_CUSTO!$E$14,[1]BD_CUSTO!$F$14,[1]BD_CUSTO!$F$15)</f>
        <v>90</v>
      </c>
      <c r="AC50" s="24">
        <f>IF(V50=[1]BD_CUSTO!$E$16,[1]BD_CUSTO!$F$16,[1]BD_CUSTO!$F$17)</f>
        <v>720</v>
      </c>
      <c r="AD50" s="22" t="s">
        <v>109</v>
      </c>
      <c r="AE50" s="22">
        <v>1</v>
      </c>
      <c r="AF50" s="22" t="s">
        <v>110</v>
      </c>
      <c r="AG50" s="22">
        <v>1</v>
      </c>
      <c r="AH50" s="22" t="s">
        <v>108</v>
      </c>
      <c r="AI50" s="22">
        <v>1</v>
      </c>
      <c r="AJ50" s="22" t="s">
        <v>107</v>
      </c>
      <c r="AK50" s="22">
        <v>2</v>
      </c>
      <c r="AL50" s="22" t="s">
        <v>121</v>
      </c>
      <c r="AM50" s="22">
        <v>1</v>
      </c>
      <c r="AN50" s="22" t="s">
        <v>129</v>
      </c>
      <c r="AO50" s="22">
        <v>1</v>
      </c>
      <c r="AP50" s="22"/>
      <c r="AQ50" s="22"/>
      <c r="AR50" s="22"/>
      <c r="AS50" s="22"/>
      <c r="AT50" s="22"/>
      <c r="AU50" s="22"/>
      <c r="AV50" s="22"/>
      <c r="AW50" s="22"/>
      <c r="AX50" s="24">
        <f>IF(AD50="",0,VLOOKUP(AD50,[1]BD_CUSTO!I:J,2,0)*AE50/E50)</f>
        <v>34.75</v>
      </c>
      <c r="AY50" s="24">
        <f>IF(AF50="",0,VLOOKUP(AF50,[1]BD_CUSTO!I:J,2,0)*AG50/E50)</f>
        <v>26.5</v>
      </c>
      <c r="AZ50" s="24">
        <f>IF(AH50="",0,VLOOKUP(AH50,[1]BD_CUSTO!I:J,2,0)*AI50/E50)</f>
        <v>115.75</v>
      </c>
      <c r="BA50" s="24">
        <f>IF(AJ50="",0,VLOOKUP(AJ50,[1]BD_CUSTO!I:J,2,0)*AK50/E50)</f>
        <v>851.49119999999994</v>
      </c>
      <c r="BB50" s="24">
        <f>IF(AL50="",0,VLOOKUP(AL50,[1]BD_CUSTO!I:J,2,0)*AM50/E50)</f>
        <v>615.78449999999998</v>
      </c>
      <c r="BC50" s="24">
        <f>IF(AN50="",0,VLOOKUP(AN50,[1]BD_CUSTO!I:J,2,0)*AO50/E50)</f>
        <v>1375.8379</v>
      </c>
      <c r="BD50" s="24">
        <f>IF(AP50="",0,VLOOKUP(AP50,[1]BD_CUSTO!I:J,2,0)*AQ50/E50)</f>
        <v>0</v>
      </c>
      <c r="BE50" s="24">
        <f>IF(AR50="",0,VLOOKUP(AR50,CUSTO!I:J,2,0)*AS50/E50)</f>
        <v>0</v>
      </c>
      <c r="BF50" s="24">
        <f>IF(AT50="",0,VLOOKUP(AT50,[1]BD_CUSTO!I:J,2,0)*AU50/E50)</f>
        <v>0</v>
      </c>
      <c r="BG50" s="24">
        <f>IF(Tabela13[[#This Row],[LZ 10]]="",0,VLOOKUP(Tabela13[[#This Row],[LZ 10]],[1]BD_CUSTO!I:J,2,0)*Tabela13[[#This Row],[QTD922]]/E50)</f>
        <v>0</v>
      </c>
      <c r="BH50" s="22" t="s">
        <v>112</v>
      </c>
      <c r="BI50" s="25">
        <f>80/Tabela13[[#This Row],[Nº UNDS]]</f>
        <v>0.4</v>
      </c>
      <c r="BJ50" s="22" t="s">
        <v>113</v>
      </c>
      <c r="BK50" s="25">
        <v>0</v>
      </c>
      <c r="BL50" s="24">
        <f>IF(BH50=[1]BD_CUSTO!$M$6,[1]BD_CUSTO!$N$6)*BI50</f>
        <v>1200</v>
      </c>
      <c r="BM50" s="24">
        <f>IF(BJ50=[1]BD_CUSTO!$M$4,[1]BD_CUSTO!$N$4,[1]BD_CUSTO!$N$5)*BK50</f>
        <v>0</v>
      </c>
      <c r="BN50" s="22" t="s">
        <v>114</v>
      </c>
      <c r="BO50" s="22">
        <v>200</v>
      </c>
      <c r="BP50" s="25">
        <f>Tabela13[[#This Row],[QTD ]]/Tabela13[[#This Row],[Nº UNDS]]</f>
        <v>1</v>
      </c>
      <c r="BQ50" s="22" t="s">
        <v>115</v>
      </c>
      <c r="BR50" s="22">
        <v>0</v>
      </c>
      <c r="BS50" s="22" t="s">
        <v>116</v>
      </c>
      <c r="BT50" s="22">
        <v>0</v>
      </c>
      <c r="BU50" s="22" t="s">
        <v>16</v>
      </c>
      <c r="BV50" s="22">
        <v>0</v>
      </c>
      <c r="BW50" s="24">
        <f>IF(BN50=[1]BD_CUSTO!$Q$7,[1]BD_CUSTO!$R$7,[1]BD_CUSTO!$R$8)*BO50/E50</f>
        <v>2000</v>
      </c>
      <c r="BX50" s="24">
        <f>IF(BQ50=[1]BD_CUSTO!$Q$4,[1]BD_CUSTO!$R$4,[1]BD_CUSTO!$R$5)*BR50/E50</f>
        <v>0</v>
      </c>
      <c r="BY50" s="22">
        <f>IF(BS50=[1]BD_CUSTO!$Q$13,[1]BD_CUSTO!$R$13,[1]BD_CUSTO!$R$14)*BT50/E50</f>
        <v>0</v>
      </c>
      <c r="BZ50" s="24">
        <f>BV50*CUSTO!$R$10/E50</f>
        <v>0</v>
      </c>
      <c r="CA50" s="26">
        <f>SUM(Tabela13[[#This Row],[SOMA_PISO SALA E QUARTO]],Tabela13[[#This Row],[SOMA_PAREDE HIDR]],Tabela13[[#This Row],[SOMA_TETO]],Tabela13[[#This Row],[SOMA_BANCADA]],Tabela13[[#This Row],[SOMA_PEDRAS]])</f>
        <v>3990</v>
      </c>
      <c r="CB50" s="27" t="str">
        <f>IF(CA50&lt;=RÉGUAS!$D$4,"ACAB 01",IF(CA50&lt;=RÉGUAS!$F$4,"ACAB 02",IF(CA50&gt;RÉGUAS!$F$4,"ACAB 03",)))</f>
        <v>ACAB 02</v>
      </c>
      <c r="CC50" s="26">
        <f>SUM(Tabela13[[#This Row],[SOMA_LZ 01]:[SOMA_LZ 10]])</f>
        <v>3020.1135999999997</v>
      </c>
      <c r="CD50" s="22" t="str">
        <f>IF(CC50&lt;=RÉGUAS!$D$13,"LZ 01",IF(CC50&lt;=RÉGUAS!$F$13,"LZ 02",IF(CC50&lt;=RÉGUAS!$H$13,"LZ 03",IF(CC50&gt;RÉGUAS!$H$13,"LZ 04",))))</f>
        <v>LZ 04</v>
      </c>
      <c r="CE50" s="28">
        <f t="shared" si="1"/>
        <v>1200</v>
      </c>
      <c r="CF50" s="22" t="str">
        <f>IF(CE50&lt;=RÉGUAS!$D$22,"TIP 01",IF(CE50&lt;=RÉGUAS!$F$22,"TIP 02",IF(CE50&gt;RÉGUAS!$F$22,"TIP 03",)))</f>
        <v>TIP 01</v>
      </c>
      <c r="CG50" s="28">
        <f t="shared" si="2"/>
        <v>2000</v>
      </c>
      <c r="CH50" s="22" t="str">
        <f>IF(CG50&lt;=RÉGUAS!$D$32,"VAGA 01",IF(CG50&lt;=RÉGUAS!$F$32,"VAGA 02",IF(CG50&gt;RÉGUAS!$F$32,"VAGA 03",)))</f>
        <v>VAGA 02</v>
      </c>
      <c r="CI50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50" s="85" t="str">
        <f>IF(AND(G50="BLOCO",CI50&lt;=RÉGUAS!$D$40),"ELEV 01",IF(AND(G50="BLOCO",CI50&gt;RÉGUAS!$D$40),"ELEV 02",IF(AND(G50="TORRE",CI50&lt;=RÉGUAS!$K$40),"ELEV 01",IF(AND(G50="TORRE",CI50&lt;=RÉGUAS!$M$40),"ELEV 02",IF(AND(G50="TORRE",CI50&gt;RÉGUAS!$M$40),"ELEV 03",)))))</f>
        <v>ELEV 01</v>
      </c>
      <c r="CK50" s="85">
        <f>SUM(Tabela13[[#This Row],[TOTAL  ACAB]],Tabela13[[#This Row],[TOTAL LAZER ]],Tabela13[[#This Row],[TOTAL TIPOLOGIA]],Tabela13[[#This Row],[TOTAL VAGA]],Tabela13[[#This Row],[TOTAL ELEVADOR]])</f>
        <v>10210.113600000001</v>
      </c>
      <c r="CL50" s="72" t="str">
        <f>IF(AND(G50="BLOCO",CK50&lt;=RÉGUAS!$D$50),"ESSENCIAL",IF(AND(G50="BLOCO",CK50&lt;=RÉGUAS!$F$50),"ECO",IF(AND(G50="BLOCO",CK50&gt;RÉGUAS!$F$50),"BIO",IF(AND(G50="TORRE",CK50&lt;=RÉGUAS!$K$50),"ESSENCIAL",IF(AND(G50="TORRE",CK50&lt;=RÉGUAS!$M$50),"ECO",IF(AND(G50="TORRE",CK50&gt;RÉGUAS!$M$50),"BIO",))))))</f>
        <v>ECO</v>
      </c>
      <c r="CM50" s="28" t="str">
        <f>IF(AND(G50="BLOCO",CK50&gt;=RÉGUAS!$D$51,CK50&lt;=RÉGUAS!$D$50),"ESSENCIAL-10%",IF(AND(G50="BLOCO",CK50&gt;RÉGUAS!$D$50,CK50&lt;=RÉGUAS!$E$51),"ECO+10%",IF(AND(G50="BLOCO",CK50&gt;=RÉGUAS!$F$51,CK50&lt;=RÉGUAS!$F$50),"ECO-10%",IF(AND(G50="BLOCO",CK50&gt;RÉGUAS!$F$50,CK50&lt;=RÉGUAS!$G$51),"BIO+10%",IF(AND(G50="TORRE",CK50&gt;=RÉGUAS!$K$51,CK50&lt;=RÉGUAS!$K$50),"ESSENCIAL-10%",IF(AND(G50="TORRE",CK50&gt;RÉGUAS!$K$50,CK50&lt;=RÉGUAS!$L$51),"ECO+10%",IF(AND(G50="TORRE",CK50&gt;=RÉGUAS!$M$51,CK50&lt;=RÉGUAS!$M$50),"ECO-10%",IF(AND(G50="TORRE",CK50&gt;RÉGUAS!$M$50,CK50&lt;=RÉGUAS!$N$51),"BIO+10%","-"))))))))</f>
        <v>-</v>
      </c>
      <c r="CN50" s="73">
        <f t="shared" si="3"/>
        <v>10210.113600000001</v>
      </c>
      <c r="CO50" s="72" t="str">
        <f>IF(CN50&lt;=RÉGUAS!$D$58,"ESSENCIAL",IF(CN50&lt;=RÉGUAS!$F$58,"ECO",IF(CN50&gt;RÉGUAS!$F$58,"BIO",)))</f>
        <v>ECO</v>
      </c>
      <c r="CP50" s="72" t="str">
        <f>IF(Tabela13[[#This Row],[INTERVALO DE INTERSEÇÃO 5D]]="-",Tabela13[[#This Row],[CLASSIFICAÇÃO 
5D ]],Tabela13[[#This Row],[CLASSIFICAÇÃO 
4D]])</f>
        <v>ECO</v>
      </c>
      <c r="CQ50" s="72" t="str">
        <f t="shared" si="4"/>
        <v>-</v>
      </c>
      <c r="CR50" s="72" t="str">
        <f t="shared" si="5"/>
        <v>ECO</v>
      </c>
      <c r="CS50" s="22" t="str">
        <f>IF(Tabela13[[#This Row],[PRODUTO ATUAL ]]=Tabela13[[#This Row],[CLASSIFICAÇÃO FINAL 5D]],"ADERÊNTE","NÃO ADERÊNTE")</f>
        <v>ADERÊNTE</v>
      </c>
      <c r="CT50" s="24">
        <f>SUM(Tabela13[[#This Row],[TOTAL  ACAB]],Tabela13[[#This Row],[TOTAL LAZER ]],Tabela13[[#This Row],[TOTAL TIPOLOGIA]],Tabela13[[#This Row],[TOTAL VAGA]])</f>
        <v>10210.113600000001</v>
      </c>
      <c r="CU50" s="22" t="str">
        <f>IF(CT50&lt;=RÉGUAS!$D$58,"ESSENCIAL",IF(CT50&lt;=RÉGUAS!$F$58,"ECO",IF(CT50&gt;RÉGUAS!$F$58,"BIO",)))</f>
        <v>ECO</v>
      </c>
      <c r="CV50" s="22" t="str">
        <f>IF(AND(CT50&gt;=RÉGUAS!$D$59,CT50&lt;=RÉGUAS!$E$59),"ESSENCIAL/ECO",IF(AND(CT50&gt;=RÉGUAS!$F$59,CT50&lt;=RÉGUAS!$G$59),"ECO/BIO","-"))</f>
        <v>-</v>
      </c>
      <c r="CW50" s="85">
        <f>SUM(Tabela13[[#This Row],[TOTAL LAZER ]],Tabela13[[#This Row],[TOTAL TIPOLOGIA]])</f>
        <v>4220.1135999999997</v>
      </c>
      <c r="CX50" s="22" t="str">
        <f>IF(CW50&lt;=RÉGUAS!$D$72,"ESSENCIAL",IF(CW50&lt;=RÉGUAS!$F$72,"ECO",IF(CN50&gt;RÉGUAS!$F$72,"BIO",)))</f>
        <v>ECO</v>
      </c>
      <c r="CY50" s="22" t="str">
        <f t="shared" si="6"/>
        <v>ECO</v>
      </c>
      <c r="CZ50" s="22" t="str">
        <f>IF(Tabela13[[#This Row],[PRODUTO ATUAL ]]=CY50,"ADERENTE","NÃO ADERENTE")</f>
        <v>ADERENTE</v>
      </c>
      <c r="DA50" s="22" t="str">
        <f>IF(Tabela13[[#This Row],[PRODUTO ATUAL ]]=Tabela13[[#This Row],[CLASSIFICAÇÃO 
4D2]],"ADERENTE","NÃO ADERENTE")</f>
        <v>ADERENTE</v>
      </c>
    </row>
    <row r="51" spans="2:105" hidden="1" x14ac:dyDescent="0.35">
      <c r="B51" s="27">
        <v>86</v>
      </c>
      <c r="C51" s="22" t="s">
        <v>204</v>
      </c>
      <c r="D51" s="22" t="s">
        <v>147</v>
      </c>
      <c r="E51" s="23">
        <v>560</v>
      </c>
      <c r="F51" s="22" t="str">
        <f t="shared" si="0"/>
        <v>Acima de 400 und</v>
      </c>
      <c r="G51" s="22" t="s">
        <v>1</v>
      </c>
      <c r="H51" s="36">
        <v>28</v>
      </c>
      <c r="I51" s="36">
        <v>5</v>
      </c>
      <c r="J51" s="36"/>
      <c r="K51" s="36"/>
      <c r="L51" s="36">
        <f>SUM(Tabela13[[#This Row],[QTD DE B/T 2]],Tabela13[[#This Row],[QTD DE B/T]])</f>
        <v>28</v>
      </c>
      <c r="M51" s="22">
        <v>0</v>
      </c>
      <c r="N51" s="22">
        <f>Tabela13[[#This Row],[ELEVADOR]]/Tabela13[[#This Row],[BLOCO TOTAL]]</f>
        <v>0</v>
      </c>
      <c r="O51" s="22" t="s">
        <v>5</v>
      </c>
      <c r="P51" s="22" t="s">
        <v>101</v>
      </c>
      <c r="Q51" s="22" t="s">
        <v>101</v>
      </c>
      <c r="R51" s="22" t="s">
        <v>102</v>
      </c>
      <c r="S51" s="22" t="s">
        <v>103</v>
      </c>
      <c r="T51" s="22" t="s">
        <v>104</v>
      </c>
      <c r="U51" s="22" t="s">
        <v>105</v>
      </c>
      <c r="V51" s="22" t="s">
        <v>137</v>
      </c>
      <c r="W51" s="24">
        <f>IF(P51=[1]BD_CUSTO!$E$4,[1]BD_CUSTO!$F$4,[1]BD_CUSTO!$F$5)</f>
        <v>2430</v>
      </c>
      <c r="X51" s="24">
        <f>IF(Q51=[1]BD_CUSTO!$E$6,[1]BD_CUSTO!$F$6,[1]BD_CUSTO!$F$7)</f>
        <v>260</v>
      </c>
      <c r="Y51" s="24">
        <f>IF(R51=[1]BD_CUSTO!$E$8,[1]BD_CUSTO!$F$8,[1]BD_CUSTO!$F$9)</f>
        <v>600</v>
      </c>
      <c r="Z51" s="24">
        <f>IF(S51=[1]BD_CUSTO!$E$10,[1]BD_CUSTO!$F$10,[1]BD_CUSTO!$F$11)</f>
        <v>500</v>
      </c>
      <c r="AA51" s="24">
        <f>IF(T51=[1]BD_CUSTO!$E$12,[1]BD_CUSTO!$F$12,[1]BD_CUSTO!$F$13)</f>
        <v>370</v>
      </c>
      <c r="AB51" s="24">
        <f>IF(U51=[1]BD_CUSTO!$E$14,[1]BD_CUSTO!$F$14,[1]BD_CUSTO!$F$15)</f>
        <v>90</v>
      </c>
      <c r="AC51" s="24">
        <f>IF(V51=[1]BD_CUSTO!$E$16,[1]BD_CUSTO!$F$16,[1]BD_CUSTO!$F$17)</f>
        <v>1320</v>
      </c>
      <c r="AD51" s="22" t="s">
        <v>129</v>
      </c>
      <c r="AE51" s="22">
        <v>1</v>
      </c>
      <c r="AF51" s="22" t="s">
        <v>156</v>
      </c>
      <c r="AG51" s="22">
        <v>1</v>
      </c>
      <c r="AH51" s="22" t="s">
        <v>107</v>
      </c>
      <c r="AI51" s="22">
        <v>1</v>
      </c>
      <c r="AJ51" s="22" t="s">
        <v>121</v>
      </c>
      <c r="AK51" s="22">
        <v>1</v>
      </c>
      <c r="AL51" s="22" t="s">
        <v>151</v>
      </c>
      <c r="AM51" s="22">
        <v>1</v>
      </c>
      <c r="AN51" s="22" t="s">
        <v>108</v>
      </c>
      <c r="AO51" s="22">
        <v>1</v>
      </c>
      <c r="AP51" s="22" t="s">
        <v>109</v>
      </c>
      <c r="AQ51" s="22">
        <v>1</v>
      </c>
      <c r="AR51" s="22" t="s">
        <v>111</v>
      </c>
      <c r="AS51" s="22">
        <v>1</v>
      </c>
      <c r="AT51" s="22" t="s">
        <v>110</v>
      </c>
      <c r="AU51" s="22">
        <v>1</v>
      </c>
      <c r="AV51" s="22"/>
      <c r="AW51" s="22"/>
      <c r="AX51" s="24">
        <f>IF(AD51="",0,VLOOKUP(AD51,[1]BD_CUSTO!I:J,2,0)*AE51/E51)</f>
        <v>491.37067857142858</v>
      </c>
      <c r="AY51" s="24">
        <f>IF(AF51="",0,VLOOKUP(AF51,[1]BD_CUSTO!I:J,2,0)*AG51/E51)</f>
        <v>175.08928571428572</v>
      </c>
      <c r="AZ51" s="24">
        <f>IF(AH51="",0,VLOOKUP(AH51,[1]BD_CUSTO!I:J,2,0)*AI51/E51)</f>
        <v>152.05199999999999</v>
      </c>
      <c r="BA51" s="24">
        <f>IF(AJ51="",0,VLOOKUP(AJ51,[1]BD_CUSTO!I:J,2,0)*AK51/E51)</f>
        <v>219.9230357142857</v>
      </c>
      <c r="BB51" s="24">
        <f>IF(AL51="",0,VLOOKUP(AL51,[1]BD_CUSTO!I:J,2,0)*AM51/E51)</f>
        <v>142.38069642857144</v>
      </c>
      <c r="BC51" s="24">
        <f>IF(AN51="",0,VLOOKUP(AN51,[1]BD_CUSTO!I:J,2,0)*AO51/E51)</f>
        <v>41.339285714285715</v>
      </c>
      <c r="BD51" s="24">
        <f>IF(AP51="",0,VLOOKUP(AP51,[1]BD_CUSTO!I:J,2,0)*AQ51/E51)</f>
        <v>12.410714285714286</v>
      </c>
      <c r="BE51" s="24">
        <f>IF(AR51="",0,VLOOKUP(AR51,CUSTO!I:J,2,0)*AS51/E51)</f>
        <v>28.928571428571427</v>
      </c>
      <c r="BF51" s="24">
        <f>IF(AT51="",0,VLOOKUP(AT51,[1]BD_CUSTO!I:J,2,0)*AU51/E51)</f>
        <v>9.4642857142857135</v>
      </c>
      <c r="BG51" s="24">
        <f>IF(Tabela13[[#This Row],[LZ 10]]="",0,VLOOKUP(Tabela13[[#This Row],[LZ 10]],[1]BD_CUSTO!I:J,2,0)*Tabela13[[#This Row],[QTD922]]/E51)</f>
        <v>0</v>
      </c>
      <c r="BH51" s="22" t="s">
        <v>112</v>
      </c>
      <c r="BI51" s="25">
        <f>244/Tabela13[[#This Row],[Nº UNDS]]</f>
        <v>0.43571428571428572</v>
      </c>
      <c r="BJ51" s="22" t="s">
        <v>113</v>
      </c>
      <c r="BK51" s="25">
        <v>0</v>
      </c>
      <c r="BL51" s="24">
        <f>IF(BH51=[1]BD_CUSTO!$M$6,[1]BD_CUSTO!$N$6)*BI51</f>
        <v>1307.1428571428571</v>
      </c>
      <c r="BM51" s="24">
        <f>IF(BJ51=[1]BD_CUSTO!$M$4,[1]BD_CUSTO!$N$4,[1]BD_CUSTO!$N$5)*BK51</f>
        <v>0</v>
      </c>
      <c r="BN51" s="22" t="s">
        <v>114</v>
      </c>
      <c r="BO51" s="22">
        <f>601-24</f>
        <v>577</v>
      </c>
      <c r="BP51" s="25">
        <f>Tabela13[[#This Row],[QTD ]]/Tabela13[[#This Row],[Nº UNDS]]</f>
        <v>1.0303571428571427</v>
      </c>
      <c r="BQ51" s="22" t="s">
        <v>123</v>
      </c>
      <c r="BR51" s="22">
        <v>24</v>
      </c>
      <c r="BS51" s="22" t="s">
        <v>116</v>
      </c>
      <c r="BT51" s="22">
        <v>0</v>
      </c>
      <c r="BU51" s="22" t="s">
        <v>16</v>
      </c>
      <c r="BV51" s="22">
        <v>0</v>
      </c>
      <c r="BW51" s="24">
        <f>IF(BN51=[1]BD_CUSTO!$Q$7,[1]BD_CUSTO!$R$7,[1]BD_CUSTO!$R$8)*BO51/E51</f>
        <v>2060.7142857142858</v>
      </c>
      <c r="BX51" s="24">
        <f>IF(BQ51=[1]BD_CUSTO!$Q$4,[1]BD_CUSTO!$R$4,[1]BD_CUSTO!$R$5)*BR51/E51</f>
        <v>42.857142857142854</v>
      </c>
      <c r="BY51" s="22">
        <f>IF(BS51=[1]BD_CUSTO!$Q$13,[1]BD_CUSTO!$R$13,[1]BD_CUSTO!$R$14)*BT51/E51</f>
        <v>0</v>
      </c>
      <c r="BZ51" s="24">
        <f>BV51*CUSTO!$R$10/E51</f>
        <v>0</v>
      </c>
      <c r="CA51" s="26">
        <f>SUM(Tabela13[[#This Row],[SOMA_PISO SALA E QUARTO]],Tabela13[[#This Row],[SOMA_PAREDE HIDR]],Tabela13[[#This Row],[SOMA_TETO]],Tabela13[[#This Row],[SOMA_BANCADA]],Tabela13[[#This Row],[SOMA_PEDRAS]])</f>
        <v>3990</v>
      </c>
      <c r="CB51" s="27" t="str">
        <f>IF(CA51&lt;=RÉGUAS!$D$4,"ACAB 01",IF(CA51&lt;=RÉGUAS!$F$4,"ACAB 02",IF(CA51&gt;RÉGUAS!$F$4,"ACAB 03",)))</f>
        <v>ACAB 02</v>
      </c>
      <c r="CC51" s="26">
        <f>SUM(Tabela13[[#This Row],[SOMA_LZ 01]:[SOMA_LZ 10]])</f>
        <v>1272.9585535714284</v>
      </c>
      <c r="CD51" s="22" t="str">
        <f>IF(CC51&lt;=RÉGUAS!$D$13,"LZ 01",IF(CC51&lt;=RÉGUAS!$F$13,"LZ 02",IF(CC51&lt;=RÉGUAS!$H$13,"LZ 03",IF(CC51&gt;RÉGUAS!$H$13,"LZ 04",))))</f>
        <v>LZ 02</v>
      </c>
      <c r="CE51" s="28">
        <f t="shared" si="1"/>
        <v>1307.1428571428571</v>
      </c>
      <c r="CF51" s="22" t="str">
        <f>IF(CE51&lt;=RÉGUAS!$D$22,"TIP 01",IF(CE51&lt;=RÉGUAS!$F$22,"TIP 02",IF(CE51&gt;RÉGUAS!$F$22,"TIP 03",)))</f>
        <v>TIP 01</v>
      </c>
      <c r="CG51" s="28">
        <f t="shared" si="2"/>
        <v>2103.5714285714284</v>
      </c>
      <c r="CH51" s="22" t="str">
        <f>IF(CG51&lt;=RÉGUAS!$D$32,"VAGA 01",IF(CG51&lt;=RÉGUAS!$F$32,"VAGA 02",IF(CG51&gt;RÉGUAS!$F$32,"VAGA 03",)))</f>
        <v>VAGA 02</v>
      </c>
      <c r="CI51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51" s="85" t="str">
        <f>IF(AND(G51="BLOCO",CI51&lt;=RÉGUAS!$D$40),"ELEV 01",IF(AND(G51="BLOCO",CI51&gt;RÉGUAS!$D$40),"ELEV 02",IF(AND(G51="TORRE",CI51&lt;=RÉGUAS!$K$40),"ELEV 01",IF(AND(G51="TORRE",CI51&lt;=RÉGUAS!$M$40),"ELEV 02",IF(AND(G51="TORRE",CI51&gt;RÉGUAS!$M$40),"ELEV 03",)))))</f>
        <v>ELEV 01</v>
      </c>
      <c r="CK51" s="85">
        <f>SUM(Tabela13[[#This Row],[TOTAL  ACAB]],Tabela13[[#This Row],[TOTAL LAZER ]],Tabela13[[#This Row],[TOTAL TIPOLOGIA]],Tabela13[[#This Row],[TOTAL VAGA]],Tabela13[[#This Row],[TOTAL ELEVADOR]])</f>
        <v>8673.6728392857149</v>
      </c>
      <c r="CL51" s="72" t="str">
        <f>IF(AND(G51="BLOCO",CK51&lt;=RÉGUAS!$D$50),"ESSENCIAL",IF(AND(G51="BLOCO",CK51&lt;=RÉGUAS!$F$50),"ECO",IF(AND(G51="BLOCO",CK51&gt;RÉGUAS!$F$50),"BIO",IF(AND(G51="TORRE",CK51&lt;=RÉGUAS!$K$50),"ESSENCIAL",IF(AND(G51="TORRE",CK51&lt;=RÉGUAS!$M$50),"ECO",IF(AND(G51="TORRE",CK51&gt;RÉGUAS!$M$50),"BIO",))))))</f>
        <v>ECO</v>
      </c>
      <c r="CM51" s="28" t="str">
        <f>IF(AND(G51="BLOCO",CK51&gt;=RÉGUAS!$D$51,CK51&lt;=RÉGUAS!$D$50),"ESSENCIAL-10%",IF(AND(G51="BLOCO",CK51&gt;RÉGUAS!$D$50,CK51&lt;=RÉGUAS!$E$51),"ECO+10%",IF(AND(G51="BLOCO",CK51&gt;=RÉGUAS!$F$51,CK51&lt;=RÉGUAS!$F$50),"ECO-10%",IF(AND(G51="BLOCO",CK51&gt;RÉGUAS!$F$50,CK51&lt;=RÉGUAS!$G$51),"BIO+10%",IF(AND(G51="TORRE",CK51&gt;=RÉGUAS!$K$51,CK51&lt;=RÉGUAS!$K$50),"ESSENCIAL-10%",IF(AND(G51="TORRE",CK51&gt;RÉGUAS!$K$50,CK51&lt;=RÉGUAS!$L$51),"ECO+10%",IF(AND(G51="TORRE",CK51&gt;=RÉGUAS!$M$51,CK51&lt;=RÉGUAS!$M$50),"ECO-10%",IF(AND(G51="TORRE",CK51&gt;RÉGUAS!$M$50,CK51&lt;=RÉGUAS!$N$51),"BIO+10%","-"))))))))</f>
        <v>ECO+10%</v>
      </c>
      <c r="CN51" s="73">
        <f t="shared" si="3"/>
        <v>8673.6728392857149</v>
      </c>
      <c r="CO51" s="72" t="str">
        <f>IF(CN51&lt;=RÉGUAS!$D$58,"ESSENCIAL",IF(CN51&lt;=RÉGUAS!$F$58,"ECO",IF(CN51&gt;RÉGUAS!$F$58,"BIO",)))</f>
        <v>ECO</v>
      </c>
      <c r="CP51" s="72" t="str">
        <f>IF(Tabela13[[#This Row],[INTERVALO DE INTERSEÇÃO 5D]]="-",Tabela13[[#This Row],[CLASSIFICAÇÃO 
5D ]],Tabela13[[#This Row],[CLASSIFICAÇÃO 
4D]])</f>
        <v>ECO</v>
      </c>
      <c r="CQ51" s="72" t="str">
        <f t="shared" si="4"/>
        <v>-</v>
      </c>
      <c r="CR51" s="72" t="str">
        <f t="shared" si="5"/>
        <v>ECO</v>
      </c>
      <c r="CS51" s="22" t="str">
        <f>IF(Tabela13[[#This Row],[PRODUTO ATUAL ]]=Tabela13[[#This Row],[CLASSIFICAÇÃO FINAL 5D]],"ADERÊNTE","NÃO ADERÊNTE")</f>
        <v>ADERÊNTE</v>
      </c>
      <c r="CT51" s="24">
        <f>SUM(Tabela13[[#This Row],[TOTAL  ACAB]],Tabela13[[#This Row],[TOTAL LAZER ]],Tabela13[[#This Row],[TOTAL TIPOLOGIA]],Tabela13[[#This Row],[TOTAL VAGA]])</f>
        <v>8673.6728392857149</v>
      </c>
      <c r="CU51" s="22" t="str">
        <f>IF(CT51&lt;=RÉGUAS!$D$58,"ESSENCIAL",IF(CT51&lt;=RÉGUAS!$F$58,"ECO",IF(CT51&gt;RÉGUAS!$F$58,"BIO",)))</f>
        <v>ECO</v>
      </c>
      <c r="CV51" s="22" t="str">
        <f>IF(AND(CT51&gt;=RÉGUAS!$D$59,CT51&lt;=RÉGUAS!$E$59),"ESSENCIAL/ECO",IF(AND(CT51&gt;=RÉGUAS!$F$59,CT51&lt;=RÉGUAS!$G$59),"ECO/BIO","-"))</f>
        <v>-</v>
      </c>
      <c r="CW51" s="85">
        <f>SUM(Tabela13[[#This Row],[TOTAL LAZER ]],Tabela13[[#This Row],[TOTAL TIPOLOGIA]])</f>
        <v>2580.1014107142855</v>
      </c>
      <c r="CX51" s="22" t="str">
        <f>IF(CW51&lt;=RÉGUAS!$D$72,"ESSENCIAL",IF(CW51&lt;=RÉGUAS!$F$72,"ECO",IF(CN51&gt;RÉGUAS!$F$72,"BIO",)))</f>
        <v>ECO</v>
      </c>
      <c r="CY51" s="22" t="str">
        <f t="shared" si="6"/>
        <v>ECO</v>
      </c>
      <c r="CZ51" s="22" t="str">
        <f>IF(Tabela13[[#This Row],[PRODUTO ATUAL ]]=CY51,"ADERENTE","NÃO ADERENTE")</f>
        <v>ADERENTE</v>
      </c>
      <c r="DA51" s="22" t="str">
        <f>IF(Tabela13[[#This Row],[PRODUTO ATUAL ]]=Tabela13[[#This Row],[CLASSIFICAÇÃO 
4D2]],"ADERENTE","NÃO ADERENTE")</f>
        <v>ADERENTE</v>
      </c>
    </row>
    <row r="52" spans="2:105" hidden="1" x14ac:dyDescent="0.35">
      <c r="B52" s="27">
        <v>72</v>
      </c>
      <c r="C52" s="22" t="s">
        <v>229</v>
      </c>
      <c r="D52" s="22" t="s">
        <v>100</v>
      </c>
      <c r="E52" s="23">
        <v>480</v>
      </c>
      <c r="F52" s="22" t="str">
        <f t="shared" si="0"/>
        <v>Acima de 400 und</v>
      </c>
      <c r="G52" s="22" t="s">
        <v>14</v>
      </c>
      <c r="H52" s="36">
        <v>4</v>
      </c>
      <c r="I52" s="36">
        <v>15</v>
      </c>
      <c r="J52" s="36"/>
      <c r="K52" s="36"/>
      <c r="L52" s="36">
        <f>SUM(Tabela13[[#This Row],[QTD DE B/T 2]],Tabela13[[#This Row],[QTD DE B/T]])</f>
        <v>4</v>
      </c>
      <c r="M52" s="22">
        <v>8</v>
      </c>
      <c r="N52" s="22">
        <f>Tabela13[[#This Row],[ELEVADOR]]/Tabela13[[#This Row],[BLOCO TOTAL]]</f>
        <v>2</v>
      </c>
      <c r="O52" s="22" t="s">
        <v>5</v>
      </c>
      <c r="P52" s="22" t="s">
        <v>101</v>
      </c>
      <c r="Q52" s="22" t="s">
        <v>101</v>
      </c>
      <c r="R52" s="22" t="s">
        <v>102</v>
      </c>
      <c r="S52" s="22" t="s">
        <v>103</v>
      </c>
      <c r="T52" s="22" t="s">
        <v>104</v>
      </c>
      <c r="U52" s="22" t="s">
        <v>105</v>
      </c>
      <c r="V52" s="22" t="s">
        <v>106</v>
      </c>
      <c r="W52" s="24">
        <f>IF(P52=[1]BD_CUSTO!$E$4,[1]BD_CUSTO!$F$4,[1]BD_CUSTO!$F$5)</f>
        <v>2430</v>
      </c>
      <c r="X52" s="24">
        <f>IF(Q52=[1]BD_CUSTO!$E$6,[1]BD_CUSTO!$F$6,[1]BD_CUSTO!$F$7)</f>
        <v>260</v>
      </c>
      <c r="Y52" s="24">
        <f>IF(R52=[1]BD_CUSTO!$E$8,[1]BD_CUSTO!$F$8,[1]BD_CUSTO!$F$9)</f>
        <v>600</v>
      </c>
      <c r="Z52" s="24">
        <f>IF(S52=[1]BD_CUSTO!$E$10,[1]BD_CUSTO!$F$10,[1]BD_CUSTO!$F$11)</f>
        <v>500</v>
      </c>
      <c r="AA52" s="24">
        <f>IF(T52=[1]BD_CUSTO!$E$12,[1]BD_CUSTO!$F$12,[1]BD_CUSTO!$F$13)</f>
        <v>370</v>
      </c>
      <c r="AB52" s="24">
        <f>IF(U52=[1]BD_CUSTO!$E$14,[1]BD_CUSTO!$F$14,[1]BD_CUSTO!$F$15)</f>
        <v>90</v>
      </c>
      <c r="AC52" s="24">
        <f>IF(V52=[1]BD_CUSTO!$E$16,[1]BD_CUSTO!$F$16,[1]BD_CUSTO!$F$17)</f>
        <v>720</v>
      </c>
      <c r="AD52" s="22" t="s">
        <v>108</v>
      </c>
      <c r="AE52" s="22">
        <v>1</v>
      </c>
      <c r="AF52" s="22" t="s">
        <v>111</v>
      </c>
      <c r="AG52" s="22">
        <v>1</v>
      </c>
      <c r="AH52" s="22" t="s">
        <v>110</v>
      </c>
      <c r="AI52" s="22">
        <v>10</v>
      </c>
      <c r="AJ52" s="22" t="s">
        <v>121</v>
      </c>
      <c r="AK52" s="22">
        <v>1</v>
      </c>
      <c r="AL52" s="22" t="s">
        <v>109</v>
      </c>
      <c r="AM52" s="22">
        <v>1</v>
      </c>
      <c r="AN52" s="22" t="s">
        <v>129</v>
      </c>
      <c r="AO52" s="22">
        <v>1</v>
      </c>
      <c r="AP52" s="22" t="s">
        <v>107</v>
      </c>
      <c r="AQ52" s="22">
        <v>3</v>
      </c>
      <c r="AR52" s="22"/>
      <c r="AS52" s="22"/>
      <c r="AT52" s="22"/>
      <c r="AU52" s="22"/>
      <c r="AV52" s="22"/>
      <c r="AW52" s="22"/>
      <c r="AX52" s="24">
        <f>IF(AD52="",0,VLOOKUP(AD52,[1]BD_CUSTO!I:J,2,0)*AE52/E52)</f>
        <v>48.229166666666664</v>
      </c>
      <c r="AY52" s="24">
        <f>IF(AF52="",0,VLOOKUP(AF52,[1]BD_CUSTO!I:J,2,0)*AG52/E52)</f>
        <v>33.75</v>
      </c>
      <c r="AZ52" s="24">
        <f>IF(AH52="",0,VLOOKUP(AH52,[1]BD_CUSTO!I:J,2,0)*AI52/E52)</f>
        <v>110.41666666666667</v>
      </c>
      <c r="BA52" s="24">
        <f>IF(AJ52="",0,VLOOKUP(AJ52,[1]BD_CUSTO!I:J,2,0)*AK52/E52)</f>
        <v>256.57687499999997</v>
      </c>
      <c r="BB52" s="24">
        <f>IF(AL52="",0,VLOOKUP(AL52,[1]BD_CUSTO!I:J,2,0)*AM52/E52)</f>
        <v>14.479166666666666</v>
      </c>
      <c r="BC52" s="24">
        <f>IF(AN52="",0,VLOOKUP(AN52,[1]BD_CUSTO!I:J,2,0)*AO52/E52)</f>
        <v>573.2657916666667</v>
      </c>
      <c r="BD52" s="24">
        <f>IF(AP52="",0,VLOOKUP(AP52,[1]BD_CUSTO!I:J,2,0)*AQ52/E52)</f>
        <v>532.18200000000002</v>
      </c>
      <c r="BE52" s="24">
        <f>IF(AR52="",0,VLOOKUP(AR52,CUSTO!I:J,2,0)*AS52/E52)</f>
        <v>0</v>
      </c>
      <c r="BF52" s="24">
        <f>IF(AT52="",0,VLOOKUP(AT52,[1]BD_CUSTO!I:J,2,0)*AU52/E52)</f>
        <v>0</v>
      </c>
      <c r="BG52" s="24">
        <f>IF(Tabela13[[#This Row],[LZ 10]]="",0,VLOOKUP(Tabela13[[#This Row],[LZ 10]],[1]BD_CUSTO!I:J,2,0)*Tabela13[[#This Row],[QTD922]]/E52)</f>
        <v>0</v>
      </c>
      <c r="BH52" s="22" t="s">
        <v>112</v>
      </c>
      <c r="BI52" s="25">
        <v>0.46</v>
      </c>
      <c r="BJ52" s="22" t="s">
        <v>113</v>
      </c>
      <c r="BK52" s="25">
        <v>0</v>
      </c>
      <c r="BL52" s="24">
        <f>IF(BH52=[1]BD_CUSTO!$M$6,[1]BD_CUSTO!$N$6)*BI52</f>
        <v>1380</v>
      </c>
      <c r="BM52" s="24">
        <f>IF(BJ52=[1]BD_CUSTO!$M$4,[1]BD_CUSTO!$N$4,[1]BD_CUSTO!$N$5)*BK52</f>
        <v>0</v>
      </c>
      <c r="BN52" s="22" t="s">
        <v>114</v>
      </c>
      <c r="BO52" s="22">
        <v>516</v>
      </c>
      <c r="BP52" s="25">
        <f>Tabela13[[#This Row],[QTD ]]/Tabela13[[#This Row],[Nº UNDS]]</f>
        <v>1.075</v>
      </c>
      <c r="BQ52" s="22" t="s">
        <v>123</v>
      </c>
      <c r="BR52" s="22">
        <v>35</v>
      </c>
      <c r="BS52" s="22" t="s">
        <v>116</v>
      </c>
      <c r="BT52" s="22">
        <v>0</v>
      </c>
      <c r="BU52" s="22" t="s">
        <v>16</v>
      </c>
      <c r="BV52" s="22">
        <v>0</v>
      </c>
      <c r="BW52" s="24">
        <f>IF(BN52=[1]BD_CUSTO!$Q$7,[1]BD_CUSTO!$R$7,[1]BD_CUSTO!$R$8)*BO52/E52</f>
        <v>2150</v>
      </c>
      <c r="BX52" s="24">
        <f>IF(BQ52=[1]BD_CUSTO!$Q$4,[1]BD_CUSTO!$R$4,[1]BD_CUSTO!$R$5)*BR52/E52</f>
        <v>72.916666666666671</v>
      </c>
      <c r="BY52" s="22">
        <f>IF(BS52=[1]BD_CUSTO!$Q$13,[1]BD_CUSTO!$R$13,[1]BD_CUSTO!$R$14)*BT52/E52</f>
        <v>0</v>
      </c>
      <c r="BZ52" s="24">
        <f>BV52*CUSTO!$R$10/E52</f>
        <v>0</v>
      </c>
      <c r="CA52" s="26">
        <f>SUM(Tabela13[[#This Row],[SOMA_PISO SALA E QUARTO]],Tabela13[[#This Row],[SOMA_PAREDE HIDR]],Tabela13[[#This Row],[SOMA_TETO]],Tabela13[[#This Row],[SOMA_BANCADA]],Tabela13[[#This Row],[SOMA_PEDRAS]])</f>
        <v>3990</v>
      </c>
      <c r="CB52" s="27" t="str">
        <f>IF(CA52&lt;=RÉGUAS!$D$4,"ACAB 01",IF(CA52&lt;=RÉGUAS!$F$4,"ACAB 02",IF(CA52&gt;RÉGUAS!$F$4,"ACAB 03",)))</f>
        <v>ACAB 02</v>
      </c>
      <c r="CC52" s="26">
        <f>SUM(Tabela13[[#This Row],[SOMA_LZ 01]:[SOMA_LZ 10]])</f>
        <v>1568.8996666666667</v>
      </c>
      <c r="CD52" s="22" t="str">
        <f>IF(CC52&lt;=RÉGUAS!$D$13,"LZ 01",IF(CC52&lt;=RÉGUAS!$F$13,"LZ 02",IF(CC52&lt;=RÉGUAS!$H$13,"LZ 03",IF(CC52&gt;RÉGUAS!$H$13,"LZ 04",))))</f>
        <v>LZ 02</v>
      </c>
      <c r="CE52" s="28">
        <f t="shared" si="1"/>
        <v>1380</v>
      </c>
      <c r="CF52" s="22" t="str">
        <f>IF(CE52&lt;=RÉGUAS!$D$22,"TIP 01",IF(CE52&lt;=RÉGUAS!$F$22,"TIP 02",IF(CE52&gt;RÉGUAS!$F$22,"TIP 03",)))</f>
        <v>TIP 01</v>
      </c>
      <c r="CG52" s="28">
        <f t="shared" si="2"/>
        <v>2222.9166666666665</v>
      </c>
      <c r="CH52" s="22" t="str">
        <f>IF(CG52&lt;=RÉGUAS!$D$32,"VAGA 01",IF(CG52&lt;=RÉGUAS!$F$32,"VAGA 02",IF(CG52&gt;RÉGUAS!$F$32,"VAGA 03",)))</f>
        <v>VAGA 02</v>
      </c>
      <c r="CI52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4194.75</v>
      </c>
      <c r="CJ52" s="85" t="str">
        <f>IF(AND(G52="BLOCO",CI52&lt;=RÉGUAS!$D$40),"ELEV 01",IF(AND(G52="BLOCO",CI52&gt;RÉGUAS!$D$40),"ELEV 02",IF(AND(G52="TORRE",CI52&lt;=RÉGUAS!$K$40),"ELEV 01",IF(AND(G52="TORRE",CI52&lt;=RÉGUAS!$M$40),"ELEV 02",IF(AND(G52="TORRE",CI52&gt;RÉGUAS!$M$40),"ELEV 03",)))))</f>
        <v>ELEV 03</v>
      </c>
      <c r="CK52" s="85">
        <f>SUM(Tabela13[[#This Row],[TOTAL  ACAB]],Tabela13[[#This Row],[TOTAL LAZER ]],Tabela13[[#This Row],[TOTAL TIPOLOGIA]],Tabela13[[#This Row],[TOTAL VAGA]],Tabela13[[#This Row],[TOTAL ELEVADOR]])</f>
        <v>13356.566333333332</v>
      </c>
      <c r="CL52" s="72" t="str">
        <f>IF(AND(G52="BLOCO",CK52&lt;=RÉGUAS!$D$50),"ESSENCIAL",IF(AND(G52="BLOCO",CK52&lt;=RÉGUAS!$F$50),"ECO",IF(AND(G52="BLOCO",CK52&gt;RÉGUAS!$F$50),"BIO",IF(AND(G52="TORRE",CK52&lt;=RÉGUAS!$K$50),"ESSENCIAL",IF(AND(G52="TORRE",CK52&lt;=RÉGUAS!$M$50),"ECO",IF(AND(G52="TORRE",CK52&gt;RÉGUAS!$M$50),"BIO",))))))</f>
        <v>ECO</v>
      </c>
      <c r="CM52" s="28" t="str">
        <f>IF(AND(G52="BLOCO",CK52&gt;=RÉGUAS!$D$51,CK52&lt;=RÉGUAS!$D$50),"ESSENCIAL-10%",IF(AND(G52="BLOCO",CK52&gt;RÉGUAS!$D$50,CK52&lt;=RÉGUAS!$E$51),"ECO+10%",IF(AND(G52="BLOCO",CK52&gt;=RÉGUAS!$F$51,CK52&lt;=RÉGUAS!$F$50),"ECO-10%",IF(AND(G52="BLOCO",CK52&gt;RÉGUAS!$F$50,CK52&lt;=RÉGUAS!$G$51),"BIO+10%",IF(AND(G52="TORRE",CK52&gt;=RÉGUAS!$K$51,CK52&lt;=RÉGUAS!$K$50),"ESSENCIAL-10%",IF(AND(G52="TORRE",CK52&gt;RÉGUAS!$K$50,CK52&lt;=RÉGUAS!$L$51),"ECO+10%",IF(AND(G52="TORRE",CK52&gt;=RÉGUAS!$M$51,CK52&lt;=RÉGUAS!$M$50),"ECO-10%",IF(AND(G52="TORRE",CK52&gt;RÉGUAS!$M$50,CK52&lt;=RÉGUAS!$N$51),"BIO+10%","-"))))))))</f>
        <v>ECO-10%</v>
      </c>
      <c r="CN52" s="73">
        <f t="shared" si="3"/>
        <v>9161.8163333333323</v>
      </c>
      <c r="CO52" s="72" t="str">
        <f>IF(CN52&lt;=RÉGUAS!$D$58,"ESSENCIAL",IF(CN52&lt;=RÉGUAS!$F$58,"ECO",IF(CN52&gt;RÉGUAS!$F$58,"BIO",)))</f>
        <v>ECO</v>
      </c>
      <c r="CP52" s="72" t="str">
        <f>IF(Tabela13[[#This Row],[INTERVALO DE INTERSEÇÃO 5D]]="-",Tabela13[[#This Row],[CLASSIFICAÇÃO 
5D ]],Tabela13[[#This Row],[CLASSIFICAÇÃO 
4D]])</f>
        <v>ECO</v>
      </c>
      <c r="CQ52" s="72" t="str">
        <f t="shared" si="4"/>
        <v>-</v>
      </c>
      <c r="CR52" s="72" t="str">
        <f t="shared" si="5"/>
        <v>ECO</v>
      </c>
      <c r="CS52" s="22" t="str">
        <f>IF(Tabela13[[#This Row],[PRODUTO ATUAL ]]=Tabela13[[#This Row],[CLASSIFICAÇÃO FINAL 5D]],"ADERÊNTE","NÃO ADERÊNTE")</f>
        <v>ADERÊNTE</v>
      </c>
      <c r="CT52" s="24">
        <f>SUM(Tabela13[[#This Row],[TOTAL  ACAB]],Tabela13[[#This Row],[TOTAL LAZER ]],Tabela13[[#This Row],[TOTAL TIPOLOGIA]],Tabela13[[#This Row],[TOTAL VAGA]])</f>
        <v>9161.8163333333323</v>
      </c>
      <c r="CU52" s="22" t="str">
        <f>IF(CT52&lt;=RÉGUAS!$D$58,"ESSENCIAL",IF(CT52&lt;=RÉGUAS!$F$58,"ECO",IF(CT52&gt;RÉGUAS!$F$58,"BIO",)))</f>
        <v>ECO</v>
      </c>
      <c r="CV52" s="22" t="str">
        <f>IF(AND(CT52&gt;=RÉGUAS!$D$59,CT52&lt;=RÉGUAS!$E$59),"ESSENCIAL/ECO",IF(AND(CT52&gt;=RÉGUAS!$F$59,CT52&lt;=RÉGUAS!$G$59),"ECO/BIO","-"))</f>
        <v>-</v>
      </c>
      <c r="CW52" s="85">
        <f>SUM(Tabela13[[#This Row],[TOTAL LAZER ]],Tabela13[[#This Row],[TOTAL TIPOLOGIA]])</f>
        <v>2948.8996666666667</v>
      </c>
      <c r="CX52" s="22" t="str">
        <f>IF(CW52&lt;=RÉGUAS!$D$72,"ESSENCIAL",IF(CW52&lt;=RÉGUAS!$F$72,"ECO",IF(CN52&gt;RÉGUAS!$F$72,"BIO",)))</f>
        <v>ECO</v>
      </c>
      <c r="CY52" s="22" t="str">
        <f t="shared" si="6"/>
        <v>ECO</v>
      </c>
      <c r="CZ52" s="22" t="str">
        <f>IF(Tabela13[[#This Row],[PRODUTO ATUAL ]]=CY52,"ADERENTE","NÃO ADERENTE")</f>
        <v>ADERENTE</v>
      </c>
      <c r="DA52" s="22" t="str">
        <f>IF(Tabela13[[#This Row],[PRODUTO ATUAL ]]=Tabela13[[#This Row],[CLASSIFICAÇÃO 
4D2]],"ADERENTE","NÃO ADERENTE")</f>
        <v>ADERENTE</v>
      </c>
    </row>
    <row r="53" spans="2:105" hidden="1" x14ac:dyDescent="0.35">
      <c r="B53" s="27">
        <v>53</v>
      </c>
      <c r="C53" s="22" t="s">
        <v>205</v>
      </c>
      <c r="D53" s="22" t="s">
        <v>100</v>
      </c>
      <c r="E53" s="23">
        <v>400</v>
      </c>
      <c r="F53" s="22" t="str">
        <f t="shared" si="0"/>
        <v>De 200 a 400 und</v>
      </c>
      <c r="G53" s="22" t="s">
        <v>14</v>
      </c>
      <c r="H53" s="36">
        <v>5</v>
      </c>
      <c r="I53" s="36">
        <v>10</v>
      </c>
      <c r="J53" s="36"/>
      <c r="K53" s="36"/>
      <c r="L53" s="36">
        <f>SUM(Tabela13[[#This Row],[QTD DE B/T 2]],Tabela13[[#This Row],[QTD DE B/T]])</f>
        <v>5</v>
      </c>
      <c r="M53" s="22">
        <v>5</v>
      </c>
      <c r="N53" s="22">
        <f>Tabela13[[#This Row],[ELEVADOR]]/Tabela13[[#This Row],[BLOCO TOTAL]]</f>
        <v>1</v>
      </c>
      <c r="O53" s="22" t="s">
        <v>5</v>
      </c>
      <c r="P53" s="22" t="s">
        <v>101</v>
      </c>
      <c r="Q53" s="22" t="s">
        <v>101</v>
      </c>
      <c r="R53" s="22" t="s">
        <v>102</v>
      </c>
      <c r="S53" s="22" t="s">
        <v>103</v>
      </c>
      <c r="T53" s="22" t="s">
        <v>104</v>
      </c>
      <c r="U53" s="22" t="s">
        <v>105</v>
      </c>
      <c r="V53" s="22" t="s">
        <v>106</v>
      </c>
      <c r="W53" s="24">
        <f>IF(P53=[1]BD_CUSTO!$E$4,[1]BD_CUSTO!$F$4,[1]BD_CUSTO!$F$5)</f>
        <v>2430</v>
      </c>
      <c r="X53" s="24">
        <f>IF(Q53=[1]BD_CUSTO!$E$6,[1]BD_CUSTO!$F$6,[1]BD_CUSTO!$F$7)</f>
        <v>260</v>
      </c>
      <c r="Y53" s="24">
        <f>IF(R53=[1]BD_CUSTO!$E$8,[1]BD_CUSTO!$F$8,[1]BD_CUSTO!$F$9)</f>
        <v>600</v>
      </c>
      <c r="Z53" s="24">
        <f>IF(S53=[1]BD_CUSTO!$E$10,[1]BD_CUSTO!$F$10,[1]BD_CUSTO!$F$11)</f>
        <v>500</v>
      </c>
      <c r="AA53" s="24">
        <f>IF(T53=[1]BD_CUSTO!$E$12,[1]BD_CUSTO!$F$12,[1]BD_CUSTO!$F$13)</f>
        <v>370</v>
      </c>
      <c r="AB53" s="24">
        <f>IF(U53=[1]BD_CUSTO!$E$14,[1]BD_CUSTO!$F$14,[1]BD_CUSTO!$F$15)</f>
        <v>90</v>
      </c>
      <c r="AC53" s="24">
        <f>IF(V53=[1]BD_CUSTO!$E$16,[1]BD_CUSTO!$F$16,[1]BD_CUSTO!$F$17)</f>
        <v>720</v>
      </c>
      <c r="AD53" s="22" t="s">
        <v>107</v>
      </c>
      <c r="AE53" s="22">
        <v>1</v>
      </c>
      <c r="AF53" s="22" t="s">
        <v>109</v>
      </c>
      <c r="AG53" s="22">
        <v>1</v>
      </c>
      <c r="AH53" s="22" t="s">
        <v>129</v>
      </c>
      <c r="AI53" s="22">
        <v>1</v>
      </c>
      <c r="AJ53" s="22" t="s">
        <v>108</v>
      </c>
      <c r="AK53" s="22">
        <v>1</v>
      </c>
      <c r="AL53" s="22" t="s">
        <v>111</v>
      </c>
      <c r="AM53" s="22">
        <v>1</v>
      </c>
      <c r="AN53" s="22" t="s">
        <v>121</v>
      </c>
      <c r="AO53" s="22">
        <v>1</v>
      </c>
      <c r="AP53" s="22" t="s">
        <v>107</v>
      </c>
      <c r="AQ53" s="22">
        <v>1</v>
      </c>
      <c r="AR53" s="22"/>
      <c r="AS53" s="22"/>
      <c r="AT53" s="22"/>
      <c r="AU53" s="22"/>
      <c r="AV53" s="22"/>
      <c r="AW53" s="22"/>
      <c r="AX53" s="24">
        <f>IF(AD53="",0,VLOOKUP(AD53,[1]BD_CUSTO!I:J,2,0)*AE53/E53)</f>
        <v>212.87279999999998</v>
      </c>
      <c r="AY53" s="24">
        <f>IF(AF53="",0,VLOOKUP(AF53,[1]BD_CUSTO!I:J,2,0)*AG53/E53)</f>
        <v>17.375</v>
      </c>
      <c r="AZ53" s="24">
        <f>IF(AH53="",0,VLOOKUP(AH53,[1]BD_CUSTO!I:J,2,0)*AI53/E53)</f>
        <v>687.91895</v>
      </c>
      <c r="BA53" s="24">
        <f>IF(AJ53="",0,VLOOKUP(AJ53,[1]BD_CUSTO!I:J,2,0)*AK53/E53)</f>
        <v>57.875</v>
      </c>
      <c r="BB53" s="24">
        <f>IF(AL53="",0,VLOOKUP(AL53,[1]BD_CUSTO!I:J,2,0)*AM53/E53)</f>
        <v>40.5</v>
      </c>
      <c r="BC53" s="24">
        <f>IF(AN53="",0,VLOOKUP(AN53,[1]BD_CUSTO!I:J,2,0)*AO53/E53)</f>
        <v>307.89224999999999</v>
      </c>
      <c r="BD53" s="24">
        <f>IF(AP53="",0,VLOOKUP(AP53,[1]BD_CUSTO!I:J,2,0)*AQ53/E53)</f>
        <v>212.87279999999998</v>
      </c>
      <c r="BE53" s="24">
        <f>IF(AR53="",0,VLOOKUP(AR53,CUSTO!I:J,2,0)*AS53/E53)</f>
        <v>0</v>
      </c>
      <c r="BF53" s="24">
        <f>IF(AT53="",0,VLOOKUP(AT53,[1]BD_CUSTO!I:J,2,0)*AU53/E53)</f>
        <v>0</v>
      </c>
      <c r="BG53" s="24">
        <f>IF(Tabela13[[#This Row],[LZ 10]]="",0,VLOOKUP(Tabela13[[#This Row],[LZ 10]],[1]BD_CUSTO!I:J,2,0)*Tabela13[[#This Row],[QTD922]]/E53)</f>
        <v>0</v>
      </c>
      <c r="BH53" s="22" t="s">
        <v>112</v>
      </c>
      <c r="BI53" s="25">
        <f>180/Tabela13[[#This Row],[Nº UNDS]]</f>
        <v>0.45</v>
      </c>
      <c r="BJ53" s="22" t="s">
        <v>113</v>
      </c>
      <c r="BK53" s="25">
        <v>0</v>
      </c>
      <c r="BL53" s="24">
        <f>IF(BH53=[1]BD_CUSTO!$M$6,[1]BD_CUSTO!$N$6)*BI53</f>
        <v>1350</v>
      </c>
      <c r="BM53" s="24">
        <f>IF(BJ53=[1]BD_CUSTO!$M$4,[1]BD_CUSTO!$N$4,[1]BD_CUSTO!$N$5)*BK53</f>
        <v>0</v>
      </c>
      <c r="BN53" s="22" t="s">
        <v>114</v>
      </c>
      <c r="BO53" s="22">
        <f>458-25</f>
        <v>433</v>
      </c>
      <c r="BP53" s="25">
        <f>Tabela13[[#This Row],[QTD ]]/Tabela13[[#This Row],[Nº UNDS]]</f>
        <v>1.0825</v>
      </c>
      <c r="BQ53" s="22" t="s">
        <v>123</v>
      </c>
      <c r="BR53" s="22">
        <v>25</v>
      </c>
      <c r="BS53" s="22" t="s">
        <v>116</v>
      </c>
      <c r="BT53" s="22">
        <v>0</v>
      </c>
      <c r="BU53" s="22" t="s">
        <v>16</v>
      </c>
      <c r="BV53" s="22">
        <v>0</v>
      </c>
      <c r="BW53" s="24">
        <f>IF(BN53=[1]BD_CUSTO!$Q$7,[1]BD_CUSTO!$R$7,[1]BD_CUSTO!$R$8)*BO53/E53</f>
        <v>2165</v>
      </c>
      <c r="BX53" s="24">
        <f>IF(BQ53=[1]BD_CUSTO!$Q$4,[1]BD_CUSTO!$R$4,[1]BD_CUSTO!$R$5)*BR53/E53</f>
        <v>62.5</v>
      </c>
      <c r="BY53" s="22">
        <f>IF(BS53=[1]BD_CUSTO!$Q$13,[1]BD_CUSTO!$R$13,[1]BD_CUSTO!$R$14)*BT53/E53</f>
        <v>0</v>
      </c>
      <c r="BZ53" s="24">
        <f>BV53*CUSTO!$R$10/E53</f>
        <v>0</v>
      </c>
      <c r="CA53" s="26">
        <f>SUM(Tabela13[[#This Row],[SOMA_PISO SALA E QUARTO]],Tabela13[[#This Row],[SOMA_PAREDE HIDR]],Tabela13[[#This Row],[SOMA_TETO]],Tabela13[[#This Row],[SOMA_BANCADA]],Tabela13[[#This Row],[SOMA_PEDRAS]])</f>
        <v>3990</v>
      </c>
      <c r="CB53" s="27" t="str">
        <f>IF(CA53&lt;=RÉGUAS!$D$4,"ACAB 01",IF(CA53&lt;=RÉGUAS!$F$4,"ACAB 02",IF(CA53&gt;RÉGUAS!$F$4,"ACAB 03",)))</f>
        <v>ACAB 02</v>
      </c>
      <c r="CC53" s="26">
        <f>SUM(Tabela13[[#This Row],[SOMA_LZ 01]:[SOMA_LZ 10]])</f>
        <v>1537.3067999999998</v>
      </c>
      <c r="CD53" s="22" t="str">
        <f>IF(CC53&lt;=RÉGUAS!$D$13,"LZ 01",IF(CC53&lt;=RÉGUAS!$F$13,"LZ 02",IF(CC53&lt;=RÉGUAS!$H$13,"LZ 03",IF(CC53&gt;RÉGUAS!$H$13,"LZ 04",))))</f>
        <v>LZ 02</v>
      </c>
      <c r="CE53" s="28">
        <f t="shared" si="1"/>
        <v>1350</v>
      </c>
      <c r="CF53" s="22" t="str">
        <f>IF(CE53&lt;=RÉGUAS!$D$22,"TIP 01",IF(CE53&lt;=RÉGUAS!$F$22,"TIP 02",IF(CE53&gt;RÉGUAS!$F$22,"TIP 03",)))</f>
        <v>TIP 01</v>
      </c>
      <c r="CG53" s="28">
        <f t="shared" si="2"/>
        <v>2227.5</v>
      </c>
      <c r="CH53" s="22" t="str">
        <f>IF(CG53&lt;=RÉGUAS!$D$32,"VAGA 01",IF(CG53&lt;=RÉGUAS!$F$32,"VAGA 02",IF(CG53&gt;RÉGUAS!$F$32,"VAGA 03",)))</f>
        <v>VAGA 02</v>
      </c>
      <c r="CI53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2468.125</v>
      </c>
      <c r="CJ53" s="85" t="str">
        <f>IF(AND(G53="BLOCO",CI53&lt;=RÉGUAS!$D$40),"ELEV 01",IF(AND(G53="BLOCO",CI53&gt;RÉGUAS!$D$40),"ELEV 02",IF(AND(G53="TORRE",CI53&lt;=RÉGUAS!$K$40),"ELEV 01",IF(AND(G53="TORRE",CI53&lt;=RÉGUAS!$M$40),"ELEV 02",IF(AND(G53="TORRE",CI53&gt;RÉGUAS!$M$40),"ELEV 03",)))))</f>
        <v>ELEV 01</v>
      </c>
      <c r="CK53" s="85">
        <f>SUM(Tabela13[[#This Row],[TOTAL  ACAB]],Tabela13[[#This Row],[TOTAL LAZER ]],Tabela13[[#This Row],[TOTAL TIPOLOGIA]],Tabela13[[#This Row],[TOTAL VAGA]],Tabela13[[#This Row],[TOTAL ELEVADOR]])</f>
        <v>11572.9318</v>
      </c>
      <c r="CL53" s="72" t="str">
        <f>IF(AND(G53="BLOCO",CK53&lt;=RÉGUAS!$D$50),"ESSENCIAL",IF(AND(G53="BLOCO",CK53&lt;=RÉGUAS!$F$50),"ECO",IF(AND(G53="BLOCO",CK53&gt;RÉGUAS!$F$50),"BIO",IF(AND(G53="TORRE",CK53&lt;=RÉGUAS!$K$50),"ESSENCIAL",IF(AND(G53="TORRE",CK53&lt;=RÉGUAS!$M$50),"ECO",IF(AND(G53="TORRE",CK53&gt;RÉGUAS!$M$50),"BIO",))))))</f>
        <v>ECO</v>
      </c>
      <c r="CM53" s="28" t="str">
        <f>IF(AND(G53="BLOCO",CK53&gt;=RÉGUAS!$D$51,CK53&lt;=RÉGUAS!$D$50),"ESSENCIAL-10%",IF(AND(G53="BLOCO",CK53&gt;RÉGUAS!$D$50,CK53&lt;=RÉGUAS!$E$51),"ECO+10%",IF(AND(G53="BLOCO",CK53&gt;=RÉGUAS!$F$51,CK53&lt;=RÉGUAS!$F$50),"ECO-10%",IF(AND(G53="BLOCO",CK53&gt;RÉGUAS!$F$50,CK53&lt;=RÉGUAS!$G$51),"BIO+10%",IF(AND(G53="TORRE",CK53&gt;=RÉGUAS!$K$51,CK53&lt;=RÉGUAS!$K$50),"ESSENCIAL-10%",IF(AND(G53="TORRE",CK53&gt;RÉGUAS!$K$50,CK53&lt;=RÉGUAS!$L$51),"ECO+10%",IF(AND(G53="TORRE",CK53&gt;=RÉGUAS!$M$51,CK53&lt;=RÉGUAS!$M$50),"ECO-10%",IF(AND(G53="TORRE",CK53&gt;RÉGUAS!$M$50,CK53&lt;=RÉGUAS!$N$51),"BIO+10%","-"))))))))</f>
        <v>-</v>
      </c>
      <c r="CN53" s="73">
        <f t="shared" si="3"/>
        <v>9104.8068000000003</v>
      </c>
      <c r="CO53" s="72" t="str">
        <f>IF(CN53&lt;=RÉGUAS!$D$58,"ESSENCIAL",IF(CN53&lt;=RÉGUAS!$F$58,"ECO",IF(CN53&gt;RÉGUAS!$F$58,"BIO",)))</f>
        <v>ECO</v>
      </c>
      <c r="CP53" s="72" t="str">
        <f>IF(Tabela13[[#This Row],[INTERVALO DE INTERSEÇÃO 5D]]="-",Tabela13[[#This Row],[CLASSIFICAÇÃO 
5D ]],Tabela13[[#This Row],[CLASSIFICAÇÃO 
4D]])</f>
        <v>ECO</v>
      </c>
      <c r="CQ53" s="72" t="str">
        <f t="shared" si="4"/>
        <v>-</v>
      </c>
      <c r="CR53" s="72" t="str">
        <f t="shared" si="5"/>
        <v>ECO</v>
      </c>
      <c r="CS53" s="22" t="str">
        <f>IF(Tabela13[[#This Row],[PRODUTO ATUAL ]]=Tabela13[[#This Row],[CLASSIFICAÇÃO FINAL 5D]],"ADERÊNTE","NÃO ADERÊNTE")</f>
        <v>ADERÊNTE</v>
      </c>
      <c r="CT53" s="24">
        <f>SUM(Tabela13[[#This Row],[TOTAL  ACAB]],Tabela13[[#This Row],[TOTAL LAZER ]],Tabela13[[#This Row],[TOTAL TIPOLOGIA]],Tabela13[[#This Row],[TOTAL VAGA]])</f>
        <v>9104.8068000000003</v>
      </c>
      <c r="CU53" s="22" t="str">
        <f>IF(CT53&lt;=RÉGUAS!$D$58,"ESSENCIAL",IF(CT53&lt;=RÉGUAS!$F$58,"ECO",IF(CT53&gt;RÉGUAS!$F$58,"BIO",)))</f>
        <v>ECO</v>
      </c>
      <c r="CV53" s="22" t="str">
        <f>IF(AND(CT53&gt;=RÉGUAS!$D$59,CT53&lt;=RÉGUAS!$E$59),"ESSENCIAL/ECO",IF(AND(CT53&gt;=RÉGUAS!$F$59,CT53&lt;=RÉGUAS!$G$59),"ECO/BIO","-"))</f>
        <v>-</v>
      </c>
      <c r="CW53" s="85">
        <f>SUM(Tabela13[[#This Row],[TOTAL LAZER ]],Tabela13[[#This Row],[TOTAL TIPOLOGIA]])</f>
        <v>2887.3067999999998</v>
      </c>
      <c r="CX53" s="22" t="str">
        <f>IF(CW53&lt;=RÉGUAS!$D$72,"ESSENCIAL",IF(CW53&lt;=RÉGUAS!$F$72,"ECO",IF(CN53&gt;RÉGUAS!$F$72,"BIO",)))</f>
        <v>ECO</v>
      </c>
      <c r="CY53" s="22" t="str">
        <f t="shared" si="6"/>
        <v>ECO</v>
      </c>
      <c r="CZ53" s="22" t="str">
        <f>IF(Tabela13[[#This Row],[PRODUTO ATUAL ]]=CY53,"ADERENTE","NÃO ADERENTE")</f>
        <v>ADERENTE</v>
      </c>
      <c r="DA53" s="22" t="str">
        <f>IF(Tabela13[[#This Row],[PRODUTO ATUAL ]]=Tabela13[[#This Row],[CLASSIFICAÇÃO 
4D2]],"ADERENTE","NÃO ADERENTE")</f>
        <v>ADERENTE</v>
      </c>
    </row>
    <row r="54" spans="2:105" hidden="1" x14ac:dyDescent="0.35">
      <c r="B54" s="27">
        <v>78</v>
      </c>
      <c r="C54" s="22" t="s">
        <v>201</v>
      </c>
      <c r="D54" s="22" t="s">
        <v>100</v>
      </c>
      <c r="E54" s="23">
        <v>192</v>
      </c>
      <c r="F54" s="22" t="str">
        <f t="shared" si="0"/>
        <v>Até 200 und</v>
      </c>
      <c r="G54" s="22" t="s">
        <v>1</v>
      </c>
      <c r="H54" s="36">
        <v>12</v>
      </c>
      <c r="I54" s="36">
        <v>4</v>
      </c>
      <c r="J54" s="36"/>
      <c r="K54" s="36"/>
      <c r="L54" s="36">
        <f>SUM(Tabela13[[#This Row],[QTD DE B/T 2]],Tabela13[[#This Row],[QTD DE B/T]])</f>
        <v>12</v>
      </c>
      <c r="M54" s="22">
        <v>0</v>
      </c>
      <c r="N54" s="22">
        <f>Tabela13[[#This Row],[ELEVADOR]]/Tabela13[[#This Row],[BLOCO TOTAL]]</f>
        <v>0</v>
      </c>
      <c r="O54" s="22" t="s">
        <v>5</v>
      </c>
      <c r="P54" s="22" t="s">
        <v>101</v>
      </c>
      <c r="Q54" s="22" t="s">
        <v>101</v>
      </c>
      <c r="R54" s="22" t="s">
        <v>102</v>
      </c>
      <c r="S54" s="22" t="s">
        <v>103</v>
      </c>
      <c r="T54" s="22" t="s">
        <v>104</v>
      </c>
      <c r="U54" s="22" t="s">
        <v>105</v>
      </c>
      <c r="V54" s="22" t="s">
        <v>106</v>
      </c>
      <c r="W54" s="24">
        <f>IF(P54=[1]BD_CUSTO!$E$4,[1]BD_CUSTO!$F$4,[1]BD_CUSTO!$F$5)</f>
        <v>2430</v>
      </c>
      <c r="X54" s="24">
        <f>IF(Q54=[1]BD_CUSTO!$E$6,[1]BD_CUSTO!$F$6,[1]BD_CUSTO!$F$7)</f>
        <v>260</v>
      </c>
      <c r="Y54" s="24">
        <f>IF(R54=[1]BD_CUSTO!$E$8,[1]BD_CUSTO!$F$8,[1]BD_CUSTO!$F$9)</f>
        <v>600</v>
      </c>
      <c r="Z54" s="24">
        <f>IF(S54=[1]BD_CUSTO!$E$10,[1]BD_CUSTO!$F$10,[1]BD_CUSTO!$F$11)</f>
        <v>500</v>
      </c>
      <c r="AA54" s="24">
        <f>IF(T54=[1]BD_CUSTO!$E$12,[1]BD_CUSTO!$F$12,[1]BD_CUSTO!$F$13)</f>
        <v>370</v>
      </c>
      <c r="AB54" s="24">
        <f>IF(U54=[1]BD_CUSTO!$E$14,[1]BD_CUSTO!$F$14,[1]BD_CUSTO!$F$15)</f>
        <v>90</v>
      </c>
      <c r="AC54" s="24">
        <f>IF(V54=[1]BD_CUSTO!$E$16,[1]BD_CUSTO!$F$16,[1]BD_CUSTO!$F$17)</f>
        <v>720</v>
      </c>
      <c r="AD54" s="22" t="s">
        <v>107</v>
      </c>
      <c r="AE54" s="22">
        <v>1</v>
      </c>
      <c r="AF54" s="22" t="s">
        <v>109</v>
      </c>
      <c r="AG54" s="22">
        <v>1</v>
      </c>
      <c r="AH54" s="22" t="s">
        <v>129</v>
      </c>
      <c r="AI54" s="22">
        <v>1</v>
      </c>
      <c r="AJ54" s="22" t="s">
        <v>110</v>
      </c>
      <c r="AK54" s="22">
        <v>2</v>
      </c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4">
        <f>IF(AD54="",0,VLOOKUP(AD54,[1]BD_CUSTO!I:J,2,0)*AE54/E54)</f>
        <v>443.48499999999996</v>
      </c>
      <c r="AY54" s="24">
        <f>IF(AF54="",0,VLOOKUP(AF54,[1]BD_CUSTO!I:J,2,0)*AG54/E54)</f>
        <v>36.197916666666664</v>
      </c>
      <c r="AZ54" s="24">
        <f>IF(AH54="",0,VLOOKUP(AH54,[1]BD_CUSTO!I:J,2,0)*AI54/E54)</f>
        <v>1433.1644791666668</v>
      </c>
      <c r="BA54" s="24">
        <f>IF(AJ54="",0,VLOOKUP(AJ54,[1]BD_CUSTO!I:J,2,0)*AK54/E54)</f>
        <v>55.208333333333336</v>
      </c>
      <c r="BB54" s="24">
        <f>IF(AL54="",0,VLOOKUP(AL54,[1]BD_CUSTO!I:J,2,0)*AM54/E54)</f>
        <v>0</v>
      </c>
      <c r="BC54" s="24">
        <f>IF(AN54="",0,VLOOKUP(AN54,[1]BD_CUSTO!I:J,2,0)*AO54/E54)</f>
        <v>0</v>
      </c>
      <c r="BD54" s="24">
        <f>IF(AP54="",0,VLOOKUP(AP54,[1]BD_CUSTO!I:J,2,0)*AQ54/E54)</f>
        <v>0</v>
      </c>
      <c r="BE54" s="24">
        <f>IF(AR54="",0,VLOOKUP(AR54,CUSTO!I:J,2,0)*AS54/E54)</f>
        <v>0</v>
      </c>
      <c r="BF54" s="24">
        <f>IF(AT54="",0,VLOOKUP(AT54,[1]BD_CUSTO!I:J,2,0)*AU54/E54)</f>
        <v>0</v>
      </c>
      <c r="BG54" s="24">
        <f>IF(Tabela13[[#This Row],[LZ 10]]="",0,VLOOKUP(Tabela13[[#This Row],[LZ 10]],[1]BD_CUSTO!I:J,2,0)*Tabela13[[#This Row],[QTD922]]/E54)</f>
        <v>0</v>
      </c>
      <c r="BH54" s="22" t="s">
        <v>112</v>
      </c>
      <c r="BI54" s="25">
        <f>72/Tabela13[[#This Row],[Nº UNDS]]</f>
        <v>0.375</v>
      </c>
      <c r="BJ54" s="22" t="s">
        <v>113</v>
      </c>
      <c r="BK54" s="25">
        <v>0</v>
      </c>
      <c r="BL54" s="24">
        <f>IF(BH54=[1]BD_CUSTO!$M$6,[1]BD_CUSTO!$N$6)*BI54</f>
        <v>1125</v>
      </c>
      <c r="BM54" s="24">
        <f>IF(BJ54=[1]BD_CUSTO!$M$4,[1]BD_CUSTO!$N$4,[1]BD_CUSTO!$N$5)*BK54</f>
        <v>0</v>
      </c>
      <c r="BN54" s="22" t="s">
        <v>114</v>
      </c>
      <c r="BO54" s="22">
        <f>225-14</f>
        <v>211</v>
      </c>
      <c r="BP54" s="25">
        <f>Tabela13[[#This Row],[QTD ]]/Tabela13[[#This Row],[Nº UNDS]]</f>
        <v>1.0989583333333333</v>
      </c>
      <c r="BQ54" s="22" t="s">
        <v>123</v>
      </c>
      <c r="BR54" s="22">
        <v>14</v>
      </c>
      <c r="BS54" s="22" t="s">
        <v>116</v>
      </c>
      <c r="BT54" s="22">
        <v>0</v>
      </c>
      <c r="BU54" s="22" t="s">
        <v>16</v>
      </c>
      <c r="BV54" s="22">
        <v>0</v>
      </c>
      <c r="BW54" s="24">
        <f>IF(BN54=[1]BD_CUSTO!$Q$7,[1]BD_CUSTO!$R$7,[1]BD_CUSTO!$R$8)*BO54/E54</f>
        <v>2197.9166666666665</v>
      </c>
      <c r="BX54" s="24">
        <f>IF(BQ54=[1]BD_CUSTO!$Q$4,[1]BD_CUSTO!$R$4,[1]BD_CUSTO!$R$5)*BR54/E54</f>
        <v>72.916666666666671</v>
      </c>
      <c r="BY54" s="22">
        <f>IF(BS54=[1]BD_CUSTO!$Q$13,[1]BD_CUSTO!$R$13,[1]BD_CUSTO!$R$14)*BT54/E54</f>
        <v>0</v>
      </c>
      <c r="BZ54" s="24">
        <f>BV54*CUSTO!$R$10/E54</f>
        <v>0</v>
      </c>
      <c r="CA54" s="26">
        <f>SUM(Tabela13[[#This Row],[SOMA_PISO SALA E QUARTO]],Tabela13[[#This Row],[SOMA_PAREDE HIDR]],Tabela13[[#This Row],[SOMA_TETO]],Tabela13[[#This Row],[SOMA_BANCADA]],Tabela13[[#This Row],[SOMA_PEDRAS]])</f>
        <v>3990</v>
      </c>
      <c r="CB54" s="27" t="str">
        <f>IF(CA54&lt;=RÉGUAS!$D$4,"ACAB 01",IF(CA54&lt;=RÉGUAS!$F$4,"ACAB 02",IF(CA54&gt;RÉGUAS!$F$4,"ACAB 03",)))</f>
        <v>ACAB 02</v>
      </c>
      <c r="CC54" s="26">
        <f>SUM(Tabela13[[#This Row],[SOMA_LZ 01]:[SOMA_LZ 10]])</f>
        <v>1968.0557291666667</v>
      </c>
      <c r="CD54" s="22" t="str">
        <f>IF(CC54&lt;=RÉGUAS!$D$13,"LZ 01",IF(CC54&lt;=RÉGUAS!$F$13,"LZ 02",IF(CC54&lt;=RÉGUAS!$H$13,"LZ 03",IF(CC54&gt;RÉGUAS!$H$13,"LZ 04",))))</f>
        <v>LZ 03</v>
      </c>
      <c r="CE54" s="28">
        <f t="shared" si="1"/>
        <v>1125</v>
      </c>
      <c r="CF54" s="22" t="str">
        <f>IF(CE54&lt;=RÉGUAS!$D$22,"TIP 01",IF(CE54&lt;=RÉGUAS!$F$22,"TIP 02",IF(CE54&gt;RÉGUAS!$F$22,"TIP 03",)))</f>
        <v>TIP 01</v>
      </c>
      <c r="CG54" s="28">
        <f t="shared" si="2"/>
        <v>2270.833333333333</v>
      </c>
      <c r="CH54" s="22" t="str">
        <f>IF(CG54&lt;=RÉGUAS!$D$32,"VAGA 01",IF(CG54&lt;=RÉGUAS!$F$32,"VAGA 02",IF(CG54&gt;RÉGUAS!$F$32,"VAGA 03",)))</f>
        <v>VAGA 02</v>
      </c>
      <c r="CI54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54" s="85" t="str">
        <f>IF(AND(G54="BLOCO",CI54&lt;=RÉGUAS!$D$40),"ELEV 01",IF(AND(G54="BLOCO",CI54&gt;RÉGUAS!$D$40),"ELEV 02",IF(AND(G54="TORRE",CI54&lt;=RÉGUAS!$K$40),"ELEV 01",IF(AND(G54="TORRE",CI54&lt;=RÉGUAS!$M$40),"ELEV 02",IF(AND(G54="TORRE",CI54&gt;RÉGUAS!$M$40),"ELEV 03",)))))</f>
        <v>ELEV 01</v>
      </c>
      <c r="CK54" s="85">
        <f>SUM(Tabela13[[#This Row],[TOTAL  ACAB]],Tabela13[[#This Row],[TOTAL LAZER ]],Tabela13[[#This Row],[TOTAL TIPOLOGIA]],Tabela13[[#This Row],[TOTAL VAGA]],Tabela13[[#This Row],[TOTAL ELEVADOR]])</f>
        <v>9353.8890624999985</v>
      </c>
      <c r="CL54" s="72" t="str">
        <f>IF(AND(G54="BLOCO",CK54&lt;=RÉGUAS!$D$50),"ESSENCIAL",IF(AND(G54="BLOCO",CK54&lt;=RÉGUAS!$F$50),"ECO",IF(AND(G54="BLOCO",CK54&gt;RÉGUAS!$F$50),"BIO",IF(AND(G54="TORRE",CK54&lt;=RÉGUAS!$K$50),"ESSENCIAL",IF(AND(G54="TORRE",CK54&lt;=RÉGUAS!$M$50),"ECO",IF(AND(G54="TORRE",CK54&gt;RÉGUAS!$M$50),"BIO",))))))</f>
        <v>ECO</v>
      </c>
      <c r="CM54" s="28" t="str">
        <f>IF(AND(G54="BLOCO",CK54&gt;=RÉGUAS!$D$51,CK54&lt;=RÉGUAS!$D$50),"ESSENCIAL-10%",IF(AND(G54="BLOCO",CK54&gt;RÉGUAS!$D$50,CK54&lt;=RÉGUAS!$E$51),"ECO+10%",IF(AND(G54="BLOCO",CK54&gt;=RÉGUAS!$F$51,CK54&lt;=RÉGUAS!$F$50),"ECO-10%",IF(AND(G54="BLOCO",CK54&gt;RÉGUAS!$F$50,CK54&lt;=RÉGUAS!$G$51),"BIO+10%",IF(AND(G54="TORRE",CK54&gt;=RÉGUAS!$K$51,CK54&lt;=RÉGUAS!$K$50),"ESSENCIAL-10%",IF(AND(G54="TORRE",CK54&gt;RÉGUAS!$K$50,CK54&lt;=RÉGUAS!$L$51),"ECO+10%",IF(AND(G54="TORRE",CK54&gt;=RÉGUAS!$M$51,CK54&lt;=RÉGUAS!$M$50),"ECO-10%",IF(AND(G54="TORRE",CK54&gt;RÉGUAS!$M$50,CK54&lt;=RÉGUAS!$N$51),"BIO+10%","-"))))))))</f>
        <v>-</v>
      </c>
      <c r="CN54" s="73">
        <f t="shared" si="3"/>
        <v>9353.8890624999985</v>
      </c>
      <c r="CO54" s="72" t="str">
        <f>IF(CN54&lt;=RÉGUAS!$D$58,"ESSENCIAL",IF(CN54&lt;=RÉGUAS!$F$58,"ECO",IF(CN54&gt;RÉGUAS!$F$58,"BIO",)))</f>
        <v>ECO</v>
      </c>
      <c r="CP54" s="72" t="str">
        <f>IF(Tabela13[[#This Row],[INTERVALO DE INTERSEÇÃO 5D]]="-",Tabela13[[#This Row],[CLASSIFICAÇÃO 
5D ]],Tabela13[[#This Row],[CLASSIFICAÇÃO 
4D]])</f>
        <v>ECO</v>
      </c>
      <c r="CQ54" s="72" t="str">
        <f t="shared" si="4"/>
        <v>-</v>
      </c>
      <c r="CR54" s="72" t="str">
        <f t="shared" si="5"/>
        <v>ECO</v>
      </c>
      <c r="CS54" s="22" t="str">
        <f>IF(Tabela13[[#This Row],[PRODUTO ATUAL ]]=Tabela13[[#This Row],[CLASSIFICAÇÃO FINAL 5D]],"ADERÊNTE","NÃO ADERÊNTE")</f>
        <v>ADERÊNTE</v>
      </c>
      <c r="CT54" s="24">
        <f>SUM(Tabela13[[#This Row],[TOTAL  ACAB]],Tabela13[[#This Row],[TOTAL LAZER ]],Tabela13[[#This Row],[TOTAL TIPOLOGIA]],Tabela13[[#This Row],[TOTAL VAGA]])</f>
        <v>9353.8890624999985</v>
      </c>
      <c r="CU54" s="22" t="str">
        <f>IF(CT54&lt;=RÉGUAS!$D$58,"ESSENCIAL",IF(CT54&lt;=RÉGUAS!$F$58,"ECO",IF(CT54&gt;RÉGUAS!$F$58,"BIO",)))</f>
        <v>ECO</v>
      </c>
      <c r="CV54" s="22" t="str">
        <f>IF(AND(CT54&gt;=RÉGUAS!$D$59,CT54&lt;=RÉGUAS!$E$59),"ESSENCIAL/ECO",IF(AND(CT54&gt;=RÉGUAS!$F$59,CT54&lt;=RÉGUAS!$G$59),"ECO/BIO","-"))</f>
        <v>-</v>
      </c>
      <c r="CW54" s="85">
        <f>SUM(Tabela13[[#This Row],[TOTAL LAZER ]],Tabela13[[#This Row],[TOTAL TIPOLOGIA]])</f>
        <v>3093.0557291666664</v>
      </c>
      <c r="CX54" s="22" t="str">
        <f>IF(CW54&lt;=RÉGUAS!$D$72,"ESSENCIAL",IF(CW54&lt;=RÉGUAS!$F$72,"ECO",IF(CN54&gt;RÉGUAS!$F$72,"BIO",)))</f>
        <v>ECO</v>
      </c>
      <c r="CY54" s="22" t="str">
        <f t="shared" si="6"/>
        <v>ECO</v>
      </c>
      <c r="CZ54" s="22" t="str">
        <f>IF(Tabela13[[#This Row],[PRODUTO ATUAL ]]=CY54,"ADERENTE","NÃO ADERENTE")</f>
        <v>ADERENTE</v>
      </c>
      <c r="DA54" s="22" t="str">
        <f>IF(Tabela13[[#This Row],[PRODUTO ATUAL ]]=Tabela13[[#This Row],[CLASSIFICAÇÃO 
4D2]],"ADERENTE","NÃO ADERENTE")</f>
        <v>ADERENTE</v>
      </c>
    </row>
    <row r="55" spans="2:105" hidden="1" x14ac:dyDescent="0.35">
      <c r="B55" s="27">
        <v>79</v>
      </c>
      <c r="C55" s="22" t="s">
        <v>196</v>
      </c>
      <c r="D55" s="22" t="s">
        <v>118</v>
      </c>
      <c r="E55" s="23">
        <v>288</v>
      </c>
      <c r="F55" s="22" t="str">
        <f t="shared" si="0"/>
        <v>De 200 a 400 und</v>
      </c>
      <c r="G55" s="22" t="s">
        <v>14</v>
      </c>
      <c r="H55" s="36">
        <v>1</v>
      </c>
      <c r="I55" s="36">
        <v>24</v>
      </c>
      <c r="J55" s="36"/>
      <c r="K55" s="36"/>
      <c r="L55" s="36">
        <f>SUM(Tabela13[[#This Row],[QTD DE B/T 2]],Tabela13[[#This Row],[QTD DE B/T]])</f>
        <v>1</v>
      </c>
      <c r="M55" s="22">
        <v>4</v>
      </c>
      <c r="N55" s="22">
        <f>Tabela13[[#This Row],[ELEVADOR]]/Tabela13[[#This Row],[BLOCO TOTAL]]</f>
        <v>4</v>
      </c>
      <c r="O55" s="22" t="s">
        <v>5</v>
      </c>
      <c r="P55" s="22" t="s">
        <v>101</v>
      </c>
      <c r="Q55" s="22" t="s">
        <v>101</v>
      </c>
      <c r="R55" s="22" t="s">
        <v>102</v>
      </c>
      <c r="S55" s="22" t="s">
        <v>103</v>
      </c>
      <c r="T55" s="22" t="s">
        <v>104</v>
      </c>
      <c r="U55" s="22" t="s">
        <v>105</v>
      </c>
      <c r="V55" s="22" t="s">
        <v>137</v>
      </c>
      <c r="W55" s="24">
        <f>IF(P55=[1]BD_CUSTO!$E$4,[1]BD_CUSTO!$F$4,[1]BD_CUSTO!$F$5)</f>
        <v>2430</v>
      </c>
      <c r="X55" s="24">
        <f>IF(Q55=[1]BD_CUSTO!$E$6,[1]BD_CUSTO!$F$6,[1]BD_CUSTO!$F$7)</f>
        <v>260</v>
      </c>
      <c r="Y55" s="24">
        <f>IF(R55=[1]BD_CUSTO!$E$8,[1]BD_CUSTO!$F$8,[1]BD_CUSTO!$F$9)</f>
        <v>600</v>
      </c>
      <c r="Z55" s="24">
        <f>IF(S55=[1]BD_CUSTO!$E$10,[1]BD_CUSTO!$F$10,[1]BD_CUSTO!$F$11)</f>
        <v>500</v>
      </c>
      <c r="AA55" s="24">
        <f>IF(T55=[1]BD_CUSTO!$E$12,[1]BD_CUSTO!$F$12,[1]BD_CUSTO!$F$13)</f>
        <v>370</v>
      </c>
      <c r="AB55" s="24">
        <f>IF(U55=[1]BD_CUSTO!$E$14,[1]BD_CUSTO!$F$14,[1]BD_CUSTO!$F$15)</f>
        <v>90</v>
      </c>
      <c r="AC55" s="24">
        <f>IF(V55=[1]BD_CUSTO!$E$16,[1]BD_CUSTO!$F$16,[1]BD_CUSTO!$F$17)</f>
        <v>1320</v>
      </c>
      <c r="AD55" s="22" t="s">
        <v>129</v>
      </c>
      <c r="AE55" s="22">
        <v>1</v>
      </c>
      <c r="AF55" s="22" t="s">
        <v>109</v>
      </c>
      <c r="AG55" s="22">
        <v>1</v>
      </c>
      <c r="AH55" s="22" t="s">
        <v>108</v>
      </c>
      <c r="AI55" s="22">
        <v>1</v>
      </c>
      <c r="AJ55" s="22" t="s">
        <v>110</v>
      </c>
      <c r="AK55" s="22">
        <v>1</v>
      </c>
      <c r="AL55" s="22" t="s">
        <v>121</v>
      </c>
      <c r="AM55" s="22">
        <v>1</v>
      </c>
      <c r="AN55" s="22" t="s">
        <v>107</v>
      </c>
      <c r="AO55" s="22">
        <v>1</v>
      </c>
      <c r="AP55" s="22" t="s">
        <v>111</v>
      </c>
      <c r="AQ55" s="22">
        <v>1</v>
      </c>
      <c r="AR55" s="22"/>
      <c r="AS55" s="22"/>
      <c r="AT55" s="22"/>
      <c r="AU55" s="22"/>
      <c r="AV55" s="22"/>
      <c r="AW55" s="22"/>
      <c r="AX55" s="24">
        <f>IF(AD55="",0,VLOOKUP(AD55,[1]BD_CUSTO!I:J,2,0)*AE55/E55)</f>
        <v>955.44298611111117</v>
      </c>
      <c r="AY55" s="24">
        <f>IF(AF55="",0,VLOOKUP(AF55,[1]BD_CUSTO!I:J,2,0)*AG55/E55)</f>
        <v>24.131944444444443</v>
      </c>
      <c r="AZ55" s="24">
        <f>IF(AH55="",0,VLOOKUP(AH55,[1]BD_CUSTO!I:J,2,0)*AI55/E55)</f>
        <v>80.381944444444443</v>
      </c>
      <c r="BA55" s="24">
        <f>IF(AJ55="",0,VLOOKUP(AJ55,[1]BD_CUSTO!I:J,2,0)*AK55/E55)</f>
        <v>18.402777777777779</v>
      </c>
      <c r="BB55" s="24">
        <f>IF(AL55="",0,VLOOKUP(AL55,[1]BD_CUSTO!I:J,2,0)*AM55/E55)</f>
        <v>427.62812499999995</v>
      </c>
      <c r="BC55" s="24">
        <f>IF(AN55="",0,VLOOKUP(AN55,[1]BD_CUSTO!I:J,2,0)*AO55/E55)</f>
        <v>295.65666666666664</v>
      </c>
      <c r="BD55" s="24">
        <f>IF(AP55="",0,VLOOKUP(AP55,[1]BD_CUSTO!I:J,2,0)*AQ55/E55)</f>
        <v>56.25</v>
      </c>
      <c r="BE55" s="24">
        <f>IF(AR55="",0,VLOOKUP(AR55,CUSTO!I:J,2,0)*AS55/E55)</f>
        <v>0</v>
      </c>
      <c r="BF55" s="24">
        <f>IF(AT55="",0,VLOOKUP(AT55,[1]BD_CUSTO!I:J,2,0)*AU55/E55)</f>
        <v>0</v>
      </c>
      <c r="BG55" s="24">
        <f>IF(Tabela13[[#This Row],[LZ 10]]="",0,VLOOKUP(Tabela13[[#This Row],[LZ 10]],[1]BD_CUSTO!I:J,2,0)*Tabela13[[#This Row],[QTD922]]/E55)</f>
        <v>0</v>
      </c>
      <c r="BH55" s="22" t="s">
        <v>112</v>
      </c>
      <c r="BI55" s="25">
        <f>192/Tabela13[[#This Row],[Nº UNDS]]</f>
        <v>0.66666666666666663</v>
      </c>
      <c r="BJ55" s="22" t="s">
        <v>113</v>
      </c>
      <c r="BK55" s="25">
        <v>0</v>
      </c>
      <c r="BL55" s="24">
        <f>IF(BH55=[1]BD_CUSTO!$M$6,[1]BD_CUSTO!$N$6)*BI55</f>
        <v>2000</v>
      </c>
      <c r="BM55" s="24">
        <f>IF(BJ55=[1]BD_CUSTO!$M$4,[1]BD_CUSTO!$N$4,[1]BD_CUSTO!$N$5)*BK55</f>
        <v>0</v>
      </c>
      <c r="BN55" s="22" t="s">
        <v>114</v>
      </c>
      <c r="BO55" s="22">
        <f>328-10</f>
        <v>318</v>
      </c>
      <c r="BP55" s="25">
        <f>Tabela13[[#This Row],[QTD ]]/Tabela13[[#This Row],[Nº UNDS]]</f>
        <v>1.1041666666666667</v>
      </c>
      <c r="BQ55" s="22" t="s">
        <v>123</v>
      </c>
      <c r="BR55" s="22">
        <v>10</v>
      </c>
      <c r="BS55" s="22" t="s">
        <v>116</v>
      </c>
      <c r="BT55" s="22">
        <v>0</v>
      </c>
      <c r="BU55" s="22" t="s">
        <v>16</v>
      </c>
      <c r="BV55" s="22">
        <v>0</v>
      </c>
      <c r="BW55" s="24">
        <f>IF(BN55=[1]BD_CUSTO!$Q$7,[1]BD_CUSTO!$R$7,[1]BD_CUSTO!$R$8)*BO55/E55</f>
        <v>2208.3333333333335</v>
      </c>
      <c r="BX55" s="24">
        <f>IF(BQ55=[1]BD_CUSTO!$Q$4,[1]BD_CUSTO!$R$4,[1]BD_CUSTO!$R$5)*BR55/E55</f>
        <v>34.722222222222221</v>
      </c>
      <c r="BY55" s="22">
        <f>IF(BS55=[1]BD_CUSTO!$Q$13,[1]BD_CUSTO!$R$13,[1]BD_CUSTO!$R$14)*BT55/E55</f>
        <v>0</v>
      </c>
      <c r="BZ55" s="24">
        <f>BV55*CUSTO!$R$10/E55</f>
        <v>0</v>
      </c>
      <c r="CA55" s="26">
        <f>SUM(Tabela13[[#This Row],[SOMA_PISO SALA E QUARTO]],Tabela13[[#This Row],[SOMA_PAREDE HIDR]],Tabela13[[#This Row],[SOMA_TETO]],Tabela13[[#This Row],[SOMA_BANCADA]],Tabela13[[#This Row],[SOMA_PEDRAS]])</f>
        <v>3990</v>
      </c>
      <c r="CB55" s="27" t="str">
        <f>IF(CA55&lt;=RÉGUAS!$D$4,"ACAB 01",IF(CA55&lt;=RÉGUAS!$F$4,"ACAB 02",IF(CA55&gt;RÉGUAS!$F$4,"ACAB 03",)))</f>
        <v>ACAB 02</v>
      </c>
      <c r="CC55" s="26">
        <f>SUM(Tabela13[[#This Row],[SOMA_LZ 01]:[SOMA_LZ 10]])</f>
        <v>1857.8944444444446</v>
      </c>
      <c r="CD55" s="22" t="str">
        <f>IF(CC55&lt;=RÉGUAS!$D$13,"LZ 01",IF(CC55&lt;=RÉGUAS!$F$13,"LZ 02",IF(CC55&lt;=RÉGUAS!$H$13,"LZ 03",IF(CC55&gt;RÉGUAS!$H$13,"LZ 04",))))</f>
        <v>LZ 03</v>
      </c>
      <c r="CE55" s="28">
        <f t="shared" si="1"/>
        <v>2000</v>
      </c>
      <c r="CF55" s="22" t="str">
        <f>IF(CE55&lt;=RÉGUAS!$D$22,"TIP 01",IF(CE55&lt;=RÉGUAS!$F$22,"TIP 02",IF(CE55&gt;RÉGUAS!$F$22,"TIP 03",)))</f>
        <v>TIP 02</v>
      </c>
      <c r="CG55" s="28">
        <f t="shared" si="2"/>
        <v>2243.0555555555557</v>
      </c>
      <c r="CH55" s="22" t="str">
        <f>IF(CG55&lt;=RÉGUAS!$D$32,"VAGA 01",IF(CG55&lt;=RÉGUAS!$F$32,"VAGA 02",IF(CG55&gt;RÉGUAS!$F$32,"VAGA 03",)))</f>
        <v>VAGA 02</v>
      </c>
      <c r="CI55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5593</v>
      </c>
      <c r="CJ55" s="85" t="str">
        <f>IF(AND(G55="BLOCO",CI55&lt;=RÉGUAS!$D$40),"ELEV 01",IF(AND(G55="BLOCO",CI55&gt;RÉGUAS!$D$40),"ELEV 02",IF(AND(G55="TORRE",CI55&lt;=RÉGUAS!$K$40),"ELEV 01",IF(AND(G55="TORRE",CI55&lt;=RÉGUAS!$M$40),"ELEV 02",IF(AND(G55="TORRE",CI55&gt;RÉGUAS!$M$40),"ELEV 03",)))))</f>
        <v>ELEV 03</v>
      </c>
      <c r="CK55" s="85">
        <f>SUM(Tabela13[[#This Row],[TOTAL  ACAB]],Tabela13[[#This Row],[TOTAL LAZER ]],Tabela13[[#This Row],[TOTAL TIPOLOGIA]],Tabela13[[#This Row],[TOTAL VAGA]],Tabela13[[#This Row],[TOTAL ELEVADOR]])</f>
        <v>15683.95</v>
      </c>
      <c r="CL55" s="72" t="str">
        <f>IF(AND(G55="BLOCO",CK55&lt;=RÉGUAS!$D$50),"ESSENCIAL",IF(AND(G55="BLOCO",CK55&lt;=RÉGUAS!$F$50),"ECO",IF(AND(G55="BLOCO",CK55&gt;RÉGUAS!$F$50),"BIO",IF(AND(G55="TORRE",CK55&lt;=RÉGUAS!$K$50),"ESSENCIAL",IF(AND(G55="TORRE",CK55&lt;=RÉGUAS!$M$50),"ECO",IF(AND(G55="TORRE",CK55&gt;RÉGUAS!$M$50),"BIO",))))))</f>
        <v>BIO</v>
      </c>
      <c r="CM55" s="28" t="str">
        <f>IF(AND(G55="BLOCO",CK55&gt;=RÉGUAS!$D$51,CK55&lt;=RÉGUAS!$D$50),"ESSENCIAL-10%",IF(AND(G55="BLOCO",CK55&gt;RÉGUAS!$D$50,CK55&lt;=RÉGUAS!$E$51),"ECO+10%",IF(AND(G55="BLOCO",CK55&gt;=RÉGUAS!$F$51,CK55&lt;=RÉGUAS!$F$50),"ECO-10%",IF(AND(G55="BLOCO",CK55&gt;RÉGUAS!$F$50,CK55&lt;=RÉGUAS!$G$51),"BIO+10%",IF(AND(G55="TORRE",CK55&gt;=RÉGUAS!$K$51,CK55&lt;=RÉGUAS!$K$50),"ESSENCIAL-10%",IF(AND(G55="TORRE",CK55&gt;RÉGUAS!$K$50,CK55&lt;=RÉGUAS!$L$51),"ECO+10%",IF(AND(G55="TORRE",CK55&gt;=RÉGUAS!$M$51,CK55&lt;=RÉGUAS!$M$50),"ECO-10%",IF(AND(G55="TORRE",CK55&gt;RÉGUAS!$M$50,CK55&lt;=RÉGUAS!$N$51),"BIO+10%","-"))))))))</f>
        <v>-</v>
      </c>
      <c r="CN55" s="73">
        <f t="shared" si="3"/>
        <v>10090.950000000001</v>
      </c>
      <c r="CO55" s="72" t="str">
        <f>IF(CN55&lt;=RÉGUAS!$D$58,"ESSENCIAL",IF(CN55&lt;=RÉGUAS!$F$58,"ECO",IF(CN55&gt;RÉGUAS!$F$58,"BIO",)))</f>
        <v>ECO</v>
      </c>
      <c r="CP55" s="72" t="str">
        <f>IF(Tabela13[[#This Row],[INTERVALO DE INTERSEÇÃO 5D]]="-",Tabela13[[#This Row],[CLASSIFICAÇÃO 
5D ]],Tabela13[[#This Row],[CLASSIFICAÇÃO 
4D]])</f>
        <v>BIO</v>
      </c>
      <c r="CQ55" s="72" t="str">
        <f t="shared" si="4"/>
        <v>-</v>
      </c>
      <c r="CR55" s="72" t="str">
        <f t="shared" si="5"/>
        <v>BIO</v>
      </c>
      <c r="CS55" s="22" t="str">
        <f>IF(Tabela13[[#This Row],[PRODUTO ATUAL ]]=Tabela13[[#This Row],[CLASSIFICAÇÃO FINAL 5D]],"ADERÊNTE","NÃO ADERÊNTE")</f>
        <v>NÃO ADERÊNTE</v>
      </c>
      <c r="CT55" s="24">
        <f>SUM(Tabela13[[#This Row],[TOTAL  ACAB]],Tabela13[[#This Row],[TOTAL LAZER ]],Tabela13[[#This Row],[TOTAL TIPOLOGIA]],Tabela13[[#This Row],[TOTAL VAGA]])</f>
        <v>10090.950000000001</v>
      </c>
      <c r="CU55" s="22" t="str">
        <f>IF(CT55&lt;=RÉGUAS!$D$58,"ESSENCIAL",IF(CT55&lt;=RÉGUAS!$F$58,"ECO",IF(CT55&gt;RÉGUAS!$F$58,"BIO",)))</f>
        <v>ECO</v>
      </c>
      <c r="CV55" s="22" t="str">
        <f>IF(AND(CT55&gt;=RÉGUAS!$D$59,CT55&lt;=RÉGUAS!$E$59),"ESSENCIAL/ECO",IF(AND(CT55&gt;=RÉGUAS!$F$59,CT55&lt;=RÉGUAS!$G$59),"ECO/BIO","-"))</f>
        <v>-</v>
      </c>
      <c r="CW55" s="85">
        <f>SUM(Tabela13[[#This Row],[TOTAL LAZER ]],Tabela13[[#This Row],[TOTAL TIPOLOGIA]])</f>
        <v>3857.8944444444446</v>
      </c>
      <c r="CX55" s="22" t="str">
        <f>IF(CW55&lt;=RÉGUAS!$D$72,"ESSENCIAL",IF(CW55&lt;=RÉGUAS!$F$72,"ECO",IF(CN55&gt;RÉGUAS!$F$72,"BIO",)))</f>
        <v>ECO</v>
      </c>
      <c r="CY55" s="22" t="str">
        <f t="shared" si="6"/>
        <v>ECO</v>
      </c>
      <c r="CZ55" s="22" t="str">
        <f>IF(Tabela13[[#This Row],[PRODUTO ATUAL ]]=CY55,"ADERENTE","NÃO ADERENTE")</f>
        <v>ADERENTE</v>
      </c>
      <c r="DA55" s="22" t="str">
        <f>IF(Tabela13[[#This Row],[PRODUTO ATUAL ]]=Tabela13[[#This Row],[CLASSIFICAÇÃO 
4D2]],"ADERENTE","NÃO ADERENTE")</f>
        <v>ADERENTE</v>
      </c>
    </row>
    <row r="56" spans="2:105" hidden="1" x14ac:dyDescent="0.35">
      <c r="B56" s="27">
        <v>62</v>
      </c>
      <c r="C56" s="22" t="s">
        <v>226</v>
      </c>
      <c r="D56" s="22" t="s">
        <v>118</v>
      </c>
      <c r="E56" s="23">
        <v>540</v>
      </c>
      <c r="F56" s="22" t="str">
        <f t="shared" si="0"/>
        <v>Acima de 400 und</v>
      </c>
      <c r="G56" s="22" t="s">
        <v>14</v>
      </c>
      <c r="H56" s="36">
        <v>3</v>
      </c>
      <c r="I56" s="36">
        <v>10</v>
      </c>
      <c r="J56" s="36"/>
      <c r="K56" s="36"/>
      <c r="L56" s="36">
        <f>SUM(Tabela13[[#This Row],[QTD DE B/T 2]],Tabela13[[#This Row],[QTD DE B/T]])</f>
        <v>3</v>
      </c>
      <c r="M56" s="22">
        <v>6</v>
      </c>
      <c r="N56" s="22">
        <f>Tabela13[[#This Row],[ELEVADOR]]/Tabela13[[#This Row],[BLOCO TOTAL]]</f>
        <v>2</v>
      </c>
      <c r="O56" s="22" t="s">
        <v>5</v>
      </c>
      <c r="P56" s="22" t="s">
        <v>101</v>
      </c>
      <c r="Q56" s="22" t="s">
        <v>101</v>
      </c>
      <c r="R56" s="22" t="s">
        <v>142</v>
      </c>
      <c r="S56" s="22" t="s">
        <v>103</v>
      </c>
      <c r="T56" s="22" t="s">
        <v>104</v>
      </c>
      <c r="U56" s="22" t="s">
        <v>105</v>
      </c>
      <c r="V56" s="22" t="s">
        <v>106</v>
      </c>
      <c r="W56" s="24">
        <f>IF(P56=[1]BD_CUSTO!$E$4,[1]BD_CUSTO!$F$4,[1]BD_CUSTO!$F$5)</f>
        <v>2430</v>
      </c>
      <c r="X56" s="24">
        <f>IF(Q56=[1]BD_CUSTO!$E$6,[1]BD_CUSTO!$F$6,[1]BD_CUSTO!$F$7)</f>
        <v>260</v>
      </c>
      <c r="Y56" s="24">
        <f>IF(R56=[1]BD_CUSTO!$E$8,[1]BD_CUSTO!$F$8,[1]BD_CUSTO!$F$9)</f>
        <v>900</v>
      </c>
      <c r="Z56" s="24">
        <f>IF(S56=[1]BD_CUSTO!$E$10,[1]BD_CUSTO!$F$10,[1]BD_CUSTO!$F$11)</f>
        <v>500</v>
      </c>
      <c r="AA56" s="24">
        <f>IF(T56=[1]BD_CUSTO!$E$12,[1]BD_CUSTO!$F$12,[1]BD_CUSTO!$F$13)</f>
        <v>370</v>
      </c>
      <c r="AB56" s="24">
        <f>IF(U56=[1]BD_CUSTO!$E$14,[1]BD_CUSTO!$F$14,[1]BD_CUSTO!$F$15)</f>
        <v>90</v>
      </c>
      <c r="AC56" s="24">
        <f>IF(V56=[1]BD_CUSTO!$E$16,[1]BD_CUSTO!$F$16,[1]BD_CUSTO!$F$17)</f>
        <v>720</v>
      </c>
      <c r="AD56" s="22" t="s">
        <v>129</v>
      </c>
      <c r="AE56" s="22">
        <v>1</v>
      </c>
      <c r="AF56" s="22" t="s">
        <v>107</v>
      </c>
      <c r="AG56" s="22">
        <v>2</v>
      </c>
      <c r="AH56" s="22" t="s">
        <v>121</v>
      </c>
      <c r="AI56" s="22">
        <v>2</v>
      </c>
      <c r="AJ56" s="22" t="s">
        <v>108</v>
      </c>
      <c r="AK56" s="22">
        <v>1</v>
      </c>
      <c r="AL56" s="22" t="s">
        <v>109</v>
      </c>
      <c r="AM56" s="22">
        <v>1</v>
      </c>
      <c r="AN56" s="22" t="s">
        <v>110</v>
      </c>
      <c r="AO56" s="22">
        <v>1</v>
      </c>
      <c r="AP56" s="22"/>
      <c r="AQ56" s="22"/>
      <c r="AR56" s="22"/>
      <c r="AS56" s="22"/>
      <c r="AT56" s="22"/>
      <c r="AU56" s="22"/>
      <c r="AV56" s="22"/>
      <c r="AW56" s="22"/>
      <c r="AX56" s="24">
        <f>IF(AD56="",0,VLOOKUP(AD56,[1]BD_CUSTO!I:J,2,0)*AE56/E56)</f>
        <v>509.56959259259264</v>
      </c>
      <c r="AY56" s="24">
        <f>IF(AF56="",0,VLOOKUP(AF56,[1]BD_CUSTO!I:J,2,0)*AG56/E56)</f>
        <v>315.36711111111111</v>
      </c>
      <c r="AZ56" s="24">
        <f>IF(AH56="",0,VLOOKUP(AH56,[1]BD_CUSTO!I:J,2,0)*AI56/E56)</f>
        <v>456.13666666666666</v>
      </c>
      <c r="BA56" s="24">
        <f>IF(AJ56="",0,VLOOKUP(AJ56,[1]BD_CUSTO!I:J,2,0)*AK56/E56)</f>
        <v>42.870370370370374</v>
      </c>
      <c r="BB56" s="24">
        <f>IF(AL56="",0,VLOOKUP(AL56,[1]BD_CUSTO!I:J,2,0)*AM56/E56)</f>
        <v>12.87037037037037</v>
      </c>
      <c r="BC56" s="24">
        <f>IF(AN56="",0,VLOOKUP(AN56,[1]BD_CUSTO!I:J,2,0)*AO56/E56)</f>
        <v>9.8148148148148149</v>
      </c>
      <c r="BD56" s="24">
        <f>IF(AP56="",0,VLOOKUP(AP56,[1]BD_CUSTO!I:J,2,0)*AQ56/E56)</f>
        <v>0</v>
      </c>
      <c r="BE56" s="24">
        <f>IF(AR56="",0,VLOOKUP(AR56,CUSTO!I:J,2,0)*AS56/E56)</f>
        <v>0</v>
      </c>
      <c r="BF56" s="24">
        <f>IF(AT56="",0,VLOOKUP(AT56,[1]BD_CUSTO!I:J,2,0)*AU56/E56)</f>
        <v>0</v>
      </c>
      <c r="BG56" s="24">
        <f>IF(Tabela13[[#This Row],[LZ 10]]="",0,VLOOKUP(Tabela13[[#This Row],[LZ 10]],[1]BD_CUSTO!I:J,2,0)*Tabela13[[#This Row],[QTD922]]/E56)</f>
        <v>0</v>
      </c>
      <c r="BH56" s="22" t="s">
        <v>112</v>
      </c>
      <c r="BI56" s="25">
        <f>360/Tabela13[[#This Row],[Nº UNDS]]</f>
        <v>0.66666666666666663</v>
      </c>
      <c r="BJ56" s="22" t="s">
        <v>113</v>
      </c>
      <c r="BK56" s="25">
        <v>0</v>
      </c>
      <c r="BL56" s="24">
        <f>IF(BH56=[1]BD_CUSTO!$M$6,[1]BD_CUSTO!$N$6)*BI56</f>
        <v>2000</v>
      </c>
      <c r="BM56" s="24">
        <f>IF(BJ56=[1]BD_CUSTO!$M$4,[1]BD_CUSTO!$N$4,[1]BD_CUSTO!$N$5)*BK56</f>
        <v>0</v>
      </c>
      <c r="BN56" s="22" t="s">
        <v>114</v>
      </c>
      <c r="BO56" s="22">
        <f>148-2</f>
        <v>146</v>
      </c>
      <c r="BP56" s="25">
        <f>Tabela13[[#This Row],[QTD ]]/Tabela13[[#This Row],[Nº UNDS]]</f>
        <v>0.27037037037037037</v>
      </c>
      <c r="BQ56" s="22" t="s">
        <v>115</v>
      </c>
      <c r="BR56" s="22">
        <v>0</v>
      </c>
      <c r="BS56" s="22" t="s">
        <v>116</v>
      </c>
      <c r="BT56" s="22">
        <v>0</v>
      </c>
      <c r="BU56" s="22" t="s">
        <v>16</v>
      </c>
      <c r="BV56" s="22">
        <v>0</v>
      </c>
      <c r="BW56" s="24">
        <f>IF(BN56=[1]BD_CUSTO!$Q$7,[1]BD_CUSTO!$R$7,[1]BD_CUSTO!$R$8)*BO56/E56</f>
        <v>540.74074074074076</v>
      </c>
      <c r="BX56" s="24">
        <f>IF(BQ56=[1]BD_CUSTO!$Q$4,[1]BD_CUSTO!$R$4,[1]BD_CUSTO!$R$5)*BR56/E56</f>
        <v>0</v>
      </c>
      <c r="BY56" s="22">
        <f>IF(BS56=[1]BD_CUSTO!$Q$13,[1]BD_CUSTO!$R$13,[1]BD_CUSTO!$R$14)*BT56/E56</f>
        <v>0</v>
      </c>
      <c r="BZ56" s="24">
        <f>BV56*CUSTO!$R$10/E56</f>
        <v>0</v>
      </c>
      <c r="CA56" s="26">
        <f>SUM(Tabela13[[#This Row],[SOMA_PISO SALA E QUARTO]],Tabela13[[#This Row],[SOMA_PAREDE HIDR]],Tabela13[[#This Row],[SOMA_TETO]],Tabela13[[#This Row],[SOMA_BANCADA]],Tabela13[[#This Row],[SOMA_PEDRAS]])</f>
        <v>4290</v>
      </c>
      <c r="CB56" s="27" t="str">
        <f>IF(CA56&lt;=RÉGUAS!$D$4,"ACAB 01",IF(CA56&lt;=RÉGUAS!$F$4,"ACAB 02",IF(CA56&gt;RÉGUAS!$F$4,"ACAB 03",)))</f>
        <v>ACAB 02</v>
      </c>
      <c r="CC56" s="26">
        <f>SUM(Tabela13[[#This Row],[SOMA_LZ 01]:[SOMA_LZ 10]])</f>
        <v>1346.6289259259261</v>
      </c>
      <c r="CD56" s="22" t="str">
        <f>IF(CC56&lt;=RÉGUAS!$D$13,"LZ 01",IF(CC56&lt;=RÉGUAS!$F$13,"LZ 02",IF(CC56&lt;=RÉGUAS!$H$13,"LZ 03",IF(CC56&gt;RÉGUAS!$H$13,"LZ 04",))))</f>
        <v>LZ 02</v>
      </c>
      <c r="CE56" s="28">
        <f t="shared" si="1"/>
        <v>2000</v>
      </c>
      <c r="CF56" s="22" t="str">
        <f>IF(CE56&lt;=RÉGUAS!$D$22,"TIP 01",IF(CE56&lt;=RÉGUAS!$F$22,"TIP 02",IF(CE56&gt;RÉGUAS!$F$22,"TIP 03",)))</f>
        <v>TIP 02</v>
      </c>
      <c r="CG56" s="28">
        <f t="shared" si="2"/>
        <v>540.74074074074076</v>
      </c>
      <c r="CH56" s="22" t="str">
        <f>IF(CG56&lt;=RÉGUAS!$D$32,"VAGA 01",IF(CG56&lt;=RÉGUAS!$F$32,"VAGA 02",IF(CG56&gt;RÉGUAS!$F$32,"VAGA 03",)))</f>
        <v>VAGA 01</v>
      </c>
      <c r="CI56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2193.8888888888887</v>
      </c>
      <c r="CJ56" s="85" t="str">
        <f>IF(AND(G56="BLOCO",CI56&lt;=RÉGUAS!$D$40),"ELEV 01",IF(AND(G56="BLOCO",CI56&gt;RÉGUAS!$D$40),"ELEV 02",IF(AND(G56="TORRE",CI56&lt;=RÉGUAS!$K$40),"ELEV 01",IF(AND(G56="TORRE",CI56&lt;=RÉGUAS!$M$40),"ELEV 02",IF(AND(G56="TORRE",CI56&gt;RÉGUAS!$M$40),"ELEV 03",)))))</f>
        <v>ELEV 01</v>
      </c>
      <c r="CK56" s="85">
        <f>SUM(Tabela13[[#This Row],[TOTAL  ACAB]],Tabela13[[#This Row],[TOTAL LAZER ]],Tabela13[[#This Row],[TOTAL TIPOLOGIA]],Tabela13[[#This Row],[TOTAL VAGA]],Tabela13[[#This Row],[TOTAL ELEVADOR]])</f>
        <v>10371.258555555556</v>
      </c>
      <c r="CL56" s="72" t="str">
        <f>IF(AND(G56="BLOCO",CK56&lt;=RÉGUAS!$D$50),"ESSENCIAL",IF(AND(G56="BLOCO",CK56&lt;=RÉGUAS!$F$50),"ECO",IF(AND(G56="BLOCO",CK56&gt;RÉGUAS!$F$50),"BIO",IF(AND(G56="TORRE",CK56&lt;=RÉGUAS!$K$50),"ESSENCIAL",IF(AND(G56="TORRE",CK56&lt;=RÉGUAS!$M$50),"ECO",IF(AND(G56="TORRE",CK56&gt;RÉGUAS!$M$50),"BIO",))))))</f>
        <v>ESSENCIAL</v>
      </c>
      <c r="CM56" s="28" t="str">
        <f>IF(AND(G56="BLOCO",CK56&gt;=RÉGUAS!$D$51,CK56&lt;=RÉGUAS!$D$50),"ESSENCIAL-10%",IF(AND(G56="BLOCO",CK56&gt;RÉGUAS!$D$50,CK56&lt;=RÉGUAS!$E$51),"ECO+10%",IF(AND(G56="BLOCO",CK56&gt;=RÉGUAS!$F$51,CK56&lt;=RÉGUAS!$F$50),"ECO-10%",IF(AND(G56="BLOCO",CK56&gt;RÉGUAS!$F$50,CK56&lt;=RÉGUAS!$G$51),"BIO+10%",IF(AND(G56="TORRE",CK56&gt;=RÉGUAS!$K$51,CK56&lt;=RÉGUAS!$K$50),"ESSENCIAL-10%",IF(AND(G56="TORRE",CK56&gt;RÉGUAS!$K$50,CK56&lt;=RÉGUAS!$L$51),"ECO+10%",IF(AND(G56="TORRE",CK56&gt;=RÉGUAS!$M$51,CK56&lt;=RÉGUAS!$M$50),"ECO-10%",IF(AND(G56="TORRE",CK56&gt;RÉGUAS!$M$50,CK56&lt;=RÉGUAS!$N$51),"BIO+10%","-"))))))))</f>
        <v>ESSENCIAL-10%</v>
      </c>
      <c r="CN56" s="73">
        <f t="shared" si="3"/>
        <v>8177.3696666666674</v>
      </c>
      <c r="CO56" s="72" t="str">
        <f>IF(CN56&lt;=RÉGUAS!$D$58,"ESSENCIAL",IF(CN56&lt;=RÉGUAS!$F$58,"ECO",IF(CN56&gt;RÉGUAS!$F$58,"BIO",)))</f>
        <v>ECO</v>
      </c>
      <c r="CP56" s="72" t="str">
        <f>IF(Tabela13[[#This Row],[INTERVALO DE INTERSEÇÃO 5D]]="-",Tabela13[[#This Row],[CLASSIFICAÇÃO 
5D ]],Tabela13[[#This Row],[CLASSIFICAÇÃO 
4D]])</f>
        <v>ECO</v>
      </c>
      <c r="CQ56" s="72" t="str">
        <f t="shared" si="4"/>
        <v>-</v>
      </c>
      <c r="CR56" s="72" t="str">
        <f t="shared" si="5"/>
        <v>ECO</v>
      </c>
      <c r="CS56" s="22" t="str">
        <f>IF(Tabela13[[#This Row],[PRODUTO ATUAL ]]=Tabela13[[#This Row],[CLASSIFICAÇÃO FINAL 5D]],"ADERÊNTE","NÃO ADERÊNTE")</f>
        <v>ADERÊNTE</v>
      </c>
      <c r="CT56" s="24">
        <f>SUM(Tabela13[[#This Row],[TOTAL  ACAB]],Tabela13[[#This Row],[TOTAL LAZER ]],Tabela13[[#This Row],[TOTAL TIPOLOGIA]],Tabela13[[#This Row],[TOTAL VAGA]])</f>
        <v>8177.3696666666674</v>
      </c>
      <c r="CU56" s="22" t="str">
        <f>IF(CT56&lt;=RÉGUAS!$D$58,"ESSENCIAL",IF(CT56&lt;=RÉGUAS!$F$58,"ECO",IF(CT56&gt;RÉGUAS!$F$58,"BIO",)))</f>
        <v>ECO</v>
      </c>
      <c r="CV56" s="22" t="str">
        <f>IF(AND(CT56&gt;=RÉGUAS!$D$59,CT56&lt;=RÉGUAS!$E$59),"ESSENCIAL/ECO",IF(AND(CT56&gt;=RÉGUAS!$F$59,CT56&lt;=RÉGUAS!$G$59),"ECO/BIO","-"))</f>
        <v>-</v>
      </c>
      <c r="CW56" s="85">
        <f>SUM(Tabela13[[#This Row],[TOTAL LAZER ]],Tabela13[[#This Row],[TOTAL TIPOLOGIA]])</f>
        <v>3346.6289259259261</v>
      </c>
      <c r="CX56" s="22" t="str">
        <f>IF(CW56&lt;=RÉGUAS!$D$72,"ESSENCIAL",IF(CW56&lt;=RÉGUAS!$F$72,"ECO",IF(CN56&gt;RÉGUAS!$F$72,"BIO",)))</f>
        <v>ECO</v>
      </c>
      <c r="CY56" s="22" t="str">
        <f t="shared" si="6"/>
        <v>ECO</v>
      </c>
      <c r="CZ56" s="22" t="str">
        <f>IF(Tabela13[[#This Row],[PRODUTO ATUAL ]]=CY56,"ADERENTE","NÃO ADERENTE")</f>
        <v>ADERENTE</v>
      </c>
      <c r="DA56" s="22" t="str">
        <f>IF(Tabela13[[#This Row],[PRODUTO ATUAL ]]=Tabela13[[#This Row],[CLASSIFICAÇÃO 
4D2]],"ADERENTE","NÃO ADERENTE")</f>
        <v>ADERENTE</v>
      </c>
    </row>
    <row r="57" spans="2:105" x14ac:dyDescent="0.35">
      <c r="B57" s="113">
        <v>73</v>
      </c>
      <c r="C57" s="92" t="s">
        <v>230</v>
      </c>
      <c r="D57" s="92" t="s">
        <v>128</v>
      </c>
      <c r="E57" s="114">
        <v>204</v>
      </c>
      <c r="F57" s="92" t="str">
        <f t="shared" si="0"/>
        <v>De 200 a 400 und</v>
      </c>
      <c r="G57" s="92" t="s">
        <v>14</v>
      </c>
      <c r="H57" s="115">
        <v>1</v>
      </c>
      <c r="I57" s="115">
        <v>17</v>
      </c>
      <c r="J57" s="115"/>
      <c r="K57" s="115"/>
      <c r="L57" s="115">
        <f>SUM(Tabela13[[#This Row],[QTD DE B/T 2]],Tabela13[[#This Row],[QTD DE B/T]])</f>
        <v>1</v>
      </c>
      <c r="M57" s="92">
        <v>4</v>
      </c>
      <c r="N57" s="22">
        <f>Tabela13[[#This Row],[ELEVADOR]]/Tabela13[[#This Row],[BLOCO TOTAL]]</f>
        <v>4</v>
      </c>
      <c r="O57" s="92" t="s">
        <v>5</v>
      </c>
      <c r="P57" s="92" t="s">
        <v>101</v>
      </c>
      <c r="Q57" s="92" t="s">
        <v>101</v>
      </c>
      <c r="R57" s="92" t="s">
        <v>142</v>
      </c>
      <c r="S57" s="92" t="s">
        <v>103</v>
      </c>
      <c r="T57" s="92" t="s">
        <v>104</v>
      </c>
      <c r="U57" s="92" t="s">
        <v>105</v>
      </c>
      <c r="V57" s="92" t="s">
        <v>106</v>
      </c>
      <c r="W57" s="116">
        <f>IF(P57=[1]BD_CUSTO!$E$4,[1]BD_CUSTO!$F$4,[1]BD_CUSTO!$F$5)</f>
        <v>2430</v>
      </c>
      <c r="X57" s="116">
        <f>IF(Q57=[1]BD_CUSTO!$E$6,[1]BD_CUSTO!$F$6,[1]BD_CUSTO!$F$7)</f>
        <v>260</v>
      </c>
      <c r="Y57" s="116">
        <f>IF(R57=[1]BD_CUSTO!$E$8,[1]BD_CUSTO!$F$8,[1]BD_CUSTO!$F$9)</f>
        <v>900</v>
      </c>
      <c r="Z57" s="116">
        <f>IF(S57=[1]BD_CUSTO!$E$10,[1]BD_CUSTO!$F$10,[1]BD_CUSTO!$F$11)</f>
        <v>500</v>
      </c>
      <c r="AA57" s="116">
        <f>IF(T57=[1]BD_CUSTO!$E$12,[1]BD_CUSTO!$F$12,[1]BD_CUSTO!$F$13)</f>
        <v>370</v>
      </c>
      <c r="AB57" s="116">
        <f>IF(U57=[1]BD_CUSTO!$E$14,[1]BD_CUSTO!$F$14,[1]BD_CUSTO!$F$15)</f>
        <v>90</v>
      </c>
      <c r="AC57" s="116">
        <f>IF(V57=[1]BD_CUSTO!$E$16,[1]BD_CUSTO!$F$16,[1]BD_CUSTO!$F$17)</f>
        <v>720</v>
      </c>
      <c r="AD57" s="92" t="s">
        <v>111</v>
      </c>
      <c r="AE57" s="92">
        <v>1</v>
      </c>
      <c r="AF57" s="92" t="s">
        <v>110</v>
      </c>
      <c r="AG57" s="92">
        <v>1</v>
      </c>
      <c r="AH57" s="92" t="s">
        <v>121</v>
      </c>
      <c r="AI57" s="92">
        <v>2</v>
      </c>
      <c r="AJ57" s="92" t="s">
        <v>129</v>
      </c>
      <c r="AK57" s="92">
        <v>1</v>
      </c>
      <c r="AL57" s="92" t="s">
        <v>107</v>
      </c>
      <c r="AM57" s="92">
        <v>1</v>
      </c>
      <c r="AN57" s="92" t="s">
        <v>108</v>
      </c>
      <c r="AO57" s="92">
        <v>1</v>
      </c>
      <c r="AP57" s="92" t="s">
        <v>175</v>
      </c>
      <c r="AQ57" s="92">
        <v>1</v>
      </c>
      <c r="AR57" s="92" t="s">
        <v>109</v>
      </c>
      <c r="AS57" s="92">
        <v>1</v>
      </c>
      <c r="AT57" s="92"/>
      <c r="AU57" s="92"/>
      <c r="AV57" s="92"/>
      <c r="AW57" s="92"/>
      <c r="AX57" s="116">
        <f>IF(AD57="",0,VLOOKUP(AD57,[1]BD_CUSTO!I:J,2,0)*AE57/E57)</f>
        <v>79.411764705882348</v>
      </c>
      <c r="AY57" s="116">
        <f>IF(AF57="",0,VLOOKUP(AF57,[1]BD_CUSTO!I:J,2,0)*AG57/E57)</f>
        <v>25.980392156862745</v>
      </c>
      <c r="AZ57" s="116">
        <f>IF(AH57="",0,VLOOKUP(AH57,[1]BD_CUSTO!I:J,2,0)*AI57/E57)</f>
        <v>1207.420588235294</v>
      </c>
      <c r="BA57" s="116">
        <f>IF(AJ57="",0,VLOOKUP(AJ57,[1]BD_CUSTO!I:J,2,0)*AK57/E57)</f>
        <v>1348.8606862745098</v>
      </c>
      <c r="BB57" s="116">
        <f>IF(AL57="",0,VLOOKUP(AL57,[1]BD_CUSTO!I:J,2,0)*AM57/E57)</f>
        <v>417.39764705882351</v>
      </c>
      <c r="BC57" s="116">
        <f>IF(AN57="",0,VLOOKUP(AN57,[1]BD_CUSTO!I:J,2,0)*AO57/E57)</f>
        <v>113.48039215686275</v>
      </c>
      <c r="BD57" s="116">
        <f>IF(AP57="",0,VLOOKUP(AP57,[1]BD_CUSTO!I:J,2,0)*AQ57/E57)</f>
        <v>52.892156862745097</v>
      </c>
      <c r="BE57" s="116">
        <f>IF(AR57="",0,VLOOKUP(AR57,CUSTO!I:J,2,0)*AS57/E57)</f>
        <v>34.068627450980394</v>
      </c>
      <c r="BF57" s="116">
        <f>IF(AT57="",0,VLOOKUP(AT57,[1]BD_CUSTO!I:J,2,0)*AU57/E57)</f>
        <v>0</v>
      </c>
      <c r="BG57" s="116">
        <f>IF(Tabela13[[#This Row],[LZ 10]]="",0,VLOOKUP(Tabela13[[#This Row],[LZ 10]],[1]BD_CUSTO!I:J,2,0)*Tabela13[[#This Row],[QTD922]]/E57)</f>
        <v>0</v>
      </c>
      <c r="BH57" s="92" t="s">
        <v>112</v>
      </c>
      <c r="BI57" s="117">
        <f>128/Tabela13[[#This Row],[Nº UNDS]]</f>
        <v>0.62745098039215685</v>
      </c>
      <c r="BJ57" s="92" t="s">
        <v>113</v>
      </c>
      <c r="BK57" s="117">
        <v>0</v>
      </c>
      <c r="BL57" s="116">
        <f>IF(BH57=[1]BD_CUSTO!$M$6,[1]BD_CUSTO!$N$6)*BI57</f>
        <v>1882.3529411764705</v>
      </c>
      <c r="BM57" s="116">
        <f>IF(BJ57=[1]BD_CUSTO!$M$4,[1]BD_CUSTO!$N$4,[1]BD_CUSTO!$N$5)*BK57</f>
        <v>0</v>
      </c>
      <c r="BN57" s="92" t="s">
        <v>114</v>
      </c>
      <c r="BO57" s="92">
        <f>213-120</f>
        <v>93</v>
      </c>
      <c r="BP57" s="25">
        <f>Tabela13[[#This Row],[QTD ]]/Tabela13[[#This Row],[Nº UNDS]]</f>
        <v>0.45588235294117646</v>
      </c>
      <c r="BQ57" s="92" t="s">
        <v>123</v>
      </c>
      <c r="BR57" s="92">
        <v>120</v>
      </c>
      <c r="BS57" s="92" t="s">
        <v>116</v>
      </c>
      <c r="BT57" s="92">
        <v>0</v>
      </c>
      <c r="BU57" s="92" t="s">
        <v>16</v>
      </c>
      <c r="BV57" s="92">
        <v>0</v>
      </c>
      <c r="BW57" s="116">
        <f>IF(BN57=[1]BD_CUSTO!$Q$7,[1]BD_CUSTO!$R$7,[1]BD_CUSTO!$R$8)*BO57/E57</f>
        <v>911.76470588235293</v>
      </c>
      <c r="BX57" s="116">
        <f>IF(BQ57=[1]BD_CUSTO!$Q$4,[1]BD_CUSTO!$R$4,[1]BD_CUSTO!$R$5)*BR57/E57</f>
        <v>588.23529411764707</v>
      </c>
      <c r="BY57" s="92">
        <f>IF(BS57=[1]BD_CUSTO!$Q$13,[1]BD_CUSTO!$R$13,[1]BD_CUSTO!$R$14)*BT57/E57</f>
        <v>0</v>
      </c>
      <c r="BZ57" s="116">
        <f>BV57*CUSTO!$R$10/E57</f>
        <v>0</v>
      </c>
      <c r="CA57" s="118">
        <f>SUM(Tabela13[[#This Row],[SOMA_PISO SALA E QUARTO]],Tabela13[[#This Row],[SOMA_PAREDE HIDR]],Tabela13[[#This Row],[SOMA_TETO]],Tabela13[[#This Row],[SOMA_BANCADA]],Tabela13[[#This Row],[SOMA_PEDRAS]])</f>
        <v>4290</v>
      </c>
      <c r="CB57" s="113" t="str">
        <f>IF(CA57&lt;=RÉGUAS!$D$4,"ACAB 01",IF(CA57&lt;=RÉGUAS!$F$4,"ACAB 02",IF(CA57&gt;RÉGUAS!$F$4,"ACAB 03",)))</f>
        <v>ACAB 02</v>
      </c>
      <c r="CC57" s="118">
        <f>SUM(Tabela13[[#This Row],[SOMA_LZ 01]:[SOMA_LZ 10]])</f>
        <v>3279.5122549019611</v>
      </c>
      <c r="CD57" s="92" t="str">
        <f>IF(CC57&lt;=RÉGUAS!$D$13,"LZ 01",IF(CC57&lt;=RÉGUAS!$F$13,"LZ 02",IF(CC57&lt;=RÉGUAS!$H$13,"LZ 03",IF(CC57&gt;RÉGUAS!$H$13,"LZ 04",))))</f>
        <v>LZ 04</v>
      </c>
      <c r="CE57" s="119">
        <f t="shared" si="1"/>
        <v>1882.3529411764705</v>
      </c>
      <c r="CF57" s="92" t="str">
        <f>IF(CE57&lt;=RÉGUAS!$D$22,"TIP 01",IF(CE57&lt;=RÉGUAS!$F$22,"TIP 02",IF(CE57&gt;RÉGUAS!$F$22,"TIP 03",)))</f>
        <v>TIP 02</v>
      </c>
      <c r="CG57" s="119">
        <f t="shared" si="2"/>
        <v>1500</v>
      </c>
      <c r="CH57" s="92" t="str">
        <f>IF(CG57&lt;=RÉGUAS!$D$32,"VAGA 01",IF(CG57&lt;=RÉGUAS!$F$32,"VAGA 02",IF(CG57&gt;RÉGUAS!$F$32,"VAGA 03",)))</f>
        <v>VAGA 02</v>
      </c>
      <c r="CI57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5593</v>
      </c>
      <c r="CJ57" s="120" t="str">
        <f>IF(AND(G57="BLOCO",CI57&lt;=RÉGUAS!$D$40),"ELEV 01",IF(AND(G57="BLOCO",CI57&gt;RÉGUAS!$D$40),"ELEV 02",IF(AND(G57="TORRE",CI57&lt;=RÉGUAS!$K$40),"ELEV 01",IF(AND(G57="TORRE",CI57&lt;=RÉGUAS!$M$40),"ELEV 02",IF(AND(G57="TORRE",CI57&gt;RÉGUAS!$M$40),"ELEV 03",)))))</f>
        <v>ELEV 03</v>
      </c>
      <c r="CK57" s="120">
        <f>SUM(Tabela13[[#This Row],[TOTAL  ACAB]],Tabela13[[#This Row],[TOTAL LAZER ]],Tabela13[[#This Row],[TOTAL TIPOLOGIA]],Tabela13[[#This Row],[TOTAL VAGA]],Tabela13[[#This Row],[TOTAL ELEVADOR]])</f>
        <v>16544.865196078434</v>
      </c>
      <c r="CL57" s="72" t="str">
        <f>IF(AND(G57="BLOCO",CK57&lt;=RÉGUAS!$D$50),"ESSENCIAL",IF(AND(G57="BLOCO",CK57&lt;=RÉGUAS!$F$50),"ECO",IF(AND(G57="BLOCO",CK57&gt;RÉGUAS!$F$50),"BIO",IF(AND(G57="TORRE",CK57&lt;=RÉGUAS!$K$50),"ESSENCIAL",IF(AND(G57="TORRE",CK57&lt;=RÉGUAS!$M$50),"ECO",IF(AND(G57="TORRE",CK57&gt;RÉGUAS!$M$50),"BIO",))))))</f>
        <v>BIO</v>
      </c>
      <c r="CM57" s="28" t="str">
        <f>IF(AND(G57="BLOCO",CK57&gt;=RÉGUAS!$D$51,CK57&lt;=RÉGUAS!$D$50),"ESSENCIAL-10%",IF(AND(G57="BLOCO",CK57&gt;RÉGUAS!$D$50,CK57&lt;=RÉGUAS!$E$51),"ECO+10%",IF(AND(G57="BLOCO",CK57&gt;=RÉGUAS!$F$51,CK57&lt;=RÉGUAS!$F$50),"ECO-10%",IF(AND(G57="BLOCO",CK57&gt;RÉGUAS!$F$50,CK57&lt;=RÉGUAS!$G$51),"BIO+10%",IF(AND(G57="TORRE",CK57&gt;=RÉGUAS!$K$51,CK57&lt;=RÉGUAS!$K$50),"ESSENCIAL-10%",IF(AND(G57="TORRE",CK57&gt;RÉGUAS!$K$50,CK57&lt;=RÉGUAS!$L$51),"ECO+10%",IF(AND(G57="TORRE",CK57&gt;=RÉGUAS!$M$51,CK57&lt;=RÉGUAS!$M$50),"ECO-10%",IF(AND(G57="TORRE",CK57&gt;RÉGUAS!$M$50,CK57&lt;=RÉGUAS!$N$51),"BIO+10%","-"))))))))</f>
        <v>-</v>
      </c>
      <c r="CN57" s="81">
        <f t="shared" si="3"/>
        <v>10951.865196078432</v>
      </c>
      <c r="CO57" s="72" t="str">
        <f>IF(CN57&lt;=RÉGUAS!$D$58,"ESSENCIAL",IF(CN57&lt;=RÉGUAS!$F$58,"ECO",IF(CN57&gt;RÉGUAS!$F$58,"BIO",)))</f>
        <v>ECO</v>
      </c>
      <c r="CP57" s="72" t="str">
        <f>IF(Tabela13[[#This Row],[INTERVALO DE INTERSEÇÃO 5D]]="-",Tabela13[[#This Row],[CLASSIFICAÇÃO 
5D ]],Tabela13[[#This Row],[CLASSIFICAÇÃO 
4D]])</f>
        <v>BIO</v>
      </c>
      <c r="CQ57" s="38" t="str">
        <f t="shared" si="4"/>
        <v>-</v>
      </c>
      <c r="CR57" s="72" t="str">
        <f t="shared" si="5"/>
        <v>BIO</v>
      </c>
      <c r="CS57" s="22" t="str">
        <f>IF(Tabela13[[#This Row],[PRODUTO ATUAL ]]=Tabela13[[#This Row],[CLASSIFICAÇÃO FINAL 5D]],"ADERÊNTE","NÃO ADERÊNTE")</f>
        <v>NÃO ADERÊNTE</v>
      </c>
      <c r="CT57" s="24">
        <f>SUM(Tabela13[[#This Row],[TOTAL  ACAB]],Tabela13[[#This Row],[TOTAL LAZER ]],Tabela13[[#This Row],[TOTAL TIPOLOGIA]],Tabela13[[#This Row],[TOTAL VAGA]])</f>
        <v>10951.865196078432</v>
      </c>
      <c r="CU57" s="22" t="str">
        <f>IF(CT57&lt;=RÉGUAS!$D$58,"ESSENCIAL",IF(CT57&lt;=RÉGUAS!$F$58,"ECO",IF(CT57&gt;RÉGUAS!$F$58,"BIO",)))</f>
        <v>ECO</v>
      </c>
      <c r="CV57" s="22" t="str">
        <f>IF(AND(CT57&gt;=RÉGUAS!$D$59,CT57&lt;=RÉGUAS!$E$59),"ESSENCIAL/ECO",IF(AND(CT57&gt;=RÉGUAS!$F$59,CT57&lt;=RÉGUAS!$G$59),"ECO/BIO","-"))</f>
        <v>ECO/BIO</v>
      </c>
      <c r="CW57" s="85">
        <f>SUM(Tabela13[[#This Row],[TOTAL LAZER ]],Tabela13[[#This Row],[TOTAL TIPOLOGIA]])</f>
        <v>5161.8651960784318</v>
      </c>
      <c r="CX57" s="22" t="str">
        <f>IF(CW57&lt;=RÉGUAS!$D$72,"ESSENCIAL",IF(CW57&lt;=RÉGUAS!$F$72,"ECO",IF(CN57&gt;RÉGUAS!$F$72,"BIO",)))</f>
        <v>BIO</v>
      </c>
      <c r="CY57" s="22" t="str">
        <f t="shared" si="6"/>
        <v>BIO</v>
      </c>
      <c r="CZ57" s="22" t="str">
        <f>IF(Tabela13[[#This Row],[PRODUTO ATUAL ]]=CY57,"ADERENTE","NÃO ADERENTE")</f>
        <v>NÃO ADERENTE</v>
      </c>
      <c r="DA57" s="22" t="str">
        <f>IF(Tabela13[[#This Row],[PRODUTO ATUAL ]]=Tabela13[[#This Row],[CLASSIFICAÇÃO 
4D2]],"ADERENTE","NÃO ADERENTE")</f>
        <v>ADERENTE</v>
      </c>
    </row>
    <row r="58" spans="2:105" hidden="1" x14ac:dyDescent="0.35">
      <c r="B58" s="27">
        <v>76</v>
      </c>
      <c r="C58" s="22" t="s">
        <v>232</v>
      </c>
      <c r="D58" s="22" t="s">
        <v>131</v>
      </c>
      <c r="E58" s="134">
        <v>432</v>
      </c>
      <c r="F58" s="22" t="str">
        <f t="shared" si="0"/>
        <v>Acima de 400 und</v>
      </c>
      <c r="G58" s="133" t="s">
        <v>14</v>
      </c>
      <c r="H58" s="135">
        <v>2</v>
      </c>
      <c r="I58" s="135">
        <v>18</v>
      </c>
      <c r="J58" s="36"/>
      <c r="K58" s="36"/>
      <c r="L58" s="36">
        <f>SUM(Tabela13[[#This Row],[QTD DE B/T 2]],Tabela13[[#This Row],[QTD DE B/T]])</f>
        <v>2</v>
      </c>
      <c r="M58" s="22">
        <v>8</v>
      </c>
      <c r="N58" s="22">
        <f>Tabela13[[#This Row],[ELEVADOR]]/Tabela13[[#This Row],[BLOCO TOTAL]]</f>
        <v>4</v>
      </c>
      <c r="O58" s="22" t="s">
        <v>5</v>
      </c>
      <c r="P58" s="22" t="s">
        <v>101</v>
      </c>
      <c r="Q58" s="22" t="s">
        <v>101</v>
      </c>
      <c r="R58" s="22" t="s">
        <v>142</v>
      </c>
      <c r="S58" s="22" t="s">
        <v>103</v>
      </c>
      <c r="T58" s="22" t="s">
        <v>104</v>
      </c>
      <c r="U58" s="22" t="s">
        <v>105</v>
      </c>
      <c r="V58" s="22" t="s">
        <v>106</v>
      </c>
      <c r="W58" s="24">
        <f>IF(P58=[1]BD_CUSTO!$E$4,[1]BD_CUSTO!$F$4,[1]BD_CUSTO!$F$5)</f>
        <v>2430</v>
      </c>
      <c r="X58" s="24">
        <f>IF(Q58=[1]BD_CUSTO!$E$6,[1]BD_CUSTO!$F$6,[1]BD_CUSTO!$F$7)</f>
        <v>260</v>
      </c>
      <c r="Y58" s="24">
        <f>IF(R58=[1]BD_CUSTO!$E$8,[1]BD_CUSTO!$F$8,[1]BD_CUSTO!$F$9)</f>
        <v>900</v>
      </c>
      <c r="Z58" s="24">
        <f>IF(S58=[1]BD_CUSTO!$E$10,[1]BD_CUSTO!$F$10,[1]BD_CUSTO!$F$11)</f>
        <v>500</v>
      </c>
      <c r="AA58" s="24">
        <f>IF(T58=[1]BD_CUSTO!$E$12,[1]BD_CUSTO!$F$12,[1]BD_CUSTO!$F$13)</f>
        <v>370</v>
      </c>
      <c r="AB58" s="24">
        <f>IF(U58=[1]BD_CUSTO!$E$14,[1]BD_CUSTO!$F$14,[1]BD_CUSTO!$F$15)</f>
        <v>90</v>
      </c>
      <c r="AC58" s="24">
        <f>IF(V58=[1]BD_CUSTO!$E$16,[1]BD_CUSTO!$F$16,[1]BD_CUSTO!$F$17)</f>
        <v>720</v>
      </c>
      <c r="AD58" s="22" t="s">
        <v>129</v>
      </c>
      <c r="AE58" s="22">
        <v>1</v>
      </c>
      <c r="AF58" s="22" t="s">
        <v>111</v>
      </c>
      <c r="AG58" s="22">
        <v>1</v>
      </c>
      <c r="AH58" s="22" t="s">
        <v>108</v>
      </c>
      <c r="AI58" s="22">
        <v>1</v>
      </c>
      <c r="AJ58" s="22" t="s">
        <v>126</v>
      </c>
      <c r="AK58" s="22">
        <v>1</v>
      </c>
      <c r="AL58" s="22" t="s">
        <v>121</v>
      </c>
      <c r="AM58" s="22">
        <v>2</v>
      </c>
      <c r="AN58" s="22" t="s">
        <v>107</v>
      </c>
      <c r="AO58" s="22">
        <v>1</v>
      </c>
      <c r="AP58" s="22"/>
      <c r="AQ58" s="22"/>
      <c r="AR58" s="22"/>
      <c r="AS58" s="22"/>
      <c r="AT58" s="22"/>
      <c r="AU58" s="22"/>
      <c r="AV58" s="22"/>
      <c r="AW58" s="22"/>
      <c r="AX58" s="24">
        <f>IF(AD58="",0,VLOOKUP(AD58,[1]BD_CUSTO!I:J,2,0)*AE58/E58)</f>
        <v>636.96199074074082</v>
      </c>
      <c r="AY58" s="24">
        <f>IF(AF58="",0,VLOOKUP(AF58,[1]BD_CUSTO!I:J,2,0)*AG58/E58)</f>
        <v>37.5</v>
      </c>
      <c r="AZ58" s="24">
        <f>IF(AH58="",0,VLOOKUP(AH58,[1]BD_CUSTO!I:J,2,0)*AI58/E58)</f>
        <v>53.587962962962962</v>
      </c>
      <c r="BA58" s="24">
        <f>IF(AJ58="",0,VLOOKUP(AJ58,[1]BD_CUSTO!I:J,2,0)*AK58/E58)</f>
        <v>17.5</v>
      </c>
      <c r="BB58" s="24">
        <f>IF(AL58="",0,VLOOKUP(AL58,[1]BD_CUSTO!I:J,2,0)*AM58/E58)</f>
        <v>570.17083333333335</v>
      </c>
      <c r="BC58" s="24">
        <f>IF(AN58="",0,VLOOKUP(AN58,[1]BD_CUSTO!I:J,2,0)*AO58/E58)</f>
        <v>197.10444444444443</v>
      </c>
      <c r="BD58" s="24">
        <f>IF(AP58="",0,VLOOKUP(AP58,[1]BD_CUSTO!I:J,2,0)*AQ58/E58)</f>
        <v>0</v>
      </c>
      <c r="BE58" s="24">
        <f>IF(AR58="",0,VLOOKUP(AR58,CUSTO!I:J,2,0)*AS58/E58)</f>
        <v>0</v>
      </c>
      <c r="BF58" s="24">
        <f>IF(AT58="",0,VLOOKUP(AT58,[1]BD_CUSTO!I:J,2,0)*AU58/E58)</f>
        <v>0</v>
      </c>
      <c r="BG58" s="24">
        <f>IF(Tabela13[[#This Row],[LZ 10]]="",0,VLOOKUP(Tabela13[[#This Row],[LZ 10]],[1]BD_CUSTO!I:J,2,0)*Tabela13[[#This Row],[QTD922]]/E58)</f>
        <v>0</v>
      </c>
      <c r="BH58" s="133" t="s">
        <v>112</v>
      </c>
      <c r="BI58" s="136">
        <f>272/Tabela13[[#This Row],[Nº UNDS]]</f>
        <v>0.62962962962962965</v>
      </c>
      <c r="BJ58" s="133" t="s">
        <v>113</v>
      </c>
      <c r="BK58" s="136">
        <v>0</v>
      </c>
      <c r="BL58" s="24">
        <f>IF(BH58=[1]BD_CUSTO!$M$6,[1]BD_CUSTO!$N$6)*BI58</f>
        <v>1888.8888888888889</v>
      </c>
      <c r="BM58" s="24">
        <f>IF(BJ58=[1]BD_CUSTO!$M$4,[1]BD_CUSTO!$N$4,[1]BD_CUSTO!$N$5)*BK58</f>
        <v>0</v>
      </c>
      <c r="BN58" s="133" t="s">
        <v>114</v>
      </c>
      <c r="BO58" s="133">
        <f>123-9</f>
        <v>114</v>
      </c>
      <c r="BP58" s="25">
        <f>Tabela13[[#This Row],[QTD ]]/Tabela13[[#This Row],[Nº UNDS]]</f>
        <v>0.2638888888888889</v>
      </c>
      <c r="BQ58" s="22" t="s">
        <v>115</v>
      </c>
      <c r="BR58" s="22">
        <v>0</v>
      </c>
      <c r="BS58" s="22" t="s">
        <v>116</v>
      </c>
      <c r="BT58" s="22">
        <v>0</v>
      </c>
      <c r="BU58" s="22" t="s">
        <v>16</v>
      </c>
      <c r="BV58" s="22">
        <v>0</v>
      </c>
      <c r="BW58" s="24">
        <f>IF(BN58=[1]BD_CUSTO!$Q$7,[1]BD_CUSTO!$R$7,[1]BD_CUSTO!$R$8)*BO58/E58</f>
        <v>527.77777777777783</v>
      </c>
      <c r="BX58" s="24">
        <f>IF(BQ58=[1]BD_CUSTO!$Q$4,[1]BD_CUSTO!$R$4,[1]BD_CUSTO!$R$5)*BR58/E58</f>
        <v>0</v>
      </c>
      <c r="BY58" s="22">
        <f>IF(BS58=[1]BD_CUSTO!$Q$13,[1]BD_CUSTO!$R$13,[1]BD_CUSTO!$R$14)*BT58/E58</f>
        <v>0</v>
      </c>
      <c r="BZ58" s="24">
        <f>BV58*CUSTO!$R$10/E58</f>
        <v>0</v>
      </c>
      <c r="CA58" s="26">
        <f>SUM(Tabela13[[#This Row],[SOMA_PISO SALA E QUARTO]],Tabela13[[#This Row],[SOMA_PAREDE HIDR]],Tabela13[[#This Row],[SOMA_TETO]],Tabela13[[#This Row],[SOMA_BANCADA]],Tabela13[[#This Row],[SOMA_PEDRAS]])</f>
        <v>4290</v>
      </c>
      <c r="CB58" s="27" t="str">
        <f>IF(CA58&lt;=RÉGUAS!$D$4,"ACAB 01",IF(CA58&lt;=RÉGUAS!$F$4,"ACAB 02",IF(CA58&gt;RÉGUAS!$F$4,"ACAB 03",)))</f>
        <v>ACAB 02</v>
      </c>
      <c r="CC58" s="26">
        <f>SUM(Tabela13[[#This Row],[SOMA_LZ 01]:[SOMA_LZ 10]])</f>
        <v>1512.8252314814815</v>
      </c>
      <c r="CD58" s="22" t="str">
        <f>IF(CC58&lt;=RÉGUAS!$D$13,"LZ 01",IF(CC58&lt;=RÉGUAS!$F$13,"LZ 02",IF(CC58&lt;=RÉGUAS!$H$13,"LZ 03",IF(CC58&gt;RÉGUAS!$H$13,"LZ 04",))))</f>
        <v>LZ 02</v>
      </c>
      <c r="CE58" s="28">
        <f t="shared" si="1"/>
        <v>1888.8888888888889</v>
      </c>
      <c r="CF58" s="22" t="str">
        <f>IF(CE58&lt;=RÉGUAS!$D$22,"TIP 01",IF(CE58&lt;=RÉGUAS!$F$22,"TIP 02",IF(CE58&gt;RÉGUAS!$F$22,"TIP 03",)))</f>
        <v>TIP 02</v>
      </c>
      <c r="CG58" s="28">
        <f t="shared" si="2"/>
        <v>527.77777777777783</v>
      </c>
      <c r="CH58" s="22" t="str">
        <f>IF(CG58&lt;=RÉGUAS!$D$32,"VAGA 01",IF(CG58&lt;=RÉGUAS!$F$32,"VAGA 02",IF(CG58&gt;RÉGUAS!$F$32,"VAGA 03",)))</f>
        <v>VAGA 01</v>
      </c>
      <c r="CI58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5593</v>
      </c>
      <c r="CJ58" s="85" t="str">
        <f>IF(AND(G58="BLOCO",CI58&lt;=RÉGUAS!$D$40),"ELEV 01",IF(AND(G58="BLOCO",CI58&gt;RÉGUAS!$D$40),"ELEV 02",IF(AND(G58="TORRE",CI58&lt;=RÉGUAS!$K$40),"ELEV 01",IF(AND(G58="TORRE",CI58&lt;=RÉGUAS!$M$40),"ELEV 02",IF(AND(G58="TORRE",CI58&gt;RÉGUAS!$M$40),"ELEV 03",)))))</f>
        <v>ELEV 03</v>
      </c>
      <c r="CK58" s="85">
        <f>SUM(Tabela13[[#This Row],[TOTAL  ACAB]],Tabela13[[#This Row],[TOTAL LAZER ]],Tabela13[[#This Row],[TOTAL TIPOLOGIA]],Tabela13[[#This Row],[TOTAL VAGA]],Tabela13[[#This Row],[TOTAL ELEVADOR]])</f>
        <v>13812.491898148148</v>
      </c>
      <c r="CL58" s="72" t="str">
        <f>IF(AND(G58="BLOCO",CK58&lt;=RÉGUAS!$D$50),"ESSENCIAL",IF(AND(G58="BLOCO",CK58&lt;=RÉGUAS!$F$50),"ECO",IF(AND(G58="BLOCO",CK58&gt;RÉGUAS!$F$50),"BIO",IF(AND(G58="TORRE",CK58&lt;=RÉGUAS!$K$50),"ESSENCIAL",IF(AND(G58="TORRE",CK58&lt;=RÉGUAS!$M$50),"ECO",IF(AND(G58="TORRE",CK58&gt;RÉGUAS!$M$50),"BIO",))))))</f>
        <v>ECO</v>
      </c>
      <c r="CM58" s="28" t="str">
        <f>IF(AND(G58="BLOCO",CK58&gt;=RÉGUAS!$D$51,CK58&lt;=RÉGUAS!$D$50),"ESSENCIAL-10%",IF(AND(G58="BLOCO",CK58&gt;RÉGUAS!$D$50,CK58&lt;=RÉGUAS!$E$51),"ECO+10%",IF(AND(G58="BLOCO",CK58&gt;=RÉGUAS!$F$51,CK58&lt;=RÉGUAS!$F$50),"ECO-10%",IF(AND(G58="BLOCO",CK58&gt;RÉGUAS!$F$50,CK58&lt;=RÉGUAS!$G$51),"BIO+10%",IF(AND(G58="TORRE",CK58&gt;=RÉGUAS!$K$51,CK58&lt;=RÉGUAS!$K$50),"ESSENCIAL-10%",IF(AND(G58="TORRE",CK58&gt;RÉGUAS!$K$50,CK58&lt;=RÉGUAS!$L$51),"ECO+10%",IF(AND(G58="TORRE",CK58&gt;=RÉGUAS!$M$51,CK58&lt;=RÉGUAS!$M$50),"ECO-10%",IF(AND(G58="TORRE",CK58&gt;RÉGUAS!$M$50,CK58&lt;=RÉGUAS!$N$51),"BIO+10%","-"))))))))</f>
        <v>ECO-10%</v>
      </c>
      <c r="CN58" s="73">
        <f t="shared" si="3"/>
        <v>8219.4918981481478</v>
      </c>
      <c r="CO58" s="72" t="str">
        <f>IF(CN58&lt;=RÉGUAS!$D$58,"ESSENCIAL",IF(CN58&lt;=RÉGUAS!$F$58,"ECO",IF(CN58&gt;RÉGUAS!$F$58,"BIO",)))</f>
        <v>ECO</v>
      </c>
      <c r="CP58" s="72" t="str">
        <f>IF(Tabela13[[#This Row],[INTERVALO DE INTERSEÇÃO 5D]]="-",Tabela13[[#This Row],[CLASSIFICAÇÃO 
5D ]],Tabela13[[#This Row],[CLASSIFICAÇÃO 
4D]])</f>
        <v>ECO</v>
      </c>
      <c r="CQ58" s="72" t="str">
        <f t="shared" si="4"/>
        <v>-</v>
      </c>
      <c r="CR58" s="72" t="str">
        <f t="shared" si="5"/>
        <v>ECO</v>
      </c>
      <c r="CS58" s="22" t="str">
        <f>IF(Tabela13[[#This Row],[PRODUTO ATUAL ]]=Tabela13[[#This Row],[CLASSIFICAÇÃO FINAL 5D]],"ADERÊNTE","NÃO ADERÊNTE")</f>
        <v>ADERÊNTE</v>
      </c>
      <c r="CT58" s="24">
        <f>SUM(Tabela13[[#This Row],[TOTAL  ACAB]],Tabela13[[#This Row],[TOTAL LAZER ]],Tabela13[[#This Row],[TOTAL TIPOLOGIA]],Tabela13[[#This Row],[TOTAL VAGA]])</f>
        <v>8219.4918981481478</v>
      </c>
      <c r="CU58" s="22" t="str">
        <f>IF(CT58&lt;=RÉGUAS!$D$58,"ESSENCIAL",IF(CT58&lt;=RÉGUAS!$F$58,"ECO",IF(CT58&gt;RÉGUAS!$F$58,"BIO",)))</f>
        <v>ECO</v>
      </c>
      <c r="CV58" s="22" t="str">
        <f>IF(AND(CT58&gt;=RÉGUAS!$D$59,CT58&lt;=RÉGUAS!$E$59),"ESSENCIAL/ECO",IF(AND(CT58&gt;=RÉGUAS!$F$59,CT58&lt;=RÉGUAS!$G$59),"ECO/BIO","-"))</f>
        <v>-</v>
      </c>
      <c r="CW58" s="85">
        <f>SUM(Tabela13[[#This Row],[TOTAL LAZER ]],Tabela13[[#This Row],[TOTAL TIPOLOGIA]])</f>
        <v>3401.7141203703704</v>
      </c>
      <c r="CX58" s="22" t="str">
        <f>IF(CW58&lt;=RÉGUAS!$D$72,"ESSENCIAL",IF(CW58&lt;=RÉGUAS!$F$72,"ECO",IF(CN58&gt;RÉGUAS!$F$72,"BIO",)))</f>
        <v>ECO</v>
      </c>
      <c r="CY58" s="22" t="str">
        <f t="shared" si="6"/>
        <v>ECO</v>
      </c>
      <c r="CZ58" s="22" t="str">
        <f>IF(Tabela13[[#This Row],[PRODUTO ATUAL ]]=CY58,"ADERENTE","NÃO ADERENTE")</f>
        <v>ADERENTE</v>
      </c>
      <c r="DA58" s="22" t="str">
        <f>IF(Tabela13[[#This Row],[PRODUTO ATUAL ]]=Tabela13[[#This Row],[CLASSIFICAÇÃO 
4D2]],"ADERENTE","NÃO ADERENTE")</f>
        <v>ADERENTE</v>
      </c>
    </row>
    <row r="59" spans="2:105" x14ac:dyDescent="0.35">
      <c r="B59" s="27">
        <v>77</v>
      </c>
      <c r="C59" s="22" t="s">
        <v>192</v>
      </c>
      <c r="D59" s="22" t="s">
        <v>147</v>
      </c>
      <c r="E59" s="23">
        <v>176</v>
      </c>
      <c r="F59" s="22" t="str">
        <f t="shared" si="0"/>
        <v>Até 200 und</v>
      </c>
      <c r="G59" s="22" t="s">
        <v>14</v>
      </c>
      <c r="H59" s="36">
        <v>1</v>
      </c>
      <c r="I59" s="36">
        <v>22</v>
      </c>
      <c r="J59" s="36"/>
      <c r="K59" s="36"/>
      <c r="L59" s="36">
        <f>SUM(Tabela13[[#This Row],[QTD DE B/T 2]],Tabela13[[#This Row],[QTD DE B/T]])</f>
        <v>1</v>
      </c>
      <c r="M59" s="22">
        <v>3</v>
      </c>
      <c r="N59" s="22">
        <f>Tabela13[[#This Row],[ELEVADOR]]/Tabela13[[#This Row],[BLOCO TOTAL]]</f>
        <v>3</v>
      </c>
      <c r="O59" s="22" t="s">
        <v>5</v>
      </c>
      <c r="P59" s="22" t="s">
        <v>101</v>
      </c>
      <c r="Q59" s="22" t="s">
        <v>101</v>
      </c>
      <c r="R59" s="22" t="s">
        <v>142</v>
      </c>
      <c r="S59" s="22" t="s">
        <v>103</v>
      </c>
      <c r="T59" s="22" t="s">
        <v>104</v>
      </c>
      <c r="U59" s="22" t="s">
        <v>105</v>
      </c>
      <c r="V59" s="22" t="s">
        <v>137</v>
      </c>
      <c r="W59" s="24">
        <f>IF(P59=[1]BD_CUSTO!$E$4,[1]BD_CUSTO!$F$4,[1]BD_CUSTO!$F$5)</f>
        <v>2430</v>
      </c>
      <c r="X59" s="24">
        <f>IF(Q59=[1]BD_CUSTO!$E$6,[1]BD_CUSTO!$F$6,[1]BD_CUSTO!$F$7)</f>
        <v>260</v>
      </c>
      <c r="Y59" s="24">
        <f>IF(R59=[1]BD_CUSTO!$E$8,[1]BD_CUSTO!$F$8,[1]BD_CUSTO!$F$9)</f>
        <v>900</v>
      </c>
      <c r="Z59" s="24">
        <f>IF(S59=[1]BD_CUSTO!$E$10,[1]BD_CUSTO!$F$10,[1]BD_CUSTO!$F$11)</f>
        <v>500</v>
      </c>
      <c r="AA59" s="24">
        <f>IF(T59=[1]BD_CUSTO!$E$12,[1]BD_CUSTO!$F$12,[1]BD_CUSTO!$F$13)</f>
        <v>370</v>
      </c>
      <c r="AB59" s="24">
        <f>IF(U59=[1]BD_CUSTO!$E$14,[1]BD_CUSTO!$F$14,[1]BD_CUSTO!$F$15)</f>
        <v>90</v>
      </c>
      <c r="AC59" s="24">
        <f>IF(V59=[1]BD_CUSTO!$E$16,[1]BD_CUSTO!$F$16,[1]BD_CUSTO!$F$17)</f>
        <v>1320</v>
      </c>
      <c r="AD59" s="22" t="s">
        <v>129</v>
      </c>
      <c r="AE59" s="22">
        <v>1</v>
      </c>
      <c r="AF59" s="22" t="s">
        <v>107</v>
      </c>
      <c r="AG59" s="22">
        <v>1</v>
      </c>
      <c r="AH59" s="22" t="s">
        <v>108</v>
      </c>
      <c r="AI59" s="22">
        <v>1</v>
      </c>
      <c r="AJ59" s="22" t="s">
        <v>109</v>
      </c>
      <c r="AK59" s="22">
        <v>1</v>
      </c>
      <c r="AL59" s="22" t="s">
        <v>110</v>
      </c>
      <c r="AM59" s="22">
        <v>1</v>
      </c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4">
        <f>IF(AD59="",0,VLOOKUP(AD59,[1]BD_CUSTO!I:J,2,0)*AE59/E59)</f>
        <v>1563.4521590909092</v>
      </c>
      <c r="AY59" s="24">
        <f>IF(AF59="",0,VLOOKUP(AF59,[1]BD_CUSTO!I:J,2,0)*AG59/E59)</f>
        <v>483.80181818181813</v>
      </c>
      <c r="AZ59" s="24">
        <f>IF(AH59="",0,VLOOKUP(AH59,[1]BD_CUSTO!I:J,2,0)*AI59/E59)</f>
        <v>131.53409090909091</v>
      </c>
      <c r="BA59" s="24">
        <f>IF(AJ59="",0,VLOOKUP(AJ59,[1]BD_CUSTO!I:J,2,0)*AK59/E59)</f>
        <v>39.488636363636367</v>
      </c>
      <c r="BB59" s="24">
        <f>IF(AL59="",0,VLOOKUP(AL59,[1]BD_CUSTO!I:J,2,0)*AM59/E59)</f>
        <v>30.113636363636363</v>
      </c>
      <c r="BC59" s="24">
        <f>IF(AN59="",0,VLOOKUP(AN59,[1]BD_CUSTO!I:J,2,0)*AO59/E59)</f>
        <v>0</v>
      </c>
      <c r="BD59" s="24">
        <f>IF(AP59="",0,VLOOKUP(AP59,[1]BD_CUSTO!I:J,2,0)*AQ59/E59)</f>
        <v>0</v>
      </c>
      <c r="BE59" s="24">
        <f>IF(AR59="",0,VLOOKUP(AR59,CUSTO!I:J,2,0)*AS59/E59)</f>
        <v>0</v>
      </c>
      <c r="BF59" s="24">
        <f>IF(AT59="",0,VLOOKUP(AT59,[1]BD_CUSTO!I:J,2,0)*AU59/E59)</f>
        <v>0</v>
      </c>
      <c r="BG59" s="24">
        <f>IF(Tabela13[[#This Row],[LZ 10]]="",0,VLOOKUP(Tabela13[[#This Row],[LZ 10]],[1]BD_CUSTO!I:J,2,0)*Tabela13[[#This Row],[QTD922]]/E59)</f>
        <v>0</v>
      </c>
      <c r="BH59" s="22" t="s">
        <v>112</v>
      </c>
      <c r="BI59" s="25">
        <f>168/Tabela13[[#This Row],[Nº UNDS]]</f>
        <v>0.95454545454545459</v>
      </c>
      <c r="BJ59" s="22" t="s">
        <v>113</v>
      </c>
      <c r="BK59" s="25">
        <v>0</v>
      </c>
      <c r="BL59" s="24">
        <f>IF(BH59=[1]BD_CUSTO!$M$6,[1]BD_CUSTO!$N$6)*BI59</f>
        <v>2863.636363636364</v>
      </c>
      <c r="BM59" s="24">
        <f>IF(BJ59=[1]BD_CUSTO!$M$4,[1]BD_CUSTO!$N$4,[1]BD_CUSTO!$N$5)*BK59</f>
        <v>0</v>
      </c>
      <c r="BN59" s="22" t="s">
        <v>114</v>
      </c>
      <c r="BO59" s="22">
        <f>133-11</f>
        <v>122</v>
      </c>
      <c r="BP59" s="25">
        <f>Tabela13[[#This Row],[QTD ]]/Tabela13[[#This Row],[Nº UNDS]]</f>
        <v>0.69318181818181823</v>
      </c>
      <c r="BQ59" s="22" t="s">
        <v>123</v>
      </c>
      <c r="BR59" s="22">
        <v>11</v>
      </c>
      <c r="BS59" s="22" t="s">
        <v>116</v>
      </c>
      <c r="BT59" s="22">
        <v>0</v>
      </c>
      <c r="BU59" s="22" t="s">
        <v>16</v>
      </c>
      <c r="BV59" s="22">
        <v>0</v>
      </c>
      <c r="BW59" s="24">
        <f>IF(BN59=[1]BD_CUSTO!$Q$7,[1]BD_CUSTO!$R$7,[1]BD_CUSTO!$R$8)*BO59/E59</f>
        <v>1386.3636363636363</v>
      </c>
      <c r="BX59" s="24">
        <f>IF(BQ59=[1]BD_CUSTO!$Q$4,[1]BD_CUSTO!$R$4,[1]BD_CUSTO!$R$5)*BR59/E59</f>
        <v>62.5</v>
      </c>
      <c r="BY59" s="22">
        <f>IF(BS59=[1]BD_CUSTO!$Q$13,[1]BD_CUSTO!$R$13,[1]BD_CUSTO!$R$14)*BT59/E59</f>
        <v>0</v>
      </c>
      <c r="BZ59" s="24">
        <f>BV59*CUSTO!$R$10/E59</f>
        <v>0</v>
      </c>
      <c r="CA59" s="26">
        <f>SUM(Tabela13[[#This Row],[SOMA_PISO SALA E QUARTO]],Tabela13[[#This Row],[SOMA_PAREDE HIDR]],Tabela13[[#This Row],[SOMA_TETO]],Tabela13[[#This Row],[SOMA_BANCADA]],Tabela13[[#This Row],[SOMA_PEDRAS]])</f>
        <v>4290</v>
      </c>
      <c r="CB59" s="27" t="str">
        <f>IF(CA59&lt;=RÉGUAS!$D$4,"ACAB 01",IF(CA59&lt;=RÉGUAS!$F$4,"ACAB 02",IF(CA59&gt;RÉGUAS!$F$4,"ACAB 03",)))</f>
        <v>ACAB 02</v>
      </c>
      <c r="CC59" s="26">
        <f>SUM(Tabela13[[#This Row],[SOMA_LZ 01]:[SOMA_LZ 10]])</f>
        <v>2248.3903409090913</v>
      </c>
      <c r="CD59" s="22" t="str">
        <f>IF(CC59&lt;=RÉGUAS!$D$13,"LZ 01",IF(CC59&lt;=RÉGUAS!$F$13,"LZ 02",IF(CC59&lt;=RÉGUAS!$H$13,"LZ 03",IF(CC59&gt;RÉGUAS!$H$13,"LZ 04",))))</f>
        <v>LZ 03</v>
      </c>
      <c r="CE59" s="28">
        <f t="shared" si="1"/>
        <v>2863.636363636364</v>
      </c>
      <c r="CF59" s="22" t="str">
        <f>IF(CE59&lt;=RÉGUAS!$D$22,"TIP 01",IF(CE59&lt;=RÉGUAS!$F$22,"TIP 02",IF(CE59&gt;RÉGUAS!$F$22,"TIP 03",)))</f>
        <v>TIP 02</v>
      </c>
      <c r="CG59" s="28">
        <f t="shared" si="2"/>
        <v>1448.8636363636363</v>
      </c>
      <c r="CH59" s="22" t="str">
        <f>IF(CG59&lt;=RÉGUAS!$D$32,"VAGA 01",IF(CG59&lt;=RÉGUAS!$F$32,"VAGA 02",IF(CG59&gt;RÉGUAS!$F$32,"VAGA 03",)))</f>
        <v>VAGA 02</v>
      </c>
      <c r="CI59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6292.125</v>
      </c>
      <c r="CJ59" s="85" t="str">
        <f>IF(AND(G59="BLOCO",CI59&lt;=RÉGUAS!$D$40),"ELEV 01",IF(AND(G59="BLOCO",CI59&gt;RÉGUAS!$D$40),"ELEV 02",IF(AND(G59="TORRE",CI59&lt;=RÉGUAS!$K$40),"ELEV 01",IF(AND(G59="TORRE",CI59&lt;=RÉGUAS!$M$40),"ELEV 02",IF(AND(G59="TORRE",CI59&gt;RÉGUAS!$M$40),"ELEV 03",)))))</f>
        <v>ELEV 03</v>
      </c>
      <c r="CK59" s="85">
        <f>SUM(Tabela13[[#This Row],[TOTAL  ACAB]],Tabela13[[#This Row],[TOTAL LAZER ]],Tabela13[[#This Row],[TOTAL TIPOLOGIA]],Tabela13[[#This Row],[TOTAL VAGA]],Tabela13[[#This Row],[TOTAL ELEVADOR]])</f>
        <v>17143.015340909093</v>
      </c>
      <c r="CL59" s="72" t="str">
        <f>IF(AND(G59="BLOCO",CK59&lt;=RÉGUAS!$D$50),"ESSENCIAL",IF(AND(G59="BLOCO",CK59&lt;=RÉGUAS!$F$50),"ECO",IF(AND(G59="BLOCO",CK59&gt;RÉGUAS!$F$50),"BIO",IF(AND(G59="TORRE",CK59&lt;=RÉGUAS!$K$50),"ESSENCIAL",IF(AND(G59="TORRE",CK59&lt;=RÉGUAS!$M$50),"ECO",IF(AND(G59="TORRE",CK59&gt;RÉGUAS!$M$50),"BIO",))))))</f>
        <v>BIO</v>
      </c>
      <c r="CM59" s="28" t="str">
        <f>IF(AND(G59="BLOCO",CK59&gt;=RÉGUAS!$D$51,CK59&lt;=RÉGUAS!$D$50),"ESSENCIAL-10%",IF(AND(G59="BLOCO",CK59&gt;RÉGUAS!$D$50,CK59&lt;=RÉGUAS!$E$51),"ECO+10%",IF(AND(G59="BLOCO",CK59&gt;=RÉGUAS!$F$51,CK59&lt;=RÉGUAS!$F$50),"ECO-10%",IF(AND(G59="BLOCO",CK59&gt;RÉGUAS!$F$50,CK59&lt;=RÉGUAS!$G$51),"BIO+10%",IF(AND(G59="TORRE",CK59&gt;=RÉGUAS!$K$51,CK59&lt;=RÉGUAS!$K$50),"ESSENCIAL-10%",IF(AND(G59="TORRE",CK59&gt;RÉGUAS!$K$50,CK59&lt;=RÉGUAS!$L$51),"ECO+10%",IF(AND(G59="TORRE",CK59&gt;=RÉGUAS!$M$51,CK59&lt;=RÉGUAS!$M$50),"ECO-10%",IF(AND(G59="TORRE",CK59&gt;RÉGUAS!$M$50,CK59&lt;=RÉGUAS!$N$51),"BIO+10%","-"))))))))</f>
        <v>-</v>
      </c>
      <c r="CN59" s="73">
        <f t="shared" si="3"/>
        <v>10850.890340909091</v>
      </c>
      <c r="CO59" s="72" t="str">
        <f>IF(CN59&lt;=RÉGUAS!$D$58,"ESSENCIAL",IF(CN59&lt;=RÉGUAS!$F$58,"ECO",IF(CN59&gt;RÉGUAS!$F$58,"BIO",)))</f>
        <v>ECO</v>
      </c>
      <c r="CP59" s="72" t="str">
        <f>IF(Tabela13[[#This Row],[INTERVALO DE INTERSEÇÃO 5D]]="-",Tabela13[[#This Row],[CLASSIFICAÇÃO 
5D ]],Tabela13[[#This Row],[CLASSIFICAÇÃO 
4D]])</f>
        <v>BIO</v>
      </c>
      <c r="CQ59" s="72" t="str">
        <f t="shared" si="4"/>
        <v>-</v>
      </c>
      <c r="CR59" s="72" t="str">
        <f t="shared" si="5"/>
        <v>BIO</v>
      </c>
      <c r="CS59" s="22" t="str">
        <f>IF(Tabela13[[#This Row],[PRODUTO ATUAL ]]=Tabela13[[#This Row],[CLASSIFICAÇÃO FINAL 5D]],"ADERÊNTE","NÃO ADERÊNTE")</f>
        <v>NÃO ADERÊNTE</v>
      </c>
      <c r="CT59" s="24">
        <f>SUM(Tabela13[[#This Row],[TOTAL  ACAB]],Tabela13[[#This Row],[TOTAL LAZER ]],Tabela13[[#This Row],[TOTAL TIPOLOGIA]],Tabela13[[#This Row],[TOTAL VAGA]])</f>
        <v>10850.890340909091</v>
      </c>
      <c r="CU59" s="22" t="str">
        <f>IF(CT59&lt;=RÉGUAS!$D$58,"ESSENCIAL",IF(CT59&lt;=RÉGUAS!$F$58,"ECO",IF(CT59&gt;RÉGUAS!$F$58,"BIO",)))</f>
        <v>ECO</v>
      </c>
      <c r="CV59" s="22" t="str">
        <f>IF(AND(CT59&gt;=RÉGUAS!$D$59,CT59&lt;=RÉGUAS!$E$59),"ESSENCIAL/ECO",IF(AND(CT59&gt;=RÉGUAS!$F$59,CT59&lt;=RÉGUAS!$G$59),"ECO/BIO","-"))</f>
        <v>ECO/BIO</v>
      </c>
      <c r="CW59" s="85">
        <f>SUM(Tabela13[[#This Row],[TOTAL LAZER ]],Tabela13[[#This Row],[TOTAL TIPOLOGIA]])</f>
        <v>5112.0267045454548</v>
      </c>
      <c r="CX59" s="22" t="str">
        <f>IF(CW59&lt;=RÉGUAS!$D$72,"ESSENCIAL",IF(CW59&lt;=RÉGUAS!$F$72,"ECO",IF(CN59&gt;RÉGUAS!$F$72,"BIO",)))</f>
        <v>BIO</v>
      </c>
      <c r="CY59" s="22" t="str">
        <f t="shared" si="6"/>
        <v>BIO</v>
      </c>
      <c r="CZ59" s="22" t="str">
        <f>IF(Tabela13[[#This Row],[PRODUTO ATUAL ]]=CY59,"ADERENTE","NÃO ADERENTE")</f>
        <v>NÃO ADERENTE</v>
      </c>
      <c r="DA59" s="22" t="str">
        <f>IF(Tabela13[[#This Row],[PRODUTO ATUAL ]]=Tabela13[[#This Row],[CLASSIFICAÇÃO 
4D2]],"ADERENTE","NÃO ADERENTE")</f>
        <v>ADERENTE</v>
      </c>
    </row>
    <row r="60" spans="2:105" hidden="1" x14ac:dyDescent="0.35">
      <c r="B60" s="27">
        <v>82</v>
      </c>
      <c r="C60" s="22" t="s">
        <v>219</v>
      </c>
      <c r="D60" s="22" t="s">
        <v>100</v>
      </c>
      <c r="E60" s="23">
        <v>560</v>
      </c>
      <c r="F60" s="22" t="str">
        <f t="shared" si="0"/>
        <v>Acima de 400 und</v>
      </c>
      <c r="G60" s="22" t="s">
        <v>1</v>
      </c>
      <c r="H60" s="36">
        <v>35</v>
      </c>
      <c r="I60" s="36">
        <v>4</v>
      </c>
      <c r="J60" s="36"/>
      <c r="K60" s="36"/>
      <c r="L60" s="36">
        <f>SUM(Tabela13[[#This Row],[QTD DE B/T 2]],Tabela13[[#This Row],[QTD DE B/T]])</f>
        <v>35</v>
      </c>
      <c r="M60" s="22">
        <v>0</v>
      </c>
      <c r="N60" s="22">
        <f>Tabela13[[#This Row],[ELEVADOR]]/Tabela13[[#This Row],[BLOCO TOTAL]]</f>
        <v>0</v>
      </c>
      <c r="O60" s="22" t="s">
        <v>5</v>
      </c>
      <c r="P60" s="22" t="s">
        <v>101</v>
      </c>
      <c r="Q60" s="22" t="s">
        <v>101</v>
      </c>
      <c r="R60" s="22" t="s">
        <v>142</v>
      </c>
      <c r="S60" s="22" t="s">
        <v>103</v>
      </c>
      <c r="T60" s="22" t="s">
        <v>104</v>
      </c>
      <c r="U60" s="22" t="s">
        <v>105</v>
      </c>
      <c r="V60" s="22" t="s">
        <v>106</v>
      </c>
      <c r="W60" s="24">
        <f>IF(P60=[1]BD_CUSTO!$E$4,[1]BD_CUSTO!$F$4,[1]BD_CUSTO!$F$5)</f>
        <v>2430</v>
      </c>
      <c r="X60" s="24">
        <f>IF(Q60=[1]BD_CUSTO!$E$6,[1]BD_CUSTO!$F$6,[1]BD_CUSTO!$F$7)</f>
        <v>260</v>
      </c>
      <c r="Y60" s="24">
        <f>IF(R60=[1]BD_CUSTO!$E$8,[1]BD_CUSTO!$F$8,[1]BD_CUSTO!$F$9)</f>
        <v>900</v>
      </c>
      <c r="Z60" s="24">
        <f>IF(S60=[1]BD_CUSTO!$E$10,[1]BD_CUSTO!$F$10,[1]BD_CUSTO!$F$11)</f>
        <v>500</v>
      </c>
      <c r="AA60" s="24">
        <f>IF(T60=[1]BD_CUSTO!$E$12,[1]BD_CUSTO!$F$12,[1]BD_CUSTO!$F$13)</f>
        <v>370</v>
      </c>
      <c r="AB60" s="24">
        <f>IF(U60=[1]BD_CUSTO!$E$14,[1]BD_CUSTO!$F$14,[1]BD_CUSTO!$F$15)</f>
        <v>90</v>
      </c>
      <c r="AC60" s="24">
        <f>IF(V60=[1]BD_CUSTO!$E$16,[1]BD_CUSTO!$F$16,[1]BD_CUSTO!$F$17)</f>
        <v>720</v>
      </c>
      <c r="AD60" s="22" t="s">
        <v>107</v>
      </c>
      <c r="AE60" s="22">
        <v>3</v>
      </c>
      <c r="AF60" s="22" t="s">
        <v>110</v>
      </c>
      <c r="AG60" s="22">
        <v>1</v>
      </c>
      <c r="AH60" s="22" t="s">
        <v>111</v>
      </c>
      <c r="AI60" s="22">
        <v>1</v>
      </c>
      <c r="AJ60" s="22" t="s">
        <v>108</v>
      </c>
      <c r="AK60" s="22">
        <v>2</v>
      </c>
      <c r="AL60" s="22" t="s">
        <v>175</v>
      </c>
      <c r="AM60" s="22">
        <v>1</v>
      </c>
      <c r="AN60" s="22" t="s">
        <v>129</v>
      </c>
      <c r="AO60" s="22">
        <v>1</v>
      </c>
      <c r="AP60" s="22" t="s">
        <v>126</v>
      </c>
      <c r="AQ60" s="22">
        <v>1</v>
      </c>
      <c r="AR60" s="22" t="s">
        <v>109</v>
      </c>
      <c r="AS60" s="22">
        <v>1</v>
      </c>
      <c r="AT60" s="22"/>
      <c r="AU60" s="22"/>
      <c r="AV60" s="22"/>
      <c r="AW60" s="22"/>
      <c r="AX60" s="24">
        <f>IF(AD60="",0,VLOOKUP(AD60,[1]BD_CUSTO!I:J,2,0)*AE60/E60)</f>
        <v>456.15599999999995</v>
      </c>
      <c r="AY60" s="24">
        <f>IF(AF60="",0,VLOOKUP(AF60,[1]BD_CUSTO!I:J,2,0)*AG60/E60)</f>
        <v>9.4642857142857135</v>
      </c>
      <c r="AZ60" s="24">
        <f>IF(AH60="",0,VLOOKUP(AH60,[1]BD_CUSTO!I:J,2,0)*AI60/E60)</f>
        <v>28.928571428571427</v>
      </c>
      <c r="BA60" s="24">
        <f>IF(AJ60="",0,VLOOKUP(AJ60,[1]BD_CUSTO!I:J,2,0)*AK60/E60)</f>
        <v>82.678571428571431</v>
      </c>
      <c r="BB60" s="24">
        <f>IF(AL60="",0,VLOOKUP(AL60,[1]BD_CUSTO!I:J,2,0)*AM60/E60)</f>
        <v>19.267857142857142</v>
      </c>
      <c r="BC60" s="24">
        <f>IF(AN60="",0,VLOOKUP(AN60,[1]BD_CUSTO!I:J,2,0)*AO60/E60)</f>
        <v>491.37067857142858</v>
      </c>
      <c r="BD60" s="24">
        <f>IF(AP60="",0,VLOOKUP(AP60,[1]BD_CUSTO!I:J,2,0)*AQ60/E60)</f>
        <v>13.5</v>
      </c>
      <c r="BE60" s="24">
        <f>IF(AR60="",0,VLOOKUP(AR60,CUSTO!I:J,2,0)*AS60/E60)</f>
        <v>12.410714285714286</v>
      </c>
      <c r="BF60" s="24">
        <f>IF(AT60="",0,VLOOKUP(AT60,[1]BD_CUSTO!I:J,2,0)*AU60/E60)</f>
        <v>0</v>
      </c>
      <c r="BG60" s="24">
        <f>IF(Tabela13[[#This Row],[LZ 10]]="",0,VLOOKUP(Tabela13[[#This Row],[LZ 10]],[1]BD_CUSTO!I:J,2,0)*Tabela13[[#This Row],[QTD922]]/E60)</f>
        <v>0</v>
      </c>
      <c r="BH60" s="22" t="s">
        <v>112</v>
      </c>
      <c r="BI60" s="25">
        <f>210/Tabela13[[#This Row],[Nº UNDS]]</f>
        <v>0.375</v>
      </c>
      <c r="BJ60" s="22" t="s">
        <v>113</v>
      </c>
      <c r="BK60" s="25">
        <v>0</v>
      </c>
      <c r="BL60" s="24">
        <f>IF(BH60=[1]BD_CUSTO!$M$6,[1]BD_CUSTO!$N$6)*BI60</f>
        <v>1125</v>
      </c>
      <c r="BM60" s="24">
        <f>IF(BJ60=[1]BD_CUSTO!$M$4,[1]BD_CUSTO!$N$4,[1]BD_CUSTO!$N$5)*BK60</f>
        <v>0</v>
      </c>
      <c r="BN60" s="22" t="s">
        <v>114</v>
      </c>
      <c r="BO60" s="22">
        <f>568-168</f>
        <v>400</v>
      </c>
      <c r="BP60" s="25">
        <f>Tabela13[[#This Row],[QTD ]]/Tabela13[[#This Row],[Nº UNDS]]</f>
        <v>0.7142857142857143</v>
      </c>
      <c r="BQ60" s="22" t="s">
        <v>123</v>
      </c>
      <c r="BR60" s="22">
        <v>168</v>
      </c>
      <c r="BS60" s="22" t="s">
        <v>116</v>
      </c>
      <c r="BT60" s="22">
        <v>0</v>
      </c>
      <c r="BU60" s="22" t="s">
        <v>16</v>
      </c>
      <c r="BV60" s="22">
        <v>0</v>
      </c>
      <c r="BW60" s="24">
        <f>IF(BN60=[1]BD_CUSTO!$Q$7,[1]BD_CUSTO!$R$7,[1]BD_CUSTO!$R$8)*BO60/E60</f>
        <v>1428.5714285714287</v>
      </c>
      <c r="BX60" s="24">
        <f>IF(BQ60=[1]BD_CUSTO!$Q$4,[1]BD_CUSTO!$R$4,[1]BD_CUSTO!$R$5)*BR60/E60</f>
        <v>300</v>
      </c>
      <c r="BY60" s="22">
        <f>IF(BS60=[1]BD_CUSTO!$Q$13,[1]BD_CUSTO!$R$13,[1]BD_CUSTO!$R$14)*BT60/E60</f>
        <v>0</v>
      </c>
      <c r="BZ60" s="24">
        <f>BV60*CUSTO!$R$10/E60</f>
        <v>0</v>
      </c>
      <c r="CA60" s="26">
        <f>SUM(Tabela13[[#This Row],[SOMA_PISO SALA E QUARTO]],Tabela13[[#This Row],[SOMA_PAREDE HIDR]],Tabela13[[#This Row],[SOMA_TETO]],Tabela13[[#This Row],[SOMA_BANCADA]],Tabela13[[#This Row],[SOMA_PEDRAS]])</f>
        <v>4290</v>
      </c>
      <c r="CB60" s="27" t="str">
        <f>IF(CA60&lt;=RÉGUAS!$D$4,"ACAB 01",IF(CA60&lt;=RÉGUAS!$F$4,"ACAB 02",IF(CA60&gt;RÉGUAS!$F$4,"ACAB 03",)))</f>
        <v>ACAB 02</v>
      </c>
      <c r="CC60" s="26">
        <f>SUM(Tabela13[[#This Row],[SOMA_LZ 01]:[SOMA_LZ 10]])</f>
        <v>1113.7766785714284</v>
      </c>
      <c r="CD60" s="22" t="str">
        <f>IF(CC60&lt;=RÉGUAS!$D$13,"LZ 01",IF(CC60&lt;=RÉGUAS!$F$13,"LZ 02",IF(CC60&lt;=RÉGUAS!$H$13,"LZ 03",IF(CC60&gt;RÉGUAS!$H$13,"LZ 04",))))</f>
        <v>LZ 02</v>
      </c>
      <c r="CE60" s="28">
        <f t="shared" si="1"/>
        <v>1125</v>
      </c>
      <c r="CF60" s="22" t="str">
        <f>IF(CE60&lt;=RÉGUAS!$D$22,"TIP 01",IF(CE60&lt;=RÉGUAS!$F$22,"TIP 02",IF(CE60&gt;RÉGUAS!$F$22,"TIP 03",)))</f>
        <v>TIP 01</v>
      </c>
      <c r="CG60" s="28">
        <f t="shared" si="2"/>
        <v>1728.5714285714287</v>
      </c>
      <c r="CH60" s="22" t="str">
        <f>IF(CG60&lt;=RÉGUAS!$D$32,"VAGA 01",IF(CG60&lt;=RÉGUAS!$F$32,"VAGA 02",IF(CG60&gt;RÉGUAS!$F$32,"VAGA 03",)))</f>
        <v>VAGA 02</v>
      </c>
      <c r="CI60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60" s="85" t="str">
        <f>IF(AND(G60="BLOCO",CI60&lt;=RÉGUAS!$D$40),"ELEV 01",IF(AND(G60="BLOCO",CI60&gt;RÉGUAS!$D$40),"ELEV 02",IF(AND(G60="TORRE",CI60&lt;=RÉGUAS!$K$40),"ELEV 01",IF(AND(G60="TORRE",CI60&lt;=RÉGUAS!$M$40),"ELEV 02",IF(AND(G60="TORRE",CI60&gt;RÉGUAS!$M$40),"ELEV 03",)))))</f>
        <v>ELEV 01</v>
      </c>
      <c r="CK60" s="85">
        <f>SUM(Tabela13[[#This Row],[TOTAL  ACAB]],Tabela13[[#This Row],[TOTAL LAZER ]],Tabela13[[#This Row],[TOTAL TIPOLOGIA]],Tabela13[[#This Row],[TOTAL VAGA]],Tabela13[[#This Row],[TOTAL ELEVADOR]])</f>
        <v>8257.3481071428578</v>
      </c>
      <c r="CL60" s="72" t="str">
        <f>IF(AND(G60="BLOCO",CK60&lt;=RÉGUAS!$D$50),"ESSENCIAL",IF(AND(G60="BLOCO",CK60&lt;=RÉGUAS!$F$50),"ECO",IF(AND(G60="BLOCO",CK60&gt;RÉGUAS!$F$50),"BIO",IF(AND(G60="TORRE",CK60&lt;=RÉGUAS!$K$50),"ESSENCIAL",IF(AND(G60="TORRE",CK60&lt;=RÉGUAS!$M$50),"ECO",IF(AND(G60="TORRE",CK60&gt;RÉGUAS!$M$50),"BIO",))))))</f>
        <v>ECO</v>
      </c>
      <c r="CM60" s="28" t="str">
        <f>IF(AND(G60="BLOCO",CK60&gt;=RÉGUAS!$D$51,CK60&lt;=RÉGUAS!$D$50),"ESSENCIAL-10%",IF(AND(G60="BLOCO",CK60&gt;RÉGUAS!$D$50,CK60&lt;=RÉGUAS!$E$51),"ECO+10%",IF(AND(G60="BLOCO",CK60&gt;=RÉGUAS!$F$51,CK60&lt;=RÉGUAS!$F$50),"ECO-10%",IF(AND(G60="BLOCO",CK60&gt;RÉGUAS!$F$50,CK60&lt;=RÉGUAS!$G$51),"BIO+10%",IF(AND(G60="TORRE",CK60&gt;=RÉGUAS!$K$51,CK60&lt;=RÉGUAS!$K$50),"ESSENCIAL-10%",IF(AND(G60="TORRE",CK60&gt;RÉGUAS!$K$50,CK60&lt;=RÉGUAS!$L$51),"ECO+10%",IF(AND(G60="TORRE",CK60&gt;=RÉGUAS!$M$51,CK60&lt;=RÉGUAS!$M$50),"ECO-10%",IF(AND(G60="TORRE",CK60&gt;RÉGUAS!$M$50,CK60&lt;=RÉGUAS!$N$51),"BIO+10%","-"))))))))</f>
        <v>ECO+10%</v>
      </c>
      <c r="CN60" s="73">
        <f t="shared" si="3"/>
        <v>8257.3481071428578</v>
      </c>
      <c r="CO60" s="72" t="str">
        <f>IF(CN60&lt;=RÉGUAS!$D$58,"ESSENCIAL",IF(CN60&lt;=RÉGUAS!$F$58,"ECO",IF(CN60&gt;RÉGUAS!$F$58,"BIO",)))</f>
        <v>ECO</v>
      </c>
      <c r="CP60" s="72" t="str">
        <f>IF(Tabela13[[#This Row],[INTERVALO DE INTERSEÇÃO 5D]]="-",Tabela13[[#This Row],[CLASSIFICAÇÃO 
5D ]],Tabela13[[#This Row],[CLASSIFICAÇÃO 
4D]])</f>
        <v>ECO</v>
      </c>
      <c r="CQ60" s="72" t="str">
        <f t="shared" si="4"/>
        <v>-</v>
      </c>
      <c r="CR60" s="72" t="str">
        <f t="shared" si="5"/>
        <v>ECO</v>
      </c>
      <c r="CS60" s="22" t="str">
        <f>IF(Tabela13[[#This Row],[PRODUTO ATUAL ]]=Tabela13[[#This Row],[CLASSIFICAÇÃO FINAL 5D]],"ADERÊNTE","NÃO ADERÊNTE")</f>
        <v>ADERÊNTE</v>
      </c>
      <c r="CT60" s="24">
        <f>SUM(Tabela13[[#This Row],[TOTAL  ACAB]],Tabela13[[#This Row],[TOTAL LAZER ]],Tabela13[[#This Row],[TOTAL TIPOLOGIA]],Tabela13[[#This Row],[TOTAL VAGA]])</f>
        <v>8257.3481071428578</v>
      </c>
      <c r="CU60" s="22" t="str">
        <f>IF(CT60&lt;=RÉGUAS!$D$58,"ESSENCIAL",IF(CT60&lt;=RÉGUAS!$F$58,"ECO",IF(CT60&gt;RÉGUAS!$F$58,"BIO",)))</f>
        <v>ECO</v>
      </c>
      <c r="CV60" s="22" t="str">
        <f>IF(AND(CT60&gt;=RÉGUAS!$D$59,CT60&lt;=RÉGUAS!$E$59),"ESSENCIAL/ECO",IF(AND(CT60&gt;=RÉGUAS!$F$59,CT60&lt;=RÉGUAS!$G$59),"ECO/BIO","-"))</f>
        <v>-</v>
      </c>
      <c r="CW60" s="85">
        <f>SUM(Tabela13[[#This Row],[TOTAL LAZER ]],Tabela13[[#This Row],[TOTAL TIPOLOGIA]])</f>
        <v>2238.7766785714284</v>
      </c>
      <c r="CX60" s="22" t="str">
        <f>IF(CW60&lt;=RÉGUAS!$D$72,"ESSENCIAL",IF(CW60&lt;=RÉGUAS!$F$72,"ECO",IF(CN60&gt;RÉGUAS!$F$72,"BIO",)))</f>
        <v>ESSENCIAL</v>
      </c>
      <c r="CY60" s="22" t="str">
        <f t="shared" si="6"/>
        <v>ECO</v>
      </c>
      <c r="CZ60" s="22" t="str">
        <f>IF(Tabela13[[#This Row],[PRODUTO ATUAL ]]=CY60,"ADERENTE","NÃO ADERENTE")</f>
        <v>ADERENTE</v>
      </c>
      <c r="DA60" s="22" t="str">
        <f>IF(Tabela13[[#This Row],[PRODUTO ATUAL ]]=Tabela13[[#This Row],[CLASSIFICAÇÃO 
4D2]],"ADERENTE","NÃO ADERENTE")</f>
        <v>ADERENTE</v>
      </c>
    </row>
    <row r="61" spans="2:105" x14ac:dyDescent="0.35">
      <c r="B61" s="27">
        <v>54</v>
      </c>
      <c r="C61" s="22" t="s">
        <v>181</v>
      </c>
      <c r="D61" s="22" t="s">
        <v>154</v>
      </c>
      <c r="E61" s="128">
        <v>96</v>
      </c>
      <c r="F61" s="22" t="str">
        <f t="shared" si="0"/>
        <v>Até 200 und</v>
      </c>
      <c r="G61" s="76" t="s">
        <v>1</v>
      </c>
      <c r="H61" s="129">
        <v>6</v>
      </c>
      <c r="I61" s="129">
        <v>4</v>
      </c>
      <c r="J61" s="129"/>
      <c r="K61" s="129"/>
      <c r="L61" s="129">
        <f>SUM(Tabela13[[#This Row],[QTD DE B/T 2]],Tabela13[[#This Row],[QTD DE B/T]])</f>
        <v>6</v>
      </c>
      <c r="M61" s="22">
        <v>0</v>
      </c>
      <c r="N61" s="22">
        <f>Tabela13[[#This Row],[ELEVADOR]]/Tabela13[[#This Row],[BLOCO TOTAL]]</f>
        <v>0</v>
      </c>
      <c r="O61" s="22" t="s">
        <v>5</v>
      </c>
      <c r="P61" s="76" t="s">
        <v>101</v>
      </c>
      <c r="Q61" s="76" t="s">
        <v>101</v>
      </c>
      <c r="R61" s="76" t="s">
        <v>142</v>
      </c>
      <c r="S61" s="76" t="s">
        <v>103</v>
      </c>
      <c r="T61" s="76" t="s">
        <v>104</v>
      </c>
      <c r="U61" s="76" t="s">
        <v>105</v>
      </c>
      <c r="V61" s="22"/>
      <c r="W61" s="24">
        <f>IF(P61=[1]BD_CUSTO!$E$4,[1]BD_CUSTO!$F$4,[1]BD_CUSTO!$F$5)</f>
        <v>2430</v>
      </c>
      <c r="X61" s="24">
        <f>IF(Q61=[1]BD_CUSTO!$E$6,[1]BD_CUSTO!$F$6,[1]BD_CUSTO!$F$7)</f>
        <v>260</v>
      </c>
      <c r="Y61" s="24">
        <f>IF(R61=[1]BD_CUSTO!$E$8,[1]BD_CUSTO!$F$8,[1]BD_CUSTO!$F$9)</f>
        <v>900</v>
      </c>
      <c r="Z61" s="24">
        <f>IF(S61=[1]BD_CUSTO!$E$10,[1]BD_CUSTO!$F$10,[1]BD_CUSTO!$F$11)</f>
        <v>500</v>
      </c>
      <c r="AA61" s="24">
        <f>IF(T61=[1]BD_CUSTO!$E$12,[1]BD_CUSTO!$F$12,[1]BD_CUSTO!$F$13)</f>
        <v>370</v>
      </c>
      <c r="AB61" s="24">
        <f>IF(U61=[1]BD_CUSTO!$E$14,[1]BD_CUSTO!$F$14,[1]BD_CUSTO!$F$15)</f>
        <v>90</v>
      </c>
      <c r="AC61" s="24">
        <f>IF(V61=[1]BD_CUSTO!$E$16,[1]BD_CUSTO!$F$16,[1]BD_CUSTO!$F$17)</f>
        <v>1320</v>
      </c>
      <c r="AD61" s="76" t="s">
        <v>111</v>
      </c>
      <c r="AE61" s="76">
        <v>1</v>
      </c>
      <c r="AF61" s="76" t="s">
        <v>108</v>
      </c>
      <c r="AG61" s="76">
        <v>1</v>
      </c>
      <c r="AH61" s="76" t="s">
        <v>126</v>
      </c>
      <c r="AI61" s="76">
        <v>1</v>
      </c>
      <c r="AJ61" s="76" t="s">
        <v>109</v>
      </c>
      <c r="AK61" s="76">
        <v>1</v>
      </c>
      <c r="AL61" s="22" t="s">
        <v>110</v>
      </c>
      <c r="AM61" s="22">
        <v>1</v>
      </c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4">
        <f>IF(AD61="",0,VLOOKUP(AD61,[1]BD_CUSTO!I:J,2,0)*AE61/E61)</f>
        <v>168.75</v>
      </c>
      <c r="AY61" s="24">
        <f>IF(AF61="",0,VLOOKUP(AF61,[1]BD_CUSTO!I:J,2,0)*AG61/E61)</f>
        <v>241.14583333333334</v>
      </c>
      <c r="AZ61" s="24">
        <f>IF(AH61="",0,VLOOKUP(AH61,[1]BD_CUSTO!I:J,2,0)*AI61/E61)</f>
        <v>78.75</v>
      </c>
      <c r="BA61" s="24">
        <f>IF(AJ61="",0,VLOOKUP(AJ61,[1]BD_CUSTO!I:J,2,0)*AK61/E61)</f>
        <v>72.395833333333329</v>
      </c>
      <c r="BB61" s="24">
        <f>IF(AL61="",0,VLOOKUP(AL61,[1]BD_CUSTO!I:J,2,0)*AM61/E61)</f>
        <v>55.208333333333336</v>
      </c>
      <c r="BC61" s="24">
        <f>IF(AN61="",0,VLOOKUP(AN61,[1]BD_CUSTO!I:J,2,0)*AO61/E61)</f>
        <v>0</v>
      </c>
      <c r="BD61" s="24">
        <f>IF(AP61="",0,VLOOKUP(AP61,[1]BD_CUSTO!I:J,2,0)*AQ61/E61)</f>
        <v>0</v>
      </c>
      <c r="BE61" s="24">
        <f>IF(AR61="",0,VLOOKUP(AR61,CUSTO!I:J,2,0)*AS61/E61)</f>
        <v>0</v>
      </c>
      <c r="BF61" s="24">
        <f>IF(AT61="",0,VLOOKUP(AT61,[1]BD_CUSTO!I:J,2,0)*AU61/E61)</f>
        <v>0</v>
      </c>
      <c r="BG61" s="24">
        <f>IF(Tabela13[[#This Row],[LZ 10]]="",0,VLOOKUP(Tabela13[[#This Row],[LZ 10]],[1]BD_CUSTO!I:J,2,0)*Tabela13[[#This Row],[QTD922]]/E61)</f>
        <v>0</v>
      </c>
      <c r="BH61" s="76" t="s">
        <v>112</v>
      </c>
      <c r="BI61" s="127">
        <v>0.25</v>
      </c>
      <c r="BJ61" s="76" t="s">
        <v>113</v>
      </c>
      <c r="BK61" s="127">
        <v>0</v>
      </c>
      <c r="BL61" s="24">
        <f>IF(BH61=[1]BD_CUSTO!$M$6,[1]BD_CUSTO!$N$6)*BI61</f>
        <v>750</v>
      </c>
      <c r="BM61" s="24">
        <f>IF(BJ61=[1]BD_CUSTO!$M$4,[1]BD_CUSTO!$N$4,[1]BD_CUSTO!$N$5)*BK61</f>
        <v>0</v>
      </c>
      <c r="BN61" s="76" t="s">
        <v>114</v>
      </c>
      <c r="BO61" s="76">
        <v>69</v>
      </c>
      <c r="BP61" s="25">
        <f>Tabela13[[#This Row],[QTD ]]/Tabela13[[#This Row],[Nº UNDS]]</f>
        <v>0.71875</v>
      </c>
      <c r="BQ61" s="76" t="s">
        <v>123</v>
      </c>
      <c r="BR61" s="76">
        <v>9</v>
      </c>
      <c r="BS61" s="22" t="s">
        <v>116</v>
      </c>
      <c r="BT61" s="22">
        <v>0</v>
      </c>
      <c r="BU61" s="22" t="s">
        <v>16</v>
      </c>
      <c r="BV61" s="22">
        <v>0</v>
      </c>
      <c r="BW61" s="24">
        <f>IF(BN61=[1]BD_CUSTO!$Q$7,[1]BD_CUSTO!$R$7,[1]BD_CUSTO!$R$8)*BO61/E61</f>
        <v>1437.5</v>
      </c>
      <c r="BX61" s="24">
        <f>IF(BQ61=[1]BD_CUSTO!$Q$4,[1]BD_CUSTO!$R$4,[1]BD_CUSTO!$R$5)*BR61/E61</f>
        <v>93.75</v>
      </c>
      <c r="BY61" s="22">
        <f>IF(BS61=[1]BD_CUSTO!$Q$13,[1]BD_CUSTO!$R$13,[1]BD_CUSTO!$R$14)*BT61/E61</f>
        <v>0</v>
      </c>
      <c r="BZ61" s="24">
        <f>BV61*CUSTO!$R$10/E61</f>
        <v>0</v>
      </c>
      <c r="CA61" s="26">
        <f>SUM(Tabela13[[#This Row],[SOMA_PISO SALA E QUARTO]],Tabela13[[#This Row],[SOMA_PAREDE HIDR]],Tabela13[[#This Row],[SOMA_TETO]],Tabela13[[#This Row],[SOMA_BANCADA]],Tabela13[[#This Row],[SOMA_PEDRAS]])</f>
        <v>4290</v>
      </c>
      <c r="CB61" s="27" t="str">
        <f>IF(CA61&lt;=RÉGUAS!$D$4,"ACAB 01",IF(CA61&lt;=RÉGUAS!$F$4,"ACAB 02",IF(CA61&gt;RÉGUAS!$F$4,"ACAB 03",)))</f>
        <v>ACAB 02</v>
      </c>
      <c r="CC61" s="26">
        <f>SUM(Tabela13[[#This Row],[SOMA_LZ 01]:[SOMA_LZ 10]])</f>
        <v>616.25000000000011</v>
      </c>
      <c r="CD61" s="22" t="str">
        <f>IF(CC61&lt;=RÉGUAS!$D$13,"LZ 01",IF(CC61&lt;=RÉGUAS!$F$13,"LZ 02",IF(CC61&lt;=RÉGUAS!$H$13,"LZ 03",IF(CC61&gt;RÉGUAS!$H$13,"LZ 04",))))</f>
        <v>LZ 01</v>
      </c>
      <c r="CE61" s="28">
        <f t="shared" si="1"/>
        <v>750</v>
      </c>
      <c r="CF61" s="22" t="str">
        <f>IF(CE61&lt;=RÉGUAS!$D$22,"TIP 01",IF(CE61&lt;=RÉGUAS!$F$22,"TIP 02",IF(CE61&gt;RÉGUAS!$F$22,"TIP 03",)))</f>
        <v>TIP 01</v>
      </c>
      <c r="CG61" s="28">
        <f t="shared" si="2"/>
        <v>1531.25</v>
      </c>
      <c r="CH61" s="22" t="str">
        <f>IF(CG61&lt;=RÉGUAS!$D$32,"VAGA 01",IF(CG61&lt;=RÉGUAS!$F$32,"VAGA 02",IF(CG61&gt;RÉGUAS!$F$32,"VAGA 03",)))</f>
        <v>VAGA 02</v>
      </c>
      <c r="CI61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61" s="85" t="str">
        <f>IF(AND(G61="BLOCO",CI61&lt;=RÉGUAS!$D$40),"ELEV 01",IF(AND(G61="BLOCO",CI61&gt;RÉGUAS!$D$40),"ELEV 02",IF(AND(G61="TORRE",CI61&lt;=RÉGUAS!$K$40),"ELEV 01",IF(AND(G61="TORRE",CI61&lt;=RÉGUAS!$M$40),"ELEV 02",IF(AND(G61="TORRE",CI61&gt;RÉGUAS!$M$40),"ELEV 03",)))))</f>
        <v>ELEV 01</v>
      </c>
      <c r="CK61" s="85">
        <f>SUM(Tabela13[[#This Row],[TOTAL  ACAB]],Tabela13[[#This Row],[TOTAL LAZER ]],Tabela13[[#This Row],[TOTAL TIPOLOGIA]],Tabela13[[#This Row],[TOTAL VAGA]],Tabela13[[#This Row],[TOTAL ELEVADOR]])</f>
        <v>7187.5</v>
      </c>
      <c r="CL61" s="72" t="str">
        <f>IF(AND(G61="BLOCO",CK61&lt;=RÉGUAS!$D$50),"ESSENCIAL",IF(AND(G61="BLOCO",CK61&lt;=RÉGUAS!$F$50),"ECO",IF(AND(G61="BLOCO",CK61&gt;RÉGUAS!$F$50),"BIO",IF(AND(G61="TORRE",CK61&lt;=RÉGUAS!$K$50),"ESSENCIAL",IF(AND(G61="TORRE",CK61&lt;=RÉGUAS!$M$50),"ECO",IF(AND(G61="TORRE",CK61&gt;RÉGUAS!$M$50),"BIO",))))))</f>
        <v>ESSENCIAL</v>
      </c>
      <c r="CM61" s="28" t="str">
        <f>IF(AND(G61="BLOCO",CK61&gt;=RÉGUAS!$D$51,CK61&lt;=RÉGUAS!$D$50),"ESSENCIAL-10%",IF(AND(G61="BLOCO",CK61&gt;RÉGUAS!$D$50,CK61&lt;=RÉGUAS!$E$51),"ECO+10%",IF(AND(G61="BLOCO",CK61&gt;=RÉGUAS!$F$51,CK61&lt;=RÉGUAS!$F$50),"ECO-10%",IF(AND(G61="BLOCO",CK61&gt;RÉGUAS!$F$50,CK61&lt;=RÉGUAS!$G$51),"BIO+10%",IF(AND(G61="TORRE",CK61&gt;=RÉGUAS!$K$51,CK61&lt;=RÉGUAS!$K$50),"ESSENCIAL-10%",IF(AND(G61="TORRE",CK61&gt;RÉGUAS!$K$50,CK61&lt;=RÉGUAS!$L$51),"ECO+10%",IF(AND(G61="TORRE",CK61&gt;=RÉGUAS!$M$51,CK61&lt;=RÉGUAS!$M$50),"ECO-10%",IF(AND(G61="TORRE",CK61&gt;RÉGUAS!$M$50,CK61&lt;=RÉGUAS!$N$51),"BIO+10%","-"))))))))</f>
        <v>-</v>
      </c>
      <c r="CN61" s="73">
        <f t="shared" si="3"/>
        <v>7187.5</v>
      </c>
      <c r="CO61" s="72" t="str">
        <f>IF(CN61&lt;=RÉGUAS!$D$58,"ESSENCIAL",IF(CN61&lt;=RÉGUAS!$F$58,"ECO",IF(CN61&gt;RÉGUAS!$F$58,"BIO",)))</f>
        <v>ECO</v>
      </c>
      <c r="CP61" s="72" t="str">
        <f>IF(Tabela13[[#This Row],[INTERVALO DE INTERSEÇÃO 5D]]="-",Tabela13[[#This Row],[CLASSIFICAÇÃO 
5D ]],Tabela13[[#This Row],[CLASSIFICAÇÃO 
4D]])</f>
        <v>ESSENCIAL</v>
      </c>
      <c r="CQ61" s="72" t="str">
        <f t="shared" si="4"/>
        <v>-</v>
      </c>
      <c r="CR61" s="72" t="str">
        <f t="shared" si="5"/>
        <v>ESSENCIAL</v>
      </c>
      <c r="CS61" s="22" t="str">
        <f>IF(Tabela13[[#This Row],[PRODUTO ATUAL ]]=Tabela13[[#This Row],[CLASSIFICAÇÃO FINAL 5D]],"ADERÊNTE","NÃO ADERÊNTE")</f>
        <v>NÃO ADERÊNTE</v>
      </c>
      <c r="CT61" s="24">
        <f>SUM(Tabela13[[#This Row],[TOTAL  ACAB]],Tabela13[[#This Row],[TOTAL LAZER ]],Tabela13[[#This Row],[TOTAL TIPOLOGIA]],Tabela13[[#This Row],[TOTAL VAGA]])</f>
        <v>7187.5</v>
      </c>
      <c r="CU61" s="22" t="str">
        <f>IF(CT61&lt;=RÉGUAS!$D$58,"ESSENCIAL",IF(CT61&lt;=RÉGUAS!$F$58,"ECO",IF(CT61&gt;RÉGUAS!$F$58,"BIO",)))</f>
        <v>ECO</v>
      </c>
      <c r="CV61" s="22" t="str">
        <f>IF(AND(CT61&gt;=RÉGUAS!$D$59,CT61&lt;=RÉGUAS!$E$59),"ESSENCIAL/ECO",IF(AND(CT61&gt;=RÉGUAS!$F$59,CT61&lt;=RÉGUAS!$G$59),"ECO/BIO","-"))</f>
        <v>ESSENCIAL/ECO</v>
      </c>
      <c r="CW61" s="85">
        <f>SUM(Tabela13[[#This Row],[TOTAL LAZER ]],Tabela13[[#This Row],[TOTAL TIPOLOGIA]])</f>
        <v>1366.25</v>
      </c>
      <c r="CX61" s="22" t="str">
        <f>IF(CW61&lt;=RÉGUAS!$D$72,"ESSENCIAL",IF(CW61&lt;=RÉGUAS!$F$72,"ECO",IF(CN61&gt;RÉGUAS!$F$72,"BIO",)))</f>
        <v>ESSENCIAL</v>
      </c>
      <c r="CY61" s="22" t="str">
        <f t="shared" si="6"/>
        <v>ESSENCIAL</v>
      </c>
      <c r="CZ61" s="22" t="str">
        <f>IF(Tabela13[[#This Row],[PRODUTO ATUAL ]]=CY61,"ADERENTE","NÃO ADERENTE")</f>
        <v>NÃO ADERENTE</v>
      </c>
      <c r="DA61" s="22" t="str">
        <f>IF(Tabela13[[#This Row],[PRODUTO ATUAL ]]=Tabela13[[#This Row],[CLASSIFICAÇÃO 
4D2]],"ADERENTE","NÃO ADERENTE")</f>
        <v>ADERENTE</v>
      </c>
    </row>
    <row r="62" spans="2:105" hidden="1" x14ac:dyDescent="0.35">
      <c r="B62" s="27">
        <v>68</v>
      </c>
      <c r="C62" s="22" t="s">
        <v>187</v>
      </c>
      <c r="D62" s="22" t="s">
        <v>154</v>
      </c>
      <c r="E62" s="128">
        <v>176</v>
      </c>
      <c r="F62" s="22" t="str">
        <f t="shared" si="0"/>
        <v>Até 200 und</v>
      </c>
      <c r="G62" s="22" t="s">
        <v>1</v>
      </c>
      <c r="H62" s="129">
        <v>11</v>
      </c>
      <c r="I62" s="36">
        <v>4</v>
      </c>
      <c r="J62" s="36"/>
      <c r="K62" s="36"/>
      <c r="L62" s="36">
        <f>SUM(Tabela13[[#This Row],[QTD DE B/T 2]],Tabela13[[#This Row],[QTD DE B/T]])</f>
        <v>11</v>
      </c>
      <c r="M62" s="22">
        <v>0</v>
      </c>
      <c r="N62" s="22">
        <f>Tabela13[[#This Row],[ELEVADOR]]/Tabela13[[#This Row],[BLOCO TOTAL]]</f>
        <v>0</v>
      </c>
      <c r="O62" s="22" t="s">
        <v>5</v>
      </c>
      <c r="P62" s="76" t="s">
        <v>101</v>
      </c>
      <c r="Q62" s="76" t="s">
        <v>101</v>
      </c>
      <c r="R62" s="76" t="s">
        <v>142</v>
      </c>
      <c r="S62" s="76" t="s">
        <v>103</v>
      </c>
      <c r="T62" s="76" t="s">
        <v>104</v>
      </c>
      <c r="U62" s="76" t="s">
        <v>105</v>
      </c>
      <c r="V62" s="22" t="s">
        <v>106</v>
      </c>
      <c r="W62" s="24">
        <f>IF(P62=[1]BD_CUSTO!$E$4,[1]BD_CUSTO!$F$4,[1]BD_CUSTO!$F$5)</f>
        <v>2430</v>
      </c>
      <c r="X62" s="24">
        <f>IF(Q62=[1]BD_CUSTO!$E$6,[1]BD_CUSTO!$F$6,[1]BD_CUSTO!$F$7)</f>
        <v>260</v>
      </c>
      <c r="Y62" s="24">
        <f>IF(R62=[1]BD_CUSTO!$E$8,[1]BD_CUSTO!$F$8,[1]BD_CUSTO!$F$9)</f>
        <v>900</v>
      </c>
      <c r="Z62" s="24">
        <f>IF(S62=[1]BD_CUSTO!$E$10,[1]BD_CUSTO!$F$10,[1]BD_CUSTO!$F$11)</f>
        <v>500</v>
      </c>
      <c r="AA62" s="24">
        <f>IF(T62=[1]BD_CUSTO!$E$12,[1]BD_CUSTO!$F$12,[1]BD_CUSTO!$F$13)</f>
        <v>370</v>
      </c>
      <c r="AB62" s="24">
        <f>IF(U62=[1]BD_CUSTO!$E$14,[1]BD_CUSTO!$F$14,[1]BD_CUSTO!$F$15)</f>
        <v>90</v>
      </c>
      <c r="AC62" s="24">
        <f>IF(V62=[1]BD_CUSTO!$E$16,[1]BD_CUSTO!$F$16,[1]BD_CUSTO!$F$17)</f>
        <v>720</v>
      </c>
      <c r="AD62" s="76" t="s">
        <v>110</v>
      </c>
      <c r="AE62" s="76">
        <v>1</v>
      </c>
      <c r="AF62" s="76" t="s">
        <v>107</v>
      </c>
      <c r="AG62" s="76">
        <v>1</v>
      </c>
      <c r="AH62" s="76" t="s">
        <v>108</v>
      </c>
      <c r="AI62" s="76">
        <v>1</v>
      </c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4">
        <f>IF(AD62="",0,VLOOKUP(AD62,[1]BD_CUSTO!I:J,2,0)*AE62/E62)</f>
        <v>30.113636363636363</v>
      </c>
      <c r="AY62" s="24">
        <f>IF(AF62="",0,VLOOKUP(AF62,[1]BD_CUSTO!I:J,2,0)*AG62/E62)</f>
        <v>483.80181818181813</v>
      </c>
      <c r="AZ62" s="24">
        <f>IF(AH62="",0,VLOOKUP(AH62,[1]BD_CUSTO!I:J,2,0)*AI62/E62)</f>
        <v>131.53409090909091</v>
      </c>
      <c r="BA62" s="24">
        <f>IF(AJ62="",0,VLOOKUP(AJ62,[1]BD_CUSTO!I:J,2,0)*AK62/E62)</f>
        <v>0</v>
      </c>
      <c r="BB62" s="24">
        <f>IF(AL62="",0,VLOOKUP(AL62,[1]BD_CUSTO!I:J,2,0)*AM62/E62)</f>
        <v>0</v>
      </c>
      <c r="BC62" s="24">
        <f>IF(AN62="",0,VLOOKUP(AN62,[1]BD_CUSTO!I:J,2,0)*AO62/E62)</f>
        <v>0</v>
      </c>
      <c r="BD62" s="24">
        <f>IF(AP62="",0,VLOOKUP(AP62,[1]BD_CUSTO!I:J,2,0)*AQ62/E62)</f>
        <v>0</v>
      </c>
      <c r="BE62" s="24">
        <f>IF(AR62="",0,VLOOKUP(AR62,CUSTO!I:J,2,0)*AS62/E62)</f>
        <v>0</v>
      </c>
      <c r="BF62" s="24">
        <f>IF(AT62="",0,VLOOKUP(AT62,[1]BD_CUSTO!I:J,2,0)*AU62/E62)</f>
        <v>0</v>
      </c>
      <c r="BG62" s="24">
        <f>IF(Tabela13[[#This Row],[LZ 10]]="",0,VLOOKUP(Tabela13[[#This Row],[LZ 10]],[1]BD_CUSTO!I:J,2,0)*Tabela13[[#This Row],[QTD922]]/E62)</f>
        <v>0</v>
      </c>
      <c r="BH62" s="76" t="s">
        <v>112</v>
      </c>
      <c r="BI62" s="127">
        <f>66/Tabela13[[#This Row],[Nº UNDS]]</f>
        <v>0.375</v>
      </c>
      <c r="BJ62" s="76" t="s">
        <v>113</v>
      </c>
      <c r="BK62" s="127">
        <v>0</v>
      </c>
      <c r="BL62" s="24">
        <f>IF(BH62=[1]BD_CUSTO!$M$6,[1]BD_CUSTO!$N$6)*BI62</f>
        <v>1125</v>
      </c>
      <c r="BM62" s="24">
        <f>IF(BJ62=[1]BD_CUSTO!$M$4,[1]BD_CUSTO!$N$4,[1]BD_CUSTO!$N$5)*BK62</f>
        <v>0</v>
      </c>
      <c r="BN62" s="76" t="s">
        <v>114</v>
      </c>
      <c r="BO62" s="76">
        <v>145</v>
      </c>
      <c r="BP62" s="25">
        <f>Tabela13[[#This Row],[QTD ]]/Tabela13[[#This Row],[Nº UNDS]]</f>
        <v>0.82386363636363635</v>
      </c>
      <c r="BQ62" s="22" t="s">
        <v>115</v>
      </c>
      <c r="BR62" s="22">
        <v>0</v>
      </c>
      <c r="BS62" s="22" t="s">
        <v>116</v>
      </c>
      <c r="BT62" s="22">
        <v>0</v>
      </c>
      <c r="BU62" s="22" t="s">
        <v>16</v>
      </c>
      <c r="BV62" s="22">
        <v>0</v>
      </c>
      <c r="BW62" s="24">
        <f>IF(BN62=[1]BD_CUSTO!$Q$7,[1]BD_CUSTO!$R$7,[1]BD_CUSTO!$R$8)*BO62/E62</f>
        <v>1647.7272727272727</v>
      </c>
      <c r="BX62" s="24">
        <f>IF(BQ62=[1]BD_CUSTO!$Q$4,[1]BD_CUSTO!$R$4,[1]BD_CUSTO!$R$5)*BR62/E62</f>
        <v>0</v>
      </c>
      <c r="BY62" s="22">
        <f>IF(BS62=[1]BD_CUSTO!$Q$13,[1]BD_CUSTO!$R$13,[1]BD_CUSTO!$R$14)*BT62/E62</f>
        <v>0</v>
      </c>
      <c r="BZ62" s="24">
        <f>BV62*CUSTO!$R$10/E62</f>
        <v>0</v>
      </c>
      <c r="CA62" s="26">
        <f>SUM(Tabela13[[#This Row],[SOMA_PISO SALA E QUARTO]],Tabela13[[#This Row],[SOMA_PAREDE HIDR]],Tabela13[[#This Row],[SOMA_TETO]],Tabela13[[#This Row],[SOMA_BANCADA]],Tabela13[[#This Row],[SOMA_PEDRAS]])</f>
        <v>4290</v>
      </c>
      <c r="CB62" s="27" t="str">
        <f>IF(CA62&lt;=RÉGUAS!$D$4,"ACAB 01",IF(CA62&lt;=RÉGUAS!$F$4,"ACAB 02",IF(CA62&gt;RÉGUAS!$F$4,"ACAB 03",)))</f>
        <v>ACAB 02</v>
      </c>
      <c r="CC62" s="26">
        <f>SUM(Tabela13[[#This Row],[SOMA_LZ 01]:[SOMA_LZ 10]])</f>
        <v>645.44954545454539</v>
      </c>
      <c r="CD62" s="22" t="str">
        <f>IF(CC62&lt;=RÉGUAS!$D$13,"LZ 01",IF(CC62&lt;=RÉGUAS!$F$13,"LZ 02",IF(CC62&lt;=RÉGUAS!$H$13,"LZ 03",IF(CC62&gt;RÉGUAS!$H$13,"LZ 04",))))</f>
        <v>LZ 01</v>
      </c>
      <c r="CE62" s="28">
        <f t="shared" si="1"/>
        <v>1125</v>
      </c>
      <c r="CF62" s="22" t="str">
        <f>IF(CE62&lt;=RÉGUAS!$D$22,"TIP 01",IF(CE62&lt;=RÉGUAS!$F$22,"TIP 02",IF(CE62&gt;RÉGUAS!$F$22,"TIP 03",)))</f>
        <v>TIP 01</v>
      </c>
      <c r="CG62" s="28">
        <f t="shared" si="2"/>
        <v>1647.7272727272727</v>
      </c>
      <c r="CH62" s="22" t="str">
        <f>IF(CG62&lt;=RÉGUAS!$D$32,"VAGA 01",IF(CG62&lt;=RÉGUAS!$F$32,"VAGA 02",IF(CG62&gt;RÉGUAS!$F$32,"VAGA 03",)))</f>
        <v>VAGA 02</v>
      </c>
      <c r="CI62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62" s="85" t="str">
        <f>IF(AND(G62="BLOCO",CI62&lt;=RÉGUAS!$D$40),"ELEV 01",IF(AND(G62="BLOCO",CI62&gt;RÉGUAS!$D$40),"ELEV 02",IF(AND(G62="TORRE",CI62&lt;=RÉGUAS!$K$40),"ELEV 01",IF(AND(G62="TORRE",CI62&lt;=RÉGUAS!$M$40),"ELEV 02",IF(AND(G62="TORRE",CI62&gt;RÉGUAS!$M$40),"ELEV 03",)))))</f>
        <v>ELEV 01</v>
      </c>
      <c r="CK62" s="85">
        <f>SUM(Tabela13[[#This Row],[TOTAL  ACAB]],Tabela13[[#This Row],[TOTAL LAZER ]],Tabela13[[#This Row],[TOTAL TIPOLOGIA]],Tabela13[[#This Row],[TOTAL VAGA]],Tabela13[[#This Row],[TOTAL ELEVADOR]])</f>
        <v>7708.1768181818179</v>
      </c>
      <c r="CL62" s="72" t="str">
        <f>IF(AND(G62="BLOCO",CK62&lt;=RÉGUAS!$D$50),"ESSENCIAL",IF(AND(G62="BLOCO",CK62&lt;=RÉGUAS!$F$50),"ECO",IF(AND(G62="BLOCO",CK62&gt;RÉGUAS!$F$50),"BIO",IF(AND(G62="TORRE",CK62&lt;=RÉGUAS!$K$50),"ESSENCIAL",IF(AND(G62="TORRE",CK62&lt;=RÉGUAS!$M$50),"ECO",IF(AND(G62="TORRE",CK62&gt;RÉGUAS!$M$50),"BIO",))))))</f>
        <v>ESSENCIAL</v>
      </c>
      <c r="CM62" s="28" t="str">
        <f>IF(AND(G62="BLOCO",CK62&gt;=RÉGUAS!$D$51,CK62&lt;=RÉGUAS!$D$50),"ESSENCIAL-10%",IF(AND(G62="BLOCO",CK62&gt;RÉGUAS!$D$50,CK62&lt;=RÉGUAS!$E$51),"ECO+10%",IF(AND(G62="BLOCO",CK62&gt;=RÉGUAS!$F$51,CK62&lt;=RÉGUAS!$F$50),"ECO-10%",IF(AND(G62="BLOCO",CK62&gt;RÉGUAS!$F$50,CK62&lt;=RÉGUAS!$G$51),"BIO+10%",IF(AND(G62="TORRE",CK62&gt;=RÉGUAS!$K$51,CK62&lt;=RÉGUAS!$K$50),"ESSENCIAL-10%",IF(AND(G62="TORRE",CK62&gt;RÉGUAS!$K$50,CK62&lt;=RÉGUAS!$L$51),"ECO+10%",IF(AND(G62="TORRE",CK62&gt;=RÉGUAS!$M$51,CK62&lt;=RÉGUAS!$M$50),"ECO-10%",IF(AND(G62="TORRE",CK62&gt;RÉGUAS!$M$50,CK62&lt;=RÉGUAS!$N$51),"BIO+10%","-"))))))))</f>
        <v>ESSENCIAL-10%</v>
      </c>
      <c r="CN62" s="73">
        <f t="shared" si="3"/>
        <v>7708.1768181818179</v>
      </c>
      <c r="CO62" s="72" t="str">
        <f>IF(CN62&lt;=RÉGUAS!$D$58,"ESSENCIAL",IF(CN62&lt;=RÉGUAS!$F$58,"ECO",IF(CN62&gt;RÉGUAS!$F$58,"BIO",)))</f>
        <v>ECO</v>
      </c>
      <c r="CP62" s="72" t="str">
        <f>IF(Tabela13[[#This Row],[INTERVALO DE INTERSEÇÃO 5D]]="-",Tabela13[[#This Row],[CLASSIFICAÇÃO 
5D ]],Tabela13[[#This Row],[CLASSIFICAÇÃO 
4D]])</f>
        <v>ECO</v>
      </c>
      <c r="CQ62" s="72" t="str">
        <f t="shared" si="4"/>
        <v>-</v>
      </c>
      <c r="CR62" s="72" t="str">
        <f t="shared" si="5"/>
        <v>ECO</v>
      </c>
      <c r="CS62" s="22" t="str">
        <f>IF(Tabela13[[#This Row],[PRODUTO ATUAL ]]=Tabela13[[#This Row],[CLASSIFICAÇÃO FINAL 5D]],"ADERÊNTE","NÃO ADERÊNTE")</f>
        <v>ADERÊNTE</v>
      </c>
      <c r="CT62" s="24">
        <f>SUM(Tabela13[[#This Row],[TOTAL  ACAB]],Tabela13[[#This Row],[TOTAL LAZER ]],Tabela13[[#This Row],[TOTAL TIPOLOGIA]],Tabela13[[#This Row],[TOTAL VAGA]])</f>
        <v>7708.1768181818179</v>
      </c>
      <c r="CU62" s="22" t="str">
        <f>IF(CT62&lt;=RÉGUAS!$D$58,"ESSENCIAL",IF(CT62&lt;=RÉGUAS!$F$58,"ECO",IF(CT62&gt;RÉGUAS!$F$58,"BIO",)))</f>
        <v>ECO</v>
      </c>
      <c r="CV62" s="22" t="str">
        <f>IF(AND(CT62&gt;=RÉGUAS!$D$59,CT62&lt;=RÉGUAS!$E$59),"ESSENCIAL/ECO",IF(AND(CT62&gt;=RÉGUAS!$F$59,CT62&lt;=RÉGUAS!$G$59),"ECO/BIO","-"))</f>
        <v>-</v>
      </c>
      <c r="CW62" s="85">
        <f>SUM(Tabela13[[#This Row],[TOTAL LAZER ]],Tabela13[[#This Row],[TOTAL TIPOLOGIA]])</f>
        <v>1770.4495454545454</v>
      </c>
      <c r="CX62" s="22" t="str">
        <f>IF(CW62&lt;=RÉGUAS!$D$72,"ESSENCIAL",IF(CW62&lt;=RÉGUAS!$F$72,"ECO",IF(CN62&gt;RÉGUAS!$F$72,"BIO",)))</f>
        <v>ESSENCIAL</v>
      </c>
      <c r="CY62" s="22" t="str">
        <f t="shared" si="6"/>
        <v>ECO</v>
      </c>
      <c r="CZ62" s="22" t="str">
        <f>IF(Tabela13[[#This Row],[PRODUTO ATUAL ]]=CY62,"ADERENTE","NÃO ADERENTE")</f>
        <v>ADERENTE</v>
      </c>
      <c r="DA62" s="22" t="str">
        <f>IF(Tabela13[[#This Row],[PRODUTO ATUAL ]]=Tabela13[[#This Row],[CLASSIFICAÇÃO 
4D2]],"ADERENTE","NÃO ADERENTE")</f>
        <v>ADERENTE</v>
      </c>
    </row>
    <row r="63" spans="2:105" hidden="1" x14ac:dyDescent="0.35">
      <c r="B63" s="27">
        <v>67</v>
      </c>
      <c r="C63" s="22" t="s">
        <v>191</v>
      </c>
      <c r="D63" s="22" t="s">
        <v>128</v>
      </c>
      <c r="E63" s="23">
        <v>384</v>
      </c>
      <c r="F63" s="22" t="str">
        <f t="shared" si="0"/>
        <v>De 200 a 400 und</v>
      </c>
      <c r="G63" s="22" t="s">
        <v>14</v>
      </c>
      <c r="H63" s="36">
        <v>2</v>
      </c>
      <c r="I63" s="36">
        <v>16</v>
      </c>
      <c r="J63" s="36"/>
      <c r="K63" s="36"/>
      <c r="L63" s="36">
        <f>SUM(Tabela13[[#This Row],[QTD DE B/T 2]],Tabela13[[#This Row],[QTD DE B/T]])</f>
        <v>2</v>
      </c>
      <c r="M63" s="22">
        <v>8</v>
      </c>
      <c r="N63" s="22">
        <f>Tabela13[[#This Row],[ELEVADOR]]/Tabela13[[#This Row],[BLOCO TOTAL]]</f>
        <v>4</v>
      </c>
      <c r="O63" s="22" t="s">
        <v>5</v>
      </c>
      <c r="P63" s="22" t="s">
        <v>101</v>
      </c>
      <c r="Q63" s="22" t="s">
        <v>101</v>
      </c>
      <c r="R63" s="22" t="s">
        <v>142</v>
      </c>
      <c r="S63" s="22" t="s">
        <v>103</v>
      </c>
      <c r="T63" s="22" t="s">
        <v>104</v>
      </c>
      <c r="U63" s="22" t="s">
        <v>105</v>
      </c>
      <c r="V63" s="22" t="s">
        <v>106</v>
      </c>
      <c r="W63" s="24">
        <f>IF(P63=[1]BD_CUSTO!$E$4,[1]BD_CUSTO!$F$4,[1]BD_CUSTO!$F$5)</f>
        <v>2430</v>
      </c>
      <c r="X63" s="24">
        <f>IF(Q63=[1]BD_CUSTO!$E$6,[1]BD_CUSTO!$F$6,[1]BD_CUSTO!$F$7)</f>
        <v>260</v>
      </c>
      <c r="Y63" s="24">
        <f>IF(R63=[1]BD_CUSTO!$E$8,[1]BD_CUSTO!$F$8,[1]BD_CUSTO!$F$9)</f>
        <v>900</v>
      </c>
      <c r="Z63" s="24">
        <f>IF(S63=[1]BD_CUSTO!$E$10,[1]BD_CUSTO!$F$10,[1]BD_CUSTO!$F$11)</f>
        <v>500</v>
      </c>
      <c r="AA63" s="24">
        <f>IF(T63=[1]BD_CUSTO!$E$12,[1]BD_CUSTO!$F$12,[1]BD_CUSTO!$F$13)</f>
        <v>370</v>
      </c>
      <c r="AB63" s="24">
        <f>IF(U63=[1]BD_CUSTO!$E$14,[1]BD_CUSTO!$F$14,[1]BD_CUSTO!$F$15)</f>
        <v>90</v>
      </c>
      <c r="AC63" s="24">
        <f>IF(V63=[1]BD_CUSTO!$E$16,[1]BD_CUSTO!$F$16,[1]BD_CUSTO!$F$17)</f>
        <v>720</v>
      </c>
      <c r="AD63" s="22" t="s">
        <v>110</v>
      </c>
      <c r="AE63" s="22">
        <v>1</v>
      </c>
      <c r="AF63" s="22" t="s">
        <v>108</v>
      </c>
      <c r="AG63" s="22">
        <v>1</v>
      </c>
      <c r="AH63" s="22" t="s">
        <v>121</v>
      </c>
      <c r="AI63" s="22">
        <v>1</v>
      </c>
      <c r="AJ63" s="22" t="s">
        <v>129</v>
      </c>
      <c r="AK63" s="22">
        <v>1</v>
      </c>
      <c r="AL63" s="22" t="s">
        <v>107</v>
      </c>
      <c r="AM63" s="22">
        <v>1</v>
      </c>
      <c r="AN63" s="22" t="s">
        <v>111</v>
      </c>
      <c r="AO63" s="22">
        <v>1</v>
      </c>
      <c r="AP63" s="22" t="s">
        <v>109</v>
      </c>
      <c r="AQ63" s="22">
        <v>1</v>
      </c>
      <c r="AR63" s="22"/>
      <c r="AS63" s="22"/>
      <c r="AT63" s="22"/>
      <c r="AU63" s="22"/>
      <c r="AV63" s="22"/>
      <c r="AW63" s="22"/>
      <c r="AX63" s="24">
        <f>IF(AD63="",0,VLOOKUP(AD63,[1]BD_CUSTO!I:J,2,0)*AE63/E63)</f>
        <v>13.802083333333334</v>
      </c>
      <c r="AY63" s="24">
        <f>IF(AF63="",0,VLOOKUP(AF63,[1]BD_CUSTO!I:J,2,0)*AG63/E63)</f>
        <v>60.286458333333336</v>
      </c>
      <c r="AZ63" s="24">
        <f>IF(AH63="",0,VLOOKUP(AH63,[1]BD_CUSTO!I:J,2,0)*AI63/E63)</f>
        <v>320.72109374999997</v>
      </c>
      <c r="BA63" s="24">
        <f>IF(AJ63="",0,VLOOKUP(AJ63,[1]BD_CUSTO!I:J,2,0)*AK63/E63)</f>
        <v>716.58223958333338</v>
      </c>
      <c r="BB63" s="24">
        <f>IF(AL63="",0,VLOOKUP(AL63,[1]BD_CUSTO!I:J,2,0)*AM63/E63)</f>
        <v>221.74249999999998</v>
      </c>
      <c r="BC63" s="24">
        <f>IF(AN63="",0,VLOOKUP(AN63,[1]BD_CUSTO!I:J,2,0)*AO63/E63)</f>
        <v>42.1875</v>
      </c>
      <c r="BD63" s="24">
        <f>IF(AP63="",0,VLOOKUP(AP63,[1]BD_CUSTO!I:J,2,0)*AQ63/E63)</f>
        <v>18.098958333333332</v>
      </c>
      <c r="BE63" s="24">
        <f>IF(AR63="",0,VLOOKUP(AR63,CUSTO!I:J,2,0)*AS63/E63)</f>
        <v>0</v>
      </c>
      <c r="BF63" s="24">
        <f>IF(AT63="",0,VLOOKUP(AT63,[1]BD_CUSTO!I:J,2,0)*AU63/E63)</f>
        <v>0</v>
      </c>
      <c r="BG63" s="24">
        <f>IF(Tabela13[[#This Row],[LZ 10]]="",0,VLOOKUP(Tabela13[[#This Row],[LZ 10]],[1]BD_CUSTO!I:J,2,0)*Tabela13[[#This Row],[QTD922]]/E63)</f>
        <v>0</v>
      </c>
      <c r="BH63" s="22" t="s">
        <v>112</v>
      </c>
      <c r="BI63" s="25">
        <f>240/Tabela13[[#This Row],[Nº UNDS]]</f>
        <v>0.625</v>
      </c>
      <c r="BJ63" s="22" t="s">
        <v>113</v>
      </c>
      <c r="BK63" s="25">
        <v>0</v>
      </c>
      <c r="BL63" s="24">
        <f>IF(BH63=[1]BD_CUSTO!$M$6,[1]BD_CUSTO!$N$6)*BI63</f>
        <v>1875</v>
      </c>
      <c r="BM63" s="24">
        <f>IF(BJ63=[1]BD_CUSTO!$M$4,[1]BD_CUSTO!$N$4,[1]BD_CUSTO!$N$5)*BK63</f>
        <v>0</v>
      </c>
      <c r="BN63" s="22" t="s">
        <v>114</v>
      </c>
      <c r="BO63" s="22">
        <f>409-82</f>
        <v>327</v>
      </c>
      <c r="BP63" s="25">
        <f>Tabela13[[#This Row],[QTD ]]/Tabela13[[#This Row],[Nº UNDS]]</f>
        <v>0.8515625</v>
      </c>
      <c r="BQ63" s="22" t="s">
        <v>123</v>
      </c>
      <c r="BR63" s="22">
        <v>82</v>
      </c>
      <c r="BS63" s="22" t="s">
        <v>116</v>
      </c>
      <c r="BT63" s="22">
        <v>0</v>
      </c>
      <c r="BU63" s="22" t="s">
        <v>16</v>
      </c>
      <c r="BV63" s="22">
        <v>0</v>
      </c>
      <c r="BW63" s="24">
        <f>IF(BN63=[1]BD_CUSTO!$Q$7,[1]BD_CUSTO!$R$7,[1]BD_CUSTO!$R$8)*BO63/E63</f>
        <v>1703.125</v>
      </c>
      <c r="BX63" s="24">
        <f>IF(BQ63=[1]BD_CUSTO!$Q$4,[1]BD_CUSTO!$R$4,[1]BD_CUSTO!$R$5)*BR63/E63</f>
        <v>213.54166666666666</v>
      </c>
      <c r="BY63" s="22">
        <f>IF(BS63=[1]BD_CUSTO!$Q$13,[1]BD_CUSTO!$R$13,[1]BD_CUSTO!$R$14)*BT63/E63</f>
        <v>0</v>
      </c>
      <c r="BZ63" s="24">
        <f>BV63*CUSTO!$R$10/E63</f>
        <v>0</v>
      </c>
      <c r="CA63" s="26">
        <f>SUM(Tabela13[[#This Row],[SOMA_PISO SALA E QUARTO]],Tabela13[[#This Row],[SOMA_PAREDE HIDR]],Tabela13[[#This Row],[SOMA_TETO]],Tabela13[[#This Row],[SOMA_BANCADA]],Tabela13[[#This Row],[SOMA_PEDRAS]])</f>
        <v>4290</v>
      </c>
      <c r="CB63" s="27" t="str">
        <f>IF(CA63&lt;=RÉGUAS!$D$4,"ACAB 01",IF(CA63&lt;=RÉGUAS!$F$4,"ACAB 02",IF(CA63&gt;RÉGUAS!$F$4,"ACAB 03",)))</f>
        <v>ACAB 02</v>
      </c>
      <c r="CC63" s="26">
        <f>SUM(Tabela13[[#This Row],[SOMA_LZ 01]:[SOMA_LZ 10]])</f>
        <v>1393.4208333333333</v>
      </c>
      <c r="CD63" s="22" t="str">
        <f>IF(CC63&lt;=RÉGUAS!$D$13,"LZ 01",IF(CC63&lt;=RÉGUAS!$F$13,"LZ 02",IF(CC63&lt;=RÉGUAS!$H$13,"LZ 03",IF(CC63&gt;RÉGUAS!$H$13,"LZ 04",))))</f>
        <v>LZ 02</v>
      </c>
      <c r="CE63" s="28">
        <f t="shared" si="1"/>
        <v>1875</v>
      </c>
      <c r="CF63" s="22" t="str">
        <f>IF(CE63&lt;=RÉGUAS!$D$22,"TIP 01",IF(CE63&lt;=RÉGUAS!$F$22,"TIP 02",IF(CE63&gt;RÉGUAS!$F$22,"TIP 03",)))</f>
        <v>TIP 02</v>
      </c>
      <c r="CG63" s="28">
        <f t="shared" si="2"/>
        <v>1916.6666666666667</v>
      </c>
      <c r="CH63" s="22" t="str">
        <f>IF(CG63&lt;=RÉGUAS!$D$32,"VAGA 01",IF(CG63&lt;=RÉGUAS!$F$32,"VAGA 02",IF(CG63&gt;RÉGUAS!$F$32,"VAGA 03",)))</f>
        <v>VAGA 02</v>
      </c>
      <c r="CI63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5593</v>
      </c>
      <c r="CJ63" s="85" t="str">
        <f>IF(AND(G63="BLOCO",CI63&lt;=RÉGUAS!$D$40),"ELEV 01",IF(AND(G63="BLOCO",CI63&gt;RÉGUAS!$D$40),"ELEV 02",IF(AND(G63="TORRE",CI63&lt;=RÉGUAS!$K$40),"ELEV 01",IF(AND(G63="TORRE",CI63&lt;=RÉGUAS!$M$40),"ELEV 02",IF(AND(G63="TORRE",CI63&gt;RÉGUAS!$M$40),"ELEV 03",)))))</f>
        <v>ELEV 03</v>
      </c>
      <c r="CK63" s="85">
        <f>SUM(Tabela13[[#This Row],[TOTAL  ACAB]],Tabela13[[#This Row],[TOTAL LAZER ]],Tabela13[[#This Row],[TOTAL TIPOLOGIA]],Tabela13[[#This Row],[TOTAL VAGA]],Tabela13[[#This Row],[TOTAL ELEVADOR]])</f>
        <v>15068.0875</v>
      </c>
      <c r="CL63" s="72" t="str">
        <f>IF(AND(G63="BLOCO",CK63&lt;=RÉGUAS!$D$50),"ESSENCIAL",IF(AND(G63="BLOCO",CK63&lt;=RÉGUAS!$F$50),"ECO",IF(AND(G63="BLOCO",CK63&gt;RÉGUAS!$F$50),"BIO",IF(AND(G63="TORRE",CK63&lt;=RÉGUAS!$K$50),"ESSENCIAL",IF(AND(G63="TORRE",CK63&lt;=RÉGUAS!$M$50),"ECO",IF(AND(G63="TORRE",CK63&gt;RÉGUAS!$M$50),"BIO",))))))</f>
        <v>BIO</v>
      </c>
      <c r="CM63" s="28" t="str">
        <f>IF(AND(G63="BLOCO",CK63&gt;=RÉGUAS!$D$51,CK63&lt;=RÉGUAS!$D$50),"ESSENCIAL-10%",IF(AND(G63="BLOCO",CK63&gt;RÉGUAS!$D$50,CK63&lt;=RÉGUAS!$E$51),"ECO+10%",IF(AND(G63="BLOCO",CK63&gt;=RÉGUAS!$F$51,CK63&lt;=RÉGUAS!$F$50),"ECO-10%",IF(AND(G63="BLOCO",CK63&gt;RÉGUAS!$F$50,CK63&lt;=RÉGUAS!$G$51),"BIO+10%",IF(AND(G63="TORRE",CK63&gt;=RÉGUAS!$K$51,CK63&lt;=RÉGUAS!$K$50),"ESSENCIAL-10%",IF(AND(G63="TORRE",CK63&gt;RÉGUAS!$K$50,CK63&lt;=RÉGUAS!$L$51),"ECO+10%",IF(AND(G63="TORRE",CK63&gt;=RÉGUAS!$M$51,CK63&lt;=RÉGUAS!$M$50),"ECO-10%",IF(AND(G63="TORRE",CK63&gt;RÉGUAS!$M$50,CK63&lt;=RÉGUAS!$N$51),"BIO+10%","-"))))))))</f>
        <v>BIO+10%</v>
      </c>
      <c r="CN63" s="73">
        <f t="shared" si="3"/>
        <v>9475.0874999999996</v>
      </c>
      <c r="CO63" s="72" t="str">
        <f>IF(CN63&lt;=RÉGUAS!$D$58,"ESSENCIAL",IF(CN63&lt;=RÉGUAS!$F$58,"ECO",IF(CN63&gt;RÉGUAS!$F$58,"BIO",)))</f>
        <v>ECO</v>
      </c>
      <c r="CP63" s="72" t="str">
        <f>IF(Tabela13[[#This Row],[INTERVALO DE INTERSEÇÃO 5D]]="-",Tabela13[[#This Row],[CLASSIFICAÇÃO 
5D ]],Tabela13[[#This Row],[CLASSIFICAÇÃO 
4D]])</f>
        <v>ECO</v>
      </c>
      <c r="CQ63" s="72" t="str">
        <f t="shared" si="4"/>
        <v>-</v>
      </c>
      <c r="CR63" s="72" t="str">
        <f t="shared" si="5"/>
        <v>ECO</v>
      </c>
      <c r="CS63" s="22" t="str">
        <f>IF(Tabela13[[#This Row],[PRODUTO ATUAL ]]=Tabela13[[#This Row],[CLASSIFICAÇÃO FINAL 5D]],"ADERÊNTE","NÃO ADERÊNTE")</f>
        <v>ADERÊNTE</v>
      </c>
      <c r="CT63" s="24">
        <f>SUM(Tabela13[[#This Row],[TOTAL  ACAB]],Tabela13[[#This Row],[TOTAL LAZER ]],Tabela13[[#This Row],[TOTAL TIPOLOGIA]],Tabela13[[#This Row],[TOTAL VAGA]])</f>
        <v>9475.0874999999996</v>
      </c>
      <c r="CU63" s="22" t="str">
        <f>IF(CT63&lt;=RÉGUAS!$D$58,"ESSENCIAL",IF(CT63&lt;=RÉGUAS!$F$58,"ECO",IF(CT63&gt;RÉGUAS!$F$58,"BIO",)))</f>
        <v>ECO</v>
      </c>
      <c r="CV63" s="22" t="str">
        <f>IF(AND(CT63&gt;=RÉGUAS!$D$59,CT63&lt;=RÉGUAS!$E$59),"ESSENCIAL/ECO",IF(AND(CT63&gt;=RÉGUAS!$F$59,CT63&lt;=RÉGUAS!$G$59),"ECO/BIO","-"))</f>
        <v>-</v>
      </c>
      <c r="CW63" s="85">
        <f>SUM(Tabela13[[#This Row],[TOTAL LAZER ]],Tabela13[[#This Row],[TOTAL TIPOLOGIA]])</f>
        <v>3268.4208333333336</v>
      </c>
      <c r="CX63" s="22" t="str">
        <f>IF(CW63&lt;=RÉGUAS!$D$72,"ESSENCIAL",IF(CW63&lt;=RÉGUAS!$F$72,"ECO",IF(CN63&gt;RÉGUAS!$F$72,"BIO",)))</f>
        <v>ECO</v>
      </c>
      <c r="CY63" s="22" t="str">
        <f t="shared" si="6"/>
        <v>ECO</v>
      </c>
      <c r="CZ63" s="22" t="str">
        <f>IF(Tabela13[[#This Row],[PRODUTO ATUAL ]]=CY63,"ADERENTE","NÃO ADERENTE")</f>
        <v>ADERENTE</v>
      </c>
      <c r="DA63" s="22" t="str">
        <f>IF(Tabela13[[#This Row],[PRODUTO ATUAL ]]=Tabela13[[#This Row],[CLASSIFICAÇÃO 
4D2]],"ADERENTE","NÃO ADERENTE")</f>
        <v>ADERENTE</v>
      </c>
    </row>
    <row r="64" spans="2:105" hidden="1" x14ac:dyDescent="0.35">
      <c r="B64" s="27">
        <v>81</v>
      </c>
      <c r="C64" s="22" t="s">
        <v>233</v>
      </c>
      <c r="D64" s="22" t="s">
        <v>128</v>
      </c>
      <c r="E64" s="23">
        <v>372</v>
      </c>
      <c r="F64" s="22" t="str">
        <f t="shared" si="0"/>
        <v>De 200 a 400 und</v>
      </c>
      <c r="G64" s="22" t="s">
        <v>14</v>
      </c>
      <c r="H64" s="36">
        <v>2</v>
      </c>
      <c r="I64" s="36">
        <v>16</v>
      </c>
      <c r="J64" s="36"/>
      <c r="K64" s="36"/>
      <c r="L64" s="36">
        <f>SUM(Tabela13[[#This Row],[QTD DE B/T 2]],Tabela13[[#This Row],[QTD DE B/T]])</f>
        <v>2</v>
      </c>
      <c r="M64" s="22">
        <v>6</v>
      </c>
      <c r="N64" s="22">
        <f>Tabela13[[#This Row],[ELEVADOR]]/Tabela13[[#This Row],[BLOCO TOTAL]]</f>
        <v>3</v>
      </c>
      <c r="O64" s="22" t="s">
        <v>5</v>
      </c>
      <c r="P64" s="22" t="s">
        <v>101</v>
      </c>
      <c r="Q64" s="22" t="s">
        <v>101</v>
      </c>
      <c r="R64" s="22" t="s">
        <v>142</v>
      </c>
      <c r="S64" s="22" t="s">
        <v>103</v>
      </c>
      <c r="T64" s="22" t="s">
        <v>104</v>
      </c>
      <c r="U64" s="22" t="s">
        <v>105</v>
      </c>
      <c r="V64" s="22" t="s">
        <v>106</v>
      </c>
      <c r="W64" s="24">
        <f>IF(P64=[1]BD_CUSTO!$E$4,[1]BD_CUSTO!$F$4,[1]BD_CUSTO!$F$5)</f>
        <v>2430</v>
      </c>
      <c r="X64" s="24">
        <f>IF(Q64=[1]BD_CUSTO!$E$6,[1]BD_CUSTO!$F$6,[1]BD_CUSTO!$F$7)</f>
        <v>260</v>
      </c>
      <c r="Y64" s="24">
        <f>IF(R64=[1]BD_CUSTO!$E$8,[1]BD_CUSTO!$F$8,[1]BD_CUSTO!$F$9)</f>
        <v>900</v>
      </c>
      <c r="Z64" s="24">
        <f>IF(S64=[1]BD_CUSTO!$E$10,[1]BD_CUSTO!$F$10,[1]BD_CUSTO!$F$11)</f>
        <v>500</v>
      </c>
      <c r="AA64" s="24">
        <f>IF(T64=[1]BD_CUSTO!$E$12,[1]BD_CUSTO!$F$12,[1]BD_CUSTO!$F$13)</f>
        <v>370</v>
      </c>
      <c r="AB64" s="24">
        <f>IF(U64=[1]BD_CUSTO!$E$14,[1]BD_CUSTO!$F$14,[1]BD_CUSTO!$F$15)</f>
        <v>90</v>
      </c>
      <c r="AC64" s="24">
        <f>IF(V64=[1]BD_CUSTO!$E$16,[1]BD_CUSTO!$F$16,[1]BD_CUSTO!$F$17)</f>
        <v>720</v>
      </c>
      <c r="AD64" s="22" t="s">
        <v>129</v>
      </c>
      <c r="AE64" s="22">
        <v>1</v>
      </c>
      <c r="AF64" s="22" t="s">
        <v>108</v>
      </c>
      <c r="AG64" s="22">
        <v>1</v>
      </c>
      <c r="AH64" s="22" t="s">
        <v>121</v>
      </c>
      <c r="AI64" s="22">
        <v>1</v>
      </c>
      <c r="AJ64" s="22" t="s">
        <v>107</v>
      </c>
      <c r="AK64" s="22">
        <v>1</v>
      </c>
      <c r="AL64" s="22" t="s">
        <v>110</v>
      </c>
      <c r="AM64" s="22">
        <v>1</v>
      </c>
      <c r="AN64" s="22" t="s">
        <v>109</v>
      </c>
      <c r="AO64" s="22">
        <v>1</v>
      </c>
      <c r="AP64" s="22"/>
      <c r="AQ64" s="22"/>
      <c r="AR64" s="22"/>
      <c r="AS64" s="22"/>
      <c r="AT64" s="22"/>
      <c r="AU64" s="22"/>
      <c r="AV64" s="22"/>
      <c r="AW64" s="22"/>
      <c r="AX64" s="24">
        <f>IF(AD64="",0,VLOOKUP(AD64,[1]BD_CUSTO!I:J,2,0)*AE64/E64)</f>
        <v>739.69779569892478</v>
      </c>
      <c r="AY64" s="24">
        <f>IF(AF64="",0,VLOOKUP(AF64,[1]BD_CUSTO!I:J,2,0)*AG64/E64)</f>
        <v>62.231182795698928</v>
      </c>
      <c r="AZ64" s="24">
        <f>IF(AH64="",0,VLOOKUP(AH64,[1]BD_CUSTO!I:J,2,0)*AI64/E64)</f>
        <v>331.06693548387096</v>
      </c>
      <c r="BA64" s="24">
        <f>IF(AJ64="",0,VLOOKUP(AJ64,[1]BD_CUSTO!I:J,2,0)*AK64/E64)</f>
        <v>228.89548387096772</v>
      </c>
      <c r="BB64" s="24">
        <f>IF(AL64="",0,VLOOKUP(AL64,[1]BD_CUSTO!I:J,2,0)*AM64/E64)</f>
        <v>14.24731182795699</v>
      </c>
      <c r="BC64" s="24">
        <f>IF(AN64="",0,VLOOKUP(AN64,[1]BD_CUSTO!I:J,2,0)*AO64/E64)</f>
        <v>18.682795698924732</v>
      </c>
      <c r="BD64" s="24">
        <f>IF(AP64="",0,VLOOKUP(AP64,[1]BD_CUSTO!I:J,2,0)*AQ64/E64)</f>
        <v>0</v>
      </c>
      <c r="BE64" s="24">
        <f>IF(AR64="",0,VLOOKUP(AR64,CUSTO!I:J,2,0)*AS64/E64)</f>
        <v>0</v>
      </c>
      <c r="BF64" s="24">
        <f>IF(AT64="",0,VLOOKUP(AT64,[1]BD_CUSTO!I:J,2,0)*AU64/E64)</f>
        <v>0</v>
      </c>
      <c r="BG64" s="24">
        <f>IF(Tabela13[[#This Row],[LZ 10]]="",0,VLOOKUP(Tabela13[[#This Row],[LZ 10]],[1]BD_CUSTO!I:J,2,0)*Tabela13[[#This Row],[QTD922]]/E64)</f>
        <v>0</v>
      </c>
      <c r="BH64" s="22" t="s">
        <v>112</v>
      </c>
      <c r="BI64" s="25">
        <f>232/Tabela13[[#This Row],[Nº UNDS]]</f>
        <v>0.62365591397849462</v>
      </c>
      <c r="BJ64" s="22" t="s">
        <v>113</v>
      </c>
      <c r="BK64" s="25">
        <v>0</v>
      </c>
      <c r="BL64" s="24">
        <f>IF(BH64=[1]BD_CUSTO!$M$6,[1]BD_CUSTO!$N$6)*BI64</f>
        <v>1870.9677419354839</v>
      </c>
      <c r="BM64" s="24">
        <f>IF(BJ64=[1]BD_CUSTO!$M$4,[1]BD_CUSTO!$N$4,[1]BD_CUSTO!$N$5)*BK64</f>
        <v>0</v>
      </c>
      <c r="BN64" s="22" t="s">
        <v>114</v>
      </c>
      <c r="BO64" s="22">
        <f>387-37</f>
        <v>350</v>
      </c>
      <c r="BP64" s="25">
        <f>Tabela13[[#This Row],[QTD ]]/Tabela13[[#This Row],[Nº UNDS]]</f>
        <v>0.94086021505376349</v>
      </c>
      <c r="BQ64" s="22" t="s">
        <v>123</v>
      </c>
      <c r="BR64" s="22">
        <v>37</v>
      </c>
      <c r="BS64" s="22" t="s">
        <v>116</v>
      </c>
      <c r="BT64" s="22">
        <v>0</v>
      </c>
      <c r="BU64" s="22" t="s">
        <v>16</v>
      </c>
      <c r="BV64" s="22">
        <v>0</v>
      </c>
      <c r="BW64" s="24">
        <f>IF(BN64=[1]BD_CUSTO!$Q$7,[1]BD_CUSTO!$R$7,[1]BD_CUSTO!$R$8)*BO64/E64</f>
        <v>1881.7204301075269</v>
      </c>
      <c r="BX64" s="24">
        <f>IF(BQ64=[1]BD_CUSTO!$Q$4,[1]BD_CUSTO!$R$4,[1]BD_CUSTO!$R$5)*BR64/E64</f>
        <v>99.462365591397855</v>
      </c>
      <c r="BY64" s="22">
        <f>IF(BS64=[1]BD_CUSTO!$Q$13,[1]BD_CUSTO!$R$13,[1]BD_CUSTO!$R$14)*BT64/E64</f>
        <v>0</v>
      </c>
      <c r="BZ64" s="24">
        <f>BV64*CUSTO!$R$10/E64</f>
        <v>0</v>
      </c>
      <c r="CA64" s="26">
        <f>SUM(Tabela13[[#This Row],[SOMA_PISO SALA E QUARTO]],Tabela13[[#This Row],[SOMA_PAREDE HIDR]],Tabela13[[#This Row],[SOMA_TETO]],Tabela13[[#This Row],[SOMA_BANCADA]],Tabela13[[#This Row],[SOMA_PEDRAS]])</f>
        <v>4290</v>
      </c>
      <c r="CB64" s="27" t="str">
        <f>IF(CA64&lt;=RÉGUAS!$D$4,"ACAB 01",IF(CA64&lt;=RÉGUAS!$F$4,"ACAB 02",IF(CA64&gt;RÉGUAS!$F$4,"ACAB 03",)))</f>
        <v>ACAB 02</v>
      </c>
      <c r="CC64" s="26">
        <f>SUM(Tabela13[[#This Row],[SOMA_LZ 01]:[SOMA_LZ 10]])</f>
        <v>1394.8215053763442</v>
      </c>
      <c r="CD64" s="22" t="str">
        <f>IF(CC64&lt;=RÉGUAS!$D$13,"LZ 01",IF(CC64&lt;=RÉGUAS!$F$13,"LZ 02",IF(CC64&lt;=RÉGUAS!$H$13,"LZ 03",IF(CC64&gt;RÉGUAS!$H$13,"LZ 04",))))</f>
        <v>LZ 02</v>
      </c>
      <c r="CE64" s="28">
        <f t="shared" si="1"/>
        <v>1870.9677419354839</v>
      </c>
      <c r="CF64" s="22" t="str">
        <f>IF(CE64&lt;=RÉGUAS!$D$22,"TIP 01",IF(CE64&lt;=RÉGUAS!$F$22,"TIP 02",IF(CE64&gt;RÉGUAS!$F$22,"TIP 03",)))</f>
        <v>TIP 02</v>
      </c>
      <c r="CG64" s="28">
        <f t="shared" si="2"/>
        <v>1981.1827956989248</v>
      </c>
      <c r="CH64" s="22" t="str">
        <f>IF(CG64&lt;=RÉGUAS!$D$32,"VAGA 01",IF(CG64&lt;=RÉGUAS!$F$32,"VAGA 02",IF(CG64&gt;RÉGUAS!$F$32,"VAGA 03",)))</f>
        <v>VAGA 02</v>
      </c>
      <c r="CI64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4330.0645161290322</v>
      </c>
      <c r="CJ64" s="85" t="str">
        <f>IF(AND(G64="BLOCO",CI64&lt;=RÉGUAS!$D$40),"ELEV 01",IF(AND(G64="BLOCO",CI64&gt;RÉGUAS!$D$40),"ELEV 02",IF(AND(G64="TORRE",CI64&lt;=RÉGUAS!$K$40),"ELEV 01",IF(AND(G64="TORRE",CI64&lt;=RÉGUAS!$M$40),"ELEV 02",IF(AND(G64="TORRE",CI64&gt;RÉGUAS!$M$40),"ELEV 03",)))))</f>
        <v>ELEV 03</v>
      </c>
      <c r="CK64" s="85">
        <f>SUM(Tabela13[[#This Row],[TOTAL  ACAB]],Tabela13[[#This Row],[TOTAL LAZER ]],Tabela13[[#This Row],[TOTAL TIPOLOGIA]],Tabela13[[#This Row],[TOTAL VAGA]],Tabela13[[#This Row],[TOTAL ELEVADOR]])</f>
        <v>13867.036559139786</v>
      </c>
      <c r="CL64" s="72" t="str">
        <f>IF(AND(G64="BLOCO",CK64&lt;=RÉGUAS!$D$50),"ESSENCIAL",IF(AND(G64="BLOCO",CK64&lt;=RÉGUAS!$F$50),"ECO",IF(AND(G64="BLOCO",CK64&gt;RÉGUAS!$F$50),"BIO",IF(AND(G64="TORRE",CK64&lt;=RÉGUAS!$K$50),"ESSENCIAL",IF(AND(G64="TORRE",CK64&lt;=RÉGUAS!$M$50),"ECO",IF(AND(G64="TORRE",CK64&gt;RÉGUAS!$M$50),"BIO",))))))</f>
        <v>ECO</v>
      </c>
      <c r="CM64" s="28" t="str">
        <f>IF(AND(G64="BLOCO",CK64&gt;=RÉGUAS!$D$51,CK64&lt;=RÉGUAS!$D$50),"ESSENCIAL-10%",IF(AND(G64="BLOCO",CK64&gt;RÉGUAS!$D$50,CK64&lt;=RÉGUAS!$E$51),"ECO+10%",IF(AND(G64="BLOCO",CK64&gt;=RÉGUAS!$F$51,CK64&lt;=RÉGUAS!$F$50),"ECO-10%",IF(AND(G64="BLOCO",CK64&gt;RÉGUAS!$F$50,CK64&lt;=RÉGUAS!$G$51),"BIO+10%",IF(AND(G64="TORRE",CK64&gt;=RÉGUAS!$K$51,CK64&lt;=RÉGUAS!$K$50),"ESSENCIAL-10%",IF(AND(G64="TORRE",CK64&gt;RÉGUAS!$K$50,CK64&lt;=RÉGUAS!$L$51),"ECO+10%",IF(AND(G64="TORRE",CK64&gt;=RÉGUAS!$M$51,CK64&lt;=RÉGUAS!$M$50),"ECO-10%",IF(AND(G64="TORRE",CK64&gt;RÉGUAS!$M$50,CK64&lt;=RÉGUAS!$N$51),"BIO+10%","-"))))))))</f>
        <v>ECO-10%</v>
      </c>
      <c r="CN64" s="73">
        <f t="shared" si="3"/>
        <v>9536.9720430107536</v>
      </c>
      <c r="CO64" s="72" t="str">
        <f>IF(CN64&lt;=RÉGUAS!$D$58,"ESSENCIAL",IF(CN64&lt;=RÉGUAS!$F$58,"ECO",IF(CN64&gt;RÉGUAS!$F$58,"BIO",)))</f>
        <v>ECO</v>
      </c>
      <c r="CP64" s="72" t="str">
        <f>IF(Tabela13[[#This Row],[INTERVALO DE INTERSEÇÃO 5D]]="-",Tabela13[[#This Row],[CLASSIFICAÇÃO 
5D ]],Tabela13[[#This Row],[CLASSIFICAÇÃO 
4D]])</f>
        <v>ECO</v>
      </c>
      <c r="CQ64" s="72" t="str">
        <f t="shared" si="4"/>
        <v>-</v>
      </c>
      <c r="CR64" s="72" t="str">
        <f t="shared" si="5"/>
        <v>ECO</v>
      </c>
      <c r="CS64" s="22" t="str">
        <f>IF(Tabela13[[#This Row],[PRODUTO ATUAL ]]=Tabela13[[#This Row],[CLASSIFICAÇÃO FINAL 5D]],"ADERÊNTE","NÃO ADERÊNTE")</f>
        <v>ADERÊNTE</v>
      </c>
      <c r="CT64" s="24">
        <f>SUM(Tabela13[[#This Row],[TOTAL  ACAB]],Tabela13[[#This Row],[TOTAL LAZER ]],Tabela13[[#This Row],[TOTAL TIPOLOGIA]],Tabela13[[#This Row],[TOTAL VAGA]])</f>
        <v>9536.9720430107536</v>
      </c>
      <c r="CU64" s="22" t="str">
        <f>IF(CT64&lt;=RÉGUAS!$D$58,"ESSENCIAL",IF(CT64&lt;=RÉGUAS!$F$58,"ECO",IF(CT64&gt;RÉGUAS!$F$58,"BIO",)))</f>
        <v>ECO</v>
      </c>
      <c r="CV64" s="22" t="str">
        <f>IF(AND(CT64&gt;=RÉGUAS!$D$59,CT64&lt;=RÉGUAS!$E$59),"ESSENCIAL/ECO",IF(AND(CT64&gt;=RÉGUAS!$F$59,CT64&lt;=RÉGUAS!$G$59),"ECO/BIO","-"))</f>
        <v>-</v>
      </c>
      <c r="CW64" s="85">
        <f>SUM(Tabela13[[#This Row],[TOTAL LAZER ]],Tabela13[[#This Row],[TOTAL TIPOLOGIA]])</f>
        <v>3265.7892473118281</v>
      </c>
      <c r="CX64" s="22" t="str">
        <f>IF(CW64&lt;=RÉGUAS!$D$72,"ESSENCIAL",IF(CW64&lt;=RÉGUAS!$F$72,"ECO",IF(CN64&gt;RÉGUAS!$F$72,"BIO",)))</f>
        <v>ECO</v>
      </c>
      <c r="CY64" s="22" t="str">
        <f t="shared" si="6"/>
        <v>ECO</v>
      </c>
      <c r="CZ64" s="22" t="str">
        <f>IF(Tabela13[[#This Row],[PRODUTO ATUAL ]]=CY64,"ADERENTE","NÃO ADERENTE")</f>
        <v>ADERENTE</v>
      </c>
      <c r="DA64" s="22" t="str">
        <f>IF(Tabela13[[#This Row],[PRODUTO ATUAL ]]=Tabela13[[#This Row],[CLASSIFICAÇÃO 
4D2]],"ADERENTE","NÃO ADERENTE")</f>
        <v>ADERENTE</v>
      </c>
    </row>
    <row r="65" spans="2:105" x14ac:dyDescent="0.35">
      <c r="B65" s="27">
        <v>56</v>
      </c>
      <c r="C65" s="22" t="s">
        <v>223</v>
      </c>
      <c r="D65" s="22" t="s">
        <v>100</v>
      </c>
      <c r="E65" s="23">
        <v>320</v>
      </c>
      <c r="F65" s="22" t="str">
        <f t="shared" si="0"/>
        <v>De 200 a 400 und</v>
      </c>
      <c r="G65" s="109" t="s">
        <v>14</v>
      </c>
      <c r="H65" s="36">
        <v>5</v>
      </c>
      <c r="I65" s="36">
        <v>8</v>
      </c>
      <c r="J65" s="36"/>
      <c r="K65" s="36"/>
      <c r="L65" s="36">
        <f>SUM(Tabela13[[#This Row],[QTD DE B/T 2]],Tabela13[[#This Row],[QTD DE B/T]])</f>
        <v>5</v>
      </c>
      <c r="M65" s="22">
        <v>5</v>
      </c>
      <c r="N65" s="22">
        <f>Tabela13[[#This Row],[ELEVADOR]]/Tabela13[[#This Row],[BLOCO TOTAL]]</f>
        <v>1</v>
      </c>
      <c r="O65" s="22" t="s">
        <v>5</v>
      </c>
      <c r="P65" s="22" t="s">
        <v>101</v>
      </c>
      <c r="Q65" s="22" t="s">
        <v>101</v>
      </c>
      <c r="R65" s="22" t="s">
        <v>142</v>
      </c>
      <c r="S65" s="22" t="s">
        <v>103</v>
      </c>
      <c r="T65" s="22" t="s">
        <v>104</v>
      </c>
      <c r="U65" s="22" t="s">
        <v>105</v>
      </c>
      <c r="V65" s="22" t="s">
        <v>106</v>
      </c>
      <c r="W65" s="24">
        <f>IF(P65=[1]BD_CUSTO!$E$4,[1]BD_CUSTO!$F$4,[1]BD_CUSTO!$F$5)</f>
        <v>2430</v>
      </c>
      <c r="X65" s="24">
        <f>IF(Q65=[1]BD_CUSTO!$E$6,[1]BD_CUSTO!$F$6,[1]BD_CUSTO!$F$7)</f>
        <v>260</v>
      </c>
      <c r="Y65" s="24">
        <f>IF(R65=[1]BD_CUSTO!$E$8,[1]BD_CUSTO!$F$8,[1]BD_CUSTO!$F$9)</f>
        <v>900</v>
      </c>
      <c r="Z65" s="24">
        <f>IF(S65=[1]BD_CUSTO!$E$10,[1]BD_CUSTO!$F$10,[1]BD_CUSTO!$F$11)</f>
        <v>500</v>
      </c>
      <c r="AA65" s="24">
        <f>IF(T65=[1]BD_CUSTO!$E$12,[1]BD_CUSTO!$F$12,[1]BD_CUSTO!$F$13)</f>
        <v>370</v>
      </c>
      <c r="AB65" s="24">
        <f>IF(U65=[1]BD_CUSTO!$E$14,[1]BD_CUSTO!$F$14,[1]BD_CUSTO!$F$15)</f>
        <v>90</v>
      </c>
      <c r="AC65" s="24">
        <f>IF(V65=[1]BD_CUSTO!$E$16,[1]BD_CUSTO!$F$16,[1]BD_CUSTO!$F$17)</f>
        <v>720</v>
      </c>
      <c r="AD65" s="22" t="s">
        <v>110</v>
      </c>
      <c r="AE65" s="22">
        <v>1</v>
      </c>
      <c r="AF65" s="22" t="s">
        <v>109</v>
      </c>
      <c r="AG65" s="22">
        <v>1</v>
      </c>
      <c r="AH65" s="22" t="s">
        <v>156</v>
      </c>
      <c r="AI65" s="22">
        <v>1</v>
      </c>
      <c r="AJ65" s="22" t="s">
        <v>111</v>
      </c>
      <c r="AK65" s="22">
        <v>1</v>
      </c>
      <c r="AL65" s="22" t="s">
        <v>108</v>
      </c>
      <c r="AM65" s="22">
        <v>1</v>
      </c>
      <c r="AN65" s="22" t="s">
        <v>121</v>
      </c>
      <c r="AO65" s="22">
        <v>1</v>
      </c>
      <c r="AP65" s="22" t="s">
        <v>107</v>
      </c>
      <c r="AQ65" s="22">
        <v>1</v>
      </c>
      <c r="AR65" s="22" t="s">
        <v>129</v>
      </c>
      <c r="AS65" s="22">
        <v>1</v>
      </c>
      <c r="AT65" s="22"/>
      <c r="AU65" s="22"/>
      <c r="AV65" s="22"/>
      <c r="AW65" s="22"/>
      <c r="AX65" s="24">
        <f>IF(AD65="",0,VLOOKUP(AD65,[1]BD_CUSTO!I:J,2,0)*AE65/E65)</f>
        <v>16.5625</v>
      </c>
      <c r="AY65" s="24">
        <f>IF(AF65="",0,VLOOKUP(AF65,[1]BD_CUSTO!I:J,2,0)*AG65/E65)</f>
        <v>21.71875</v>
      </c>
      <c r="AZ65" s="24">
        <f>IF(AH65="",0,VLOOKUP(AH65,[1]BD_CUSTO!I:J,2,0)*AI65/E65)</f>
        <v>306.40625</v>
      </c>
      <c r="BA65" s="24">
        <f>IF(AJ65="",0,VLOOKUP(AJ65,[1]BD_CUSTO!I:J,2,0)*AK65/E65)</f>
        <v>50.625</v>
      </c>
      <c r="BB65" s="24">
        <f>IF(AL65="",0,VLOOKUP(AL65,[1]BD_CUSTO!I:J,2,0)*AM65/E65)</f>
        <v>72.34375</v>
      </c>
      <c r="BC65" s="24">
        <f>IF(AN65="",0,VLOOKUP(AN65,[1]BD_CUSTO!I:J,2,0)*AO65/E65)</f>
        <v>384.86531249999996</v>
      </c>
      <c r="BD65" s="24">
        <f>IF(AP65="",0,VLOOKUP(AP65,[1]BD_CUSTO!I:J,2,0)*AQ65/E65)</f>
        <v>266.09100000000001</v>
      </c>
      <c r="BE65" s="24">
        <f>IF(AR65="",0,VLOOKUP(AR65,CUSTO!I:J,2,0)*AS65/E65)</f>
        <v>859.89868750000005</v>
      </c>
      <c r="BF65" s="24">
        <f>IF(AT65="",0,VLOOKUP(AT65,[1]BD_CUSTO!I:J,2,0)*AU65/E65)</f>
        <v>0</v>
      </c>
      <c r="BG65" s="24">
        <f>IF(Tabela13[[#This Row],[LZ 10]]="",0,VLOOKUP(Tabela13[[#This Row],[LZ 10]],[1]BD_CUSTO!I:J,2,0)*Tabela13[[#This Row],[QTD922]]/E65)</f>
        <v>0</v>
      </c>
      <c r="BH65" s="22" t="s">
        <v>112</v>
      </c>
      <c r="BI65" s="25">
        <f>280/Tabela13[[#This Row],[Nº UNDS]]</f>
        <v>0.875</v>
      </c>
      <c r="BJ65" s="22" t="s">
        <v>113</v>
      </c>
      <c r="BK65" s="25">
        <v>0</v>
      </c>
      <c r="BL65" s="24">
        <f>IF(BH65=[1]BD_CUSTO!$M$6,[1]BD_CUSTO!$N$6)*BI65</f>
        <v>2625</v>
      </c>
      <c r="BM65" s="24">
        <f>IF(BJ65=[1]BD_CUSTO!$M$4,[1]BD_CUSTO!$N$4,[1]BD_CUSTO!$N$5)*BK65</f>
        <v>0</v>
      </c>
      <c r="BN65" s="22" t="s">
        <v>114</v>
      </c>
      <c r="BO65" s="22">
        <f>371-57</f>
        <v>314</v>
      </c>
      <c r="BP65" s="25">
        <f>Tabela13[[#This Row],[QTD ]]/Tabela13[[#This Row],[Nº UNDS]]</f>
        <v>0.98124999999999996</v>
      </c>
      <c r="BQ65" s="22" t="s">
        <v>123</v>
      </c>
      <c r="BR65" s="22">
        <v>57</v>
      </c>
      <c r="BS65" s="22" t="s">
        <v>116</v>
      </c>
      <c r="BT65" s="22">
        <v>0</v>
      </c>
      <c r="BU65" s="22" t="s">
        <v>16</v>
      </c>
      <c r="BV65" s="22">
        <v>0</v>
      </c>
      <c r="BW65" s="24">
        <f>IF(BN65=[1]BD_CUSTO!$Q$7,[1]BD_CUSTO!$R$7,[1]BD_CUSTO!$R$8)*BO65/E65</f>
        <v>1962.5</v>
      </c>
      <c r="BX65" s="24">
        <f>IF(BQ65=[1]BD_CUSTO!$Q$4,[1]BD_CUSTO!$R$4,[1]BD_CUSTO!$R$5)*BR65/E65</f>
        <v>178.125</v>
      </c>
      <c r="BY65" s="22">
        <f>IF(BS65=[1]BD_CUSTO!$Q$13,[1]BD_CUSTO!$R$13,[1]BD_CUSTO!$R$14)*BT65/E65</f>
        <v>0</v>
      </c>
      <c r="BZ65" s="24">
        <f>BV65*CUSTO!$R$10/E65</f>
        <v>0</v>
      </c>
      <c r="CA65" s="26">
        <f>SUM(Tabela13[[#This Row],[SOMA_PISO SALA E QUARTO]],Tabela13[[#This Row],[SOMA_PAREDE HIDR]],Tabela13[[#This Row],[SOMA_TETO]],Tabela13[[#This Row],[SOMA_BANCADA]],Tabela13[[#This Row],[SOMA_PEDRAS]])</f>
        <v>4290</v>
      </c>
      <c r="CB65" s="27" t="str">
        <f>IF(CA65&lt;=RÉGUAS!$D$4,"ACAB 01",IF(CA65&lt;=RÉGUAS!$F$4,"ACAB 02",IF(CA65&gt;RÉGUAS!$F$4,"ACAB 03",)))</f>
        <v>ACAB 02</v>
      </c>
      <c r="CC65" s="26">
        <f>SUM(Tabela13[[#This Row],[SOMA_LZ 01]:[SOMA_LZ 10]])</f>
        <v>1978.51125</v>
      </c>
      <c r="CD65" s="22" t="str">
        <f>IF(CC65&lt;=RÉGUAS!$D$13,"LZ 01",IF(CC65&lt;=RÉGUAS!$F$13,"LZ 02",IF(CC65&lt;=RÉGUAS!$H$13,"LZ 03",IF(CC65&gt;RÉGUAS!$H$13,"LZ 04",))))</f>
        <v>LZ 03</v>
      </c>
      <c r="CE65" s="28">
        <f t="shared" si="1"/>
        <v>2625</v>
      </c>
      <c r="CF65" s="22" t="str">
        <f>IF(CE65&lt;=RÉGUAS!$D$22,"TIP 01",IF(CE65&lt;=RÉGUAS!$F$22,"TIP 02",IF(CE65&gt;RÉGUAS!$F$22,"TIP 03",)))</f>
        <v>TIP 02</v>
      </c>
      <c r="CG65" s="28">
        <f t="shared" si="2"/>
        <v>2140.625</v>
      </c>
      <c r="CH65" s="22" t="str">
        <f>IF(CG65&lt;=RÉGUAS!$D$32,"VAGA 01",IF(CG65&lt;=RÉGUAS!$F$32,"VAGA 02",IF(CG65&gt;RÉGUAS!$F$32,"VAGA 03",)))</f>
        <v>VAGA 02</v>
      </c>
      <c r="CI65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2468.125</v>
      </c>
      <c r="CJ65" s="85" t="str">
        <f>IF(AND(G65="BLOCO",CI65&lt;=RÉGUAS!$D$40),"ELEV 01",IF(AND(G65="BLOCO",CI65&gt;RÉGUAS!$D$40),"ELEV 02",IF(AND(G65="TORRE",CI65&lt;=RÉGUAS!$K$40),"ELEV 01",IF(AND(G65="TORRE",CI65&lt;=RÉGUAS!$M$40),"ELEV 02",IF(AND(G65="TORRE",CI65&gt;RÉGUAS!$M$40),"ELEV 03",)))))</f>
        <v>ELEV 01</v>
      </c>
      <c r="CK65" s="85">
        <f>SUM(Tabela13[[#This Row],[TOTAL  ACAB]],Tabela13[[#This Row],[TOTAL LAZER ]],Tabela13[[#This Row],[TOTAL TIPOLOGIA]],Tabela13[[#This Row],[TOTAL VAGA]],Tabela13[[#This Row],[TOTAL ELEVADOR]])</f>
        <v>13502.26125</v>
      </c>
      <c r="CL65" s="72" t="str">
        <f>IF(AND(G65="BLOCO",CK65&lt;=RÉGUAS!$D$50),"ESSENCIAL",IF(AND(G65="BLOCO",CK65&lt;=RÉGUAS!$F$50),"ECO",IF(AND(G65="BLOCO",CK65&gt;RÉGUAS!$F$50),"BIO",IF(AND(G65="TORRE",CK65&lt;=RÉGUAS!$K$50),"ESSENCIAL",IF(AND(G65="TORRE",CK65&lt;=RÉGUAS!$M$50),"ECO",IF(AND(G65="TORRE",CK65&gt;RÉGUAS!$M$50),"BIO",))))))</f>
        <v>ECO</v>
      </c>
      <c r="CM65" s="28" t="str">
        <f>IF(AND(G65="BLOCO",CK65&gt;=RÉGUAS!$D$51,CK65&lt;=RÉGUAS!$D$50),"ESSENCIAL-10%",IF(AND(G65="BLOCO",CK65&gt;RÉGUAS!$D$50,CK65&lt;=RÉGUAS!$E$51),"ECO+10%",IF(AND(G65="BLOCO",CK65&gt;=RÉGUAS!$F$51,CK65&lt;=RÉGUAS!$F$50),"ECO-10%",IF(AND(G65="BLOCO",CK65&gt;RÉGUAS!$F$50,CK65&lt;=RÉGUAS!$G$51),"BIO+10%",IF(AND(G65="TORRE",CK65&gt;=RÉGUAS!$K$51,CK65&lt;=RÉGUAS!$K$50),"ESSENCIAL-10%",IF(AND(G65="TORRE",CK65&gt;RÉGUAS!$K$50,CK65&lt;=RÉGUAS!$L$51),"ECO+10%",IF(AND(G65="TORRE",CK65&gt;=RÉGUAS!$M$51,CK65&lt;=RÉGUAS!$M$50),"ECO-10%",IF(AND(G65="TORRE",CK65&gt;RÉGUAS!$M$50,CK65&lt;=RÉGUAS!$N$51),"BIO+10%","-"))))))))</f>
        <v>ECO-10%</v>
      </c>
      <c r="CN65" s="73">
        <f t="shared" si="3"/>
        <v>11034.13625</v>
      </c>
      <c r="CO65" s="72" t="str">
        <f>IF(CN65&lt;=RÉGUAS!$D$58,"ESSENCIAL",IF(CN65&lt;=RÉGUAS!$F$58,"ECO",IF(CN65&gt;RÉGUAS!$F$58,"BIO",)))</f>
        <v>ECO</v>
      </c>
      <c r="CP65" s="72" t="str">
        <f>IF(Tabela13[[#This Row],[INTERVALO DE INTERSEÇÃO 5D]]="-",Tabela13[[#This Row],[CLASSIFICAÇÃO 
5D ]],Tabela13[[#This Row],[CLASSIFICAÇÃO 
4D]])</f>
        <v>ECO</v>
      </c>
      <c r="CQ65" s="72" t="str">
        <f t="shared" si="4"/>
        <v>-</v>
      </c>
      <c r="CR65" s="72" t="str">
        <f t="shared" si="5"/>
        <v>ECO</v>
      </c>
      <c r="CS65" s="22" t="str">
        <f>IF(Tabela13[[#This Row],[PRODUTO ATUAL ]]=Tabela13[[#This Row],[CLASSIFICAÇÃO FINAL 5D]],"ADERÊNTE","NÃO ADERÊNTE")</f>
        <v>ADERÊNTE</v>
      </c>
      <c r="CT65" s="24">
        <f>SUM(Tabela13[[#This Row],[TOTAL  ACAB]],Tabela13[[#This Row],[TOTAL LAZER ]],Tabela13[[#This Row],[TOTAL TIPOLOGIA]],Tabela13[[#This Row],[TOTAL VAGA]])</f>
        <v>11034.13625</v>
      </c>
      <c r="CU65" s="22" t="str">
        <f>IF(CT65&lt;=RÉGUAS!$D$58,"ESSENCIAL",IF(CT65&lt;=RÉGUAS!$F$58,"ECO",IF(CT65&gt;RÉGUAS!$F$58,"BIO",)))</f>
        <v>ECO</v>
      </c>
      <c r="CV65" s="22" t="str">
        <f>IF(AND(CT65&gt;=RÉGUAS!$D$59,CT65&lt;=RÉGUAS!$E$59),"ESSENCIAL/ECO",IF(AND(CT65&gt;=RÉGUAS!$F$59,CT65&lt;=RÉGUAS!$G$59),"ECO/BIO","-"))</f>
        <v>ECO/BIO</v>
      </c>
      <c r="CW65" s="85">
        <f>SUM(Tabela13[[#This Row],[TOTAL LAZER ]],Tabela13[[#This Row],[TOTAL TIPOLOGIA]])</f>
        <v>4603.5112499999996</v>
      </c>
      <c r="CX65" s="22" t="str">
        <f>IF(CW65&lt;=RÉGUAS!$D$72,"ESSENCIAL",IF(CW65&lt;=RÉGUAS!$F$72,"ECO",IF(CN65&gt;RÉGUAS!$F$72,"BIO",)))</f>
        <v>ECO</v>
      </c>
      <c r="CY65" s="22" t="str">
        <f t="shared" si="6"/>
        <v>ECO</v>
      </c>
      <c r="CZ65" s="22" t="str">
        <f>IF(Tabela13[[#This Row],[PRODUTO ATUAL ]]=CY65,"ADERENTE","NÃO ADERENTE")</f>
        <v>ADERENTE</v>
      </c>
      <c r="DA65" s="22" t="str">
        <f>IF(Tabela13[[#This Row],[PRODUTO ATUAL ]]=Tabela13[[#This Row],[CLASSIFICAÇÃO 
4D2]],"ADERENTE","NÃO ADERENTE")</f>
        <v>ADERENTE</v>
      </c>
    </row>
    <row r="66" spans="2:105" hidden="1" x14ac:dyDescent="0.35">
      <c r="B66" s="27">
        <v>60</v>
      </c>
      <c r="C66" s="22" t="s">
        <v>224</v>
      </c>
      <c r="D66" s="22" t="s">
        <v>147</v>
      </c>
      <c r="E66" s="23">
        <v>336</v>
      </c>
      <c r="F66" s="22" t="str">
        <f t="shared" si="0"/>
        <v>De 200 a 400 und</v>
      </c>
      <c r="G66" s="22" t="s">
        <v>1</v>
      </c>
      <c r="H66" s="36">
        <v>24</v>
      </c>
      <c r="I66" s="36">
        <v>4</v>
      </c>
      <c r="J66" s="36"/>
      <c r="K66" s="36"/>
      <c r="L66" s="36">
        <f>SUM(Tabela13[[#This Row],[QTD DE B/T 2]],Tabela13[[#This Row],[QTD DE B/T]])</f>
        <v>24</v>
      </c>
      <c r="M66" s="22">
        <v>1</v>
      </c>
      <c r="N66" s="22">
        <f>Tabela13[[#This Row],[ELEVADOR]]/Tabela13[[#This Row],[BLOCO TOTAL]]</f>
        <v>4.1666666666666664E-2</v>
      </c>
      <c r="O66" s="22" t="s">
        <v>5</v>
      </c>
      <c r="P66" s="22" t="s">
        <v>101</v>
      </c>
      <c r="Q66" s="22" t="s">
        <v>101</v>
      </c>
      <c r="R66" s="22" t="s">
        <v>142</v>
      </c>
      <c r="S66" s="22" t="s">
        <v>103</v>
      </c>
      <c r="T66" s="22" t="s">
        <v>104</v>
      </c>
      <c r="U66" s="22" t="s">
        <v>105</v>
      </c>
      <c r="V66" s="22" t="s">
        <v>137</v>
      </c>
      <c r="W66" s="24">
        <f>IF(P66=[1]BD_CUSTO!$E$4,[1]BD_CUSTO!$F$4,[1]BD_CUSTO!$F$5)</f>
        <v>2430</v>
      </c>
      <c r="X66" s="24">
        <f>IF(Q66=[1]BD_CUSTO!$E$6,[1]BD_CUSTO!$F$6,[1]BD_CUSTO!$F$7)</f>
        <v>260</v>
      </c>
      <c r="Y66" s="24">
        <f>IF(R66=[1]BD_CUSTO!$E$8,[1]BD_CUSTO!$F$8,[1]BD_CUSTO!$F$9)</f>
        <v>900</v>
      </c>
      <c r="Z66" s="24">
        <f>IF(S66=[1]BD_CUSTO!$E$10,[1]BD_CUSTO!$F$10,[1]BD_CUSTO!$F$11)</f>
        <v>500</v>
      </c>
      <c r="AA66" s="24">
        <f>IF(T66=[1]BD_CUSTO!$E$12,[1]BD_CUSTO!$F$12,[1]BD_CUSTO!$F$13)</f>
        <v>370</v>
      </c>
      <c r="AB66" s="24">
        <f>IF(U66=[1]BD_CUSTO!$E$14,[1]BD_CUSTO!$F$14,[1]BD_CUSTO!$F$15)</f>
        <v>90</v>
      </c>
      <c r="AC66" s="24">
        <f>IF(V66=[1]BD_CUSTO!$E$16,[1]BD_CUSTO!$F$16,[1]BD_CUSTO!$F$17)</f>
        <v>1320</v>
      </c>
      <c r="AD66" s="22" t="s">
        <v>110</v>
      </c>
      <c r="AE66" s="22">
        <v>1</v>
      </c>
      <c r="AF66" s="22" t="s">
        <v>121</v>
      </c>
      <c r="AG66" s="22">
        <v>1</v>
      </c>
      <c r="AH66" s="22" t="s">
        <v>107</v>
      </c>
      <c r="AI66" s="22">
        <v>2</v>
      </c>
      <c r="AJ66" s="22" t="s">
        <v>151</v>
      </c>
      <c r="AK66" s="22">
        <v>1</v>
      </c>
      <c r="AL66" s="22" t="s">
        <v>139</v>
      </c>
      <c r="AM66" s="22">
        <v>1</v>
      </c>
      <c r="AN66" s="22" t="s">
        <v>129</v>
      </c>
      <c r="AO66" s="22">
        <v>1</v>
      </c>
      <c r="AP66" s="22" t="s">
        <v>108</v>
      </c>
      <c r="AQ66" s="22">
        <v>1</v>
      </c>
      <c r="AR66" s="22" t="s">
        <v>109</v>
      </c>
      <c r="AS66" s="22">
        <v>1</v>
      </c>
      <c r="AT66" s="22" t="s">
        <v>156</v>
      </c>
      <c r="AU66" s="22">
        <v>1</v>
      </c>
      <c r="AV66" s="22"/>
      <c r="AW66" s="22"/>
      <c r="AX66" s="24">
        <f>IF(AD66="",0,VLOOKUP(AD66,[1]BD_CUSTO!I:J,2,0)*AE66/E66)</f>
        <v>15.773809523809524</v>
      </c>
      <c r="AY66" s="24">
        <f>IF(AF66="",0,VLOOKUP(AF66,[1]BD_CUSTO!I:J,2,0)*AG66/E66)</f>
        <v>366.53839285714287</v>
      </c>
      <c r="AZ66" s="24">
        <f>IF(AH66="",0,VLOOKUP(AH66,[1]BD_CUSTO!I:J,2,0)*AI66/E66)</f>
        <v>506.84</v>
      </c>
      <c r="BA66" s="24">
        <f>IF(AJ66="",0,VLOOKUP(AJ66,[1]BD_CUSTO!I:J,2,0)*AK66/E66)</f>
        <v>237.30116071428571</v>
      </c>
      <c r="BB66" s="24">
        <f>IF(AL66="",0,VLOOKUP(AL66,[1]BD_CUSTO!I:J,2,0)*AM66/E66)</f>
        <v>184.98904761904762</v>
      </c>
      <c r="BC66" s="24">
        <f>IF(AN66="",0,VLOOKUP(AN66,[1]BD_CUSTO!I:J,2,0)*AO66/E66)</f>
        <v>818.95113095238105</v>
      </c>
      <c r="BD66" s="24">
        <f>IF(AP66="",0,VLOOKUP(AP66,[1]BD_CUSTO!I:J,2,0)*AQ66/E66)</f>
        <v>68.898809523809518</v>
      </c>
      <c r="BE66" s="24">
        <f>IF(AR66="",0,VLOOKUP(AR66,CUSTO!I:J,2,0)*AS66/E66)</f>
        <v>20.68452380952381</v>
      </c>
      <c r="BF66" s="24">
        <f>IF(AT66="",0,VLOOKUP(AT66,[1]BD_CUSTO!I:J,2,0)*AU66/E66)</f>
        <v>291.8154761904762</v>
      </c>
      <c r="BG66" s="24">
        <f>IF(Tabela13[[#This Row],[LZ 10]]="",0,VLOOKUP(Tabela13[[#This Row],[LZ 10]],[1]BD_CUSTO!I:J,2,0)*Tabela13[[#This Row],[QTD922]]/E66)</f>
        <v>0</v>
      </c>
      <c r="BH66" s="22" t="s">
        <v>112</v>
      </c>
      <c r="BI66" s="25">
        <f>120/Tabela13[[#This Row],[Nº UNDS]]</f>
        <v>0.35714285714285715</v>
      </c>
      <c r="BJ66" s="22" t="s">
        <v>113</v>
      </c>
      <c r="BK66" s="25">
        <v>0</v>
      </c>
      <c r="BL66" s="24">
        <f>IF(BH66=[1]BD_CUSTO!$M$6,[1]BD_CUSTO!$N$6)*BI66</f>
        <v>1071.4285714285716</v>
      </c>
      <c r="BM66" s="24">
        <f>IF(BJ66=[1]BD_CUSTO!$M$4,[1]BD_CUSTO!$N$4,[1]BD_CUSTO!$N$5)*BK66</f>
        <v>0</v>
      </c>
      <c r="BN66" s="22" t="s">
        <v>114</v>
      </c>
      <c r="BO66" s="22">
        <f>382-34</f>
        <v>348</v>
      </c>
      <c r="BP66" s="25">
        <f>Tabela13[[#This Row],[QTD ]]/Tabela13[[#This Row],[Nº UNDS]]</f>
        <v>1.0357142857142858</v>
      </c>
      <c r="BQ66" s="22" t="s">
        <v>123</v>
      </c>
      <c r="BR66" s="22">
        <v>34</v>
      </c>
      <c r="BS66" s="22" t="s">
        <v>116</v>
      </c>
      <c r="BT66" s="22">
        <v>0</v>
      </c>
      <c r="BU66" s="22" t="s">
        <v>222</v>
      </c>
      <c r="BV66" s="22">
        <v>0</v>
      </c>
      <c r="BW66" s="24">
        <f>IF(BN66=[1]BD_CUSTO!$Q$7,[1]BD_CUSTO!$R$7,[1]BD_CUSTO!$R$8)*BO66/E66</f>
        <v>2071.4285714285716</v>
      </c>
      <c r="BX66" s="24">
        <f>IF(BQ66=[1]BD_CUSTO!$Q$4,[1]BD_CUSTO!$R$4,[1]BD_CUSTO!$R$5)*BR66/E66</f>
        <v>101.19047619047619</v>
      </c>
      <c r="BY66" s="22">
        <f>IF(BS66=[1]BD_CUSTO!$Q$13,[1]BD_CUSTO!$R$13,[1]BD_CUSTO!$R$14)*BT66/E66</f>
        <v>0</v>
      </c>
      <c r="BZ66" s="24">
        <f>BV66*CUSTO!$R$10/E66</f>
        <v>0</v>
      </c>
      <c r="CA66" s="26">
        <f>SUM(Tabela13[[#This Row],[SOMA_PISO SALA E QUARTO]],Tabela13[[#This Row],[SOMA_PAREDE HIDR]],Tabela13[[#This Row],[SOMA_TETO]],Tabela13[[#This Row],[SOMA_BANCADA]],Tabela13[[#This Row],[SOMA_PEDRAS]])</f>
        <v>4290</v>
      </c>
      <c r="CB66" s="27" t="str">
        <f>IF(CA66&lt;=RÉGUAS!$D$4,"ACAB 01",IF(CA66&lt;=RÉGUAS!$F$4,"ACAB 02",IF(CA66&gt;RÉGUAS!$F$4,"ACAB 03",)))</f>
        <v>ACAB 02</v>
      </c>
      <c r="CC66" s="26">
        <f>SUM(Tabela13[[#This Row],[SOMA_LZ 01]:[SOMA_LZ 10]])</f>
        <v>2511.7923511904764</v>
      </c>
      <c r="CD66" s="22" t="str">
        <f>IF(CC66&lt;=RÉGUAS!$D$13,"LZ 01",IF(CC66&lt;=RÉGUAS!$F$13,"LZ 02",IF(CC66&lt;=RÉGUAS!$H$13,"LZ 03",IF(CC66&gt;RÉGUAS!$H$13,"LZ 04",))))</f>
        <v>LZ 04</v>
      </c>
      <c r="CE66" s="28">
        <f t="shared" si="1"/>
        <v>1071.4285714285716</v>
      </c>
      <c r="CF66" s="22" t="str">
        <f>IF(CE66&lt;=RÉGUAS!$D$22,"TIP 01",IF(CE66&lt;=RÉGUAS!$F$22,"TIP 02",IF(CE66&gt;RÉGUAS!$F$22,"TIP 03",)))</f>
        <v>TIP 01</v>
      </c>
      <c r="CG66" s="28">
        <f t="shared" si="2"/>
        <v>2172.6190476190477</v>
      </c>
      <c r="CH66" s="22" t="str">
        <f>IF(CG66&lt;=RÉGUAS!$D$32,"VAGA 01",IF(CG66&lt;=RÉGUAS!$F$32,"VAGA 02",IF(CG66&gt;RÉGUAS!$F$32,"VAGA 03",)))</f>
        <v>VAGA 02</v>
      </c>
      <c r="CI66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357.47619047619048</v>
      </c>
      <c r="CJ66" s="85" t="str">
        <f>IF(AND(G66="BLOCO",CI66&lt;=RÉGUAS!$D$40),"ELEV 01",IF(AND(G66="BLOCO",CI66&gt;RÉGUAS!$D$40),"ELEV 02",IF(AND(G66="TORRE",CI66&lt;=RÉGUAS!$K$40),"ELEV 01",IF(AND(G66="TORRE",CI66&lt;=RÉGUAS!$M$40),"ELEV 02",IF(AND(G66="TORRE",CI66&gt;RÉGUAS!$M$40),"ELEV 03",)))))</f>
        <v>ELEV 02</v>
      </c>
      <c r="CK66" s="85">
        <f>SUM(Tabela13[[#This Row],[TOTAL  ACAB]],Tabela13[[#This Row],[TOTAL LAZER ]],Tabela13[[#This Row],[TOTAL TIPOLOGIA]],Tabela13[[#This Row],[TOTAL VAGA]],Tabela13[[#This Row],[TOTAL ELEVADOR]])</f>
        <v>10403.316160714287</v>
      </c>
      <c r="CL66" s="72" t="str">
        <f>IF(AND(G66="BLOCO",CK66&lt;=RÉGUAS!$D$50),"ESSENCIAL",IF(AND(G66="BLOCO",CK66&lt;=RÉGUAS!$F$50),"ECO",IF(AND(G66="BLOCO",CK66&gt;RÉGUAS!$F$50),"BIO",IF(AND(G66="TORRE",CK66&lt;=RÉGUAS!$K$50),"ESSENCIAL",IF(AND(G66="TORRE",CK66&lt;=RÉGUAS!$M$50),"ECO",IF(AND(G66="TORRE",CK66&gt;RÉGUAS!$M$50),"BIO",))))))</f>
        <v>ECO</v>
      </c>
      <c r="CM66" s="28" t="str">
        <f>IF(AND(G66="BLOCO",CK66&gt;=RÉGUAS!$D$51,CK66&lt;=RÉGUAS!$D$50),"ESSENCIAL-10%",IF(AND(G66="BLOCO",CK66&gt;RÉGUAS!$D$50,CK66&lt;=RÉGUAS!$E$51),"ECO+10%",IF(AND(G66="BLOCO",CK66&gt;=RÉGUAS!$F$51,CK66&lt;=RÉGUAS!$F$50),"ECO-10%",IF(AND(G66="BLOCO",CK66&gt;RÉGUAS!$F$50,CK66&lt;=RÉGUAS!$G$51),"BIO+10%",IF(AND(G66="TORRE",CK66&gt;=RÉGUAS!$K$51,CK66&lt;=RÉGUAS!$K$50),"ESSENCIAL-10%",IF(AND(G66="TORRE",CK66&gt;RÉGUAS!$K$50,CK66&lt;=RÉGUAS!$L$51),"ECO+10%",IF(AND(G66="TORRE",CK66&gt;=RÉGUAS!$M$51,CK66&lt;=RÉGUAS!$M$50),"ECO-10%",IF(AND(G66="TORRE",CK66&gt;RÉGUAS!$M$50,CK66&lt;=RÉGUAS!$N$51),"BIO+10%","-"))))))))</f>
        <v>ECO-10%</v>
      </c>
      <c r="CN66" s="73">
        <f t="shared" si="3"/>
        <v>10045.839970238096</v>
      </c>
      <c r="CO66" s="72" t="str">
        <f>IF(CN66&lt;=RÉGUAS!$D$58,"ESSENCIAL",IF(CN66&lt;=RÉGUAS!$F$58,"ECO",IF(CN66&gt;RÉGUAS!$F$58,"BIO",)))</f>
        <v>ECO</v>
      </c>
      <c r="CP66" s="72" t="str">
        <f>IF(Tabela13[[#This Row],[INTERVALO DE INTERSEÇÃO 5D]]="-",Tabela13[[#This Row],[CLASSIFICAÇÃO 
5D ]],Tabela13[[#This Row],[CLASSIFICAÇÃO 
4D]])</f>
        <v>ECO</v>
      </c>
      <c r="CQ66" s="72" t="str">
        <f t="shared" si="4"/>
        <v>-</v>
      </c>
      <c r="CR66" s="72" t="str">
        <f t="shared" si="5"/>
        <v>ECO</v>
      </c>
      <c r="CS66" s="22" t="str">
        <f>IF(Tabela13[[#This Row],[PRODUTO ATUAL ]]=Tabela13[[#This Row],[CLASSIFICAÇÃO FINAL 5D]],"ADERÊNTE","NÃO ADERÊNTE")</f>
        <v>ADERÊNTE</v>
      </c>
      <c r="CT66" s="24">
        <f>SUM(Tabela13[[#This Row],[TOTAL  ACAB]],Tabela13[[#This Row],[TOTAL LAZER ]],Tabela13[[#This Row],[TOTAL TIPOLOGIA]],Tabela13[[#This Row],[TOTAL VAGA]])</f>
        <v>10045.839970238096</v>
      </c>
      <c r="CU66" s="22" t="str">
        <f>IF(CT66&lt;=RÉGUAS!$D$58,"ESSENCIAL",IF(CT66&lt;=RÉGUAS!$F$58,"ECO",IF(CT66&gt;RÉGUAS!$F$58,"BIO",)))</f>
        <v>ECO</v>
      </c>
      <c r="CV66" s="22" t="str">
        <f>IF(AND(CT66&gt;=RÉGUAS!$D$59,CT66&lt;=RÉGUAS!$E$59),"ESSENCIAL/ECO",IF(AND(CT66&gt;=RÉGUAS!$F$59,CT66&lt;=RÉGUAS!$G$59),"ECO/BIO","-"))</f>
        <v>-</v>
      </c>
      <c r="CW66" s="85">
        <f>SUM(Tabela13[[#This Row],[TOTAL LAZER ]],Tabela13[[#This Row],[TOTAL TIPOLOGIA]])</f>
        <v>3583.220922619048</v>
      </c>
      <c r="CX66" s="22" t="str">
        <f>IF(CW66&lt;=RÉGUAS!$D$72,"ESSENCIAL",IF(CW66&lt;=RÉGUAS!$F$72,"ECO",IF(CN66&gt;RÉGUAS!$F$72,"BIO",)))</f>
        <v>ECO</v>
      </c>
      <c r="CY66" s="22" t="str">
        <f t="shared" si="6"/>
        <v>ECO</v>
      </c>
      <c r="CZ66" s="22" t="str">
        <f>IF(Tabela13[[#This Row],[PRODUTO ATUAL ]]=CY66,"ADERENTE","NÃO ADERENTE")</f>
        <v>ADERENTE</v>
      </c>
      <c r="DA66" s="22" t="str">
        <f>IF(Tabela13[[#This Row],[PRODUTO ATUAL ]]=Tabela13[[#This Row],[CLASSIFICAÇÃO 
4D2]],"ADERENTE","NÃO ADERENTE")</f>
        <v>ADERENTE</v>
      </c>
    </row>
    <row r="67" spans="2:105" hidden="1" x14ac:dyDescent="0.35">
      <c r="B67" s="27">
        <v>51</v>
      </c>
      <c r="C67" s="22" t="s">
        <v>193</v>
      </c>
      <c r="D67" s="22" t="s">
        <v>128</v>
      </c>
      <c r="E67" s="23">
        <v>400</v>
      </c>
      <c r="F67" s="22" t="str">
        <f t="shared" ref="F67:F104" si="7">IF(E67&lt;=200,"Até 200 und",IF(E67&lt;=400,"De 200 a 400 und",IF(E67&gt;=401,"Acima de 400 und")))</f>
        <v>De 200 a 400 und</v>
      </c>
      <c r="G67" s="22" t="s">
        <v>1</v>
      </c>
      <c r="H67" s="36">
        <v>20</v>
      </c>
      <c r="I67" s="36">
        <v>5</v>
      </c>
      <c r="J67" s="36"/>
      <c r="K67" s="36"/>
      <c r="L67" s="36">
        <f>SUM(Tabela13[[#This Row],[QTD DE B/T 2]],Tabela13[[#This Row],[QTD DE B/T]])</f>
        <v>20</v>
      </c>
      <c r="M67" s="22">
        <v>2</v>
      </c>
      <c r="N67" s="22">
        <f>Tabela13[[#This Row],[ELEVADOR]]/Tabela13[[#This Row],[BLOCO TOTAL]]</f>
        <v>0.1</v>
      </c>
      <c r="O67" s="22" t="s">
        <v>5</v>
      </c>
      <c r="P67" s="22" t="s">
        <v>101</v>
      </c>
      <c r="Q67" s="22" t="s">
        <v>101</v>
      </c>
      <c r="R67" s="22" t="s">
        <v>142</v>
      </c>
      <c r="S67" s="22" t="s">
        <v>103</v>
      </c>
      <c r="T67" s="22" t="s">
        <v>104</v>
      </c>
      <c r="U67" s="22" t="s">
        <v>105</v>
      </c>
      <c r="V67" s="22" t="s">
        <v>106</v>
      </c>
      <c r="W67" s="24">
        <f>IF(P67=[1]BD_CUSTO!$E$4,[1]BD_CUSTO!$F$4,[1]BD_CUSTO!$F$5)</f>
        <v>2430</v>
      </c>
      <c r="X67" s="24">
        <f>IF(Q67=[1]BD_CUSTO!$E$6,[1]BD_CUSTO!$F$6,[1]BD_CUSTO!$F$7)</f>
        <v>260</v>
      </c>
      <c r="Y67" s="24">
        <f>IF(R67=[1]BD_CUSTO!$E$8,[1]BD_CUSTO!$F$8,[1]BD_CUSTO!$F$9)</f>
        <v>900</v>
      </c>
      <c r="Z67" s="24">
        <f>IF(S67=[1]BD_CUSTO!$E$10,[1]BD_CUSTO!$F$10,[1]BD_CUSTO!$F$11)</f>
        <v>500</v>
      </c>
      <c r="AA67" s="24">
        <f>IF(T67=[1]BD_CUSTO!$E$12,[1]BD_CUSTO!$F$12,[1]BD_CUSTO!$F$13)</f>
        <v>370</v>
      </c>
      <c r="AB67" s="24">
        <f>IF(U67=[1]BD_CUSTO!$E$14,[1]BD_CUSTO!$F$14,[1]BD_CUSTO!$F$15)</f>
        <v>90</v>
      </c>
      <c r="AC67" s="24">
        <f>IF(V67=[1]BD_CUSTO!$E$16,[1]BD_CUSTO!$F$16,[1]BD_CUSTO!$F$17)</f>
        <v>720</v>
      </c>
      <c r="AD67" s="22" t="s">
        <v>109</v>
      </c>
      <c r="AE67" s="22">
        <v>1</v>
      </c>
      <c r="AF67" s="22" t="s">
        <v>108</v>
      </c>
      <c r="AG67" s="22">
        <v>1</v>
      </c>
      <c r="AH67" s="22" t="s">
        <v>139</v>
      </c>
      <c r="AI67" s="22">
        <v>1</v>
      </c>
      <c r="AJ67" s="22" t="s">
        <v>121</v>
      </c>
      <c r="AK67" s="22">
        <v>1</v>
      </c>
      <c r="AL67" s="22" t="s">
        <v>107</v>
      </c>
      <c r="AM67" s="22">
        <v>1</v>
      </c>
      <c r="AN67" s="22" t="s">
        <v>129</v>
      </c>
      <c r="AO67" s="22">
        <v>1</v>
      </c>
      <c r="AP67" s="22" t="s">
        <v>110</v>
      </c>
      <c r="AQ67" s="22">
        <v>1</v>
      </c>
      <c r="AR67" s="22"/>
      <c r="AS67" s="22"/>
      <c r="AT67" s="22"/>
      <c r="AU67" s="22"/>
      <c r="AV67" s="22"/>
      <c r="AW67" s="22"/>
      <c r="AX67" s="24">
        <f>IF(AD67="",0,VLOOKUP(AD67,[1]BD_CUSTO!I:J,2,0)*AE67/E67)</f>
        <v>17.375</v>
      </c>
      <c r="AY67" s="24">
        <f>IF(AF67="",0,VLOOKUP(AF67,[1]BD_CUSTO!I:J,2,0)*AG67/E67)</f>
        <v>57.875</v>
      </c>
      <c r="AZ67" s="24">
        <f>IF(AH67="",0,VLOOKUP(AH67,[1]BD_CUSTO!I:J,2,0)*AI67/E67)</f>
        <v>155.39080000000001</v>
      </c>
      <c r="BA67" s="24">
        <f>IF(AJ67="",0,VLOOKUP(AJ67,[1]BD_CUSTO!I:J,2,0)*AK67/E67)</f>
        <v>307.89224999999999</v>
      </c>
      <c r="BB67" s="24">
        <f>IF(AL67="",0,VLOOKUP(AL67,[1]BD_CUSTO!I:J,2,0)*AM67/E67)</f>
        <v>212.87279999999998</v>
      </c>
      <c r="BC67" s="24">
        <f>IF(AN67="",0,VLOOKUP(AN67,[1]BD_CUSTO!I:J,2,0)*AO67/E67)</f>
        <v>687.91895</v>
      </c>
      <c r="BD67" s="24">
        <f>IF(AP67="",0,VLOOKUP(AP67,[1]BD_CUSTO!I:J,2,0)*AQ67/E67)</f>
        <v>13.25</v>
      </c>
      <c r="BE67" s="24">
        <f>IF(AR67="",0,VLOOKUP(AR67,CUSTO!I:J,2,0)*AS67/E67)</f>
        <v>0</v>
      </c>
      <c r="BF67" s="24">
        <f>IF(AT67="",0,VLOOKUP(AT67,[1]BD_CUSTO!I:J,2,0)*AU67/E67)</f>
        <v>0</v>
      </c>
      <c r="BG67" s="24">
        <f>IF(Tabela13[[#This Row],[LZ 10]]="",0,VLOOKUP(Tabela13[[#This Row],[LZ 10]],[1]BD_CUSTO!I:J,2,0)*Tabela13[[#This Row],[QTD922]]/E67)</f>
        <v>0</v>
      </c>
      <c r="BH67" s="22" t="s">
        <v>112</v>
      </c>
      <c r="BI67" s="25">
        <f>144/Tabela13[[#This Row],[Nº UNDS]]</f>
        <v>0.36</v>
      </c>
      <c r="BJ67" s="22" t="s">
        <v>113</v>
      </c>
      <c r="BK67" s="25">
        <v>0</v>
      </c>
      <c r="BL67" s="24">
        <f>IF(BH67=[1]BD_CUSTO!$M$6,[1]BD_CUSTO!$N$6)*BI67</f>
        <v>1080</v>
      </c>
      <c r="BM67" s="24">
        <f>IF(BJ67=[1]BD_CUSTO!$M$4,[1]BD_CUSTO!$N$4,[1]BD_CUSTO!$N$5)*BK67</f>
        <v>0</v>
      </c>
      <c r="BN67" s="22" t="s">
        <v>114</v>
      </c>
      <c r="BO67" s="22">
        <f>439-22</f>
        <v>417</v>
      </c>
      <c r="BP67" s="25">
        <f>Tabela13[[#This Row],[QTD ]]/Tabela13[[#This Row],[Nº UNDS]]</f>
        <v>1.0425</v>
      </c>
      <c r="BQ67" s="22" t="s">
        <v>123</v>
      </c>
      <c r="BR67" s="22">
        <v>22</v>
      </c>
      <c r="BS67" s="22" t="s">
        <v>116</v>
      </c>
      <c r="BT67" s="22">
        <v>0</v>
      </c>
      <c r="BU67" s="22" t="s">
        <v>16</v>
      </c>
      <c r="BV67" s="22">
        <v>0</v>
      </c>
      <c r="BW67" s="24">
        <f>IF(BN67=[1]BD_CUSTO!$Q$7,[1]BD_CUSTO!$R$7,[1]BD_CUSTO!$R$8)*BO67/E67</f>
        <v>2085</v>
      </c>
      <c r="BX67" s="24">
        <f>IF(BQ67=[1]BD_CUSTO!$Q$4,[1]BD_CUSTO!$R$4,[1]BD_CUSTO!$R$5)*BR67/E67</f>
        <v>55</v>
      </c>
      <c r="BY67" s="22">
        <f>IF(BS67=[1]BD_CUSTO!$Q$13,[1]BD_CUSTO!$R$13,[1]BD_CUSTO!$R$14)*BT67/E67</f>
        <v>0</v>
      </c>
      <c r="BZ67" s="24">
        <f>BV67*CUSTO!$R$10/E67</f>
        <v>0</v>
      </c>
      <c r="CA67" s="26">
        <f>SUM(Tabela13[[#This Row],[SOMA_PISO SALA E QUARTO]],Tabela13[[#This Row],[SOMA_PAREDE HIDR]],Tabela13[[#This Row],[SOMA_TETO]],Tabela13[[#This Row],[SOMA_BANCADA]],Tabela13[[#This Row],[SOMA_PEDRAS]])</f>
        <v>4290</v>
      </c>
      <c r="CB67" s="27" t="str">
        <f>IF(CA67&lt;=RÉGUAS!$D$4,"ACAB 01",IF(CA67&lt;=RÉGUAS!$F$4,"ACAB 02",IF(CA67&gt;RÉGUAS!$F$4,"ACAB 03",)))</f>
        <v>ACAB 02</v>
      </c>
      <c r="CC67" s="26">
        <f>SUM(Tabela13[[#This Row],[SOMA_LZ 01]:[SOMA_LZ 10]])</f>
        <v>1452.5747999999999</v>
      </c>
      <c r="CD67" s="22" t="str">
        <f>IF(CC67&lt;=RÉGUAS!$D$13,"LZ 01",IF(CC67&lt;=RÉGUAS!$F$13,"LZ 02",IF(CC67&lt;=RÉGUAS!$H$13,"LZ 03",IF(CC67&gt;RÉGUAS!$H$13,"LZ 04",))))</f>
        <v>LZ 02</v>
      </c>
      <c r="CE67" s="28">
        <f t="shared" ref="CE67:CE104" si="8">SUM(BL67:BM67)</f>
        <v>1080</v>
      </c>
      <c r="CF67" s="22" t="str">
        <f>IF(CE67&lt;=RÉGUAS!$D$22,"TIP 01",IF(CE67&lt;=RÉGUAS!$F$22,"TIP 02",IF(CE67&gt;RÉGUAS!$F$22,"TIP 03",)))</f>
        <v>TIP 01</v>
      </c>
      <c r="CG67" s="28">
        <f t="shared" ref="CG67:CG104" si="9">SUM(BW67:BZ67)</f>
        <v>2140</v>
      </c>
      <c r="CH67" s="22" t="str">
        <f>IF(CG67&lt;=RÉGUAS!$D$32,"VAGA 01",IF(CG67&lt;=RÉGUAS!$F$32,"VAGA 02",IF(CG67&gt;RÉGUAS!$F$32,"VAGA 03",)))</f>
        <v>VAGA 02</v>
      </c>
      <c r="CI67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750.7</v>
      </c>
      <c r="CJ67" s="85" t="str">
        <f>IF(AND(G67="BLOCO",CI67&lt;=RÉGUAS!$D$40),"ELEV 01",IF(AND(G67="BLOCO",CI67&gt;RÉGUAS!$D$40),"ELEV 02",IF(AND(G67="TORRE",CI67&lt;=RÉGUAS!$K$40),"ELEV 01",IF(AND(G67="TORRE",CI67&lt;=RÉGUAS!$M$40),"ELEV 02",IF(AND(G67="TORRE",CI67&gt;RÉGUAS!$M$40),"ELEV 03",)))))</f>
        <v>ELEV 02</v>
      </c>
      <c r="CK67" s="85">
        <f>SUM(Tabela13[[#This Row],[TOTAL  ACAB]],Tabela13[[#This Row],[TOTAL LAZER ]],Tabela13[[#This Row],[TOTAL TIPOLOGIA]],Tabela13[[#This Row],[TOTAL VAGA]],Tabela13[[#This Row],[TOTAL ELEVADOR]])</f>
        <v>9713.2748000000011</v>
      </c>
      <c r="CL67" s="72" t="str">
        <f>IF(AND(G67="BLOCO",CK67&lt;=RÉGUAS!$D$50),"ESSENCIAL",IF(AND(G67="BLOCO",CK67&lt;=RÉGUAS!$F$50),"ECO",IF(AND(G67="BLOCO",CK67&gt;RÉGUAS!$F$50),"BIO",IF(AND(G67="TORRE",CK67&lt;=RÉGUAS!$K$50),"ESSENCIAL",IF(AND(G67="TORRE",CK67&lt;=RÉGUAS!$M$50),"ECO",IF(AND(G67="TORRE",CK67&gt;RÉGUAS!$M$50),"BIO",))))))</f>
        <v>ECO</v>
      </c>
      <c r="CM67" s="28" t="str">
        <f>IF(AND(G67="BLOCO",CK67&gt;=RÉGUAS!$D$51,CK67&lt;=RÉGUAS!$D$50),"ESSENCIAL-10%",IF(AND(G67="BLOCO",CK67&gt;RÉGUAS!$D$50,CK67&lt;=RÉGUAS!$E$51),"ECO+10%",IF(AND(G67="BLOCO",CK67&gt;=RÉGUAS!$F$51,CK67&lt;=RÉGUAS!$F$50),"ECO-10%",IF(AND(G67="BLOCO",CK67&gt;RÉGUAS!$F$50,CK67&lt;=RÉGUAS!$G$51),"BIO+10%",IF(AND(G67="TORRE",CK67&gt;=RÉGUAS!$K$51,CK67&lt;=RÉGUAS!$K$50),"ESSENCIAL-10%",IF(AND(G67="TORRE",CK67&gt;RÉGUAS!$K$50,CK67&lt;=RÉGUAS!$L$51),"ECO+10%",IF(AND(G67="TORRE",CK67&gt;=RÉGUAS!$M$51,CK67&lt;=RÉGUAS!$M$50),"ECO-10%",IF(AND(G67="TORRE",CK67&gt;RÉGUAS!$M$50,CK67&lt;=RÉGUAS!$N$51),"BIO+10%","-"))))))))</f>
        <v>-</v>
      </c>
      <c r="CN67" s="73">
        <f t="shared" ref="CN67:CN104" si="10">SUM(CA67,CC67,CE67,CG67)</f>
        <v>8962.5748000000003</v>
      </c>
      <c r="CO67" s="72" t="str">
        <f>IF(CN67&lt;=RÉGUAS!$D$58,"ESSENCIAL",IF(CN67&lt;=RÉGUAS!$F$58,"ECO",IF(CN67&gt;RÉGUAS!$F$58,"BIO",)))</f>
        <v>ECO</v>
      </c>
      <c r="CP67" s="72" t="str">
        <f>IF(Tabela13[[#This Row],[INTERVALO DE INTERSEÇÃO 5D]]="-",Tabela13[[#This Row],[CLASSIFICAÇÃO 
5D ]],Tabela13[[#This Row],[CLASSIFICAÇÃO 
4D]])</f>
        <v>ECO</v>
      </c>
      <c r="CQ67" s="72" t="str">
        <f t="shared" ref="CQ67:CQ104" si="11">IF(AND(CL67="ESSENCIAL",CO67="BIO"),"OPOSTO",IF(AND(CL67="BIO",CO67="ESSENCIAL"),"OPOSTO","-"))</f>
        <v>-</v>
      </c>
      <c r="CR67" s="72" t="str">
        <f t="shared" ref="CR67:CR104" si="12">IF(AND(CL67="ESSENCIAL",CO67="BIO"),"ECO",IF(AND(CL67="BIO",CO67="ESSENCIAL"),"ECO",CP67))</f>
        <v>ECO</v>
      </c>
      <c r="CS67" s="22" t="str">
        <f>IF(Tabela13[[#This Row],[PRODUTO ATUAL ]]=Tabela13[[#This Row],[CLASSIFICAÇÃO FINAL 5D]],"ADERÊNTE","NÃO ADERÊNTE")</f>
        <v>ADERÊNTE</v>
      </c>
      <c r="CT67" s="24">
        <f>SUM(Tabela13[[#This Row],[TOTAL  ACAB]],Tabela13[[#This Row],[TOTAL LAZER ]],Tabela13[[#This Row],[TOTAL TIPOLOGIA]],Tabela13[[#This Row],[TOTAL VAGA]])</f>
        <v>8962.5748000000003</v>
      </c>
      <c r="CU67" s="22" t="str">
        <f>IF(CT67&lt;=RÉGUAS!$D$58,"ESSENCIAL",IF(CT67&lt;=RÉGUAS!$F$58,"ECO",IF(CT67&gt;RÉGUAS!$F$58,"BIO",)))</f>
        <v>ECO</v>
      </c>
      <c r="CV67" s="22" t="str">
        <f>IF(AND(CT67&gt;=RÉGUAS!$D$59,CT67&lt;=RÉGUAS!$E$59),"ESSENCIAL/ECO",IF(AND(CT67&gt;=RÉGUAS!$F$59,CT67&lt;=RÉGUAS!$G$59),"ECO/BIO","-"))</f>
        <v>-</v>
      </c>
      <c r="CW67" s="85">
        <f>SUM(Tabela13[[#This Row],[TOTAL LAZER ]],Tabela13[[#This Row],[TOTAL TIPOLOGIA]])</f>
        <v>2532.5747999999999</v>
      </c>
      <c r="CX67" s="22" t="str">
        <f>IF(CW67&lt;=RÉGUAS!$D$72,"ESSENCIAL",IF(CW67&lt;=RÉGUAS!$F$72,"ECO",IF(CN67&gt;RÉGUAS!$F$72,"BIO",)))</f>
        <v>ECO</v>
      </c>
      <c r="CY67" s="22" t="str">
        <f t="shared" ref="CY67:CY104" si="13">IF(CV67="-",CU67,CX67)</f>
        <v>ECO</v>
      </c>
      <c r="CZ67" s="22" t="str">
        <f>IF(Tabela13[[#This Row],[PRODUTO ATUAL ]]=CY67,"ADERENTE","NÃO ADERENTE")</f>
        <v>ADERENTE</v>
      </c>
      <c r="DA67" s="22" t="str">
        <f>IF(Tabela13[[#This Row],[PRODUTO ATUAL ]]=Tabela13[[#This Row],[CLASSIFICAÇÃO 
4D2]],"ADERENTE","NÃO ADERENTE")</f>
        <v>ADERENTE</v>
      </c>
    </row>
    <row r="68" spans="2:105" hidden="1" x14ac:dyDescent="0.35">
      <c r="B68" s="27">
        <v>66</v>
      </c>
      <c r="C68" s="22" t="s">
        <v>218</v>
      </c>
      <c r="D68" s="22" t="s">
        <v>100</v>
      </c>
      <c r="E68" s="23">
        <v>496</v>
      </c>
      <c r="F68" s="22" t="str">
        <f t="shared" si="7"/>
        <v>Acima de 400 und</v>
      </c>
      <c r="G68" s="22" t="s">
        <v>1</v>
      </c>
      <c r="H68" s="36">
        <v>31</v>
      </c>
      <c r="I68" s="36">
        <v>4</v>
      </c>
      <c r="J68" s="36"/>
      <c r="K68" s="36"/>
      <c r="L68" s="36">
        <f>SUM(Tabela13[[#This Row],[QTD DE B/T 2]],Tabela13[[#This Row],[QTD DE B/T]])</f>
        <v>31</v>
      </c>
      <c r="M68" s="22">
        <v>0</v>
      </c>
      <c r="N68" s="22">
        <f>Tabela13[[#This Row],[ELEVADOR]]/Tabela13[[#This Row],[BLOCO TOTAL]]</f>
        <v>0</v>
      </c>
      <c r="O68" s="22" t="s">
        <v>5</v>
      </c>
      <c r="P68" s="22" t="s">
        <v>101</v>
      </c>
      <c r="Q68" s="22" t="s">
        <v>101</v>
      </c>
      <c r="R68" s="22" t="s">
        <v>142</v>
      </c>
      <c r="S68" s="22" t="s">
        <v>103</v>
      </c>
      <c r="T68" s="22" t="s">
        <v>104</v>
      </c>
      <c r="U68" s="22" t="s">
        <v>105</v>
      </c>
      <c r="V68" s="22" t="s">
        <v>106</v>
      </c>
      <c r="W68" s="24">
        <f>IF(P68=[1]BD_CUSTO!$E$4,[1]BD_CUSTO!$F$4,[1]BD_CUSTO!$F$5)</f>
        <v>2430</v>
      </c>
      <c r="X68" s="24">
        <f>IF(Q68=[1]BD_CUSTO!$E$6,[1]BD_CUSTO!$F$6,[1]BD_CUSTO!$F$7)</f>
        <v>260</v>
      </c>
      <c r="Y68" s="24">
        <f>IF(R68=[1]BD_CUSTO!$E$8,[1]BD_CUSTO!$F$8,[1]BD_CUSTO!$F$9)</f>
        <v>900</v>
      </c>
      <c r="Z68" s="24">
        <f>IF(S68=[1]BD_CUSTO!$E$10,[1]BD_CUSTO!$F$10,[1]BD_CUSTO!$F$11)</f>
        <v>500</v>
      </c>
      <c r="AA68" s="24">
        <f>IF(T68=[1]BD_CUSTO!$E$12,[1]BD_CUSTO!$F$12,[1]BD_CUSTO!$F$13)</f>
        <v>370</v>
      </c>
      <c r="AB68" s="24">
        <f>IF(U68=[1]BD_CUSTO!$E$14,[1]BD_CUSTO!$F$14,[1]BD_CUSTO!$F$15)</f>
        <v>90</v>
      </c>
      <c r="AC68" s="24">
        <f>IF(V68=[1]BD_CUSTO!$E$16,[1]BD_CUSTO!$F$16,[1]BD_CUSTO!$F$17)</f>
        <v>720</v>
      </c>
      <c r="AD68" s="22" t="s">
        <v>129</v>
      </c>
      <c r="AE68" s="22">
        <v>1</v>
      </c>
      <c r="AF68" s="22" t="s">
        <v>108</v>
      </c>
      <c r="AG68" s="22">
        <v>1</v>
      </c>
      <c r="AH68" s="22" t="s">
        <v>111</v>
      </c>
      <c r="AI68" s="22">
        <v>2</v>
      </c>
      <c r="AJ68" s="22" t="s">
        <v>107</v>
      </c>
      <c r="AK68" s="22">
        <v>4</v>
      </c>
      <c r="AL68" s="22" t="s">
        <v>133</v>
      </c>
      <c r="AM68" s="22">
        <v>1</v>
      </c>
      <c r="AN68" s="22" t="s">
        <v>126</v>
      </c>
      <c r="AO68" s="22">
        <v>1</v>
      </c>
      <c r="AP68" s="22" t="s">
        <v>110</v>
      </c>
      <c r="AQ68" s="22">
        <v>1</v>
      </c>
      <c r="AR68" s="22" t="s">
        <v>109</v>
      </c>
      <c r="AS68" s="22">
        <v>1</v>
      </c>
      <c r="AT68" s="22"/>
      <c r="AU68" s="22"/>
      <c r="AV68" s="22"/>
      <c r="AW68" s="22"/>
      <c r="AX68" s="24">
        <f>IF(AD68="",0,VLOOKUP(AD68,[1]BD_CUSTO!I:J,2,0)*AE68/E68)</f>
        <v>554.77334677419356</v>
      </c>
      <c r="AY68" s="24">
        <f>IF(AF68="",0,VLOOKUP(AF68,[1]BD_CUSTO!I:J,2,0)*AG68/E68)</f>
        <v>46.673387096774192</v>
      </c>
      <c r="AZ68" s="24">
        <f>IF(AH68="",0,VLOOKUP(AH68,[1]BD_CUSTO!I:J,2,0)*AI68/E68)</f>
        <v>65.322580645161295</v>
      </c>
      <c r="BA68" s="24">
        <f>IF(AJ68="",0,VLOOKUP(AJ68,[1]BD_CUSTO!I:J,2,0)*AK68/E68)</f>
        <v>686.68645161290317</v>
      </c>
      <c r="BB68" s="24">
        <f>IF(AL68="",0,VLOOKUP(AL68,[1]BD_CUSTO!I:J,2,0)*AM68/E68)</f>
        <v>14.03225806451613</v>
      </c>
      <c r="BC68" s="24">
        <f>IF(AN68="",0,VLOOKUP(AN68,[1]BD_CUSTO!I:J,2,0)*AO68/E68)</f>
        <v>15.241935483870968</v>
      </c>
      <c r="BD68" s="24">
        <f>IF(AP68="",0,VLOOKUP(AP68,[1]BD_CUSTO!I:J,2,0)*AQ68/E68)</f>
        <v>10.685483870967742</v>
      </c>
      <c r="BE68" s="24">
        <f>IF(AR68="",0,VLOOKUP(AR68,CUSTO!I:J,2,0)*AS68/E68)</f>
        <v>14.012096774193548</v>
      </c>
      <c r="BF68" s="24">
        <f>IF(AT68="",0,VLOOKUP(AT68,[1]BD_CUSTO!I:J,2,0)*AU68/E68)</f>
        <v>0</v>
      </c>
      <c r="BG68" s="24">
        <f>IF(Tabela13[[#This Row],[LZ 10]]="",0,VLOOKUP(Tabela13[[#This Row],[LZ 10]],[1]BD_CUSTO!I:J,2,0)*Tabela13[[#This Row],[QTD922]]/E68)</f>
        <v>0</v>
      </c>
      <c r="BH68" s="22" t="s">
        <v>112</v>
      </c>
      <c r="BI68" s="25">
        <f>186/Tabela13[[#This Row],[Nº UNDS]]</f>
        <v>0.375</v>
      </c>
      <c r="BJ68" s="22" t="s">
        <v>113</v>
      </c>
      <c r="BK68" s="25">
        <v>0</v>
      </c>
      <c r="BL68" s="24">
        <f>IF(BH68=[1]BD_CUSTO!$M$6,[1]BD_CUSTO!$N$6)*BI68</f>
        <v>1125</v>
      </c>
      <c r="BM68" s="24">
        <f>IF(BJ68=[1]BD_CUSTO!$M$4,[1]BD_CUSTO!$N$4,[1]BD_CUSTO!$N$5)*BK68</f>
        <v>0</v>
      </c>
      <c r="BN68" s="22" t="s">
        <v>114</v>
      </c>
      <c r="BO68" s="22">
        <v>521</v>
      </c>
      <c r="BP68" s="25">
        <f>Tabela13[[#This Row],[QTD ]]/Tabela13[[#This Row],[Nº UNDS]]</f>
        <v>1.0504032258064515</v>
      </c>
      <c r="BQ68" s="22" t="s">
        <v>115</v>
      </c>
      <c r="BR68" s="22">
        <v>0</v>
      </c>
      <c r="BS68" s="22" t="s">
        <v>116</v>
      </c>
      <c r="BT68" s="22">
        <v>0</v>
      </c>
      <c r="BU68" s="22" t="s">
        <v>16</v>
      </c>
      <c r="BV68" s="22">
        <v>0</v>
      </c>
      <c r="BW68" s="24">
        <f>IF(BN68=[1]BD_CUSTO!$Q$7,[1]BD_CUSTO!$R$7,[1]BD_CUSTO!$R$8)*BO68/E68</f>
        <v>2100.8064516129034</v>
      </c>
      <c r="BX68" s="24">
        <f>IF(BQ68=[1]BD_CUSTO!$Q$4,[1]BD_CUSTO!$R$4,[1]BD_CUSTO!$R$5)*BR68/E68</f>
        <v>0</v>
      </c>
      <c r="BY68" s="22">
        <f>IF(BS68=[1]BD_CUSTO!$Q$13,[1]BD_CUSTO!$R$13,[1]BD_CUSTO!$R$14)*BT68/E68</f>
        <v>0</v>
      </c>
      <c r="BZ68" s="24">
        <f>BV68*CUSTO!$R$10/E68</f>
        <v>0</v>
      </c>
      <c r="CA68" s="26">
        <f>SUM(Tabela13[[#This Row],[SOMA_PISO SALA E QUARTO]],Tabela13[[#This Row],[SOMA_PAREDE HIDR]],Tabela13[[#This Row],[SOMA_TETO]],Tabela13[[#This Row],[SOMA_BANCADA]],Tabela13[[#This Row],[SOMA_PEDRAS]])</f>
        <v>4290</v>
      </c>
      <c r="CB68" s="27" t="str">
        <f>IF(CA68&lt;=RÉGUAS!$D$4,"ACAB 01",IF(CA68&lt;=RÉGUAS!$F$4,"ACAB 02",IF(CA68&gt;RÉGUAS!$F$4,"ACAB 03",)))</f>
        <v>ACAB 02</v>
      </c>
      <c r="CC68" s="26">
        <f>SUM(Tabela13[[#This Row],[SOMA_LZ 01]:[SOMA_LZ 10]])</f>
        <v>1407.4275403225809</v>
      </c>
      <c r="CD68" s="22" t="str">
        <f>IF(CC68&lt;=RÉGUAS!$D$13,"LZ 01",IF(CC68&lt;=RÉGUAS!$F$13,"LZ 02",IF(CC68&lt;=RÉGUAS!$H$13,"LZ 03",IF(CC68&gt;RÉGUAS!$H$13,"LZ 04",))))</f>
        <v>LZ 02</v>
      </c>
      <c r="CE68" s="28">
        <f t="shared" si="8"/>
        <v>1125</v>
      </c>
      <c r="CF68" s="22" t="str">
        <f>IF(CE68&lt;=RÉGUAS!$D$22,"TIP 01",IF(CE68&lt;=RÉGUAS!$F$22,"TIP 02",IF(CE68&gt;RÉGUAS!$F$22,"TIP 03",)))</f>
        <v>TIP 01</v>
      </c>
      <c r="CG68" s="28">
        <f t="shared" si="9"/>
        <v>2100.8064516129034</v>
      </c>
      <c r="CH68" s="22" t="str">
        <f>IF(CG68&lt;=RÉGUAS!$D$32,"VAGA 01",IF(CG68&lt;=RÉGUAS!$F$32,"VAGA 02",IF(CG68&gt;RÉGUAS!$F$32,"VAGA 03",)))</f>
        <v>VAGA 02</v>
      </c>
      <c r="CI68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68" s="85" t="str">
        <f>IF(AND(G68="BLOCO",CI68&lt;=RÉGUAS!$D$40),"ELEV 01",IF(AND(G68="BLOCO",CI68&gt;RÉGUAS!$D$40),"ELEV 02",IF(AND(G68="TORRE",CI68&lt;=RÉGUAS!$K$40),"ELEV 01",IF(AND(G68="TORRE",CI68&lt;=RÉGUAS!$M$40),"ELEV 02",IF(AND(G68="TORRE",CI68&gt;RÉGUAS!$M$40),"ELEV 03",)))))</f>
        <v>ELEV 01</v>
      </c>
      <c r="CK68" s="85">
        <f>SUM(Tabela13[[#This Row],[TOTAL  ACAB]],Tabela13[[#This Row],[TOTAL LAZER ]],Tabela13[[#This Row],[TOTAL TIPOLOGIA]],Tabela13[[#This Row],[TOTAL VAGA]],Tabela13[[#This Row],[TOTAL ELEVADOR]])</f>
        <v>8923.2339919354854</v>
      </c>
      <c r="CL68" s="72" t="str">
        <f>IF(AND(G68="BLOCO",CK68&lt;=RÉGUAS!$D$50),"ESSENCIAL",IF(AND(G68="BLOCO",CK68&lt;=RÉGUAS!$F$50),"ECO",IF(AND(G68="BLOCO",CK68&gt;RÉGUAS!$F$50),"BIO",IF(AND(G68="TORRE",CK68&lt;=RÉGUAS!$K$50),"ESSENCIAL",IF(AND(G68="TORRE",CK68&lt;=RÉGUAS!$M$50),"ECO",IF(AND(G68="TORRE",CK68&gt;RÉGUAS!$M$50),"BIO",))))))</f>
        <v>ECO</v>
      </c>
      <c r="CM68" s="28" t="str">
        <f>IF(AND(G68="BLOCO",CK68&gt;=RÉGUAS!$D$51,CK68&lt;=RÉGUAS!$D$50),"ESSENCIAL-10%",IF(AND(G68="BLOCO",CK68&gt;RÉGUAS!$D$50,CK68&lt;=RÉGUAS!$E$51),"ECO+10%",IF(AND(G68="BLOCO",CK68&gt;=RÉGUAS!$F$51,CK68&lt;=RÉGUAS!$F$50),"ECO-10%",IF(AND(G68="BLOCO",CK68&gt;RÉGUAS!$F$50,CK68&lt;=RÉGUAS!$G$51),"BIO+10%",IF(AND(G68="TORRE",CK68&gt;=RÉGUAS!$K$51,CK68&lt;=RÉGUAS!$K$50),"ESSENCIAL-10%",IF(AND(G68="TORRE",CK68&gt;RÉGUAS!$K$50,CK68&lt;=RÉGUAS!$L$51),"ECO+10%",IF(AND(G68="TORRE",CK68&gt;=RÉGUAS!$M$51,CK68&lt;=RÉGUAS!$M$50),"ECO-10%",IF(AND(G68="TORRE",CK68&gt;RÉGUAS!$M$50,CK68&lt;=RÉGUAS!$N$51),"BIO+10%","-"))))))))</f>
        <v>-</v>
      </c>
      <c r="CN68" s="73">
        <f t="shared" si="10"/>
        <v>8923.2339919354854</v>
      </c>
      <c r="CO68" s="72" t="str">
        <f>IF(CN68&lt;=RÉGUAS!$D$58,"ESSENCIAL",IF(CN68&lt;=RÉGUAS!$F$58,"ECO",IF(CN68&gt;RÉGUAS!$F$58,"BIO",)))</f>
        <v>ECO</v>
      </c>
      <c r="CP68" s="72" t="str">
        <f>IF(Tabela13[[#This Row],[INTERVALO DE INTERSEÇÃO 5D]]="-",Tabela13[[#This Row],[CLASSIFICAÇÃO 
5D ]],Tabela13[[#This Row],[CLASSIFICAÇÃO 
4D]])</f>
        <v>ECO</v>
      </c>
      <c r="CQ68" s="72" t="str">
        <f t="shared" si="11"/>
        <v>-</v>
      </c>
      <c r="CR68" s="72" t="str">
        <f t="shared" si="12"/>
        <v>ECO</v>
      </c>
      <c r="CS68" s="22" t="str">
        <f>IF(Tabela13[[#This Row],[PRODUTO ATUAL ]]=Tabela13[[#This Row],[CLASSIFICAÇÃO FINAL 5D]],"ADERÊNTE","NÃO ADERÊNTE")</f>
        <v>ADERÊNTE</v>
      </c>
      <c r="CT68" s="24">
        <f>SUM(Tabela13[[#This Row],[TOTAL  ACAB]],Tabela13[[#This Row],[TOTAL LAZER ]],Tabela13[[#This Row],[TOTAL TIPOLOGIA]],Tabela13[[#This Row],[TOTAL VAGA]])</f>
        <v>8923.2339919354854</v>
      </c>
      <c r="CU68" s="22" t="str">
        <f>IF(CT68&lt;=RÉGUAS!$D$58,"ESSENCIAL",IF(CT68&lt;=RÉGUAS!$F$58,"ECO",IF(CT68&gt;RÉGUAS!$F$58,"BIO",)))</f>
        <v>ECO</v>
      </c>
      <c r="CV68" s="22" t="str">
        <f>IF(AND(CT68&gt;=RÉGUAS!$D$59,CT68&lt;=RÉGUAS!$E$59),"ESSENCIAL/ECO",IF(AND(CT68&gt;=RÉGUAS!$F$59,CT68&lt;=RÉGUAS!$G$59),"ECO/BIO","-"))</f>
        <v>-</v>
      </c>
      <c r="CW68" s="85">
        <f>SUM(Tabela13[[#This Row],[TOTAL LAZER ]],Tabela13[[#This Row],[TOTAL TIPOLOGIA]])</f>
        <v>2532.4275403225811</v>
      </c>
      <c r="CX68" s="22" t="str">
        <f>IF(CW68&lt;=RÉGUAS!$D$72,"ESSENCIAL",IF(CW68&lt;=RÉGUAS!$F$72,"ECO",IF(CN68&gt;RÉGUAS!$F$72,"BIO",)))</f>
        <v>ECO</v>
      </c>
      <c r="CY68" s="22" t="str">
        <f t="shared" si="13"/>
        <v>ECO</v>
      </c>
      <c r="CZ68" s="22" t="str">
        <f>IF(Tabela13[[#This Row],[PRODUTO ATUAL ]]=CY68,"ADERENTE","NÃO ADERENTE")</f>
        <v>ADERENTE</v>
      </c>
      <c r="DA68" s="22" t="str">
        <f>IF(Tabela13[[#This Row],[PRODUTO ATUAL ]]=Tabela13[[#This Row],[CLASSIFICAÇÃO 
4D2]],"ADERENTE","NÃO ADERENTE")</f>
        <v>ADERENTE</v>
      </c>
    </row>
    <row r="69" spans="2:105" hidden="1" x14ac:dyDescent="0.35">
      <c r="B69" s="27">
        <v>80</v>
      </c>
      <c r="C69" s="22" t="s">
        <v>202</v>
      </c>
      <c r="D69" s="22"/>
      <c r="E69" s="23">
        <v>200</v>
      </c>
      <c r="F69" s="22" t="str">
        <f t="shared" si="7"/>
        <v>Até 200 und</v>
      </c>
      <c r="G69" s="22" t="s">
        <v>1</v>
      </c>
      <c r="H69" s="36">
        <v>10</v>
      </c>
      <c r="I69" s="36">
        <v>5</v>
      </c>
      <c r="J69" s="36"/>
      <c r="K69" s="36"/>
      <c r="L69" s="36">
        <f>SUM(Tabela13[[#This Row],[QTD DE B/T 2]],Tabela13[[#This Row],[QTD DE B/T]])</f>
        <v>10</v>
      </c>
      <c r="M69" s="22">
        <v>0</v>
      </c>
      <c r="N69" s="22">
        <f>Tabela13[[#This Row],[ELEVADOR]]/Tabela13[[#This Row],[BLOCO TOTAL]]</f>
        <v>0</v>
      </c>
      <c r="O69" s="22" t="s">
        <v>5</v>
      </c>
      <c r="P69" s="22" t="s">
        <v>101</v>
      </c>
      <c r="Q69" s="22" t="s">
        <v>101</v>
      </c>
      <c r="R69" s="22" t="s">
        <v>142</v>
      </c>
      <c r="S69" s="22" t="s">
        <v>103</v>
      </c>
      <c r="T69" s="22" t="s">
        <v>104</v>
      </c>
      <c r="U69" s="22" t="s">
        <v>105</v>
      </c>
      <c r="V69" s="22" t="s">
        <v>106</v>
      </c>
      <c r="W69" s="24">
        <f>IF(P69=[1]BD_CUSTO!$E$4,[1]BD_CUSTO!$F$4,[1]BD_CUSTO!$F$5)</f>
        <v>2430</v>
      </c>
      <c r="X69" s="24">
        <f>IF(Q69=[1]BD_CUSTO!$E$6,[1]BD_CUSTO!$F$6,[1]BD_CUSTO!$F$7)</f>
        <v>260</v>
      </c>
      <c r="Y69" s="24">
        <f>IF(R69=[1]BD_CUSTO!$E$8,[1]BD_CUSTO!$F$8,[1]BD_CUSTO!$F$9)</f>
        <v>900</v>
      </c>
      <c r="Z69" s="24">
        <f>IF(S69=[1]BD_CUSTO!$E$10,[1]BD_CUSTO!$F$10,[1]BD_CUSTO!$F$11)</f>
        <v>500</v>
      </c>
      <c r="AA69" s="24">
        <f>IF(T69=[1]BD_CUSTO!$E$12,[1]BD_CUSTO!$F$12,[1]BD_CUSTO!$F$13)</f>
        <v>370</v>
      </c>
      <c r="AB69" s="24">
        <f>IF(U69=[1]BD_CUSTO!$E$14,[1]BD_CUSTO!$F$14,[1]BD_CUSTO!$F$15)</f>
        <v>90</v>
      </c>
      <c r="AC69" s="24">
        <f>IF(V69=[1]BD_CUSTO!$E$16,[1]BD_CUSTO!$F$16,[1]BD_CUSTO!$F$17)</f>
        <v>720</v>
      </c>
      <c r="AD69" s="22" t="s">
        <v>110</v>
      </c>
      <c r="AE69" s="22">
        <v>1</v>
      </c>
      <c r="AF69" s="22" t="s">
        <v>129</v>
      </c>
      <c r="AG69" s="22">
        <v>1</v>
      </c>
      <c r="AH69" s="22" t="s">
        <v>108</v>
      </c>
      <c r="AI69" s="22">
        <v>1</v>
      </c>
      <c r="AJ69" s="22" t="s">
        <v>107</v>
      </c>
      <c r="AK69" s="22">
        <v>1</v>
      </c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4">
        <f>IF(AD69="",0,VLOOKUP(AD69,[1]BD_CUSTO!I:J,2,0)*AE69/E69)</f>
        <v>26.5</v>
      </c>
      <c r="AY69" s="24">
        <f>IF(AF69="",0,VLOOKUP(AF69,[1]BD_CUSTO!I:J,2,0)*AG69/E69)</f>
        <v>1375.8379</v>
      </c>
      <c r="AZ69" s="24">
        <f>IF(AH69="",0,VLOOKUP(AH69,[1]BD_CUSTO!I:J,2,0)*AI69/E69)</f>
        <v>115.75</v>
      </c>
      <c r="BA69" s="24">
        <f>IF(AJ69="",0,VLOOKUP(AJ69,[1]BD_CUSTO!I:J,2,0)*AK69/E69)</f>
        <v>425.74559999999997</v>
      </c>
      <c r="BB69" s="24">
        <f>IF(AL69="",0,VLOOKUP(AL69,[1]BD_CUSTO!I:J,2,0)*AM69/E69)</f>
        <v>0</v>
      </c>
      <c r="BC69" s="24">
        <f>IF(AN69="",0,VLOOKUP(AN69,[1]BD_CUSTO!I:J,2,0)*AO69/E69)</f>
        <v>0</v>
      </c>
      <c r="BD69" s="24">
        <f>IF(AP69="",0,VLOOKUP(AP69,[1]BD_CUSTO!I:J,2,0)*AQ69/E69)</f>
        <v>0</v>
      </c>
      <c r="BE69" s="24">
        <f>IF(AR69="",0,VLOOKUP(AR69,CUSTO!I:J,2,0)*AS69/E69)</f>
        <v>0</v>
      </c>
      <c r="BF69" s="24">
        <f>IF(AT69="",0,VLOOKUP(AT69,[1]BD_CUSTO!I:J,2,0)*AU69/E69)</f>
        <v>0</v>
      </c>
      <c r="BG69" s="24">
        <f>IF(Tabela13[[#This Row],[LZ 10]]="",0,VLOOKUP(Tabela13[[#This Row],[LZ 10]],[1]BD_CUSTO!I:J,2,0)*Tabela13[[#This Row],[QTD922]]/E69)</f>
        <v>0</v>
      </c>
      <c r="BH69" s="22" t="s">
        <v>112</v>
      </c>
      <c r="BI69" s="25">
        <v>0.4</v>
      </c>
      <c r="BJ69" s="22" t="s">
        <v>113</v>
      </c>
      <c r="BK69" s="25">
        <v>0</v>
      </c>
      <c r="BL69" s="24">
        <f>IF(BH69=[1]BD_CUSTO!$M$6,[1]BD_CUSTO!$N$6)*BI69</f>
        <v>1200</v>
      </c>
      <c r="BM69" s="24">
        <f>IF(BJ69=[1]BD_CUSTO!$M$4,[1]BD_CUSTO!$N$4,[1]BD_CUSTO!$N$5)*BK69</f>
        <v>0</v>
      </c>
      <c r="BN69" s="22" t="s">
        <v>114</v>
      </c>
      <c r="BO69" s="22">
        <v>212</v>
      </c>
      <c r="BP69" s="25">
        <f>Tabela13[[#This Row],[QTD ]]/Tabela13[[#This Row],[Nº UNDS]]</f>
        <v>1.06</v>
      </c>
      <c r="BQ69" s="22" t="s">
        <v>115</v>
      </c>
      <c r="BR69" s="22">
        <v>0</v>
      </c>
      <c r="BS69" s="22" t="s">
        <v>116</v>
      </c>
      <c r="BT69" s="22">
        <v>0</v>
      </c>
      <c r="BU69" s="22" t="s">
        <v>16</v>
      </c>
      <c r="BV69" s="22">
        <v>0</v>
      </c>
      <c r="BW69" s="24">
        <f>IF(BN69=[1]BD_CUSTO!$Q$7,[1]BD_CUSTO!$R$7,[1]BD_CUSTO!$R$8)*BO69/E69</f>
        <v>2120</v>
      </c>
      <c r="BX69" s="24">
        <f>IF(BQ69=[1]BD_CUSTO!$Q$4,[1]BD_CUSTO!$R$4,[1]BD_CUSTO!$R$5)*BR69/E69</f>
        <v>0</v>
      </c>
      <c r="BY69" s="22">
        <f>IF(BS69=[1]BD_CUSTO!$Q$13,[1]BD_CUSTO!$R$13,[1]BD_CUSTO!$R$14)*BT69/E69</f>
        <v>0</v>
      </c>
      <c r="BZ69" s="24">
        <f>BV69*CUSTO!$R$10/E69</f>
        <v>0</v>
      </c>
      <c r="CA69" s="26">
        <f>SUM(Tabela13[[#This Row],[SOMA_PISO SALA E QUARTO]],Tabela13[[#This Row],[SOMA_PAREDE HIDR]],Tabela13[[#This Row],[SOMA_TETO]],Tabela13[[#This Row],[SOMA_BANCADA]],Tabela13[[#This Row],[SOMA_PEDRAS]])</f>
        <v>4290</v>
      </c>
      <c r="CB69" s="27" t="str">
        <f>IF(CA69&lt;=RÉGUAS!$D$4,"ACAB 01",IF(CA69&lt;=RÉGUAS!$F$4,"ACAB 02",IF(CA69&gt;RÉGUAS!$F$4,"ACAB 03",)))</f>
        <v>ACAB 02</v>
      </c>
      <c r="CC69" s="26">
        <f>SUM(Tabela13[[#This Row],[SOMA_LZ 01]:[SOMA_LZ 10]])</f>
        <v>1943.8335</v>
      </c>
      <c r="CD69" s="22" t="str">
        <f>IF(CC69&lt;=RÉGUAS!$D$13,"LZ 01",IF(CC69&lt;=RÉGUAS!$F$13,"LZ 02",IF(CC69&lt;=RÉGUAS!$H$13,"LZ 03",IF(CC69&gt;RÉGUAS!$H$13,"LZ 04",))))</f>
        <v>LZ 03</v>
      </c>
      <c r="CE69" s="28">
        <f t="shared" si="8"/>
        <v>1200</v>
      </c>
      <c r="CF69" s="22" t="str">
        <f>IF(CE69&lt;=RÉGUAS!$D$22,"TIP 01",IF(CE69&lt;=RÉGUAS!$F$22,"TIP 02",IF(CE69&gt;RÉGUAS!$F$22,"TIP 03",)))</f>
        <v>TIP 01</v>
      </c>
      <c r="CG69" s="28">
        <f t="shared" si="9"/>
        <v>2120</v>
      </c>
      <c r="CH69" s="22" t="str">
        <f>IF(CG69&lt;=RÉGUAS!$D$32,"VAGA 01",IF(CG69&lt;=RÉGUAS!$F$32,"VAGA 02",IF(CG69&gt;RÉGUAS!$F$32,"VAGA 03",)))</f>
        <v>VAGA 02</v>
      </c>
      <c r="CI69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69" s="85" t="str">
        <f>IF(AND(G69="BLOCO",CI69&lt;=RÉGUAS!$D$40),"ELEV 01",IF(AND(G69="BLOCO",CI69&gt;RÉGUAS!$D$40),"ELEV 02",IF(AND(G69="TORRE",CI69&lt;=RÉGUAS!$K$40),"ELEV 01",IF(AND(G69="TORRE",CI69&lt;=RÉGUAS!$M$40),"ELEV 02",IF(AND(G69="TORRE",CI69&gt;RÉGUAS!$M$40),"ELEV 03",)))))</f>
        <v>ELEV 01</v>
      </c>
      <c r="CK69" s="85">
        <f>SUM(Tabela13[[#This Row],[TOTAL  ACAB]],Tabela13[[#This Row],[TOTAL LAZER ]],Tabela13[[#This Row],[TOTAL TIPOLOGIA]],Tabela13[[#This Row],[TOTAL VAGA]],Tabela13[[#This Row],[TOTAL ELEVADOR]])</f>
        <v>9553.8335000000006</v>
      </c>
      <c r="CL69" s="72" t="str">
        <f>IF(AND(G69="BLOCO",CK69&lt;=RÉGUAS!$D$50),"ESSENCIAL",IF(AND(G69="BLOCO",CK69&lt;=RÉGUAS!$F$50),"ECO",IF(AND(G69="BLOCO",CK69&gt;RÉGUAS!$F$50),"BIO",IF(AND(G69="TORRE",CK69&lt;=RÉGUAS!$K$50),"ESSENCIAL",IF(AND(G69="TORRE",CK69&lt;=RÉGUAS!$M$50),"ECO",IF(AND(G69="TORRE",CK69&gt;RÉGUAS!$M$50),"BIO",))))))</f>
        <v>ECO</v>
      </c>
      <c r="CM69" s="28" t="str">
        <f>IF(AND(G69="BLOCO",CK69&gt;=RÉGUAS!$D$51,CK69&lt;=RÉGUAS!$D$50),"ESSENCIAL-10%",IF(AND(G69="BLOCO",CK69&gt;RÉGUAS!$D$50,CK69&lt;=RÉGUAS!$E$51),"ECO+10%",IF(AND(G69="BLOCO",CK69&gt;=RÉGUAS!$F$51,CK69&lt;=RÉGUAS!$F$50),"ECO-10%",IF(AND(G69="BLOCO",CK69&gt;RÉGUAS!$F$50,CK69&lt;=RÉGUAS!$G$51),"BIO+10%",IF(AND(G69="TORRE",CK69&gt;=RÉGUAS!$K$51,CK69&lt;=RÉGUAS!$K$50),"ESSENCIAL-10%",IF(AND(G69="TORRE",CK69&gt;RÉGUAS!$K$50,CK69&lt;=RÉGUAS!$L$51),"ECO+10%",IF(AND(G69="TORRE",CK69&gt;=RÉGUAS!$M$51,CK69&lt;=RÉGUAS!$M$50),"ECO-10%",IF(AND(G69="TORRE",CK69&gt;RÉGUAS!$M$50,CK69&lt;=RÉGUAS!$N$51),"BIO+10%","-"))))))))</f>
        <v>-</v>
      </c>
      <c r="CN69" s="73">
        <f t="shared" si="10"/>
        <v>9553.8335000000006</v>
      </c>
      <c r="CO69" s="72" t="str">
        <f>IF(CN69&lt;=RÉGUAS!$D$58,"ESSENCIAL",IF(CN69&lt;=RÉGUAS!$F$58,"ECO",IF(CN69&gt;RÉGUAS!$F$58,"BIO",)))</f>
        <v>ECO</v>
      </c>
      <c r="CP69" s="72" t="str">
        <f>IF(Tabela13[[#This Row],[INTERVALO DE INTERSEÇÃO 5D]]="-",Tabela13[[#This Row],[CLASSIFICAÇÃO 
5D ]],Tabela13[[#This Row],[CLASSIFICAÇÃO 
4D]])</f>
        <v>ECO</v>
      </c>
      <c r="CQ69" s="72" t="str">
        <f t="shared" si="11"/>
        <v>-</v>
      </c>
      <c r="CR69" s="72" t="str">
        <f t="shared" si="12"/>
        <v>ECO</v>
      </c>
      <c r="CS69" s="22" t="str">
        <f>IF(Tabela13[[#This Row],[PRODUTO ATUAL ]]=Tabela13[[#This Row],[CLASSIFICAÇÃO FINAL 5D]],"ADERÊNTE","NÃO ADERÊNTE")</f>
        <v>ADERÊNTE</v>
      </c>
      <c r="CT69" s="24">
        <f>SUM(Tabela13[[#This Row],[TOTAL  ACAB]],Tabela13[[#This Row],[TOTAL LAZER ]],Tabela13[[#This Row],[TOTAL TIPOLOGIA]],Tabela13[[#This Row],[TOTAL VAGA]])</f>
        <v>9553.8335000000006</v>
      </c>
      <c r="CU69" s="22" t="str">
        <f>IF(CT69&lt;=RÉGUAS!$D$58,"ESSENCIAL",IF(CT69&lt;=RÉGUAS!$F$58,"ECO",IF(CT69&gt;RÉGUAS!$F$58,"BIO",)))</f>
        <v>ECO</v>
      </c>
      <c r="CV69" s="22" t="str">
        <f>IF(AND(CT69&gt;=RÉGUAS!$D$59,CT69&lt;=RÉGUAS!$E$59),"ESSENCIAL/ECO",IF(AND(CT69&gt;=RÉGUAS!$F$59,CT69&lt;=RÉGUAS!$G$59),"ECO/BIO","-"))</f>
        <v>-</v>
      </c>
      <c r="CW69" s="85">
        <f>SUM(Tabela13[[#This Row],[TOTAL LAZER ]],Tabela13[[#This Row],[TOTAL TIPOLOGIA]])</f>
        <v>3143.8334999999997</v>
      </c>
      <c r="CX69" s="22" t="str">
        <f>IF(CW69&lt;=RÉGUAS!$D$72,"ESSENCIAL",IF(CW69&lt;=RÉGUAS!$F$72,"ECO",IF(CN69&gt;RÉGUAS!$F$72,"BIO",)))</f>
        <v>ECO</v>
      </c>
      <c r="CY69" s="22" t="str">
        <f t="shared" si="13"/>
        <v>ECO</v>
      </c>
      <c r="CZ69" s="22" t="str">
        <f>IF(Tabela13[[#This Row],[PRODUTO ATUAL ]]=CY69,"ADERENTE","NÃO ADERENTE")</f>
        <v>ADERENTE</v>
      </c>
      <c r="DA69" s="22" t="str">
        <f>IF(Tabela13[[#This Row],[PRODUTO ATUAL ]]=Tabela13[[#This Row],[CLASSIFICAÇÃO 
4D2]],"ADERENTE","NÃO ADERENTE")</f>
        <v>ADERENTE</v>
      </c>
    </row>
    <row r="70" spans="2:105" hidden="1" x14ac:dyDescent="0.35">
      <c r="B70" s="27">
        <v>84</v>
      </c>
      <c r="C70" s="22" t="s">
        <v>220</v>
      </c>
      <c r="D70" s="22" t="s">
        <v>128</v>
      </c>
      <c r="E70" s="23">
        <v>320</v>
      </c>
      <c r="F70" s="22" t="str">
        <f t="shared" si="7"/>
        <v>De 200 a 400 und</v>
      </c>
      <c r="G70" s="22" t="s">
        <v>1</v>
      </c>
      <c r="H70" s="36">
        <v>16</v>
      </c>
      <c r="I70" s="36">
        <v>5</v>
      </c>
      <c r="J70" s="36"/>
      <c r="K70" s="36"/>
      <c r="L70" s="36">
        <f>SUM(Tabela13[[#This Row],[QTD DE B/T 2]],Tabela13[[#This Row],[QTD DE B/T]])</f>
        <v>16</v>
      </c>
      <c r="M70" s="22">
        <v>0</v>
      </c>
      <c r="N70" s="22">
        <f>Tabela13[[#This Row],[ELEVADOR]]/Tabela13[[#This Row],[BLOCO TOTAL]]</f>
        <v>0</v>
      </c>
      <c r="O70" s="22" t="s">
        <v>5</v>
      </c>
      <c r="P70" s="22" t="s">
        <v>101</v>
      </c>
      <c r="Q70" s="22" t="s">
        <v>101</v>
      </c>
      <c r="R70" s="22" t="s">
        <v>142</v>
      </c>
      <c r="S70" s="22" t="s">
        <v>103</v>
      </c>
      <c r="T70" s="22" t="s">
        <v>104</v>
      </c>
      <c r="U70" s="22" t="s">
        <v>105</v>
      </c>
      <c r="V70" s="22" t="s">
        <v>106</v>
      </c>
      <c r="W70" s="24">
        <f>IF(P70=[1]BD_CUSTO!$E$4,[1]BD_CUSTO!$F$4,[1]BD_CUSTO!$F$5)</f>
        <v>2430</v>
      </c>
      <c r="X70" s="24">
        <f>IF(Q70=[1]BD_CUSTO!$E$6,[1]BD_CUSTO!$F$6,[1]BD_CUSTO!$F$7)</f>
        <v>260</v>
      </c>
      <c r="Y70" s="24">
        <f>IF(R70=[1]BD_CUSTO!$E$8,[1]BD_CUSTO!$F$8,[1]BD_CUSTO!$F$9)</f>
        <v>900</v>
      </c>
      <c r="Z70" s="24">
        <f>IF(S70=[1]BD_CUSTO!$E$10,[1]BD_CUSTO!$F$10,[1]BD_CUSTO!$F$11)</f>
        <v>500</v>
      </c>
      <c r="AA70" s="24">
        <f>IF(T70=[1]BD_CUSTO!$E$12,[1]BD_CUSTO!$F$12,[1]BD_CUSTO!$F$13)</f>
        <v>370</v>
      </c>
      <c r="AB70" s="24">
        <f>IF(U70=[1]BD_CUSTO!$E$14,[1]BD_CUSTO!$F$14,[1]BD_CUSTO!$F$15)</f>
        <v>90</v>
      </c>
      <c r="AC70" s="24">
        <f>IF(V70=[1]BD_CUSTO!$E$16,[1]BD_CUSTO!$F$16,[1]BD_CUSTO!$F$17)</f>
        <v>720</v>
      </c>
      <c r="AD70" s="22" t="s">
        <v>110</v>
      </c>
      <c r="AE70" s="22">
        <v>1</v>
      </c>
      <c r="AF70" s="22" t="s">
        <v>107</v>
      </c>
      <c r="AG70" s="22">
        <v>1</v>
      </c>
      <c r="AH70" s="22" t="s">
        <v>121</v>
      </c>
      <c r="AI70" s="22">
        <v>1</v>
      </c>
      <c r="AJ70" s="22" t="s">
        <v>139</v>
      </c>
      <c r="AK70" s="22">
        <v>1</v>
      </c>
      <c r="AL70" s="22" t="s">
        <v>108</v>
      </c>
      <c r="AM70" s="22">
        <v>1</v>
      </c>
      <c r="AN70" s="22" t="s">
        <v>175</v>
      </c>
      <c r="AO70" s="22">
        <v>1</v>
      </c>
      <c r="AP70" s="22" t="s">
        <v>129</v>
      </c>
      <c r="AQ70" s="22">
        <v>1</v>
      </c>
      <c r="AR70" s="22"/>
      <c r="AS70" s="22"/>
      <c r="AT70" s="22"/>
      <c r="AU70" s="22"/>
      <c r="AV70" s="22"/>
      <c r="AW70" s="22"/>
      <c r="AX70" s="24">
        <f>IF(AD70="",0,VLOOKUP(AD70,[1]BD_CUSTO!I:J,2,0)*AE70/E70)</f>
        <v>16.5625</v>
      </c>
      <c r="AY70" s="24">
        <f>IF(AF70="",0,VLOOKUP(AF70,[1]BD_CUSTO!I:J,2,0)*AG70/E70)</f>
        <v>266.09100000000001</v>
      </c>
      <c r="AZ70" s="24">
        <f>IF(AH70="",0,VLOOKUP(AH70,[1]BD_CUSTO!I:J,2,0)*AI70/E70)</f>
        <v>384.86531249999996</v>
      </c>
      <c r="BA70" s="24">
        <f>IF(AJ70="",0,VLOOKUP(AJ70,[1]BD_CUSTO!I:J,2,0)*AK70/E70)</f>
        <v>194.23849999999999</v>
      </c>
      <c r="BB70" s="24">
        <f>IF(AL70="",0,VLOOKUP(AL70,[1]BD_CUSTO!I:J,2,0)*AM70/E70)</f>
        <v>72.34375</v>
      </c>
      <c r="BC70" s="24">
        <f>IF(AN70="",0,VLOOKUP(AN70,[1]BD_CUSTO!I:J,2,0)*AO70/E70)</f>
        <v>33.71875</v>
      </c>
      <c r="BD70" s="24">
        <f>IF(AP70="",0,VLOOKUP(AP70,[1]BD_CUSTO!I:J,2,0)*AQ70/E70)</f>
        <v>859.89868750000005</v>
      </c>
      <c r="BE70" s="24">
        <f>IF(AR70="",0,VLOOKUP(AR70,CUSTO!I:J,2,0)*AS70/E70)</f>
        <v>0</v>
      </c>
      <c r="BF70" s="24">
        <f>IF(AT70="",0,VLOOKUP(AT70,[1]BD_CUSTO!I:J,2,0)*AU70/E70)</f>
        <v>0</v>
      </c>
      <c r="BG70" s="24">
        <f>IF(Tabela13[[#This Row],[LZ 10]]="",0,VLOOKUP(Tabela13[[#This Row],[LZ 10]],[1]BD_CUSTO!I:J,2,0)*Tabela13[[#This Row],[QTD922]]/E70)</f>
        <v>0</v>
      </c>
      <c r="BH70" s="22" t="s">
        <v>122</v>
      </c>
      <c r="BI70" s="25">
        <v>0</v>
      </c>
      <c r="BJ70" s="22" t="s">
        <v>113</v>
      </c>
      <c r="BK70" s="25">
        <v>0</v>
      </c>
      <c r="BL70" s="24">
        <f>IF(BH70=[1]BD_CUSTO!$M$6,[1]BD_CUSTO!$N$6)*BI70</f>
        <v>0</v>
      </c>
      <c r="BM70" s="24">
        <f>IF(BJ70=[1]BD_CUSTO!$M$4,[1]BD_CUSTO!$N$4,[1]BD_CUSTO!$N$5)*BK70</f>
        <v>0</v>
      </c>
      <c r="BN70" s="22" t="s">
        <v>114</v>
      </c>
      <c r="BO70" s="22">
        <v>342</v>
      </c>
      <c r="BP70" s="25">
        <f>Tabela13[[#This Row],[QTD ]]/Tabela13[[#This Row],[Nº UNDS]]</f>
        <v>1.0687500000000001</v>
      </c>
      <c r="BQ70" s="22" t="s">
        <v>115</v>
      </c>
      <c r="BR70" s="22">
        <v>0</v>
      </c>
      <c r="BS70" s="22" t="s">
        <v>116</v>
      </c>
      <c r="BT70" s="22">
        <v>0</v>
      </c>
      <c r="BU70" s="22" t="s">
        <v>16</v>
      </c>
      <c r="BV70" s="22">
        <v>0</v>
      </c>
      <c r="BW70" s="24">
        <f>IF(BN70=[1]BD_CUSTO!$Q$7,[1]BD_CUSTO!$R$7,[1]BD_CUSTO!$R$8)*BO70/E70</f>
        <v>2137.5</v>
      </c>
      <c r="BX70" s="24">
        <f>IF(BQ70=[1]BD_CUSTO!$Q$4,[1]BD_CUSTO!$R$4,[1]BD_CUSTO!$R$5)*BR70/E70</f>
        <v>0</v>
      </c>
      <c r="BY70" s="22">
        <f>IF(BS70=[1]BD_CUSTO!$Q$13,[1]BD_CUSTO!$R$13,[1]BD_CUSTO!$R$14)*BT70/E70</f>
        <v>0</v>
      </c>
      <c r="BZ70" s="24">
        <f>BV70*CUSTO!$R$10/E70</f>
        <v>0</v>
      </c>
      <c r="CA70" s="26">
        <f>SUM(Tabela13[[#This Row],[SOMA_PISO SALA E QUARTO]],Tabela13[[#This Row],[SOMA_PAREDE HIDR]],Tabela13[[#This Row],[SOMA_TETO]],Tabela13[[#This Row],[SOMA_BANCADA]],Tabela13[[#This Row],[SOMA_PEDRAS]])</f>
        <v>4290</v>
      </c>
      <c r="CB70" s="27" t="str">
        <f>IF(CA70&lt;=RÉGUAS!$D$4,"ACAB 01",IF(CA70&lt;=RÉGUAS!$F$4,"ACAB 02",IF(CA70&gt;RÉGUAS!$F$4,"ACAB 03",)))</f>
        <v>ACAB 02</v>
      </c>
      <c r="CC70" s="26">
        <f>SUM(Tabela13[[#This Row],[SOMA_LZ 01]:[SOMA_LZ 10]])</f>
        <v>1827.7184999999999</v>
      </c>
      <c r="CD70" s="22" t="str">
        <f>IF(CC70&lt;=RÉGUAS!$D$13,"LZ 01",IF(CC70&lt;=RÉGUAS!$F$13,"LZ 02",IF(CC70&lt;=RÉGUAS!$H$13,"LZ 03",IF(CC70&gt;RÉGUAS!$H$13,"LZ 04",))))</f>
        <v>LZ 03</v>
      </c>
      <c r="CE70" s="28">
        <f t="shared" si="8"/>
        <v>0</v>
      </c>
      <c r="CF70" s="22" t="str">
        <f>IF(CE70&lt;=RÉGUAS!$D$22,"TIP 01",IF(CE70&lt;=RÉGUAS!$F$22,"TIP 02",IF(CE70&gt;RÉGUAS!$F$22,"TIP 03",)))</f>
        <v>TIP 01</v>
      </c>
      <c r="CG70" s="28">
        <f t="shared" si="9"/>
        <v>2137.5</v>
      </c>
      <c r="CH70" s="22" t="str">
        <f>IF(CG70&lt;=RÉGUAS!$D$32,"VAGA 01",IF(CG70&lt;=RÉGUAS!$F$32,"VAGA 02",IF(CG70&gt;RÉGUAS!$F$32,"VAGA 03",)))</f>
        <v>VAGA 02</v>
      </c>
      <c r="CI70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70" s="85" t="str">
        <f>IF(AND(G70="BLOCO",CI70&lt;=RÉGUAS!$D$40),"ELEV 01",IF(AND(G70="BLOCO",CI70&gt;RÉGUAS!$D$40),"ELEV 02",IF(AND(G70="TORRE",CI70&lt;=RÉGUAS!$K$40),"ELEV 01",IF(AND(G70="TORRE",CI70&lt;=RÉGUAS!$M$40),"ELEV 02",IF(AND(G70="TORRE",CI70&gt;RÉGUAS!$M$40),"ELEV 03",)))))</f>
        <v>ELEV 01</v>
      </c>
      <c r="CK70" s="85">
        <f>SUM(Tabela13[[#This Row],[TOTAL  ACAB]],Tabela13[[#This Row],[TOTAL LAZER ]],Tabela13[[#This Row],[TOTAL TIPOLOGIA]],Tabela13[[#This Row],[TOTAL VAGA]],Tabela13[[#This Row],[TOTAL ELEVADOR]])</f>
        <v>8255.218499999999</v>
      </c>
      <c r="CL70" s="72" t="str">
        <f>IF(AND(G70="BLOCO",CK70&lt;=RÉGUAS!$D$50),"ESSENCIAL",IF(AND(G70="BLOCO",CK70&lt;=RÉGUAS!$F$50),"ECO",IF(AND(G70="BLOCO",CK70&gt;RÉGUAS!$F$50),"BIO",IF(AND(G70="TORRE",CK70&lt;=RÉGUAS!$K$50),"ESSENCIAL",IF(AND(G70="TORRE",CK70&lt;=RÉGUAS!$M$50),"ECO",IF(AND(G70="TORRE",CK70&gt;RÉGUAS!$M$50),"BIO",))))))</f>
        <v>ECO</v>
      </c>
      <c r="CM70" s="28" t="str">
        <f>IF(AND(G70="BLOCO",CK70&gt;=RÉGUAS!$D$51,CK70&lt;=RÉGUAS!$D$50),"ESSENCIAL-10%",IF(AND(G70="BLOCO",CK70&gt;RÉGUAS!$D$50,CK70&lt;=RÉGUAS!$E$51),"ECO+10%",IF(AND(G70="BLOCO",CK70&gt;=RÉGUAS!$F$51,CK70&lt;=RÉGUAS!$F$50),"ECO-10%",IF(AND(G70="BLOCO",CK70&gt;RÉGUAS!$F$50,CK70&lt;=RÉGUAS!$G$51),"BIO+10%",IF(AND(G70="TORRE",CK70&gt;=RÉGUAS!$K$51,CK70&lt;=RÉGUAS!$K$50),"ESSENCIAL-10%",IF(AND(G70="TORRE",CK70&gt;RÉGUAS!$K$50,CK70&lt;=RÉGUAS!$L$51),"ECO+10%",IF(AND(G70="TORRE",CK70&gt;=RÉGUAS!$M$51,CK70&lt;=RÉGUAS!$M$50),"ECO-10%",IF(AND(G70="TORRE",CK70&gt;RÉGUAS!$M$50,CK70&lt;=RÉGUAS!$N$51),"BIO+10%","-"))))))))</f>
        <v>ECO+10%</v>
      </c>
      <c r="CN70" s="73">
        <f t="shared" si="10"/>
        <v>8255.218499999999</v>
      </c>
      <c r="CO70" s="72" t="str">
        <f>IF(CN70&lt;=RÉGUAS!$D$58,"ESSENCIAL",IF(CN70&lt;=RÉGUAS!$F$58,"ECO",IF(CN70&gt;RÉGUAS!$F$58,"BIO",)))</f>
        <v>ECO</v>
      </c>
      <c r="CP70" s="72" t="str">
        <f>IF(Tabela13[[#This Row],[INTERVALO DE INTERSEÇÃO 5D]]="-",Tabela13[[#This Row],[CLASSIFICAÇÃO 
5D ]],Tabela13[[#This Row],[CLASSIFICAÇÃO 
4D]])</f>
        <v>ECO</v>
      </c>
      <c r="CQ70" s="72" t="str">
        <f t="shared" si="11"/>
        <v>-</v>
      </c>
      <c r="CR70" s="72" t="str">
        <f t="shared" si="12"/>
        <v>ECO</v>
      </c>
      <c r="CS70" s="22" t="str">
        <f>IF(Tabela13[[#This Row],[PRODUTO ATUAL ]]=Tabela13[[#This Row],[CLASSIFICAÇÃO FINAL 5D]],"ADERÊNTE","NÃO ADERÊNTE")</f>
        <v>ADERÊNTE</v>
      </c>
      <c r="CT70" s="24">
        <f>SUM(Tabela13[[#This Row],[TOTAL  ACAB]],Tabela13[[#This Row],[TOTAL LAZER ]],Tabela13[[#This Row],[TOTAL TIPOLOGIA]],Tabela13[[#This Row],[TOTAL VAGA]])</f>
        <v>8255.218499999999</v>
      </c>
      <c r="CU70" s="22" t="str">
        <f>IF(CT70&lt;=RÉGUAS!$D$58,"ESSENCIAL",IF(CT70&lt;=RÉGUAS!$F$58,"ECO",IF(CT70&gt;RÉGUAS!$F$58,"BIO",)))</f>
        <v>ECO</v>
      </c>
      <c r="CV70" s="22" t="str">
        <f>IF(AND(CT70&gt;=RÉGUAS!$D$59,CT70&lt;=RÉGUAS!$E$59),"ESSENCIAL/ECO",IF(AND(CT70&gt;=RÉGUAS!$F$59,CT70&lt;=RÉGUAS!$G$59),"ECO/BIO","-"))</f>
        <v>-</v>
      </c>
      <c r="CW70" s="85">
        <f>SUM(Tabela13[[#This Row],[TOTAL LAZER ]],Tabela13[[#This Row],[TOTAL TIPOLOGIA]])</f>
        <v>1827.7184999999999</v>
      </c>
      <c r="CX70" s="22" t="str">
        <f>IF(CW70&lt;=RÉGUAS!$D$72,"ESSENCIAL",IF(CW70&lt;=RÉGUAS!$F$72,"ECO",IF(CN70&gt;RÉGUAS!$F$72,"BIO",)))</f>
        <v>ESSENCIAL</v>
      </c>
      <c r="CY70" s="22" t="str">
        <f t="shared" si="13"/>
        <v>ECO</v>
      </c>
      <c r="CZ70" s="22" t="str">
        <f>IF(Tabela13[[#This Row],[PRODUTO ATUAL ]]=CY70,"ADERENTE","NÃO ADERENTE")</f>
        <v>ADERENTE</v>
      </c>
      <c r="DA70" s="22" t="str">
        <f>IF(Tabela13[[#This Row],[PRODUTO ATUAL ]]=Tabela13[[#This Row],[CLASSIFICAÇÃO 
4D2]],"ADERENTE","NÃO ADERENTE")</f>
        <v>ADERENTE</v>
      </c>
    </row>
    <row r="71" spans="2:105" hidden="1" x14ac:dyDescent="0.35">
      <c r="B71" s="27">
        <v>74</v>
      </c>
      <c r="C71" s="22" t="s">
        <v>231</v>
      </c>
      <c r="D71" s="22" t="s">
        <v>100</v>
      </c>
      <c r="E71" s="23">
        <v>424</v>
      </c>
      <c r="F71" s="22" t="str">
        <f t="shared" si="7"/>
        <v>Acima de 400 und</v>
      </c>
      <c r="G71" s="22" t="s">
        <v>14</v>
      </c>
      <c r="H71" s="36">
        <v>5</v>
      </c>
      <c r="I71" s="36">
        <v>11</v>
      </c>
      <c r="J71" s="36"/>
      <c r="K71" s="36"/>
      <c r="L71" s="36">
        <f>SUM(Tabela13[[#This Row],[QTD DE B/T 2]],Tabela13[[#This Row],[QTD DE B/T]])</f>
        <v>5</v>
      </c>
      <c r="M71" s="22">
        <v>5</v>
      </c>
      <c r="N71" s="22">
        <f>Tabela13[[#This Row],[ELEVADOR]]/Tabela13[[#This Row],[BLOCO TOTAL]]</f>
        <v>1</v>
      </c>
      <c r="O71" s="22" t="s">
        <v>5</v>
      </c>
      <c r="P71" s="22" t="s">
        <v>101</v>
      </c>
      <c r="Q71" s="22" t="s">
        <v>101</v>
      </c>
      <c r="R71" s="22" t="s">
        <v>142</v>
      </c>
      <c r="S71" s="22" t="s">
        <v>103</v>
      </c>
      <c r="T71" s="22" t="s">
        <v>104</v>
      </c>
      <c r="U71" s="22" t="s">
        <v>105</v>
      </c>
      <c r="V71" s="22" t="s">
        <v>106</v>
      </c>
      <c r="W71" s="24">
        <f>IF(P71=[1]BD_CUSTO!$E$4,[1]BD_CUSTO!$F$4,[1]BD_CUSTO!$F$5)</f>
        <v>2430</v>
      </c>
      <c r="X71" s="24">
        <f>IF(Q71=[1]BD_CUSTO!$E$6,[1]BD_CUSTO!$F$6,[1]BD_CUSTO!$F$7)</f>
        <v>260</v>
      </c>
      <c r="Y71" s="24">
        <f>IF(R71=[1]BD_CUSTO!$E$8,[1]BD_CUSTO!$F$8,[1]BD_CUSTO!$F$9)</f>
        <v>900</v>
      </c>
      <c r="Z71" s="24">
        <f>IF(S71=[1]BD_CUSTO!$E$10,[1]BD_CUSTO!$F$10,[1]BD_CUSTO!$F$11)</f>
        <v>500</v>
      </c>
      <c r="AA71" s="24">
        <f>IF(T71=[1]BD_CUSTO!$E$12,[1]BD_CUSTO!$F$12,[1]BD_CUSTO!$F$13)</f>
        <v>370</v>
      </c>
      <c r="AB71" s="24">
        <f>IF(U71=[1]BD_CUSTO!$E$14,[1]BD_CUSTO!$F$14,[1]BD_CUSTO!$F$15)</f>
        <v>90</v>
      </c>
      <c r="AC71" s="24">
        <f>IF(V71=[1]BD_CUSTO!$E$16,[1]BD_CUSTO!$F$16,[1]BD_CUSTO!$F$17)</f>
        <v>720</v>
      </c>
      <c r="AD71" s="22" t="s">
        <v>110</v>
      </c>
      <c r="AE71" s="22">
        <v>1</v>
      </c>
      <c r="AF71" s="22" t="s">
        <v>129</v>
      </c>
      <c r="AG71" s="22">
        <v>1</v>
      </c>
      <c r="AH71" s="22" t="s">
        <v>139</v>
      </c>
      <c r="AI71" s="22">
        <v>1</v>
      </c>
      <c r="AJ71" s="22" t="s">
        <v>121</v>
      </c>
      <c r="AK71" s="22">
        <v>1</v>
      </c>
      <c r="AL71" s="22" t="s">
        <v>107</v>
      </c>
      <c r="AM71" s="22">
        <v>2</v>
      </c>
      <c r="AN71" s="22" t="s">
        <v>108</v>
      </c>
      <c r="AO71" s="22">
        <v>1</v>
      </c>
      <c r="AP71" s="22"/>
      <c r="AQ71" s="22"/>
      <c r="AR71" s="22"/>
      <c r="AS71" s="22"/>
      <c r="AT71" s="22"/>
      <c r="AU71" s="22"/>
      <c r="AV71" s="22"/>
      <c r="AW71" s="22"/>
      <c r="AX71" s="24">
        <f>IF(AD71="",0,VLOOKUP(AD71,[1]BD_CUSTO!I:J,2,0)*AE71/E71)</f>
        <v>12.5</v>
      </c>
      <c r="AY71" s="24">
        <f>IF(AF71="",0,VLOOKUP(AF71,[1]BD_CUSTO!I:J,2,0)*AG71/E71)</f>
        <v>648.98014150943402</v>
      </c>
      <c r="AZ71" s="24">
        <f>IF(AH71="",0,VLOOKUP(AH71,[1]BD_CUSTO!I:J,2,0)*AI71/E71)</f>
        <v>146.59509433962265</v>
      </c>
      <c r="BA71" s="24">
        <f>IF(AJ71="",0,VLOOKUP(AJ71,[1]BD_CUSTO!I:J,2,0)*AK71/E71)</f>
        <v>290.46438679245284</v>
      </c>
      <c r="BB71" s="24">
        <f>IF(AL71="",0,VLOOKUP(AL71,[1]BD_CUSTO!I:J,2,0)*AM71/E71)</f>
        <v>401.64679245283014</v>
      </c>
      <c r="BC71" s="24">
        <f>IF(AN71="",0,VLOOKUP(AN71,[1]BD_CUSTO!I:J,2,0)*AO71/E71)</f>
        <v>54.599056603773583</v>
      </c>
      <c r="BD71" s="24">
        <f>IF(AP71="",0,VLOOKUP(AP71,[1]BD_CUSTO!I:J,2,0)*AQ71/E71)</f>
        <v>0</v>
      </c>
      <c r="BE71" s="24">
        <f>IF(AR71="",0,VLOOKUP(AR71,CUSTO!I:J,2,0)*AS71/E71)</f>
        <v>0</v>
      </c>
      <c r="BF71" s="24">
        <f>IF(AT71="",0,VLOOKUP(AT71,[1]BD_CUSTO!I:J,2,0)*AU71/E71)</f>
        <v>0</v>
      </c>
      <c r="BG71" s="24">
        <f>IF(Tabela13[[#This Row],[LZ 10]]="",0,VLOOKUP(Tabela13[[#This Row],[LZ 10]],[1]BD_CUSTO!I:J,2,0)*Tabela13[[#This Row],[QTD922]]/E71)</f>
        <v>0</v>
      </c>
      <c r="BH71" s="22" t="s">
        <v>112</v>
      </c>
      <c r="BI71" s="25">
        <f>192/Tabela13[[#This Row],[Nº UNDS]]</f>
        <v>0.45283018867924529</v>
      </c>
      <c r="BJ71" s="22" t="s">
        <v>113</v>
      </c>
      <c r="BK71" s="25">
        <v>0</v>
      </c>
      <c r="BL71" s="24">
        <f>IF(BH71=[1]BD_CUSTO!$M$6,[1]BD_CUSTO!$N$6)*BI71</f>
        <v>1358.4905660377358</v>
      </c>
      <c r="BM71" s="24">
        <f>IF(BJ71=[1]BD_CUSTO!$M$4,[1]BD_CUSTO!$N$4,[1]BD_CUSTO!$N$5)*BK71</f>
        <v>0</v>
      </c>
      <c r="BN71" s="22" t="s">
        <v>114</v>
      </c>
      <c r="BO71" s="22">
        <v>455</v>
      </c>
      <c r="BP71" s="25">
        <f>Tabela13[[#This Row],[QTD ]]/Tabela13[[#This Row],[Nº UNDS]]</f>
        <v>1.0731132075471699</v>
      </c>
      <c r="BQ71" s="22" t="s">
        <v>115</v>
      </c>
      <c r="BR71" s="22">
        <v>0</v>
      </c>
      <c r="BS71" s="22" t="s">
        <v>116</v>
      </c>
      <c r="BT71" s="22">
        <v>0</v>
      </c>
      <c r="BU71" s="22" t="s">
        <v>16</v>
      </c>
      <c r="BV71" s="22">
        <v>0</v>
      </c>
      <c r="BW71" s="24">
        <f>IF(BN71=[1]BD_CUSTO!$Q$7,[1]BD_CUSTO!$R$7,[1]BD_CUSTO!$R$8)*BO71/E71</f>
        <v>2146.2264150943397</v>
      </c>
      <c r="BX71" s="24">
        <f>IF(BQ71=[1]BD_CUSTO!$Q$4,[1]BD_CUSTO!$R$4,[1]BD_CUSTO!$R$5)*BR71/E71</f>
        <v>0</v>
      </c>
      <c r="BY71" s="22">
        <f>IF(BS71=[1]BD_CUSTO!$Q$13,[1]BD_CUSTO!$R$13,[1]BD_CUSTO!$R$14)*BT71/E71</f>
        <v>0</v>
      </c>
      <c r="BZ71" s="24">
        <f>BV71*CUSTO!$R$10/E71</f>
        <v>0</v>
      </c>
      <c r="CA71" s="26">
        <f>SUM(Tabela13[[#This Row],[SOMA_PISO SALA E QUARTO]],Tabela13[[#This Row],[SOMA_PAREDE HIDR]],Tabela13[[#This Row],[SOMA_TETO]],Tabela13[[#This Row],[SOMA_BANCADA]],Tabela13[[#This Row],[SOMA_PEDRAS]])</f>
        <v>4290</v>
      </c>
      <c r="CB71" s="27" t="str">
        <f>IF(CA71&lt;=RÉGUAS!$D$4,"ACAB 01",IF(CA71&lt;=RÉGUAS!$F$4,"ACAB 02",IF(CA71&gt;RÉGUAS!$F$4,"ACAB 03",)))</f>
        <v>ACAB 02</v>
      </c>
      <c r="CC71" s="26">
        <f>SUM(Tabela13[[#This Row],[SOMA_LZ 01]:[SOMA_LZ 10]])</f>
        <v>1554.7854716981133</v>
      </c>
      <c r="CD71" s="22" t="str">
        <f>IF(CC71&lt;=RÉGUAS!$D$13,"LZ 01",IF(CC71&lt;=RÉGUAS!$F$13,"LZ 02",IF(CC71&lt;=RÉGUAS!$H$13,"LZ 03",IF(CC71&gt;RÉGUAS!$H$13,"LZ 04",))))</f>
        <v>LZ 02</v>
      </c>
      <c r="CE71" s="28">
        <f t="shared" si="8"/>
        <v>1358.4905660377358</v>
      </c>
      <c r="CF71" s="22" t="str">
        <f>IF(CE71&lt;=RÉGUAS!$D$22,"TIP 01",IF(CE71&lt;=RÉGUAS!$F$22,"TIP 02",IF(CE71&gt;RÉGUAS!$F$22,"TIP 03",)))</f>
        <v>TIP 01</v>
      </c>
      <c r="CG71" s="28">
        <f t="shared" si="9"/>
        <v>2146.2264150943397</v>
      </c>
      <c r="CH71" s="22" t="str">
        <f>IF(CG71&lt;=RÉGUAS!$D$32,"VAGA 01",IF(CG71&lt;=RÉGUAS!$F$32,"VAGA 02",IF(CG71&gt;RÉGUAS!$F$32,"VAGA 03",)))</f>
        <v>VAGA 02</v>
      </c>
      <c r="CI71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2561.2617924528304</v>
      </c>
      <c r="CJ71" s="85" t="str">
        <f>IF(AND(G71="BLOCO",CI71&lt;=RÉGUAS!$D$40),"ELEV 01",IF(AND(G71="BLOCO",CI71&gt;RÉGUAS!$D$40),"ELEV 02",IF(AND(G71="TORRE",CI71&lt;=RÉGUAS!$K$40),"ELEV 01",IF(AND(G71="TORRE",CI71&lt;=RÉGUAS!$M$40),"ELEV 02",IF(AND(G71="TORRE",CI71&gt;RÉGUAS!$M$40),"ELEV 03",)))))</f>
        <v>ELEV 03</v>
      </c>
      <c r="CK71" s="85">
        <f>SUM(Tabela13[[#This Row],[TOTAL  ACAB]],Tabela13[[#This Row],[TOTAL LAZER ]],Tabela13[[#This Row],[TOTAL TIPOLOGIA]],Tabela13[[#This Row],[TOTAL VAGA]],Tabela13[[#This Row],[TOTAL ELEVADOR]])</f>
        <v>11910.764245283019</v>
      </c>
      <c r="CL71" s="72" t="str">
        <f>IF(AND(G71="BLOCO",CK71&lt;=RÉGUAS!$D$50),"ESSENCIAL",IF(AND(G71="BLOCO",CK71&lt;=RÉGUAS!$F$50),"ECO",IF(AND(G71="BLOCO",CK71&gt;RÉGUAS!$F$50),"BIO",IF(AND(G71="TORRE",CK71&lt;=RÉGUAS!$K$50),"ESSENCIAL",IF(AND(G71="TORRE",CK71&lt;=RÉGUAS!$M$50),"ECO",IF(AND(G71="TORRE",CK71&gt;RÉGUAS!$M$50),"BIO",))))))</f>
        <v>ECO</v>
      </c>
      <c r="CM71" s="28" t="str">
        <f>IF(AND(G71="BLOCO",CK71&gt;=RÉGUAS!$D$51,CK71&lt;=RÉGUAS!$D$50),"ESSENCIAL-10%",IF(AND(G71="BLOCO",CK71&gt;RÉGUAS!$D$50,CK71&lt;=RÉGUAS!$E$51),"ECO+10%",IF(AND(G71="BLOCO",CK71&gt;=RÉGUAS!$F$51,CK71&lt;=RÉGUAS!$F$50),"ECO-10%",IF(AND(G71="BLOCO",CK71&gt;RÉGUAS!$F$50,CK71&lt;=RÉGUAS!$G$51),"BIO+10%",IF(AND(G71="TORRE",CK71&gt;=RÉGUAS!$K$51,CK71&lt;=RÉGUAS!$K$50),"ESSENCIAL-10%",IF(AND(G71="TORRE",CK71&gt;RÉGUAS!$K$50,CK71&lt;=RÉGUAS!$L$51),"ECO+10%",IF(AND(G71="TORRE",CK71&gt;=RÉGUAS!$M$51,CK71&lt;=RÉGUAS!$M$50),"ECO-10%",IF(AND(G71="TORRE",CK71&gt;RÉGUAS!$M$50,CK71&lt;=RÉGUAS!$N$51),"BIO+10%","-"))))))))</f>
        <v>-</v>
      </c>
      <c r="CN71" s="73">
        <f t="shared" si="10"/>
        <v>9349.5024528301874</v>
      </c>
      <c r="CO71" s="72" t="str">
        <f>IF(CN71&lt;=RÉGUAS!$D$58,"ESSENCIAL",IF(CN71&lt;=RÉGUAS!$F$58,"ECO",IF(CN71&gt;RÉGUAS!$F$58,"BIO",)))</f>
        <v>ECO</v>
      </c>
      <c r="CP71" s="72" t="str">
        <f>IF(Tabela13[[#This Row],[INTERVALO DE INTERSEÇÃO 5D]]="-",Tabela13[[#This Row],[CLASSIFICAÇÃO 
5D ]],Tabela13[[#This Row],[CLASSIFICAÇÃO 
4D]])</f>
        <v>ECO</v>
      </c>
      <c r="CQ71" s="72" t="str">
        <f t="shared" si="11"/>
        <v>-</v>
      </c>
      <c r="CR71" s="72" t="str">
        <f t="shared" si="12"/>
        <v>ECO</v>
      </c>
      <c r="CS71" s="22" t="str">
        <f>IF(Tabela13[[#This Row],[PRODUTO ATUAL ]]=Tabela13[[#This Row],[CLASSIFICAÇÃO FINAL 5D]],"ADERÊNTE","NÃO ADERÊNTE")</f>
        <v>ADERÊNTE</v>
      </c>
      <c r="CT71" s="24">
        <f>SUM(Tabela13[[#This Row],[TOTAL  ACAB]],Tabela13[[#This Row],[TOTAL LAZER ]],Tabela13[[#This Row],[TOTAL TIPOLOGIA]],Tabela13[[#This Row],[TOTAL VAGA]])</f>
        <v>9349.5024528301874</v>
      </c>
      <c r="CU71" s="22" t="str">
        <f>IF(CT71&lt;=RÉGUAS!$D$58,"ESSENCIAL",IF(CT71&lt;=RÉGUAS!$F$58,"ECO",IF(CT71&gt;RÉGUAS!$F$58,"BIO",)))</f>
        <v>ECO</v>
      </c>
      <c r="CV71" s="22" t="str">
        <f>IF(AND(CT71&gt;=RÉGUAS!$D$59,CT71&lt;=RÉGUAS!$E$59),"ESSENCIAL/ECO",IF(AND(CT71&gt;=RÉGUAS!$F$59,CT71&lt;=RÉGUAS!$G$59),"ECO/BIO","-"))</f>
        <v>-</v>
      </c>
      <c r="CW71" s="85">
        <f>SUM(Tabela13[[#This Row],[TOTAL LAZER ]],Tabela13[[#This Row],[TOTAL TIPOLOGIA]])</f>
        <v>2913.2760377358491</v>
      </c>
      <c r="CX71" s="22" t="str">
        <f>IF(CW71&lt;=RÉGUAS!$D$72,"ESSENCIAL",IF(CW71&lt;=RÉGUAS!$F$72,"ECO",IF(CN71&gt;RÉGUAS!$F$72,"BIO",)))</f>
        <v>ECO</v>
      </c>
      <c r="CY71" s="22" t="str">
        <f t="shared" si="13"/>
        <v>ECO</v>
      </c>
      <c r="CZ71" s="22" t="str">
        <f>IF(Tabela13[[#This Row],[PRODUTO ATUAL ]]=CY71,"ADERENTE","NÃO ADERENTE")</f>
        <v>ADERENTE</v>
      </c>
      <c r="DA71" s="22" t="str">
        <f>IF(Tabela13[[#This Row],[PRODUTO ATUAL ]]=Tabela13[[#This Row],[CLASSIFICAÇÃO 
4D2]],"ADERENTE","NÃO ADERENTE")</f>
        <v>ADERENTE</v>
      </c>
    </row>
    <row r="72" spans="2:105" hidden="1" x14ac:dyDescent="0.35">
      <c r="B72" s="27">
        <v>63</v>
      </c>
      <c r="C72" s="22" t="s">
        <v>208</v>
      </c>
      <c r="D72" s="22" t="s">
        <v>125</v>
      </c>
      <c r="E72" s="23">
        <v>368</v>
      </c>
      <c r="F72" s="22" t="str">
        <f t="shared" si="7"/>
        <v>De 200 a 400 und</v>
      </c>
      <c r="G72" s="22" t="s">
        <v>1</v>
      </c>
      <c r="H72" s="36">
        <v>23</v>
      </c>
      <c r="I72" s="36">
        <v>4</v>
      </c>
      <c r="J72" s="36"/>
      <c r="K72" s="36"/>
      <c r="L72" s="36">
        <f>SUM(Tabela13[[#This Row],[QTD DE B/T 2]],Tabela13[[#This Row],[QTD DE B/T]])</f>
        <v>23</v>
      </c>
      <c r="M72" s="22">
        <v>0</v>
      </c>
      <c r="N72" s="22">
        <f>Tabela13[[#This Row],[ELEVADOR]]/Tabela13[[#This Row],[BLOCO TOTAL]]</f>
        <v>0</v>
      </c>
      <c r="O72" s="22" t="s">
        <v>5</v>
      </c>
      <c r="P72" s="22" t="s">
        <v>101</v>
      </c>
      <c r="Q72" s="22" t="s">
        <v>101</v>
      </c>
      <c r="R72" s="22" t="s">
        <v>142</v>
      </c>
      <c r="S72" s="22" t="s">
        <v>103</v>
      </c>
      <c r="T72" s="22" t="s">
        <v>104</v>
      </c>
      <c r="U72" s="22" t="s">
        <v>105</v>
      </c>
      <c r="V72" s="22" t="s">
        <v>106</v>
      </c>
      <c r="W72" s="24">
        <f>IF(P72=[1]BD_CUSTO!$E$4,[1]BD_CUSTO!$F$4,[1]BD_CUSTO!$F$5)</f>
        <v>2430</v>
      </c>
      <c r="X72" s="24">
        <f>IF(Q72=[1]BD_CUSTO!$E$6,[1]BD_CUSTO!$F$6,[1]BD_CUSTO!$F$7)</f>
        <v>260</v>
      </c>
      <c r="Y72" s="24">
        <f>IF(R72=[1]BD_CUSTO!$E$8,[1]BD_CUSTO!$F$8,[1]BD_CUSTO!$F$9)</f>
        <v>900</v>
      </c>
      <c r="Z72" s="24">
        <f>IF(S72=[1]BD_CUSTO!$E$10,[1]BD_CUSTO!$F$10,[1]BD_CUSTO!$F$11)</f>
        <v>500</v>
      </c>
      <c r="AA72" s="24">
        <f>IF(T72=[1]BD_CUSTO!$E$12,[1]BD_CUSTO!$F$12,[1]BD_CUSTO!$F$13)</f>
        <v>370</v>
      </c>
      <c r="AB72" s="24">
        <f>IF(U72=[1]BD_CUSTO!$E$14,[1]BD_CUSTO!$F$14,[1]BD_CUSTO!$F$15)</f>
        <v>90</v>
      </c>
      <c r="AC72" s="24">
        <f>IF(V72=[1]BD_CUSTO!$E$16,[1]BD_CUSTO!$F$16,[1]BD_CUSTO!$F$17)</f>
        <v>720</v>
      </c>
      <c r="AD72" s="22" t="s">
        <v>135</v>
      </c>
      <c r="AE72" s="22">
        <v>1</v>
      </c>
      <c r="AF72" s="22" t="s">
        <v>107</v>
      </c>
      <c r="AG72" s="22">
        <v>2</v>
      </c>
      <c r="AH72" s="22" t="s">
        <v>121</v>
      </c>
      <c r="AI72" s="22">
        <v>1</v>
      </c>
      <c r="AJ72" s="22" t="s">
        <v>111</v>
      </c>
      <c r="AK72" s="22">
        <v>1</v>
      </c>
      <c r="AL72" s="22" t="s">
        <v>109</v>
      </c>
      <c r="AM72" s="22">
        <v>1</v>
      </c>
      <c r="AN72" s="22" t="s">
        <v>108</v>
      </c>
      <c r="AO72" s="22">
        <v>1</v>
      </c>
      <c r="AP72" s="22" t="s">
        <v>133</v>
      </c>
      <c r="AQ72" s="22">
        <v>1</v>
      </c>
      <c r="AR72" s="22" t="s">
        <v>110</v>
      </c>
      <c r="AS72" s="22">
        <v>1</v>
      </c>
      <c r="AT72" s="22"/>
      <c r="AU72" s="22"/>
      <c r="AV72" s="22"/>
      <c r="AW72" s="22"/>
      <c r="AX72" s="24">
        <f>IF(AD72="",0,VLOOKUP(AD72,[1]BD_CUSTO!I:J,2,0)*AE72/E72)</f>
        <v>342.57782608695652</v>
      </c>
      <c r="AY72" s="24">
        <f>IF(AF72="",0,VLOOKUP(AF72,[1]BD_CUSTO!I:J,2,0)*AG72/E72)</f>
        <v>462.76695652173913</v>
      </c>
      <c r="AZ72" s="24">
        <f>IF(AH72="",0,VLOOKUP(AH72,[1]BD_CUSTO!I:J,2,0)*AI72/E72)</f>
        <v>334.66548913043476</v>
      </c>
      <c r="BA72" s="24">
        <f>IF(AJ72="",0,VLOOKUP(AJ72,[1]BD_CUSTO!I:J,2,0)*AK72/E72)</f>
        <v>44.021739130434781</v>
      </c>
      <c r="BB72" s="24">
        <f>IF(AL72="",0,VLOOKUP(AL72,[1]BD_CUSTO!I:J,2,0)*AM72/E72)</f>
        <v>18.885869565217391</v>
      </c>
      <c r="BC72" s="24">
        <f>IF(AN72="",0,VLOOKUP(AN72,[1]BD_CUSTO!I:J,2,0)*AO72/E72)</f>
        <v>62.907608695652172</v>
      </c>
      <c r="BD72" s="24">
        <f>IF(AP72="",0,VLOOKUP(AP72,[1]BD_CUSTO!I:J,2,0)*AQ72/E72)</f>
        <v>18.913043478260871</v>
      </c>
      <c r="BE72" s="24">
        <f>IF(AR72="",0,VLOOKUP(AR72,CUSTO!I:J,2,0)*AS72/E72)</f>
        <v>14.402173913043478</v>
      </c>
      <c r="BF72" s="24">
        <f>IF(AT72="",0,VLOOKUP(AT72,[1]BD_CUSTO!I:J,2,0)*AU72/E72)</f>
        <v>0</v>
      </c>
      <c r="BG72" s="24">
        <f>IF(Tabela13[[#This Row],[LZ 10]]="",0,VLOOKUP(Tabela13[[#This Row],[LZ 10]],[1]BD_CUSTO!I:J,2,0)*Tabela13[[#This Row],[QTD922]]/E72)</f>
        <v>0</v>
      </c>
      <c r="BH72" s="22" t="s">
        <v>112</v>
      </c>
      <c r="BI72" s="25">
        <f>138/Tabela13[[#This Row],[Nº UNDS]]</f>
        <v>0.375</v>
      </c>
      <c r="BJ72" s="22" t="s">
        <v>113</v>
      </c>
      <c r="BK72" s="25">
        <v>0</v>
      </c>
      <c r="BL72" s="24">
        <f>IF(BH72=[1]BD_CUSTO!$M$6,[1]BD_CUSTO!$N$6)*BI72</f>
        <v>1125</v>
      </c>
      <c r="BM72" s="24">
        <f>IF(BJ72=[1]BD_CUSTO!$M$4,[1]BD_CUSTO!$N$4,[1]BD_CUSTO!$N$5)*BK72</f>
        <v>0</v>
      </c>
      <c r="BN72" s="22" t="s">
        <v>114</v>
      </c>
      <c r="BO72" s="22">
        <f>442-37</f>
        <v>405</v>
      </c>
      <c r="BP72" s="25">
        <f>Tabela13[[#This Row],[QTD ]]/Tabela13[[#This Row],[Nº UNDS]]</f>
        <v>1.1005434782608696</v>
      </c>
      <c r="BQ72" s="22" t="s">
        <v>115</v>
      </c>
      <c r="BR72" s="22">
        <v>37</v>
      </c>
      <c r="BS72" s="22" t="s">
        <v>116</v>
      </c>
      <c r="BT72" s="22">
        <v>0</v>
      </c>
      <c r="BU72" s="22" t="s">
        <v>16</v>
      </c>
      <c r="BV72" s="22">
        <v>0</v>
      </c>
      <c r="BW72" s="24">
        <f>IF(BN72=[1]BD_CUSTO!$Q$7,[1]BD_CUSTO!$R$7,[1]BD_CUSTO!$R$8)*BO72/E72</f>
        <v>2201.086956521739</v>
      </c>
      <c r="BX72" s="24">
        <f>IF(BQ72=[1]BD_CUSTO!$Q$4,[1]BD_CUSTO!$R$4,[1]BD_CUSTO!$R$5)*BR72/E72</f>
        <v>0</v>
      </c>
      <c r="BY72" s="22">
        <f>IF(BS72=[1]BD_CUSTO!$Q$13,[1]BD_CUSTO!$R$13,[1]BD_CUSTO!$R$14)*BT72/E72</f>
        <v>0</v>
      </c>
      <c r="BZ72" s="24">
        <f>BV72*CUSTO!$R$10/E72</f>
        <v>0</v>
      </c>
      <c r="CA72" s="26">
        <f>SUM(Tabela13[[#This Row],[SOMA_PISO SALA E QUARTO]],Tabela13[[#This Row],[SOMA_PAREDE HIDR]],Tabela13[[#This Row],[SOMA_TETO]],Tabela13[[#This Row],[SOMA_BANCADA]],Tabela13[[#This Row],[SOMA_PEDRAS]])</f>
        <v>4290</v>
      </c>
      <c r="CB72" s="27" t="str">
        <f>IF(CA72&lt;=RÉGUAS!$D$4,"ACAB 01",IF(CA72&lt;=RÉGUAS!$F$4,"ACAB 02",IF(CA72&gt;RÉGUAS!$F$4,"ACAB 03",)))</f>
        <v>ACAB 02</v>
      </c>
      <c r="CC72" s="26">
        <f>SUM(Tabela13[[#This Row],[SOMA_LZ 01]:[SOMA_LZ 10]])</f>
        <v>1299.140706521739</v>
      </c>
      <c r="CD72" s="22" t="str">
        <f>IF(CC72&lt;=RÉGUAS!$D$13,"LZ 01",IF(CC72&lt;=RÉGUAS!$F$13,"LZ 02",IF(CC72&lt;=RÉGUAS!$H$13,"LZ 03",IF(CC72&gt;RÉGUAS!$H$13,"LZ 04",))))</f>
        <v>LZ 02</v>
      </c>
      <c r="CE72" s="28">
        <f t="shared" si="8"/>
        <v>1125</v>
      </c>
      <c r="CF72" s="22" t="str">
        <f>IF(CE72&lt;=RÉGUAS!$D$22,"TIP 01",IF(CE72&lt;=RÉGUAS!$F$22,"TIP 02",IF(CE72&gt;RÉGUAS!$F$22,"TIP 03",)))</f>
        <v>TIP 01</v>
      </c>
      <c r="CG72" s="28">
        <f t="shared" si="9"/>
        <v>2201.086956521739</v>
      </c>
      <c r="CH72" s="22" t="str">
        <f>IF(CG72&lt;=RÉGUAS!$D$32,"VAGA 01",IF(CG72&lt;=RÉGUAS!$F$32,"VAGA 02",IF(CG72&gt;RÉGUAS!$F$32,"VAGA 03",)))</f>
        <v>VAGA 02</v>
      </c>
      <c r="CI72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72" s="85" t="str">
        <f>IF(AND(G72="BLOCO",CI72&lt;=RÉGUAS!$D$40),"ELEV 01",IF(AND(G72="BLOCO",CI72&gt;RÉGUAS!$D$40),"ELEV 02",IF(AND(G72="TORRE",CI72&lt;=RÉGUAS!$K$40),"ELEV 01",IF(AND(G72="TORRE",CI72&lt;=RÉGUAS!$M$40),"ELEV 02",IF(AND(G72="TORRE",CI72&gt;RÉGUAS!$M$40),"ELEV 03",)))))</f>
        <v>ELEV 01</v>
      </c>
      <c r="CK72" s="85">
        <f>SUM(Tabela13[[#This Row],[TOTAL  ACAB]],Tabela13[[#This Row],[TOTAL LAZER ]],Tabela13[[#This Row],[TOTAL TIPOLOGIA]],Tabela13[[#This Row],[TOTAL VAGA]],Tabela13[[#This Row],[TOTAL ELEVADOR]])</f>
        <v>8915.227663043479</v>
      </c>
      <c r="CL72" s="72" t="str">
        <f>IF(AND(G72="BLOCO",CK72&lt;=RÉGUAS!$D$50),"ESSENCIAL",IF(AND(G72="BLOCO",CK72&lt;=RÉGUAS!$F$50),"ECO",IF(AND(G72="BLOCO",CK72&gt;RÉGUAS!$F$50),"BIO",IF(AND(G72="TORRE",CK72&lt;=RÉGUAS!$K$50),"ESSENCIAL",IF(AND(G72="TORRE",CK72&lt;=RÉGUAS!$M$50),"ECO",IF(AND(G72="TORRE",CK72&gt;RÉGUAS!$M$50),"BIO",))))))</f>
        <v>ECO</v>
      </c>
      <c r="CM72" s="28" t="str">
        <f>IF(AND(G72="BLOCO",CK72&gt;=RÉGUAS!$D$51,CK72&lt;=RÉGUAS!$D$50),"ESSENCIAL-10%",IF(AND(G72="BLOCO",CK72&gt;RÉGUAS!$D$50,CK72&lt;=RÉGUAS!$E$51),"ECO+10%",IF(AND(G72="BLOCO",CK72&gt;=RÉGUAS!$F$51,CK72&lt;=RÉGUAS!$F$50),"ECO-10%",IF(AND(G72="BLOCO",CK72&gt;RÉGUAS!$F$50,CK72&lt;=RÉGUAS!$G$51),"BIO+10%",IF(AND(G72="TORRE",CK72&gt;=RÉGUAS!$K$51,CK72&lt;=RÉGUAS!$K$50),"ESSENCIAL-10%",IF(AND(G72="TORRE",CK72&gt;RÉGUAS!$K$50,CK72&lt;=RÉGUAS!$L$51),"ECO+10%",IF(AND(G72="TORRE",CK72&gt;=RÉGUAS!$M$51,CK72&lt;=RÉGUAS!$M$50),"ECO-10%",IF(AND(G72="TORRE",CK72&gt;RÉGUAS!$M$50,CK72&lt;=RÉGUAS!$N$51),"BIO+10%","-"))))))))</f>
        <v>-</v>
      </c>
      <c r="CN72" s="73">
        <f t="shared" si="10"/>
        <v>8915.227663043479</v>
      </c>
      <c r="CO72" s="72" t="str">
        <f>IF(CN72&lt;=RÉGUAS!$D$58,"ESSENCIAL",IF(CN72&lt;=RÉGUAS!$F$58,"ECO",IF(CN72&gt;RÉGUAS!$F$58,"BIO",)))</f>
        <v>ECO</v>
      </c>
      <c r="CP72" s="72" t="str">
        <f>IF(Tabela13[[#This Row],[INTERVALO DE INTERSEÇÃO 5D]]="-",Tabela13[[#This Row],[CLASSIFICAÇÃO 
5D ]],Tabela13[[#This Row],[CLASSIFICAÇÃO 
4D]])</f>
        <v>ECO</v>
      </c>
      <c r="CQ72" s="72" t="str">
        <f t="shared" si="11"/>
        <v>-</v>
      </c>
      <c r="CR72" s="72" t="str">
        <f t="shared" si="12"/>
        <v>ECO</v>
      </c>
      <c r="CS72" s="22" t="str">
        <f>IF(Tabela13[[#This Row],[PRODUTO ATUAL ]]=Tabela13[[#This Row],[CLASSIFICAÇÃO FINAL 5D]],"ADERÊNTE","NÃO ADERÊNTE")</f>
        <v>ADERÊNTE</v>
      </c>
      <c r="CT72" s="24">
        <f>SUM(Tabela13[[#This Row],[TOTAL  ACAB]],Tabela13[[#This Row],[TOTAL LAZER ]],Tabela13[[#This Row],[TOTAL TIPOLOGIA]],Tabela13[[#This Row],[TOTAL VAGA]])</f>
        <v>8915.227663043479</v>
      </c>
      <c r="CU72" s="22" t="str">
        <f>IF(CT72&lt;=RÉGUAS!$D$58,"ESSENCIAL",IF(CT72&lt;=RÉGUAS!$F$58,"ECO",IF(CT72&gt;RÉGUAS!$F$58,"BIO",)))</f>
        <v>ECO</v>
      </c>
      <c r="CV72" s="22" t="str">
        <f>IF(AND(CT72&gt;=RÉGUAS!$D$59,CT72&lt;=RÉGUAS!$E$59),"ESSENCIAL/ECO",IF(AND(CT72&gt;=RÉGUAS!$F$59,CT72&lt;=RÉGUAS!$G$59),"ECO/BIO","-"))</f>
        <v>-</v>
      </c>
      <c r="CW72" s="85">
        <f>SUM(Tabela13[[#This Row],[TOTAL LAZER ]],Tabela13[[#This Row],[TOTAL TIPOLOGIA]])</f>
        <v>2424.140706521739</v>
      </c>
      <c r="CX72" s="22" t="str">
        <f>IF(CW72&lt;=RÉGUAS!$D$72,"ESSENCIAL",IF(CW72&lt;=RÉGUAS!$F$72,"ECO",IF(CN72&gt;RÉGUAS!$F$72,"BIO",)))</f>
        <v>ECO</v>
      </c>
      <c r="CY72" s="22" t="str">
        <f t="shared" si="13"/>
        <v>ECO</v>
      </c>
      <c r="CZ72" s="22" t="str">
        <f>IF(Tabela13[[#This Row],[PRODUTO ATUAL ]]=CY72,"ADERENTE","NÃO ADERENTE")</f>
        <v>ADERENTE</v>
      </c>
      <c r="DA72" s="22" t="str">
        <f>IF(Tabela13[[#This Row],[PRODUTO ATUAL ]]=Tabela13[[#This Row],[CLASSIFICAÇÃO 
4D2]],"ADERENTE","NÃO ADERENTE")</f>
        <v>ADERENTE</v>
      </c>
    </row>
    <row r="73" spans="2:105" x14ac:dyDescent="0.35">
      <c r="B73" s="27">
        <v>57</v>
      </c>
      <c r="C73" s="22" t="s">
        <v>246</v>
      </c>
      <c r="D73" s="22" t="s">
        <v>118</v>
      </c>
      <c r="E73" s="23">
        <v>288</v>
      </c>
      <c r="F73" s="22" t="str">
        <f t="shared" si="7"/>
        <v>De 200 a 400 und</v>
      </c>
      <c r="G73" s="22" t="s">
        <v>14</v>
      </c>
      <c r="H73" s="36">
        <v>1</v>
      </c>
      <c r="I73" s="36">
        <v>24</v>
      </c>
      <c r="J73" s="36"/>
      <c r="K73" s="36"/>
      <c r="L73" s="36">
        <f>SUM(Tabela13[[#This Row],[QTD DE B/T 2]],Tabela13[[#This Row],[QTD DE B/T]])</f>
        <v>1</v>
      </c>
      <c r="M73" s="22">
        <v>4</v>
      </c>
      <c r="N73" s="22">
        <f>Tabela13[[#This Row],[ELEVADOR]]/Tabela13[[#This Row],[BLOCO TOTAL]]</f>
        <v>4</v>
      </c>
      <c r="O73" s="22" t="s">
        <v>5</v>
      </c>
      <c r="P73" s="22" t="s">
        <v>101</v>
      </c>
      <c r="Q73" s="22" t="s">
        <v>101</v>
      </c>
      <c r="R73" s="22" t="s">
        <v>142</v>
      </c>
      <c r="S73" s="22" t="s">
        <v>103</v>
      </c>
      <c r="T73" s="22" t="s">
        <v>104</v>
      </c>
      <c r="U73" s="22" t="s">
        <v>105</v>
      </c>
      <c r="V73" s="22" t="s">
        <v>137</v>
      </c>
      <c r="W73" s="24">
        <f>IF(P73=[1]BD_CUSTO!$E$4,[1]BD_CUSTO!$F$4,[1]BD_CUSTO!$F$5)</f>
        <v>2430</v>
      </c>
      <c r="X73" s="24">
        <f>IF(Q73=[1]BD_CUSTO!$E$6,[1]BD_CUSTO!$F$6,[1]BD_CUSTO!$F$7)</f>
        <v>260</v>
      </c>
      <c r="Y73" s="24">
        <f>IF(R73=[1]BD_CUSTO!$E$8,[1]BD_CUSTO!$F$8,[1]BD_CUSTO!$F$9)</f>
        <v>900</v>
      </c>
      <c r="Z73" s="24">
        <f>IF(S73=[1]BD_CUSTO!$E$10,[1]BD_CUSTO!$F$10,[1]BD_CUSTO!$F$11)</f>
        <v>500</v>
      </c>
      <c r="AA73" s="24">
        <f>IF(T73=[1]BD_CUSTO!$E$12,[1]BD_CUSTO!$F$12,[1]BD_CUSTO!$F$13)</f>
        <v>370</v>
      </c>
      <c r="AB73" s="24">
        <f>IF(U73=[1]BD_CUSTO!$E$14,[1]BD_CUSTO!$F$14,[1]BD_CUSTO!$F$15)</f>
        <v>90</v>
      </c>
      <c r="AC73" s="24">
        <f>IF(V73=[1]BD_CUSTO!$E$16,[1]BD_CUSTO!$F$16,[1]BD_CUSTO!$F$17)</f>
        <v>1320</v>
      </c>
      <c r="AD73" s="22" t="s">
        <v>109</v>
      </c>
      <c r="AE73" s="22">
        <v>1</v>
      </c>
      <c r="AF73" s="22" t="s">
        <v>120</v>
      </c>
      <c r="AG73" s="22">
        <v>1</v>
      </c>
      <c r="AH73" s="22" t="s">
        <v>139</v>
      </c>
      <c r="AI73" s="22">
        <v>1</v>
      </c>
      <c r="AJ73" s="22" t="s">
        <v>110</v>
      </c>
      <c r="AK73" s="22">
        <v>1</v>
      </c>
      <c r="AL73" s="22" t="s">
        <v>121</v>
      </c>
      <c r="AM73" s="22">
        <v>1</v>
      </c>
      <c r="AN73" s="22" t="s">
        <v>107</v>
      </c>
      <c r="AO73" s="22">
        <v>1</v>
      </c>
      <c r="AP73" s="22" t="s">
        <v>108</v>
      </c>
      <c r="AQ73" s="22">
        <v>1</v>
      </c>
      <c r="AR73" s="22" t="s">
        <v>129</v>
      </c>
      <c r="AS73" s="22">
        <v>1</v>
      </c>
      <c r="AT73" s="22" t="s">
        <v>133</v>
      </c>
      <c r="AU73" s="22">
        <v>1</v>
      </c>
      <c r="AV73" s="22"/>
      <c r="AW73" s="22"/>
      <c r="AX73" s="24">
        <f>IF(AD73="",0,VLOOKUP(AD73,[1]BD_CUSTO!I:J,2,0)*AE73/E73)</f>
        <v>24.131944444444443</v>
      </c>
      <c r="AY73" s="24">
        <f>IF(AF73="",0,VLOOKUP(AF73,[1]BD_CUSTO!I:J,2,0)*AG73/E73)</f>
        <v>197.60027777777776</v>
      </c>
      <c r="AZ73" s="24">
        <f>IF(AH73="",0,VLOOKUP(AH73,[1]BD_CUSTO!I:J,2,0)*AI73/E73)</f>
        <v>215.82055555555556</v>
      </c>
      <c r="BA73" s="24">
        <f>IF(AJ73="",0,VLOOKUP(AJ73,[1]BD_CUSTO!I:J,2,0)*AK73/E73)</f>
        <v>18.402777777777779</v>
      </c>
      <c r="BB73" s="24">
        <f>IF(AL73="",0,VLOOKUP(AL73,[1]BD_CUSTO!I:J,2,0)*AM73/E73)</f>
        <v>427.62812499999995</v>
      </c>
      <c r="BC73" s="24">
        <f>IF(AN73="",0,VLOOKUP(AN73,[1]BD_CUSTO!I:J,2,0)*AO73/E73)</f>
        <v>295.65666666666664</v>
      </c>
      <c r="BD73" s="24">
        <f>IF(AP73="",0,VLOOKUP(AP73,[1]BD_CUSTO!I:J,2,0)*AQ73/E73)</f>
        <v>80.381944444444443</v>
      </c>
      <c r="BE73" s="24">
        <f>IF(AR73="",0,VLOOKUP(AR73,CUSTO!I:J,2,0)*AS73/E73)</f>
        <v>955.44298611111117</v>
      </c>
      <c r="BF73" s="24">
        <f>IF(AT73="",0,VLOOKUP(AT73,[1]BD_CUSTO!I:J,2,0)*AU73/E73)</f>
        <v>24.166666666666668</v>
      </c>
      <c r="BG73" s="24">
        <f>IF(Tabela13[[#This Row],[LZ 10]]="",0,VLOOKUP(Tabela13[[#This Row],[LZ 10]],[1]BD_CUSTO!I:J,2,0)*Tabela13[[#This Row],[QTD922]]/E73)</f>
        <v>0</v>
      </c>
      <c r="BH73" s="22" t="s">
        <v>112</v>
      </c>
      <c r="BI73" s="25">
        <f>192/Tabela13[[#This Row],[Nº UNDS]]</f>
        <v>0.66666666666666663</v>
      </c>
      <c r="BJ73" s="22" t="s">
        <v>113</v>
      </c>
      <c r="BK73" s="25">
        <v>0</v>
      </c>
      <c r="BL73" s="24">
        <f>IF(BH73=[1]BD_CUSTO!$M$6,[1]BD_CUSTO!$N$6)*BI73</f>
        <v>2000</v>
      </c>
      <c r="BM73" s="24">
        <f>IF(BJ73=[1]BD_CUSTO!$M$4,[1]BD_CUSTO!$N$4,[1]BD_CUSTO!$N$5)*BK73</f>
        <v>0</v>
      </c>
      <c r="BN73" s="22" t="s">
        <v>114</v>
      </c>
      <c r="BO73" s="22">
        <f>279+28+10+1</f>
        <v>318</v>
      </c>
      <c r="BP73" s="25">
        <f>Tabela13[[#This Row],[QTD ]]/Tabela13[[#This Row],[Nº UNDS]]</f>
        <v>1.1041666666666667</v>
      </c>
      <c r="BQ73" s="22" t="s">
        <v>115</v>
      </c>
      <c r="BR73" s="22">
        <v>13</v>
      </c>
      <c r="BS73" s="22" t="s">
        <v>116</v>
      </c>
      <c r="BT73" s="22">
        <v>0</v>
      </c>
      <c r="BU73" s="22" t="s">
        <v>16</v>
      </c>
      <c r="BV73" s="22">
        <v>0</v>
      </c>
      <c r="BW73" s="24">
        <f>IF(BN73=[1]BD_CUSTO!$Q$7,[1]BD_CUSTO!$R$7,[1]BD_CUSTO!$R$8)*BO73/E73</f>
        <v>2208.3333333333335</v>
      </c>
      <c r="BX73" s="24">
        <f>IF(BQ73=[1]BD_CUSTO!$Q$4,[1]BD_CUSTO!$R$4,[1]BD_CUSTO!$R$5)*BR73/E73</f>
        <v>0</v>
      </c>
      <c r="BY73" s="22">
        <f>IF(BS73=[1]BD_CUSTO!$Q$13,[1]BD_CUSTO!$R$13,[1]BD_CUSTO!$R$14)*BT73/E73</f>
        <v>0</v>
      </c>
      <c r="BZ73" s="24">
        <f>BV73*CUSTO!$R$10/E73</f>
        <v>0</v>
      </c>
      <c r="CA73" s="26">
        <f>SUM(Tabela13[[#This Row],[SOMA_PISO SALA E QUARTO]],Tabela13[[#This Row],[SOMA_PAREDE HIDR]],Tabela13[[#This Row],[SOMA_TETO]],Tabela13[[#This Row],[SOMA_BANCADA]],Tabela13[[#This Row],[SOMA_PEDRAS]])</f>
        <v>4290</v>
      </c>
      <c r="CB73" s="27" t="str">
        <f>IF(CA73&lt;=RÉGUAS!$D$4,"ACAB 01",IF(CA73&lt;=RÉGUAS!$F$4,"ACAB 02",IF(CA73&gt;RÉGUAS!$F$4,"ACAB 03",)))</f>
        <v>ACAB 02</v>
      </c>
      <c r="CC73" s="26">
        <f>SUM(Tabela13[[#This Row],[SOMA_LZ 01]:[SOMA_LZ 10]])</f>
        <v>2239.2319444444443</v>
      </c>
      <c r="CD73" s="22" t="str">
        <f>IF(CC73&lt;=RÉGUAS!$D$13,"LZ 01",IF(CC73&lt;=RÉGUAS!$F$13,"LZ 02",IF(CC73&lt;=RÉGUAS!$H$13,"LZ 03",IF(CC73&gt;RÉGUAS!$H$13,"LZ 04",))))</f>
        <v>LZ 03</v>
      </c>
      <c r="CE73" s="28">
        <f t="shared" si="8"/>
        <v>2000</v>
      </c>
      <c r="CF73" s="22" t="str">
        <f>IF(CE73&lt;=RÉGUAS!$D$22,"TIP 01",IF(CE73&lt;=RÉGUAS!$F$22,"TIP 02",IF(CE73&gt;RÉGUAS!$F$22,"TIP 03",)))</f>
        <v>TIP 02</v>
      </c>
      <c r="CG73" s="28">
        <f t="shared" si="9"/>
        <v>2208.3333333333335</v>
      </c>
      <c r="CH73" s="22" t="str">
        <f>IF(CG73&lt;=RÉGUAS!$D$32,"VAGA 01",IF(CG73&lt;=RÉGUAS!$F$32,"VAGA 02",IF(CG73&gt;RÉGUAS!$F$32,"VAGA 03",)))</f>
        <v>VAGA 02</v>
      </c>
      <c r="CI73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5593</v>
      </c>
      <c r="CJ73" s="85" t="str">
        <f>IF(AND(G73="BLOCO",CI73&lt;=RÉGUAS!$D$40),"ELEV 01",IF(AND(G73="BLOCO",CI73&gt;RÉGUAS!$D$40),"ELEV 02",IF(AND(G73="TORRE",CI73&lt;=RÉGUAS!$K$40),"ELEV 01",IF(AND(G73="TORRE",CI73&lt;=RÉGUAS!$M$40),"ELEV 02",IF(AND(G73="TORRE",CI73&gt;RÉGUAS!$M$40),"ELEV 03",)))))</f>
        <v>ELEV 03</v>
      </c>
      <c r="CK73" s="85">
        <f>SUM(Tabela13[[#This Row],[TOTAL  ACAB]],Tabela13[[#This Row],[TOTAL LAZER ]],Tabela13[[#This Row],[TOTAL TIPOLOGIA]],Tabela13[[#This Row],[TOTAL VAGA]],Tabela13[[#This Row],[TOTAL ELEVADOR]])</f>
        <v>16330.565277777778</v>
      </c>
      <c r="CL73" s="72" t="str">
        <f>IF(AND(G73="BLOCO",CK73&lt;=RÉGUAS!$D$50),"ESSENCIAL",IF(AND(G73="BLOCO",CK73&lt;=RÉGUAS!$F$50),"ECO",IF(AND(G73="BLOCO",CK73&gt;RÉGUAS!$F$50),"BIO",IF(AND(G73="TORRE",CK73&lt;=RÉGUAS!$K$50),"ESSENCIAL",IF(AND(G73="TORRE",CK73&lt;=RÉGUAS!$M$50),"ECO",IF(AND(G73="TORRE",CK73&gt;RÉGUAS!$M$50),"BIO",))))))</f>
        <v>BIO</v>
      </c>
      <c r="CM73" s="28" t="str">
        <f>IF(AND(G73="BLOCO",CK73&gt;=RÉGUAS!$D$51,CK73&lt;=RÉGUAS!$D$50),"ESSENCIAL-10%",IF(AND(G73="BLOCO",CK73&gt;RÉGUAS!$D$50,CK73&lt;=RÉGUAS!$E$51),"ECO+10%",IF(AND(G73="BLOCO",CK73&gt;=RÉGUAS!$F$51,CK73&lt;=RÉGUAS!$F$50),"ECO-10%",IF(AND(G73="BLOCO",CK73&gt;RÉGUAS!$F$50,CK73&lt;=RÉGUAS!$G$51),"BIO+10%",IF(AND(G73="TORRE",CK73&gt;=RÉGUAS!$K$51,CK73&lt;=RÉGUAS!$K$50),"ESSENCIAL-10%",IF(AND(G73="TORRE",CK73&gt;RÉGUAS!$K$50,CK73&lt;=RÉGUAS!$L$51),"ECO+10%",IF(AND(G73="TORRE",CK73&gt;=RÉGUAS!$M$51,CK73&lt;=RÉGUAS!$M$50),"ECO-10%",IF(AND(G73="TORRE",CK73&gt;RÉGUAS!$M$50,CK73&lt;=RÉGUAS!$N$51),"BIO+10%","-"))))))))</f>
        <v>-</v>
      </c>
      <c r="CN73" s="73">
        <f t="shared" si="10"/>
        <v>10737.565277777778</v>
      </c>
      <c r="CO73" s="72" t="str">
        <f>IF(CN73&lt;=RÉGUAS!$D$58,"ESSENCIAL",IF(CN73&lt;=RÉGUAS!$F$58,"ECO",IF(CN73&gt;RÉGUAS!$F$58,"BIO",)))</f>
        <v>ECO</v>
      </c>
      <c r="CP73" s="72" t="str">
        <f>IF(Tabela13[[#This Row],[INTERVALO DE INTERSEÇÃO 5D]]="-",Tabela13[[#This Row],[CLASSIFICAÇÃO 
5D ]],Tabela13[[#This Row],[CLASSIFICAÇÃO 
4D]])</f>
        <v>BIO</v>
      </c>
      <c r="CQ73" s="72" t="str">
        <f t="shared" si="11"/>
        <v>-</v>
      </c>
      <c r="CR73" s="72" t="str">
        <f t="shared" si="12"/>
        <v>BIO</v>
      </c>
      <c r="CS73" s="22" t="str">
        <f>IF(Tabela13[[#This Row],[PRODUTO ATUAL ]]=Tabela13[[#This Row],[CLASSIFICAÇÃO FINAL 5D]],"ADERÊNTE","NÃO ADERÊNTE")</f>
        <v>NÃO ADERÊNTE</v>
      </c>
      <c r="CT73" s="24">
        <f>SUM(Tabela13[[#This Row],[TOTAL  ACAB]],Tabela13[[#This Row],[TOTAL LAZER ]],Tabela13[[#This Row],[TOTAL TIPOLOGIA]],Tabela13[[#This Row],[TOTAL VAGA]])</f>
        <v>10737.565277777778</v>
      </c>
      <c r="CU73" s="22" t="str">
        <f>IF(CT73&lt;=RÉGUAS!$D$58,"ESSENCIAL",IF(CT73&lt;=RÉGUAS!$F$58,"ECO",IF(CT73&gt;RÉGUAS!$F$58,"BIO",)))</f>
        <v>ECO</v>
      </c>
      <c r="CV73" s="22" t="str">
        <f>IF(AND(CT73&gt;=RÉGUAS!$D$59,CT73&lt;=RÉGUAS!$E$59),"ESSENCIAL/ECO",IF(AND(CT73&gt;=RÉGUAS!$F$59,CT73&lt;=RÉGUAS!$G$59),"ECO/BIO","-"))</f>
        <v>ECO/BIO</v>
      </c>
      <c r="CW73" s="85">
        <f>SUM(Tabela13[[#This Row],[TOTAL LAZER ]],Tabela13[[#This Row],[TOTAL TIPOLOGIA]])</f>
        <v>4239.2319444444438</v>
      </c>
      <c r="CX73" s="22" t="str">
        <f>IF(CW73&lt;=RÉGUAS!$D$72,"ESSENCIAL",IF(CW73&lt;=RÉGUAS!$F$72,"ECO",IF(CN73&gt;RÉGUAS!$F$72,"BIO",)))</f>
        <v>ECO</v>
      </c>
      <c r="CY73" s="22" t="str">
        <f t="shared" si="13"/>
        <v>ECO</v>
      </c>
      <c r="CZ73" s="22" t="str">
        <f>IF(Tabela13[[#This Row],[PRODUTO ATUAL ]]=CY73,"ADERENTE","NÃO ADERENTE")</f>
        <v>ADERENTE</v>
      </c>
      <c r="DA73" s="22" t="str">
        <f>IF(Tabela13[[#This Row],[PRODUTO ATUAL ]]=Tabela13[[#This Row],[CLASSIFICAÇÃO 
4D2]],"ADERENTE","NÃO ADERENTE")</f>
        <v>ADERENTE</v>
      </c>
    </row>
    <row r="74" spans="2:105" hidden="1" x14ac:dyDescent="0.35">
      <c r="B74" s="27">
        <v>71</v>
      </c>
      <c r="C74" s="22" t="s">
        <v>199</v>
      </c>
      <c r="D74" s="22" t="s">
        <v>100</v>
      </c>
      <c r="E74" s="23">
        <v>240</v>
      </c>
      <c r="F74" s="22" t="str">
        <f t="shared" si="7"/>
        <v>De 200 a 400 und</v>
      </c>
      <c r="G74" s="22" t="s">
        <v>1</v>
      </c>
      <c r="H74" s="36">
        <v>15</v>
      </c>
      <c r="I74" s="36">
        <v>4</v>
      </c>
      <c r="J74" s="36"/>
      <c r="K74" s="36"/>
      <c r="L74" s="36">
        <f>SUM(Tabela13[[#This Row],[QTD DE B/T 2]],Tabela13[[#This Row],[QTD DE B/T]])</f>
        <v>15</v>
      </c>
      <c r="M74" s="22">
        <v>0</v>
      </c>
      <c r="N74" s="22">
        <f>Tabela13[[#This Row],[ELEVADOR]]/Tabela13[[#This Row],[BLOCO TOTAL]]</f>
        <v>0</v>
      </c>
      <c r="O74" s="22" t="s">
        <v>5</v>
      </c>
      <c r="P74" s="22" t="s">
        <v>101</v>
      </c>
      <c r="Q74" s="22" t="s">
        <v>101</v>
      </c>
      <c r="R74" s="22" t="s">
        <v>142</v>
      </c>
      <c r="S74" s="22" t="s">
        <v>103</v>
      </c>
      <c r="T74" s="22" t="s">
        <v>104</v>
      </c>
      <c r="U74" s="22" t="s">
        <v>105</v>
      </c>
      <c r="V74" s="22" t="s">
        <v>106</v>
      </c>
      <c r="W74" s="24">
        <f>IF(P74=[1]BD_CUSTO!$E$4,[1]BD_CUSTO!$F$4,[1]BD_CUSTO!$F$5)</f>
        <v>2430</v>
      </c>
      <c r="X74" s="24">
        <f>IF(Q74=[1]BD_CUSTO!$E$6,[1]BD_CUSTO!$F$6,[1]BD_CUSTO!$F$7)</f>
        <v>260</v>
      </c>
      <c r="Y74" s="24">
        <f>IF(R74=[1]BD_CUSTO!$E$8,[1]BD_CUSTO!$F$8,[1]BD_CUSTO!$F$9)</f>
        <v>900</v>
      </c>
      <c r="Z74" s="24">
        <f>IF(S74=[1]BD_CUSTO!$E$10,[1]BD_CUSTO!$F$10,[1]BD_CUSTO!$F$11)</f>
        <v>500</v>
      </c>
      <c r="AA74" s="24">
        <f>IF(T74=[1]BD_CUSTO!$E$12,[1]BD_CUSTO!$F$12,[1]BD_CUSTO!$F$13)</f>
        <v>370</v>
      </c>
      <c r="AB74" s="24">
        <f>IF(U74=[1]BD_CUSTO!$E$14,[1]BD_CUSTO!$F$14,[1]BD_CUSTO!$F$15)</f>
        <v>90</v>
      </c>
      <c r="AC74" s="24">
        <f>IF(V74=[1]BD_CUSTO!$E$16,[1]BD_CUSTO!$F$16,[1]BD_CUSTO!$F$17)</f>
        <v>720</v>
      </c>
      <c r="AD74" s="22" t="s">
        <v>110</v>
      </c>
      <c r="AE74" s="22">
        <v>1</v>
      </c>
      <c r="AF74" s="22" t="s">
        <v>108</v>
      </c>
      <c r="AG74" s="22">
        <v>1</v>
      </c>
      <c r="AH74" s="22" t="s">
        <v>107</v>
      </c>
      <c r="AI74" s="22">
        <v>2</v>
      </c>
      <c r="AJ74" s="22" t="s">
        <v>129</v>
      </c>
      <c r="AK74" s="22">
        <v>1</v>
      </c>
      <c r="AL74" s="22" t="s">
        <v>109</v>
      </c>
      <c r="AM74" s="22">
        <v>1</v>
      </c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4">
        <f>IF(AD74="",0,VLOOKUP(AD74,[1]BD_CUSTO!I:J,2,0)*AE74/E74)</f>
        <v>22.083333333333332</v>
      </c>
      <c r="AY74" s="24">
        <f>IF(AF74="",0,VLOOKUP(AF74,[1]BD_CUSTO!I:J,2,0)*AG74/E74)</f>
        <v>96.458333333333329</v>
      </c>
      <c r="AZ74" s="24">
        <f>IF(AH74="",0,VLOOKUP(AH74,[1]BD_CUSTO!I:J,2,0)*AI74/E74)</f>
        <v>709.57599999999991</v>
      </c>
      <c r="BA74" s="24">
        <f>IF(AJ74="",0,VLOOKUP(AJ74,[1]BD_CUSTO!I:J,2,0)*AK74/E74)</f>
        <v>1146.5315833333334</v>
      </c>
      <c r="BB74" s="24">
        <f>IF(AL74="",0,VLOOKUP(AL74,[1]BD_CUSTO!I:J,2,0)*AM74/E74)</f>
        <v>28.958333333333332</v>
      </c>
      <c r="BC74" s="24">
        <f>IF(AN74="",0,VLOOKUP(AN74,[1]BD_CUSTO!I:J,2,0)*AO74/E74)</f>
        <v>0</v>
      </c>
      <c r="BD74" s="24">
        <f>IF(AP74="",0,VLOOKUP(AP74,[1]BD_CUSTO!I:J,2,0)*AQ74/E74)</f>
        <v>0</v>
      </c>
      <c r="BE74" s="24">
        <f>IF(AR74="",0,VLOOKUP(AR74,CUSTO!I:J,2,0)*AS74/E74)</f>
        <v>0</v>
      </c>
      <c r="BF74" s="24">
        <f>IF(AT74="",0,VLOOKUP(AT74,[1]BD_CUSTO!I:J,2,0)*AU74/E74)</f>
        <v>0</v>
      </c>
      <c r="BG74" s="24">
        <f>IF(Tabela13[[#This Row],[LZ 10]]="",0,VLOOKUP(Tabela13[[#This Row],[LZ 10]],[1]BD_CUSTO!I:J,2,0)*Tabela13[[#This Row],[QTD922]]/E74)</f>
        <v>0</v>
      </c>
      <c r="BH74" s="22" t="s">
        <v>112</v>
      </c>
      <c r="BI74" s="25">
        <f>90/Tabela13[[#This Row],[Nº UNDS]]</f>
        <v>0.375</v>
      </c>
      <c r="BJ74" s="22" t="s">
        <v>113</v>
      </c>
      <c r="BK74" s="25">
        <v>0</v>
      </c>
      <c r="BL74" s="24">
        <f>IF(BH74=[1]BD_CUSTO!$M$6,[1]BD_CUSTO!$N$6)*BI74</f>
        <v>1125</v>
      </c>
      <c r="BM74" s="24">
        <f>IF(BJ74=[1]BD_CUSTO!$M$4,[1]BD_CUSTO!$N$4,[1]BD_CUSTO!$N$5)*BK74</f>
        <v>0</v>
      </c>
      <c r="BN74" s="22" t="s">
        <v>114</v>
      </c>
      <c r="BO74" s="22">
        <f>291-25</f>
        <v>266</v>
      </c>
      <c r="BP74" s="25">
        <f>Tabela13[[#This Row],[QTD ]]/Tabela13[[#This Row],[Nº UNDS]]</f>
        <v>1.1083333333333334</v>
      </c>
      <c r="BQ74" s="22" t="s">
        <v>123</v>
      </c>
      <c r="BR74" s="22">
        <v>25</v>
      </c>
      <c r="BS74" s="22" t="s">
        <v>116</v>
      </c>
      <c r="BT74" s="22">
        <v>0</v>
      </c>
      <c r="BU74" s="22" t="s">
        <v>16</v>
      </c>
      <c r="BV74" s="22">
        <v>0</v>
      </c>
      <c r="BW74" s="24">
        <f>IF(BN74=[1]BD_CUSTO!$Q$7,[1]BD_CUSTO!$R$7,[1]BD_CUSTO!$R$8)*BO74/E74</f>
        <v>2216.6666666666665</v>
      </c>
      <c r="BX74" s="24">
        <f>IF(BQ74=[1]BD_CUSTO!$Q$4,[1]BD_CUSTO!$R$4,[1]BD_CUSTO!$R$5)*BR74/E74</f>
        <v>104.16666666666667</v>
      </c>
      <c r="BY74" s="22">
        <f>IF(BS74=[1]BD_CUSTO!$Q$13,[1]BD_CUSTO!$R$13,[1]BD_CUSTO!$R$14)*BT74/E74</f>
        <v>0</v>
      </c>
      <c r="BZ74" s="24">
        <f>BV74*CUSTO!$R$10/E74</f>
        <v>0</v>
      </c>
      <c r="CA74" s="26">
        <f>SUM(Tabela13[[#This Row],[SOMA_PISO SALA E QUARTO]],Tabela13[[#This Row],[SOMA_PAREDE HIDR]],Tabela13[[#This Row],[SOMA_TETO]],Tabela13[[#This Row],[SOMA_BANCADA]],Tabela13[[#This Row],[SOMA_PEDRAS]])</f>
        <v>4290</v>
      </c>
      <c r="CB74" s="27" t="str">
        <f>IF(CA74&lt;=RÉGUAS!$D$4,"ACAB 01",IF(CA74&lt;=RÉGUAS!$F$4,"ACAB 02",IF(CA74&gt;RÉGUAS!$F$4,"ACAB 03",)))</f>
        <v>ACAB 02</v>
      </c>
      <c r="CC74" s="26">
        <f>SUM(Tabela13[[#This Row],[SOMA_LZ 01]:[SOMA_LZ 10]])</f>
        <v>2003.6075833333332</v>
      </c>
      <c r="CD74" s="22" t="str">
        <f>IF(CC74&lt;=RÉGUAS!$D$13,"LZ 01",IF(CC74&lt;=RÉGUAS!$F$13,"LZ 02",IF(CC74&lt;=RÉGUAS!$H$13,"LZ 03",IF(CC74&gt;RÉGUAS!$H$13,"LZ 04",))))</f>
        <v>LZ 03</v>
      </c>
      <c r="CE74" s="28">
        <f t="shared" si="8"/>
        <v>1125</v>
      </c>
      <c r="CF74" s="22" t="str">
        <f>IF(CE74&lt;=RÉGUAS!$D$22,"TIP 01",IF(CE74&lt;=RÉGUAS!$F$22,"TIP 02",IF(CE74&gt;RÉGUAS!$F$22,"TIP 03",)))</f>
        <v>TIP 01</v>
      </c>
      <c r="CG74" s="28">
        <f t="shared" si="9"/>
        <v>2320.833333333333</v>
      </c>
      <c r="CH74" s="22" t="str">
        <f>IF(CG74&lt;=RÉGUAS!$D$32,"VAGA 01",IF(CG74&lt;=RÉGUAS!$F$32,"VAGA 02",IF(CG74&gt;RÉGUAS!$F$32,"VAGA 03",)))</f>
        <v>VAGA 02</v>
      </c>
      <c r="CI74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74" s="85" t="str">
        <f>IF(AND(G74="BLOCO",CI74&lt;=RÉGUAS!$D$40),"ELEV 01",IF(AND(G74="BLOCO",CI74&gt;RÉGUAS!$D$40),"ELEV 02",IF(AND(G74="TORRE",CI74&lt;=RÉGUAS!$K$40),"ELEV 01",IF(AND(G74="TORRE",CI74&lt;=RÉGUAS!$M$40),"ELEV 02",IF(AND(G74="TORRE",CI74&gt;RÉGUAS!$M$40),"ELEV 03",)))))</f>
        <v>ELEV 01</v>
      </c>
      <c r="CK74" s="85">
        <f>SUM(Tabela13[[#This Row],[TOTAL  ACAB]],Tabela13[[#This Row],[TOTAL LAZER ]],Tabela13[[#This Row],[TOTAL TIPOLOGIA]],Tabela13[[#This Row],[TOTAL VAGA]],Tabela13[[#This Row],[TOTAL ELEVADOR]])</f>
        <v>9739.4409166666665</v>
      </c>
      <c r="CL74" s="72" t="str">
        <f>IF(AND(G74="BLOCO",CK74&lt;=RÉGUAS!$D$50),"ESSENCIAL",IF(AND(G74="BLOCO",CK74&lt;=RÉGUAS!$F$50),"ECO",IF(AND(G74="BLOCO",CK74&gt;RÉGUAS!$F$50),"BIO",IF(AND(G74="TORRE",CK74&lt;=RÉGUAS!$K$50),"ESSENCIAL",IF(AND(G74="TORRE",CK74&lt;=RÉGUAS!$M$50),"ECO",IF(AND(G74="TORRE",CK74&gt;RÉGUAS!$M$50),"BIO",))))))</f>
        <v>ECO</v>
      </c>
      <c r="CM74" s="28" t="str">
        <f>IF(AND(G74="BLOCO",CK74&gt;=RÉGUAS!$D$51,CK74&lt;=RÉGUAS!$D$50),"ESSENCIAL-10%",IF(AND(G74="BLOCO",CK74&gt;RÉGUAS!$D$50,CK74&lt;=RÉGUAS!$E$51),"ECO+10%",IF(AND(G74="BLOCO",CK74&gt;=RÉGUAS!$F$51,CK74&lt;=RÉGUAS!$F$50),"ECO-10%",IF(AND(G74="BLOCO",CK74&gt;RÉGUAS!$F$50,CK74&lt;=RÉGUAS!$G$51),"BIO+10%",IF(AND(G74="TORRE",CK74&gt;=RÉGUAS!$K$51,CK74&lt;=RÉGUAS!$K$50),"ESSENCIAL-10%",IF(AND(G74="TORRE",CK74&gt;RÉGUAS!$K$50,CK74&lt;=RÉGUAS!$L$51),"ECO+10%",IF(AND(G74="TORRE",CK74&gt;=RÉGUAS!$M$51,CK74&lt;=RÉGUAS!$M$50),"ECO-10%",IF(AND(G74="TORRE",CK74&gt;RÉGUAS!$M$50,CK74&lt;=RÉGUAS!$N$51),"BIO+10%","-"))))))))</f>
        <v>-</v>
      </c>
      <c r="CN74" s="73">
        <f t="shared" si="10"/>
        <v>9739.4409166666665</v>
      </c>
      <c r="CO74" s="72" t="str">
        <f>IF(CN74&lt;=RÉGUAS!$D$58,"ESSENCIAL",IF(CN74&lt;=RÉGUAS!$F$58,"ECO",IF(CN74&gt;RÉGUAS!$F$58,"BIO",)))</f>
        <v>ECO</v>
      </c>
      <c r="CP74" s="72" t="str">
        <f>IF(Tabela13[[#This Row],[INTERVALO DE INTERSEÇÃO 5D]]="-",Tabela13[[#This Row],[CLASSIFICAÇÃO 
5D ]],Tabela13[[#This Row],[CLASSIFICAÇÃO 
4D]])</f>
        <v>ECO</v>
      </c>
      <c r="CQ74" s="72" t="str">
        <f t="shared" si="11"/>
        <v>-</v>
      </c>
      <c r="CR74" s="72" t="str">
        <f t="shared" si="12"/>
        <v>ECO</v>
      </c>
      <c r="CS74" s="22" t="str">
        <f>IF(Tabela13[[#This Row],[PRODUTO ATUAL ]]=Tabela13[[#This Row],[CLASSIFICAÇÃO FINAL 5D]],"ADERÊNTE","NÃO ADERÊNTE")</f>
        <v>ADERÊNTE</v>
      </c>
      <c r="CT74" s="24">
        <f>SUM(Tabela13[[#This Row],[TOTAL  ACAB]],Tabela13[[#This Row],[TOTAL LAZER ]],Tabela13[[#This Row],[TOTAL TIPOLOGIA]],Tabela13[[#This Row],[TOTAL VAGA]])</f>
        <v>9739.4409166666665</v>
      </c>
      <c r="CU74" s="22" t="str">
        <f>IF(CT74&lt;=RÉGUAS!$D$58,"ESSENCIAL",IF(CT74&lt;=RÉGUAS!$F$58,"ECO",IF(CT74&gt;RÉGUAS!$F$58,"BIO",)))</f>
        <v>ECO</v>
      </c>
      <c r="CV74" s="22" t="str">
        <f>IF(AND(CT74&gt;=RÉGUAS!$D$59,CT74&lt;=RÉGUAS!$E$59),"ESSENCIAL/ECO",IF(AND(CT74&gt;=RÉGUAS!$F$59,CT74&lt;=RÉGUAS!$G$59),"ECO/BIO","-"))</f>
        <v>-</v>
      </c>
      <c r="CW74" s="85">
        <f>SUM(Tabela13[[#This Row],[TOTAL LAZER ]],Tabela13[[#This Row],[TOTAL TIPOLOGIA]])</f>
        <v>3128.6075833333334</v>
      </c>
      <c r="CX74" s="22" t="str">
        <f>IF(CW74&lt;=RÉGUAS!$D$72,"ESSENCIAL",IF(CW74&lt;=RÉGUAS!$F$72,"ECO",IF(CN74&gt;RÉGUAS!$F$72,"BIO",)))</f>
        <v>ECO</v>
      </c>
      <c r="CY74" s="22" t="str">
        <f t="shared" si="13"/>
        <v>ECO</v>
      </c>
      <c r="CZ74" s="22" t="str">
        <f>IF(Tabela13[[#This Row],[PRODUTO ATUAL ]]=CY74,"ADERENTE","NÃO ADERENTE")</f>
        <v>ADERENTE</v>
      </c>
      <c r="DA74" s="22" t="str">
        <f>IF(Tabela13[[#This Row],[PRODUTO ATUAL ]]=Tabela13[[#This Row],[CLASSIFICAÇÃO 
4D2]],"ADERENTE","NÃO ADERENTE")</f>
        <v>ADERENTE</v>
      </c>
    </row>
    <row r="75" spans="2:105" hidden="1" x14ac:dyDescent="0.35">
      <c r="B75" s="27">
        <v>61</v>
      </c>
      <c r="C75" s="22" t="s">
        <v>198</v>
      </c>
      <c r="D75" s="22" t="s">
        <v>154</v>
      </c>
      <c r="E75" s="23">
        <v>192</v>
      </c>
      <c r="F75" s="22" t="str">
        <f t="shared" si="7"/>
        <v>Até 200 und</v>
      </c>
      <c r="G75" s="22" t="s">
        <v>1</v>
      </c>
      <c r="H75" s="36">
        <v>12</v>
      </c>
      <c r="I75" s="36">
        <v>4</v>
      </c>
      <c r="J75" s="36"/>
      <c r="K75" s="36"/>
      <c r="L75" s="36">
        <f>SUM(Tabela13[[#This Row],[QTD DE B/T 2]],Tabela13[[#This Row],[QTD DE B/T]])</f>
        <v>12</v>
      </c>
      <c r="M75" s="22">
        <v>1</v>
      </c>
      <c r="N75" s="22">
        <f>Tabela13[[#This Row],[ELEVADOR]]/Tabela13[[#This Row],[BLOCO TOTAL]]</f>
        <v>8.3333333333333329E-2</v>
      </c>
      <c r="O75" s="22" t="s">
        <v>5</v>
      </c>
      <c r="P75" s="22" t="s">
        <v>101</v>
      </c>
      <c r="Q75" s="22" t="s">
        <v>101</v>
      </c>
      <c r="R75" s="22" t="s">
        <v>142</v>
      </c>
      <c r="S75" s="22" t="s">
        <v>103</v>
      </c>
      <c r="T75" s="22" t="s">
        <v>104</v>
      </c>
      <c r="U75" s="22" t="s">
        <v>105</v>
      </c>
      <c r="V75" s="22" t="s">
        <v>106</v>
      </c>
      <c r="W75" s="24">
        <f>IF(P75=[1]BD_CUSTO!$E$4,[1]BD_CUSTO!$F$4,[1]BD_CUSTO!$F$5)</f>
        <v>2430</v>
      </c>
      <c r="X75" s="24">
        <f>IF(Q75=[1]BD_CUSTO!$E$6,[1]BD_CUSTO!$F$6,[1]BD_CUSTO!$F$7)</f>
        <v>260</v>
      </c>
      <c r="Y75" s="24">
        <f>IF(R75=[1]BD_CUSTO!$E$8,[1]BD_CUSTO!$F$8,[1]BD_CUSTO!$F$9)</f>
        <v>900</v>
      </c>
      <c r="Z75" s="24">
        <f>IF(S75=[1]BD_CUSTO!$E$10,[1]BD_CUSTO!$F$10,[1]BD_CUSTO!$F$11)</f>
        <v>500</v>
      </c>
      <c r="AA75" s="24">
        <f>IF(T75=[1]BD_CUSTO!$E$12,[1]BD_CUSTO!$F$12,[1]BD_CUSTO!$F$13)</f>
        <v>370</v>
      </c>
      <c r="AB75" s="24">
        <f>IF(U75=[1]BD_CUSTO!$E$14,[1]BD_CUSTO!$F$14,[1]BD_CUSTO!$F$15)</f>
        <v>90</v>
      </c>
      <c r="AC75" s="24">
        <f>IF(V75=[1]BD_CUSTO!$E$16,[1]BD_CUSTO!$F$16,[1]BD_CUSTO!$F$17)</f>
        <v>720</v>
      </c>
      <c r="AD75" s="22" t="s">
        <v>108</v>
      </c>
      <c r="AE75" s="22">
        <v>1</v>
      </c>
      <c r="AF75" s="22" t="s">
        <v>110</v>
      </c>
      <c r="AG75" s="22">
        <v>1</v>
      </c>
      <c r="AH75" s="22" t="s">
        <v>129</v>
      </c>
      <c r="AI75" s="22">
        <v>1</v>
      </c>
      <c r="AJ75" s="22" t="s">
        <v>109</v>
      </c>
      <c r="AK75" s="22">
        <v>1</v>
      </c>
      <c r="AL75" s="22" t="s">
        <v>107</v>
      </c>
      <c r="AM75" s="22">
        <v>1</v>
      </c>
      <c r="AN75" s="22" t="s">
        <v>121</v>
      </c>
      <c r="AO75" s="22">
        <v>1</v>
      </c>
      <c r="AP75" s="22"/>
      <c r="AQ75" s="22"/>
      <c r="AR75" s="22"/>
      <c r="AS75" s="22"/>
      <c r="AT75" s="22"/>
      <c r="AU75" s="22"/>
      <c r="AV75" s="22"/>
      <c r="AW75" s="22"/>
      <c r="AX75" s="24">
        <f>IF(AD75="",0,VLOOKUP(AD75,[1]BD_CUSTO!I:J,2,0)*AE75/E75)</f>
        <v>120.57291666666667</v>
      </c>
      <c r="AY75" s="24">
        <f>IF(AF75="",0,VLOOKUP(AF75,[1]BD_CUSTO!I:J,2,0)*AG75/E75)</f>
        <v>27.604166666666668</v>
      </c>
      <c r="AZ75" s="24">
        <f>IF(AH75="",0,VLOOKUP(AH75,[1]BD_CUSTO!I:J,2,0)*AI75/E75)</f>
        <v>1433.1644791666668</v>
      </c>
      <c r="BA75" s="24">
        <f>IF(AJ75="",0,VLOOKUP(AJ75,[1]BD_CUSTO!I:J,2,0)*AK75/E75)</f>
        <v>36.197916666666664</v>
      </c>
      <c r="BB75" s="24">
        <f>IF(AL75="",0,VLOOKUP(AL75,[1]BD_CUSTO!I:J,2,0)*AM75/E75)</f>
        <v>443.48499999999996</v>
      </c>
      <c r="BC75" s="24">
        <f>IF(AN75="",0,VLOOKUP(AN75,[1]BD_CUSTO!I:J,2,0)*AO75/E75)</f>
        <v>641.44218749999993</v>
      </c>
      <c r="BD75" s="24">
        <f>IF(AP75="",0,VLOOKUP(AP75,[1]BD_CUSTO!I:J,2,0)*AQ75/E75)</f>
        <v>0</v>
      </c>
      <c r="BE75" s="24">
        <f>IF(AR75="",0,VLOOKUP(AR75,CUSTO!I:J,2,0)*AS75/E75)</f>
        <v>0</v>
      </c>
      <c r="BF75" s="24">
        <f>IF(AT75="",0,VLOOKUP(AT75,[1]BD_CUSTO!I:J,2,0)*AU75/E75)</f>
        <v>0</v>
      </c>
      <c r="BG75" s="24">
        <f>IF(Tabela13[[#This Row],[LZ 10]]="",0,VLOOKUP(Tabela13[[#This Row],[LZ 10]],[1]BD_CUSTO!I:J,2,0)*Tabela13[[#This Row],[QTD922]]/E75)</f>
        <v>0</v>
      </c>
      <c r="BH75" s="22" t="s">
        <v>122</v>
      </c>
      <c r="BI75" s="25">
        <v>0</v>
      </c>
      <c r="BJ75" s="22" t="s">
        <v>113</v>
      </c>
      <c r="BK75" s="25">
        <v>0</v>
      </c>
      <c r="BL75" s="24">
        <f>IF(BH75=[1]BD_CUSTO!$M$6,[1]BD_CUSTO!$N$6)*BI75</f>
        <v>0</v>
      </c>
      <c r="BM75" s="24">
        <f>IF(BJ75=[1]BD_CUSTO!$M$4,[1]BD_CUSTO!$N$4,[1]BD_CUSTO!$N$5)*BK75</f>
        <v>0</v>
      </c>
      <c r="BN75" s="22" t="s">
        <v>114</v>
      </c>
      <c r="BO75" s="22">
        <v>226</v>
      </c>
      <c r="BP75" s="25">
        <f>Tabela13[[#This Row],[QTD ]]/Tabela13[[#This Row],[Nº UNDS]]</f>
        <v>1.1770833333333333</v>
      </c>
      <c r="BQ75" s="22" t="s">
        <v>115</v>
      </c>
      <c r="BR75" s="22">
        <v>0</v>
      </c>
      <c r="BS75" s="22" t="s">
        <v>116</v>
      </c>
      <c r="BT75" s="22">
        <v>0</v>
      </c>
      <c r="BU75" s="22" t="s">
        <v>16</v>
      </c>
      <c r="BV75" s="22">
        <v>0</v>
      </c>
      <c r="BW75" s="24">
        <f>IF(BN75=[1]BD_CUSTO!$Q$7,[1]BD_CUSTO!$R$7,[1]BD_CUSTO!$R$8)*BO75/E75</f>
        <v>2354.1666666666665</v>
      </c>
      <c r="BX75" s="24">
        <f>IF(BQ75=[1]BD_CUSTO!$Q$4,[1]BD_CUSTO!$R$4,[1]BD_CUSTO!$R$5)*BR75/E75</f>
        <v>0</v>
      </c>
      <c r="BY75" s="22">
        <f>IF(BS75=[1]BD_CUSTO!$Q$13,[1]BD_CUSTO!$R$13,[1]BD_CUSTO!$R$14)*BT75/E75</f>
        <v>0</v>
      </c>
      <c r="BZ75" s="24">
        <f>BV75*CUSTO!$R$10/E75</f>
        <v>0</v>
      </c>
      <c r="CA75" s="26">
        <f>SUM(Tabela13[[#This Row],[SOMA_PISO SALA E QUARTO]],Tabela13[[#This Row],[SOMA_PAREDE HIDR]],Tabela13[[#This Row],[SOMA_TETO]],Tabela13[[#This Row],[SOMA_BANCADA]],Tabela13[[#This Row],[SOMA_PEDRAS]])</f>
        <v>4290</v>
      </c>
      <c r="CB75" s="27" t="str">
        <f>IF(CA75&lt;=RÉGUAS!$D$4,"ACAB 01",IF(CA75&lt;=RÉGUAS!$F$4,"ACAB 02",IF(CA75&gt;RÉGUAS!$F$4,"ACAB 03",)))</f>
        <v>ACAB 02</v>
      </c>
      <c r="CC75" s="26">
        <f>SUM(Tabela13[[#This Row],[SOMA_LZ 01]:[SOMA_LZ 10]])</f>
        <v>2702.4666666666667</v>
      </c>
      <c r="CD75" s="22" t="str">
        <f>IF(CC75&lt;=RÉGUAS!$D$13,"LZ 01",IF(CC75&lt;=RÉGUAS!$F$13,"LZ 02",IF(CC75&lt;=RÉGUAS!$H$13,"LZ 03",IF(CC75&gt;RÉGUAS!$H$13,"LZ 04",))))</f>
        <v>LZ 04</v>
      </c>
      <c r="CE75" s="28">
        <f t="shared" si="8"/>
        <v>0</v>
      </c>
      <c r="CF75" s="22" t="str">
        <f>IF(CE75&lt;=RÉGUAS!$D$22,"TIP 01",IF(CE75&lt;=RÉGUAS!$F$22,"TIP 02",IF(CE75&gt;RÉGUAS!$F$22,"TIP 03",)))</f>
        <v>TIP 01</v>
      </c>
      <c r="CG75" s="28">
        <f t="shared" si="9"/>
        <v>2354.1666666666665</v>
      </c>
      <c r="CH75" s="22" t="str">
        <f>IF(CG75&lt;=RÉGUAS!$D$32,"VAGA 01",IF(CG75&lt;=RÉGUAS!$F$32,"VAGA 02",IF(CG75&gt;RÉGUAS!$F$32,"VAGA 03",)))</f>
        <v>VAGA 02</v>
      </c>
      <c r="CI75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625.58333333333337</v>
      </c>
      <c r="CJ75" s="85" t="str">
        <f>IF(AND(G75="BLOCO",CI75&lt;=RÉGUAS!$D$40),"ELEV 01",IF(AND(G75="BLOCO",CI75&gt;RÉGUAS!$D$40),"ELEV 02",IF(AND(G75="TORRE",CI75&lt;=RÉGUAS!$K$40),"ELEV 01",IF(AND(G75="TORRE",CI75&lt;=RÉGUAS!$M$40),"ELEV 02",IF(AND(G75="TORRE",CI75&gt;RÉGUAS!$M$40),"ELEV 03",)))))</f>
        <v>ELEV 02</v>
      </c>
      <c r="CK75" s="85">
        <f>SUM(Tabela13[[#This Row],[TOTAL  ACAB]],Tabela13[[#This Row],[TOTAL LAZER ]],Tabela13[[#This Row],[TOTAL TIPOLOGIA]],Tabela13[[#This Row],[TOTAL VAGA]],Tabela13[[#This Row],[TOTAL ELEVADOR]])</f>
        <v>9972.2166666666672</v>
      </c>
      <c r="CL75" s="72" t="str">
        <f>IF(AND(G75="BLOCO",CK75&lt;=RÉGUAS!$D$50),"ESSENCIAL",IF(AND(G75="BLOCO",CK75&lt;=RÉGUAS!$F$50),"ECO",IF(AND(G75="BLOCO",CK75&gt;RÉGUAS!$F$50),"BIO",IF(AND(G75="TORRE",CK75&lt;=RÉGUAS!$K$50),"ESSENCIAL",IF(AND(G75="TORRE",CK75&lt;=RÉGUAS!$M$50),"ECO",IF(AND(G75="TORRE",CK75&gt;RÉGUAS!$M$50),"BIO",))))))</f>
        <v>ECO</v>
      </c>
      <c r="CM75" s="28" t="str">
        <f>IF(AND(G75="BLOCO",CK75&gt;=RÉGUAS!$D$51,CK75&lt;=RÉGUAS!$D$50),"ESSENCIAL-10%",IF(AND(G75="BLOCO",CK75&gt;RÉGUAS!$D$50,CK75&lt;=RÉGUAS!$E$51),"ECO+10%",IF(AND(G75="BLOCO",CK75&gt;=RÉGUAS!$F$51,CK75&lt;=RÉGUAS!$F$50),"ECO-10%",IF(AND(G75="BLOCO",CK75&gt;RÉGUAS!$F$50,CK75&lt;=RÉGUAS!$G$51),"BIO+10%",IF(AND(G75="TORRE",CK75&gt;=RÉGUAS!$K$51,CK75&lt;=RÉGUAS!$K$50),"ESSENCIAL-10%",IF(AND(G75="TORRE",CK75&gt;RÉGUAS!$K$50,CK75&lt;=RÉGUAS!$L$51),"ECO+10%",IF(AND(G75="TORRE",CK75&gt;=RÉGUAS!$M$51,CK75&lt;=RÉGUAS!$M$50),"ECO-10%",IF(AND(G75="TORRE",CK75&gt;RÉGUAS!$M$50,CK75&lt;=RÉGUAS!$N$51),"BIO+10%","-"))))))))</f>
        <v>-</v>
      </c>
      <c r="CN75" s="73">
        <f t="shared" si="10"/>
        <v>9346.6333333333332</v>
      </c>
      <c r="CO75" s="72" t="str">
        <f>IF(CN75&lt;=RÉGUAS!$D$58,"ESSENCIAL",IF(CN75&lt;=RÉGUAS!$F$58,"ECO",IF(CN75&gt;RÉGUAS!$F$58,"BIO",)))</f>
        <v>ECO</v>
      </c>
      <c r="CP75" s="72" t="str">
        <f>IF(Tabela13[[#This Row],[INTERVALO DE INTERSEÇÃO 5D]]="-",Tabela13[[#This Row],[CLASSIFICAÇÃO 
5D ]],Tabela13[[#This Row],[CLASSIFICAÇÃO 
4D]])</f>
        <v>ECO</v>
      </c>
      <c r="CQ75" s="72" t="str">
        <f t="shared" si="11"/>
        <v>-</v>
      </c>
      <c r="CR75" s="72" t="str">
        <f t="shared" si="12"/>
        <v>ECO</v>
      </c>
      <c r="CS75" s="22" t="str">
        <f>IF(Tabela13[[#This Row],[PRODUTO ATUAL ]]=Tabela13[[#This Row],[CLASSIFICAÇÃO FINAL 5D]],"ADERÊNTE","NÃO ADERÊNTE")</f>
        <v>ADERÊNTE</v>
      </c>
      <c r="CT75" s="24">
        <f>SUM(Tabela13[[#This Row],[TOTAL  ACAB]],Tabela13[[#This Row],[TOTAL LAZER ]],Tabela13[[#This Row],[TOTAL TIPOLOGIA]],Tabela13[[#This Row],[TOTAL VAGA]])</f>
        <v>9346.6333333333332</v>
      </c>
      <c r="CU75" s="22" t="str">
        <f>IF(CT75&lt;=RÉGUAS!$D$58,"ESSENCIAL",IF(CT75&lt;=RÉGUAS!$F$58,"ECO",IF(CT75&gt;RÉGUAS!$F$58,"BIO",)))</f>
        <v>ECO</v>
      </c>
      <c r="CV75" s="22" t="str">
        <f>IF(AND(CT75&gt;=RÉGUAS!$D$59,CT75&lt;=RÉGUAS!$E$59),"ESSENCIAL/ECO",IF(AND(CT75&gt;=RÉGUAS!$F$59,CT75&lt;=RÉGUAS!$G$59),"ECO/BIO","-"))</f>
        <v>-</v>
      </c>
      <c r="CW75" s="85">
        <f>SUM(Tabela13[[#This Row],[TOTAL LAZER ]],Tabela13[[#This Row],[TOTAL TIPOLOGIA]])</f>
        <v>2702.4666666666667</v>
      </c>
      <c r="CX75" s="22" t="str">
        <f>IF(CW75&lt;=RÉGUAS!$D$72,"ESSENCIAL",IF(CW75&lt;=RÉGUAS!$F$72,"ECO",IF(CN75&gt;RÉGUAS!$F$72,"BIO",)))</f>
        <v>ECO</v>
      </c>
      <c r="CY75" s="22" t="str">
        <f t="shared" si="13"/>
        <v>ECO</v>
      </c>
      <c r="CZ75" s="22" t="str">
        <f>IF(Tabela13[[#This Row],[PRODUTO ATUAL ]]=CY75,"ADERENTE","NÃO ADERENTE")</f>
        <v>ADERENTE</v>
      </c>
      <c r="DA75" s="22" t="str">
        <f>IF(Tabela13[[#This Row],[PRODUTO ATUAL ]]=Tabela13[[#This Row],[CLASSIFICAÇÃO 
4D2]],"ADERENTE","NÃO ADERENTE")</f>
        <v>ADERENTE</v>
      </c>
    </row>
    <row r="76" spans="2:105" x14ac:dyDescent="0.35">
      <c r="B76" s="27">
        <v>75</v>
      </c>
      <c r="C76" s="22" t="s">
        <v>177</v>
      </c>
      <c r="D76" s="22" t="s">
        <v>154</v>
      </c>
      <c r="E76" s="23">
        <v>480</v>
      </c>
      <c r="F76" s="22" t="str">
        <f t="shared" si="7"/>
        <v>Acima de 400 und</v>
      </c>
      <c r="G76" s="22" t="s">
        <v>14</v>
      </c>
      <c r="H76" s="36">
        <v>5</v>
      </c>
      <c r="I76" s="36">
        <v>12</v>
      </c>
      <c r="J76" s="36"/>
      <c r="K76" s="36"/>
      <c r="L76" s="36">
        <f>SUM(Tabela13[[#This Row],[QTD DE B/T 2]],Tabela13[[#This Row],[QTD DE B/T]])</f>
        <v>5</v>
      </c>
      <c r="M76" s="22">
        <v>10</v>
      </c>
      <c r="N76" s="22">
        <f>Tabela13[[#This Row],[ELEVADOR]]/Tabela13[[#This Row],[BLOCO TOTAL]]</f>
        <v>2</v>
      </c>
      <c r="O76" s="22" t="s">
        <v>5</v>
      </c>
      <c r="P76" s="22" t="s">
        <v>101</v>
      </c>
      <c r="Q76" s="22" t="s">
        <v>101</v>
      </c>
      <c r="R76" s="22" t="s">
        <v>142</v>
      </c>
      <c r="S76" s="22" t="s">
        <v>103</v>
      </c>
      <c r="T76" s="22" t="s">
        <v>104</v>
      </c>
      <c r="U76" s="22" t="s">
        <v>105</v>
      </c>
      <c r="V76" s="22" t="s">
        <v>106</v>
      </c>
      <c r="W76" s="24">
        <f>IF(P76=[1]BD_CUSTO!$E$4,[1]BD_CUSTO!$F$4,[1]BD_CUSTO!$F$5)</f>
        <v>2430</v>
      </c>
      <c r="X76" s="24">
        <f>IF(Q76=[1]BD_CUSTO!$E$6,[1]BD_CUSTO!$F$6,[1]BD_CUSTO!$F$7)</f>
        <v>260</v>
      </c>
      <c r="Y76" s="24">
        <f>IF(R76=[1]BD_CUSTO!$E$8,[1]BD_CUSTO!$F$8,[1]BD_CUSTO!$F$9)</f>
        <v>900</v>
      </c>
      <c r="Z76" s="24">
        <f>IF(S76=[1]BD_CUSTO!$E$10,[1]BD_CUSTO!$F$10,[1]BD_CUSTO!$F$11)</f>
        <v>500</v>
      </c>
      <c r="AA76" s="24">
        <f>IF(T76=[1]BD_CUSTO!$E$12,[1]BD_CUSTO!$F$12,[1]BD_CUSTO!$F$13)</f>
        <v>370</v>
      </c>
      <c r="AB76" s="24">
        <f>IF(U76=[1]BD_CUSTO!$E$14,[1]BD_CUSTO!$F$14,[1]BD_CUSTO!$F$15)</f>
        <v>90</v>
      </c>
      <c r="AC76" s="24">
        <f>IF(V76=[1]BD_CUSTO!$E$16,[1]BD_CUSTO!$F$16,[1]BD_CUSTO!$F$17)</f>
        <v>720</v>
      </c>
      <c r="AD76" s="22" t="s">
        <v>129</v>
      </c>
      <c r="AE76" s="22">
        <v>1</v>
      </c>
      <c r="AF76" s="22" t="s">
        <v>135</v>
      </c>
      <c r="AG76" s="22">
        <v>1</v>
      </c>
      <c r="AH76" s="22" t="s">
        <v>175</v>
      </c>
      <c r="AI76" s="22">
        <v>1</v>
      </c>
      <c r="AJ76" s="22" t="s">
        <v>121</v>
      </c>
      <c r="AK76" s="22">
        <v>1</v>
      </c>
      <c r="AL76" s="22" t="s">
        <v>107</v>
      </c>
      <c r="AM76" s="22">
        <v>1</v>
      </c>
      <c r="AN76" s="22" t="s">
        <v>139</v>
      </c>
      <c r="AO76" s="22">
        <v>1</v>
      </c>
      <c r="AP76" s="22" t="s">
        <v>108</v>
      </c>
      <c r="AQ76" s="22">
        <v>1</v>
      </c>
      <c r="AR76" s="22" t="s">
        <v>111</v>
      </c>
      <c r="AS76" s="22">
        <v>1</v>
      </c>
      <c r="AT76" s="22"/>
      <c r="AU76" s="22"/>
      <c r="AV76" s="22"/>
      <c r="AW76" s="22"/>
      <c r="AX76" s="24">
        <f>IF(AD76="",0,VLOOKUP(AD76,[1]BD_CUSTO!I:J,2,0)*AE76/E76)</f>
        <v>573.2657916666667</v>
      </c>
      <c r="AY76" s="24">
        <f>IF(AF76="",0,VLOOKUP(AF76,[1]BD_CUSTO!I:J,2,0)*AG76/E76)</f>
        <v>262.64299999999997</v>
      </c>
      <c r="AZ76" s="24">
        <f>IF(AH76="",0,VLOOKUP(AH76,[1]BD_CUSTO!I:J,2,0)*AI76/E76)</f>
        <v>22.479166666666668</v>
      </c>
      <c r="BA76" s="24">
        <f>IF(AJ76="",0,VLOOKUP(AJ76,[1]BD_CUSTO!I:J,2,0)*AK76/E76)</f>
        <v>256.57687499999997</v>
      </c>
      <c r="BB76" s="24">
        <f>IF(AL76="",0,VLOOKUP(AL76,[1]BD_CUSTO!I:J,2,0)*AM76/E76)</f>
        <v>177.39399999999998</v>
      </c>
      <c r="BC76" s="24">
        <f>IF(AN76="",0,VLOOKUP(AN76,[1]BD_CUSTO!I:J,2,0)*AO76/E76)</f>
        <v>129.49233333333333</v>
      </c>
      <c r="BD76" s="24">
        <f>IF(AP76="",0,VLOOKUP(AP76,[1]BD_CUSTO!I:J,2,0)*AQ76/E76)</f>
        <v>48.229166666666664</v>
      </c>
      <c r="BE76" s="24">
        <f>IF(AR76="",0,VLOOKUP(AR76,CUSTO!I:J,2,0)*AS76/E76)</f>
        <v>33.75</v>
      </c>
      <c r="BF76" s="24">
        <f>IF(AT76="",0,VLOOKUP(AT76,[1]BD_CUSTO!I:J,2,0)*AU76/E76)</f>
        <v>0</v>
      </c>
      <c r="BG76" s="24">
        <f>IF(Tabela13[[#This Row],[LZ 10]]="",0,VLOOKUP(Tabela13[[#This Row],[LZ 10]],[1]BD_CUSTO!I:J,2,0)*Tabela13[[#This Row],[QTD922]]/E76)</f>
        <v>0</v>
      </c>
      <c r="BH76" s="22" t="s">
        <v>112</v>
      </c>
      <c r="BI76" s="25">
        <f>(456+15)/Tabela13[[#This Row],[Nº UNDS]]</f>
        <v>0.98124999999999996</v>
      </c>
      <c r="BJ76" s="22" t="s">
        <v>113</v>
      </c>
      <c r="BK76" s="25">
        <v>0</v>
      </c>
      <c r="BL76" s="24">
        <f>IF(BH76=[1]BD_CUSTO!$M$6,[1]BD_CUSTO!$N$6)*BI76</f>
        <v>2943.75</v>
      </c>
      <c r="BM76" s="24">
        <f>IF(BJ76=[1]BD_CUSTO!$M$4,[1]BD_CUSTO!$N$4,[1]BD_CUSTO!$N$5)*BK76</f>
        <v>0</v>
      </c>
      <c r="BN76" s="22" t="s">
        <v>114</v>
      </c>
      <c r="BO76" s="22">
        <v>590</v>
      </c>
      <c r="BP76" s="25">
        <f>Tabela13[[#This Row],[QTD ]]/Tabela13[[#This Row],[Nº UNDS]]</f>
        <v>1.2291666666666667</v>
      </c>
      <c r="BQ76" s="22" t="s">
        <v>115</v>
      </c>
      <c r="BR76" s="22">
        <v>0</v>
      </c>
      <c r="BS76" s="22" t="s">
        <v>116</v>
      </c>
      <c r="BT76" s="22">
        <v>0</v>
      </c>
      <c r="BU76" s="22" t="s">
        <v>16</v>
      </c>
      <c r="BV76" s="22">
        <v>0</v>
      </c>
      <c r="BW76" s="24">
        <f>IF(BN76=[1]BD_CUSTO!$Q$7,[1]BD_CUSTO!$R$7,[1]BD_CUSTO!$R$8)*BO76/E76</f>
        <v>2458.3333333333335</v>
      </c>
      <c r="BX76" s="24">
        <f>IF(BQ76=[1]BD_CUSTO!$Q$4,[1]BD_CUSTO!$R$4,[1]BD_CUSTO!$R$5)*BR76/E76</f>
        <v>0</v>
      </c>
      <c r="BY76" s="22">
        <f>IF(BS76=[1]BD_CUSTO!$Q$13,[1]BD_CUSTO!$R$13,[1]BD_CUSTO!$R$14)*BT76/E76</f>
        <v>0</v>
      </c>
      <c r="BZ76" s="24">
        <f>BV76*CUSTO!$R$10/E76</f>
        <v>0</v>
      </c>
      <c r="CA76" s="26">
        <f>SUM(Tabela13[[#This Row],[SOMA_PISO SALA E QUARTO]],Tabela13[[#This Row],[SOMA_PAREDE HIDR]],Tabela13[[#This Row],[SOMA_TETO]],Tabela13[[#This Row],[SOMA_BANCADA]],Tabela13[[#This Row],[SOMA_PEDRAS]])</f>
        <v>4290</v>
      </c>
      <c r="CB76" s="27" t="str">
        <f>IF(CA76&lt;=RÉGUAS!$D$4,"ACAB 01",IF(CA76&lt;=RÉGUAS!$F$4,"ACAB 02",IF(CA76&gt;RÉGUAS!$F$4,"ACAB 03",)))</f>
        <v>ACAB 02</v>
      </c>
      <c r="CC76" s="26">
        <f>SUM(Tabela13[[#This Row],[SOMA_LZ 01]:[SOMA_LZ 10]])</f>
        <v>1503.8303333333336</v>
      </c>
      <c r="CD76" s="22" t="str">
        <f>IF(CC76&lt;=RÉGUAS!$D$13,"LZ 01",IF(CC76&lt;=RÉGUAS!$F$13,"LZ 02",IF(CC76&lt;=RÉGUAS!$H$13,"LZ 03",IF(CC76&gt;RÉGUAS!$H$13,"LZ 04",))))</f>
        <v>LZ 02</v>
      </c>
      <c r="CE76" s="28">
        <f t="shared" si="8"/>
        <v>2943.75</v>
      </c>
      <c r="CF76" s="22" t="str">
        <f>IF(CE76&lt;=RÉGUAS!$D$22,"TIP 01",IF(CE76&lt;=RÉGUAS!$F$22,"TIP 02",IF(CE76&gt;RÉGUAS!$F$22,"TIP 03",)))</f>
        <v>TIP 02</v>
      </c>
      <c r="CG76" s="28">
        <f t="shared" si="9"/>
        <v>2458.3333333333335</v>
      </c>
      <c r="CH76" s="22" t="str">
        <f>IF(CG76&lt;=RÉGUAS!$D$32,"VAGA 01",IF(CG76&lt;=RÉGUAS!$F$32,"VAGA 02",IF(CG76&gt;RÉGUAS!$F$32,"VAGA 03",)))</f>
        <v>VAGA 02</v>
      </c>
      <c r="CI76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4194.75</v>
      </c>
      <c r="CJ76" s="85" t="str">
        <f>IF(AND(G76="BLOCO",CI76&lt;=RÉGUAS!$D$40),"ELEV 01",IF(AND(G76="BLOCO",CI76&gt;RÉGUAS!$D$40),"ELEV 02",IF(AND(G76="TORRE",CI76&lt;=RÉGUAS!$K$40),"ELEV 01",IF(AND(G76="TORRE",CI76&lt;=RÉGUAS!$M$40),"ELEV 02",IF(AND(G76="TORRE",CI76&gt;RÉGUAS!$M$40),"ELEV 03",)))))</f>
        <v>ELEV 03</v>
      </c>
      <c r="CK76" s="85">
        <f>SUM(Tabela13[[#This Row],[TOTAL  ACAB]],Tabela13[[#This Row],[TOTAL LAZER ]],Tabela13[[#This Row],[TOTAL TIPOLOGIA]],Tabela13[[#This Row],[TOTAL VAGA]],Tabela13[[#This Row],[TOTAL ELEVADOR]])</f>
        <v>15390.663666666667</v>
      </c>
      <c r="CL76" s="72" t="str">
        <f>IF(AND(G76="BLOCO",CK76&lt;=RÉGUAS!$D$50),"ESSENCIAL",IF(AND(G76="BLOCO",CK76&lt;=RÉGUAS!$F$50),"ECO",IF(AND(G76="BLOCO",CK76&gt;RÉGUAS!$F$50),"BIO",IF(AND(G76="TORRE",CK76&lt;=RÉGUAS!$K$50),"ESSENCIAL",IF(AND(G76="TORRE",CK76&lt;=RÉGUAS!$M$50),"ECO",IF(AND(G76="TORRE",CK76&gt;RÉGUAS!$M$50),"BIO",))))))</f>
        <v>BIO</v>
      </c>
      <c r="CM76" s="28" t="str">
        <f>IF(AND(G76="BLOCO",CK76&gt;=RÉGUAS!$D$51,CK76&lt;=RÉGUAS!$D$50),"ESSENCIAL-10%",IF(AND(G76="BLOCO",CK76&gt;RÉGUAS!$D$50,CK76&lt;=RÉGUAS!$E$51),"ECO+10%",IF(AND(G76="BLOCO",CK76&gt;=RÉGUAS!$F$51,CK76&lt;=RÉGUAS!$F$50),"ECO-10%",IF(AND(G76="BLOCO",CK76&gt;RÉGUAS!$F$50,CK76&lt;=RÉGUAS!$G$51),"BIO+10%",IF(AND(G76="TORRE",CK76&gt;=RÉGUAS!$K$51,CK76&lt;=RÉGUAS!$K$50),"ESSENCIAL-10%",IF(AND(G76="TORRE",CK76&gt;RÉGUAS!$K$50,CK76&lt;=RÉGUAS!$L$51),"ECO+10%",IF(AND(G76="TORRE",CK76&gt;=RÉGUAS!$M$51,CK76&lt;=RÉGUAS!$M$50),"ECO-10%",IF(AND(G76="TORRE",CK76&gt;RÉGUAS!$M$50,CK76&lt;=RÉGUAS!$N$51),"BIO+10%","-"))))))))</f>
        <v>-</v>
      </c>
      <c r="CN76" s="73">
        <f t="shared" si="10"/>
        <v>11195.913666666667</v>
      </c>
      <c r="CO76" s="72" t="str">
        <f>IF(CN76&lt;=RÉGUAS!$D$58,"ESSENCIAL",IF(CN76&lt;=RÉGUAS!$F$58,"ECO",IF(CN76&gt;RÉGUAS!$F$58,"BIO",)))</f>
        <v>ECO</v>
      </c>
      <c r="CP76" s="72" t="str">
        <f>IF(Tabela13[[#This Row],[INTERVALO DE INTERSEÇÃO 5D]]="-",Tabela13[[#This Row],[CLASSIFICAÇÃO 
5D ]],Tabela13[[#This Row],[CLASSIFICAÇÃO 
4D]])</f>
        <v>BIO</v>
      </c>
      <c r="CQ76" s="72" t="str">
        <f t="shared" si="11"/>
        <v>-</v>
      </c>
      <c r="CR76" s="72" t="str">
        <f t="shared" si="12"/>
        <v>BIO</v>
      </c>
      <c r="CS76" s="22" t="str">
        <f>IF(Tabela13[[#This Row],[PRODUTO ATUAL ]]=Tabela13[[#This Row],[CLASSIFICAÇÃO FINAL 5D]],"ADERÊNTE","NÃO ADERÊNTE")</f>
        <v>NÃO ADERÊNTE</v>
      </c>
      <c r="CT76" s="24">
        <f>SUM(Tabela13[[#This Row],[TOTAL  ACAB]],Tabela13[[#This Row],[TOTAL LAZER ]],Tabela13[[#This Row],[TOTAL TIPOLOGIA]],Tabela13[[#This Row],[TOTAL VAGA]])</f>
        <v>11195.913666666667</v>
      </c>
      <c r="CU76" s="22" t="str">
        <f>IF(CT76&lt;=RÉGUAS!$D$58,"ESSENCIAL",IF(CT76&lt;=RÉGUAS!$F$58,"ECO",IF(CT76&gt;RÉGUAS!$F$58,"BIO",)))</f>
        <v>ECO</v>
      </c>
      <c r="CV76" s="22" t="str">
        <f>IF(AND(CT76&gt;=RÉGUAS!$D$59,CT76&lt;=RÉGUAS!$E$59),"ESSENCIAL/ECO",IF(AND(CT76&gt;=RÉGUAS!$F$59,CT76&lt;=RÉGUAS!$G$59),"ECO/BIO","-"))</f>
        <v>ECO/BIO</v>
      </c>
      <c r="CW76" s="85">
        <f>SUM(Tabela13[[#This Row],[TOTAL LAZER ]],Tabela13[[#This Row],[TOTAL TIPOLOGIA]])</f>
        <v>4447.5803333333333</v>
      </c>
      <c r="CX76" s="22" t="str">
        <f>IF(CW76&lt;=RÉGUAS!$D$72,"ESSENCIAL",IF(CW76&lt;=RÉGUAS!$F$72,"ECO",IF(CN76&gt;RÉGUAS!$F$72,"BIO",)))</f>
        <v>ECO</v>
      </c>
      <c r="CY76" s="22" t="str">
        <f t="shared" si="13"/>
        <v>ECO</v>
      </c>
      <c r="CZ76" s="22" t="str">
        <f>IF(Tabela13[[#This Row],[PRODUTO ATUAL ]]=CY76,"ADERENTE","NÃO ADERENTE")</f>
        <v>ADERENTE</v>
      </c>
      <c r="DA76" s="22" t="str">
        <f>IF(Tabela13[[#This Row],[PRODUTO ATUAL ]]=Tabela13[[#This Row],[CLASSIFICAÇÃO 
4D2]],"ADERENTE","NÃO ADERENTE")</f>
        <v>ADERENTE</v>
      </c>
    </row>
    <row r="77" spans="2:105" hidden="1" x14ac:dyDescent="0.35">
      <c r="B77" s="27">
        <v>52</v>
      </c>
      <c r="C77" s="22" t="s">
        <v>158</v>
      </c>
      <c r="D77" s="22" t="s">
        <v>118</v>
      </c>
      <c r="E77" s="23">
        <v>680</v>
      </c>
      <c r="F77" s="22" t="str">
        <f t="shared" si="7"/>
        <v>Acima de 400 und</v>
      </c>
      <c r="G77" s="22" t="s">
        <v>14</v>
      </c>
      <c r="H77" s="36">
        <v>5</v>
      </c>
      <c r="I77" s="36">
        <v>17</v>
      </c>
      <c r="J77" s="36"/>
      <c r="K77" s="36"/>
      <c r="L77" s="36">
        <f>SUM(Tabela13[[#This Row],[QTD DE B/T 2]],Tabela13[[#This Row],[QTD DE B/T]])</f>
        <v>5</v>
      </c>
      <c r="M77" s="22">
        <v>10</v>
      </c>
      <c r="N77" s="22">
        <f>Tabela13[[#This Row],[ELEVADOR]]/Tabela13[[#This Row],[BLOCO TOTAL]]</f>
        <v>2</v>
      </c>
      <c r="O77" s="22" t="s">
        <v>5</v>
      </c>
      <c r="P77" s="22" t="s">
        <v>101</v>
      </c>
      <c r="Q77" s="22" t="s">
        <v>101</v>
      </c>
      <c r="R77" s="22" t="s">
        <v>142</v>
      </c>
      <c r="S77" s="22" t="s">
        <v>159</v>
      </c>
      <c r="T77" s="22" t="s">
        <v>104</v>
      </c>
      <c r="U77" s="22" t="s">
        <v>105</v>
      </c>
      <c r="V77" s="22" t="s">
        <v>106</v>
      </c>
      <c r="W77" s="24">
        <f>IF(P77=[1]BD_CUSTO!$E$4,[1]BD_CUSTO!$F$4,[1]BD_CUSTO!$F$5)</f>
        <v>2430</v>
      </c>
      <c r="X77" s="24">
        <f>IF(Q77=[1]BD_CUSTO!$E$6,[1]BD_CUSTO!$F$6,[1]BD_CUSTO!$F$7)</f>
        <v>260</v>
      </c>
      <c r="Y77" s="24">
        <f>IF(R77=[1]BD_CUSTO!$E$8,[1]BD_CUSTO!$F$8,[1]BD_CUSTO!$F$9)</f>
        <v>900</v>
      </c>
      <c r="Z77" s="24">
        <f>IF(S77=[1]BD_CUSTO!$E$10,[1]BD_CUSTO!$F$10,[1]BD_CUSTO!$F$11)</f>
        <v>935</v>
      </c>
      <c r="AA77" s="24">
        <f>IF(T77=[1]BD_CUSTO!$E$12,[1]BD_CUSTO!$F$12,[1]BD_CUSTO!$F$13)</f>
        <v>370</v>
      </c>
      <c r="AB77" s="24">
        <f>IF(U77=[1]BD_CUSTO!$E$14,[1]BD_CUSTO!$F$14,[1]BD_CUSTO!$F$15)</f>
        <v>90</v>
      </c>
      <c r="AC77" s="24">
        <f>IF(V77=[1]BD_CUSTO!$E$16,[1]BD_CUSTO!$F$16,[1]BD_CUSTO!$F$17)</f>
        <v>720</v>
      </c>
      <c r="AD77" s="22" t="s">
        <v>109</v>
      </c>
      <c r="AE77" s="22">
        <v>1</v>
      </c>
      <c r="AF77" s="22" t="s">
        <v>121</v>
      </c>
      <c r="AG77" s="22">
        <v>2</v>
      </c>
      <c r="AH77" s="22" t="s">
        <v>107</v>
      </c>
      <c r="AI77" s="22">
        <v>3</v>
      </c>
      <c r="AJ77" s="22" t="s">
        <v>108</v>
      </c>
      <c r="AK77" s="22">
        <v>1</v>
      </c>
      <c r="AL77" s="22" t="s">
        <v>139</v>
      </c>
      <c r="AM77" s="22">
        <v>1</v>
      </c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4">
        <f>IF(AD77="",0,VLOOKUP(AD77,[1]BD_CUSTO!I:J,2,0)*AE77/E77)</f>
        <v>10.220588235294118</v>
      </c>
      <c r="AY77" s="24">
        <f>IF(AF77="",0,VLOOKUP(AF77,[1]BD_CUSTO!I:J,2,0)*AG77/E77)</f>
        <v>362.2261764705882</v>
      </c>
      <c r="AZ77" s="24">
        <f>IF(AH77="",0,VLOOKUP(AH77,[1]BD_CUSTO!I:J,2,0)*AI77/E77)</f>
        <v>375.65788235294116</v>
      </c>
      <c r="BA77" s="24">
        <f>IF(AJ77="",0,VLOOKUP(AJ77,[1]BD_CUSTO!I:J,2,0)*AK77/E77)</f>
        <v>34.044117647058826</v>
      </c>
      <c r="BB77" s="24">
        <f>IF(AL77="",0,VLOOKUP(AL77,[1]BD_CUSTO!I:J,2,0)*AM77/E77)</f>
        <v>91.406352941176465</v>
      </c>
      <c r="BC77" s="24">
        <f>IF(AN77="",0,VLOOKUP(AN77,[1]BD_CUSTO!I:J,2,0)*AO77/E77)</f>
        <v>0</v>
      </c>
      <c r="BD77" s="24">
        <f>IF(AP77="",0,VLOOKUP(AP77,[1]BD_CUSTO!I:J,2,0)*AQ77/E77)</f>
        <v>0</v>
      </c>
      <c r="BE77" s="24">
        <f>IF(AR77="",0,VLOOKUP(AR77,CUSTO!I:J,2,0)*AS77/E77)</f>
        <v>0</v>
      </c>
      <c r="BF77" s="24">
        <f>IF(AT77="",0,VLOOKUP(AT77,[1]BD_CUSTO!I:J,2,0)*AU77/E77)</f>
        <v>0</v>
      </c>
      <c r="BG77" s="24">
        <f>IF(Tabela13[[#This Row],[LZ 10]]="",0,VLOOKUP(Tabela13[[#This Row],[LZ 10]],[1]BD_CUSTO!I:J,2,0)*Tabela13[[#This Row],[QTD922]]/E77)</f>
        <v>0</v>
      </c>
      <c r="BH77" s="22" t="s">
        <v>122</v>
      </c>
      <c r="BI77" s="25">
        <v>0</v>
      </c>
      <c r="BJ77" s="22" t="s">
        <v>113</v>
      </c>
      <c r="BK77" s="25">
        <v>0</v>
      </c>
      <c r="BL77" s="24">
        <f>IF(BH77=[1]BD_CUSTO!$M$6,[1]BD_CUSTO!$N$6)*BI77</f>
        <v>0</v>
      </c>
      <c r="BM77" s="24">
        <f>IF(BJ77=[1]BD_CUSTO!$M$4,[1]BD_CUSTO!$N$4,[1]BD_CUSTO!$N$5)*BK77</f>
        <v>0</v>
      </c>
      <c r="BN77" s="22" t="s">
        <v>114</v>
      </c>
      <c r="BO77" s="22">
        <f>133+5</f>
        <v>138</v>
      </c>
      <c r="BP77" s="25">
        <f>Tabela13[[#This Row],[QTD ]]/Tabela13[[#This Row],[Nº UNDS]]</f>
        <v>0.20294117647058824</v>
      </c>
      <c r="BQ77" s="22"/>
      <c r="BR77" s="22"/>
      <c r="BS77" s="22" t="s">
        <v>116</v>
      </c>
      <c r="BT77" s="22">
        <v>0</v>
      </c>
      <c r="BU77" s="22" t="s">
        <v>222</v>
      </c>
      <c r="BV77" s="22">
        <v>171</v>
      </c>
      <c r="BW77" s="24">
        <f>IF(BN77=[1]BD_CUSTO!$Q$7,[1]BD_CUSTO!$R$7,[1]BD_CUSTO!$R$8)*BO77/E77</f>
        <v>405.88235294117646</v>
      </c>
      <c r="BX77" s="24">
        <f>IF(BQ77=[1]BD_CUSTO!$Q$4,[1]BD_CUSTO!$R$4,[1]BD_CUSTO!$R$5)*BR77/E77</f>
        <v>0</v>
      </c>
      <c r="BY77" s="22">
        <f>IF(BS77=[1]BD_CUSTO!$Q$13,[1]BD_CUSTO!$R$13,[1]BD_CUSTO!$R$14)*BT77/E77</f>
        <v>0</v>
      </c>
      <c r="BZ77" s="24">
        <f>BV77*CUSTO!$R$10/E77</f>
        <v>3772.0588235294117</v>
      </c>
      <c r="CA77" s="26">
        <f>SUM(Tabela13[[#This Row],[SOMA_PISO SALA E QUARTO]],Tabela13[[#This Row],[SOMA_PAREDE HIDR]],Tabela13[[#This Row],[SOMA_TETO]],Tabela13[[#This Row],[SOMA_BANCADA]],Tabela13[[#This Row],[SOMA_PEDRAS]])</f>
        <v>4725</v>
      </c>
      <c r="CB77" s="27" t="str">
        <f>IF(CA77&lt;=RÉGUAS!$D$4,"ACAB 01",IF(CA77&lt;=RÉGUAS!$F$4,"ACAB 02",IF(CA77&gt;RÉGUAS!$F$4,"ACAB 03",)))</f>
        <v>ACAB 03</v>
      </c>
      <c r="CC77" s="26">
        <f>SUM(Tabela13[[#This Row],[SOMA_LZ 01]:[SOMA_LZ 10]])</f>
        <v>873.55511764705875</v>
      </c>
      <c r="CD77" s="22" t="str">
        <f>IF(CC77&lt;=RÉGUAS!$D$13,"LZ 01",IF(CC77&lt;=RÉGUAS!$F$13,"LZ 02",IF(CC77&lt;=RÉGUAS!$H$13,"LZ 03",IF(CC77&gt;RÉGUAS!$H$13,"LZ 04",))))</f>
        <v>LZ 02</v>
      </c>
      <c r="CE77" s="28">
        <f t="shared" si="8"/>
        <v>0</v>
      </c>
      <c r="CF77" s="22" t="str">
        <f>IF(CE77&lt;=RÉGUAS!$D$22,"TIP 01",IF(CE77&lt;=RÉGUAS!$F$22,"TIP 02",IF(CE77&gt;RÉGUAS!$F$22,"TIP 03",)))</f>
        <v>TIP 01</v>
      </c>
      <c r="CG77" s="28">
        <f t="shared" si="9"/>
        <v>4177.9411764705883</v>
      </c>
      <c r="CH77" s="22" t="str">
        <f>IF(CG77&lt;=RÉGUAS!$D$32,"VAGA 01",IF(CG77&lt;=RÉGUAS!$F$32,"VAGA 02",IF(CG77&gt;RÉGUAS!$F$32,"VAGA 03",)))</f>
        <v>VAGA 03</v>
      </c>
      <c r="CI77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4194.75</v>
      </c>
      <c r="CJ77" s="85" t="str">
        <f>IF(AND(G77="BLOCO",CI77&lt;=RÉGUAS!$D$40),"ELEV 01",IF(AND(G77="BLOCO",CI77&gt;RÉGUAS!$D$40),"ELEV 02",IF(AND(G77="TORRE",CI77&lt;=RÉGUAS!$K$40),"ELEV 01",IF(AND(G77="TORRE",CI77&lt;=RÉGUAS!$M$40),"ELEV 02",IF(AND(G77="TORRE",CI77&gt;RÉGUAS!$M$40),"ELEV 03",)))))</f>
        <v>ELEV 03</v>
      </c>
      <c r="CK77" s="85">
        <f>SUM(Tabela13[[#This Row],[TOTAL  ACAB]],Tabela13[[#This Row],[TOTAL LAZER ]],Tabela13[[#This Row],[TOTAL TIPOLOGIA]],Tabela13[[#This Row],[TOTAL VAGA]],Tabela13[[#This Row],[TOTAL ELEVADOR]])</f>
        <v>13971.246294117647</v>
      </c>
      <c r="CL77" s="72" t="str">
        <f>IF(AND(G77="BLOCO",CK77&lt;=RÉGUAS!$D$50),"ESSENCIAL",IF(AND(G77="BLOCO",CK77&lt;=RÉGUAS!$F$50),"ECO",IF(AND(G77="BLOCO",CK77&gt;RÉGUAS!$F$50),"BIO",IF(AND(G77="TORRE",CK77&lt;=RÉGUAS!$K$50),"ESSENCIAL",IF(AND(G77="TORRE",CK77&lt;=RÉGUAS!$M$50),"ECO",IF(AND(G77="TORRE",CK77&gt;RÉGUAS!$M$50),"BIO",))))))</f>
        <v>BIO</v>
      </c>
      <c r="CM77" s="28" t="str">
        <f>IF(AND(G77="BLOCO",CK77&gt;=RÉGUAS!$D$51,CK77&lt;=RÉGUAS!$D$50),"ESSENCIAL-10%",IF(AND(G77="BLOCO",CK77&gt;RÉGUAS!$D$50,CK77&lt;=RÉGUAS!$E$51),"ECO+10%",IF(AND(G77="BLOCO",CK77&gt;=RÉGUAS!$F$51,CK77&lt;=RÉGUAS!$F$50),"ECO-10%",IF(AND(G77="BLOCO",CK77&gt;RÉGUAS!$F$50,CK77&lt;=RÉGUAS!$G$51),"BIO+10%",IF(AND(G77="TORRE",CK77&gt;=RÉGUAS!$K$51,CK77&lt;=RÉGUAS!$K$50),"ESSENCIAL-10%",IF(AND(G77="TORRE",CK77&gt;RÉGUAS!$K$50,CK77&lt;=RÉGUAS!$L$51),"ECO+10%",IF(AND(G77="TORRE",CK77&gt;=RÉGUAS!$M$51,CK77&lt;=RÉGUAS!$M$50),"ECO-10%",IF(AND(G77="TORRE",CK77&gt;RÉGUAS!$M$50,CK77&lt;=RÉGUAS!$N$51),"BIO+10%","-"))))))))</f>
        <v>BIO+10%</v>
      </c>
      <c r="CN77" s="73">
        <f t="shared" si="10"/>
        <v>9776.4962941176473</v>
      </c>
      <c r="CO77" s="72" t="str">
        <f>IF(CN77&lt;=RÉGUAS!$D$58,"ESSENCIAL",IF(CN77&lt;=RÉGUAS!$F$58,"ECO",IF(CN77&gt;RÉGUAS!$F$58,"BIO",)))</f>
        <v>ECO</v>
      </c>
      <c r="CP77" s="72" t="str">
        <f>IF(Tabela13[[#This Row],[INTERVALO DE INTERSEÇÃO 5D]]="-",Tabela13[[#This Row],[CLASSIFICAÇÃO 
5D ]],Tabela13[[#This Row],[CLASSIFICAÇÃO 
4D]])</f>
        <v>ECO</v>
      </c>
      <c r="CQ77" s="72" t="str">
        <f t="shared" si="11"/>
        <v>-</v>
      </c>
      <c r="CR77" s="72" t="str">
        <f t="shared" si="12"/>
        <v>ECO</v>
      </c>
      <c r="CS77" s="22" t="str">
        <f>IF(Tabela13[[#This Row],[PRODUTO ATUAL ]]=Tabela13[[#This Row],[CLASSIFICAÇÃO FINAL 5D]],"ADERÊNTE","NÃO ADERÊNTE")</f>
        <v>ADERÊNTE</v>
      </c>
      <c r="CT77" s="24">
        <f>SUM(Tabela13[[#This Row],[TOTAL  ACAB]],Tabela13[[#This Row],[TOTAL LAZER ]],Tabela13[[#This Row],[TOTAL TIPOLOGIA]],Tabela13[[#This Row],[TOTAL VAGA]])</f>
        <v>9776.4962941176473</v>
      </c>
      <c r="CU77" s="22" t="str">
        <f>IF(CT77&lt;=RÉGUAS!$D$58,"ESSENCIAL",IF(CT77&lt;=RÉGUAS!$F$58,"ECO",IF(CT77&gt;RÉGUAS!$F$58,"BIO",)))</f>
        <v>ECO</v>
      </c>
      <c r="CV77" s="22" t="str">
        <f>IF(AND(CT77&gt;=RÉGUAS!$D$59,CT77&lt;=RÉGUAS!$E$59),"ESSENCIAL/ECO",IF(AND(CT77&gt;=RÉGUAS!$F$59,CT77&lt;=RÉGUAS!$G$59),"ECO/BIO","-"))</f>
        <v>-</v>
      </c>
      <c r="CW77" s="85">
        <f>SUM(Tabela13[[#This Row],[TOTAL LAZER ]],Tabela13[[#This Row],[TOTAL TIPOLOGIA]])</f>
        <v>873.55511764705875</v>
      </c>
      <c r="CX77" s="22" t="str">
        <f>IF(CW77&lt;=RÉGUAS!$D$72,"ESSENCIAL",IF(CW77&lt;=RÉGUAS!$F$72,"ECO",IF(CN77&gt;RÉGUAS!$F$72,"BIO",)))</f>
        <v>ESSENCIAL</v>
      </c>
      <c r="CY77" s="22" t="str">
        <f t="shared" si="13"/>
        <v>ECO</v>
      </c>
      <c r="CZ77" s="22" t="str">
        <f>IF(Tabela13[[#This Row],[PRODUTO ATUAL ]]=CY77,"ADERENTE","NÃO ADERENTE")</f>
        <v>ADERENTE</v>
      </c>
      <c r="DA77" s="22" t="str">
        <f>IF(Tabela13[[#This Row],[PRODUTO ATUAL ]]=Tabela13[[#This Row],[CLASSIFICAÇÃO 
4D2]],"ADERENTE","NÃO ADERENTE")</f>
        <v>ADERENTE</v>
      </c>
    </row>
    <row r="78" spans="2:105" hidden="1" x14ac:dyDescent="0.35">
      <c r="B78" s="27">
        <v>83</v>
      </c>
      <c r="C78" s="22" t="s">
        <v>234</v>
      </c>
      <c r="D78" s="22" t="s">
        <v>128</v>
      </c>
      <c r="E78" s="23">
        <v>384</v>
      </c>
      <c r="F78" s="22" t="str">
        <f t="shared" si="7"/>
        <v>De 200 a 400 und</v>
      </c>
      <c r="G78" s="22" t="s">
        <v>14</v>
      </c>
      <c r="H78" s="36">
        <v>2</v>
      </c>
      <c r="I78" s="36">
        <v>16</v>
      </c>
      <c r="J78" s="36"/>
      <c r="K78" s="36"/>
      <c r="L78" s="36">
        <f>SUM(Tabela13[[#This Row],[QTD DE B/T 2]],Tabela13[[#This Row],[QTD DE B/T]])</f>
        <v>2</v>
      </c>
      <c r="M78" s="22">
        <v>6</v>
      </c>
      <c r="N78" s="22">
        <f>Tabela13[[#This Row],[ELEVADOR]]/Tabela13[[#This Row],[BLOCO TOTAL]]</f>
        <v>3</v>
      </c>
      <c r="O78" s="22" t="s">
        <v>5</v>
      </c>
      <c r="P78" s="22" t="s">
        <v>101</v>
      </c>
      <c r="Q78" s="22" t="s">
        <v>101</v>
      </c>
      <c r="R78" s="22" t="s">
        <v>142</v>
      </c>
      <c r="S78" s="22" t="s">
        <v>103</v>
      </c>
      <c r="T78" s="22" t="s">
        <v>173</v>
      </c>
      <c r="U78" s="22" t="s">
        <v>105</v>
      </c>
      <c r="V78" s="22" t="s">
        <v>106</v>
      </c>
      <c r="W78" s="24">
        <f>IF(P78=[1]BD_CUSTO!$E$4,[1]BD_CUSTO!$F$4,[1]BD_CUSTO!$F$5)</f>
        <v>2430</v>
      </c>
      <c r="X78" s="24">
        <f>IF(Q78=[1]BD_CUSTO!$E$6,[1]BD_CUSTO!$F$6,[1]BD_CUSTO!$F$7)</f>
        <v>260</v>
      </c>
      <c r="Y78" s="24">
        <f>IF(R78=[1]BD_CUSTO!$E$8,[1]BD_CUSTO!$F$8,[1]BD_CUSTO!$F$9)</f>
        <v>900</v>
      </c>
      <c r="Z78" s="24">
        <f>IF(S78=[1]BD_CUSTO!$E$10,[1]BD_CUSTO!$F$10,[1]BD_CUSTO!$F$11)</f>
        <v>500</v>
      </c>
      <c r="AA78" s="24">
        <f>IF(T78=[1]BD_CUSTO!$E$12,[1]BD_CUSTO!$F$12,[1]BD_CUSTO!$F$13)</f>
        <v>930</v>
      </c>
      <c r="AB78" s="24">
        <f>IF(U78=[1]BD_CUSTO!$E$14,[1]BD_CUSTO!$F$14,[1]BD_CUSTO!$F$15)</f>
        <v>90</v>
      </c>
      <c r="AC78" s="24">
        <f>IF(V78=[1]BD_CUSTO!$E$16,[1]BD_CUSTO!$F$16,[1]BD_CUSTO!$F$17)</f>
        <v>720</v>
      </c>
      <c r="AD78" s="22" t="s">
        <v>110</v>
      </c>
      <c r="AE78" s="22">
        <v>1</v>
      </c>
      <c r="AF78" s="22" t="s">
        <v>126</v>
      </c>
      <c r="AG78" s="22">
        <v>1</v>
      </c>
      <c r="AH78" s="22" t="s">
        <v>107</v>
      </c>
      <c r="AI78" s="22">
        <v>1</v>
      </c>
      <c r="AJ78" s="22" t="s">
        <v>111</v>
      </c>
      <c r="AK78" s="22">
        <v>1</v>
      </c>
      <c r="AL78" s="22" t="s">
        <v>108</v>
      </c>
      <c r="AM78" s="22">
        <v>1</v>
      </c>
      <c r="AN78" s="22" t="s">
        <v>129</v>
      </c>
      <c r="AO78" s="22">
        <v>1</v>
      </c>
      <c r="AP78" s="22"/>
      <c r="AQ78" s="22"/>
      <c r="AR78" s="22"/>
      <c r="AS78" s="22"/>
      <c r="AT78" s="22"/>
      <c r="AU78" s="22"/>
      <c r="AV78" s="22"/>
      <c r="AW78" s="22"/>
      <c r="AX78" s="24">
        <f>IF(AD78="",0,VLOOKUP(AD78,[1]BD_CUSTO!I:J,2,0)*AE78/E78)</f>
        <v>13.802083333333334</v>
      </c>
      <c r="AY78" s="24">
        <f>IF(AF78="",0,VLOOKUP(AF78,[1]BD_CUSTO!I:J,2,0)*AG78/E78)</f>
        <v>19.6875</v>
      </c>
      <c r="AZ78" s="24">
        <f>IF(AH78="",0,VLOOKUP(AH78,[1]BD_CUSTO!I:J,2,0)*AI78/E78)</f>
        <v>221.74249999999998</v>
      </c>
      <c r="BA78" s="24">
        <f>IF(AJ78="",0,VLOOKUP(AJ78,[1]BD_CUSTO!I:J,2,0)*AK78/E78)</f>
        <v>42.1875</v>
      </c>
      <c r="BB78" s="24">
        <f>IF(AL78="",0,VLOOKUP(AL78,[1]BD_CUSTO!I:J,2,0)*AM78/E78)</f>
        <v>60.286458333333336</v>
      </c>
      <c r="BC78" s="24">
        <f>IF(AN78="",0,VLOOKUP(AN78,[1]BD_CUSTO!I:J,2,0)*AO78/E78)</f>
        <v>716.58223958333338</v>
      </c>
      <c r="BD78" s="24">
        <f>IF(AP78="",0,VLOOKUP(AP78,[1]BD_CUSTO!I:J,2,0)*AQ78/E78)</f>
        <v>0</v>
      </c>
      <c r="BE78" s="24">
        <f>IF(AR78="",0,VLOOKUP(AR78,CUSTO!I:J,2,0)*AS78/E78)</f>
        <v>0</v>
      </c>
      <c r="BF78" s="24">
        <f>IF(AT78="",0,VLOOKUP(AT78,[1]BD_CUSTO!I:J,2,0)*AU78/E78)</f>
        <v>0</v>
      </c>
      <c r="BG78" s="24">
        <f>IF(Tabela13[[#This Row],[LZ 10]]="",0,VLOOKUP(Tabela13[[#This Row],[LZ 10]],[1]BD_CUSTO!I:J,2,0)*Tabela13[[#This Row],[QTD922]]/E78)</f>
        <v>0</v>
      </c>
      <c r="BH78" s="22" t="s">
        <v>112</v>
      </c>
      <c r="BI78" s="25">
        <f>240/Tabela13[[#This Row],[Nº UNDS]]</f>
        <v>0.625</v>
      </c>
      <c r="BJ78" s="22" t="s">
        <v>113</v>
      </c>
      <c r="BK78" s="25">
        <v>0</v>
      </c>
      <c r="BL78" s="24">
        <f>IF(BH78=[1]BD_CUSTO!$M$6,[1]BD_CUSTO!$N$6)*BI78</f>
        <v>1875</v>
      </c>
      <c r="BM78" s="24">
        <f>IF(BJ78=[1]BD_CUSTO!$M$4,[1]BD_CUSTO!$N$4,[1]BD_CUSTO!$N$5)*BK78</f>
        <v>0</v>
      </c>
      <c r="BN78" s="22" t="s">
        <v>114</v>
      </c>
      <c r="BO78" s="22">
        <v>111</v>
      </c>
      <c r="BP78" s="25">
        <f>Tabela13[[#This Row],[QTD ]]/Tabela13[[#This Row],[Nº UNDS]]</f>
        <v>0.2890625</v>
      </c>
      <c r="BQ78" s="22" t="s">
        <v>115</v>
      </c>
      <c r="BR78" s="22">
        <v>0</v>
      </c>
      <c r="BS78" s="22" t="s">
        <v>116</v>
      </c>
      <c r="BT78" s="22">
        <v>0</v>
      </c>
      <c r="BU78" s="22" t="s">
        <v>16</v>
      </c>
      <c r="BV78" s="22">
        <v>0</v>
      </c>
      <c r="BW78" s="24">
        <f>IF(BN78=[1]BD_CUSTO!$Q$7,[1]BD_CUSTO!$R$7,[1]BD_CUSTO!$R$8)*BO78/E78</f>
        <v>578.125</v>
      </c>
      <c r="BX78" s="24">
        <f>IF(BQ78=[1]BD_CUSTO!$Q$4,[1]BD_CUSTO!$R$4,[1]BD_CUSTO!$R$5)*BR78/E78</f>
        <v>0</v>
      </c>
      <c r="BY78" s="22">
        <f>IF(BS78=[1]BD_CUSTO!$Q$13,[1]BD_CUSTO!$R$13,[1]BD_CUSTO!$R$14)*BT78/E78</f>
        <v>0</v>
      </c>
      <c r="BZ78" s="24">
        <f>BV78*CUSTO!$R$10/E78</f>
        <v>0</v>
      </c>
      <c r="CA78" s="26">
        <f>SUM(Tabela13[[#This Row],[SOMA_PISO SALA E QUARTO]],Tabela13[[#This Row],[SOMA_PAREDE HIDR]],Tabela13[[#This Row],[SOMA_TETO]],Tabela13[[#This Row],[SOMA_BANCADA]],Tabela13[[#This Row],[SOMA_PEDRAS]])</f>
        <v>4850</v>
      </c>
      <c r="CB78" s="27" t="str">
        <f>IF(CA78&lt;=RÉGUAS!$D$4,"ACAB 01",IF(CA78&lt;=RÉGUAS!$F$4,"ACAB 02",IF(CA78&gt;RÉGUAS!$F$4,"ACAB 03",)))</f>
        <v>ACAB 03</v>
      </c>
      <c r="CC78" s="26">
        <f>SUM(Tabela13[[#This Row],[SOMA_LZ 01]:[SOMA_LZ 10]])</f>
        <v>1074.28828125</v>
      </c>
      <c r="CD78" s="22" t="str">
        <f>IF(CC78&lt;=RÉGUAS!$D$13,"LZ 01",IF(CC78&lt;=RÉGUAS!$F$13,"LZ 02",IF(CC78&lt;=RÉGUAS!$H$13,"LZ 03",IF(CC78&gt;RÉGUAS!$H$13,"LZ 04",))))</f>
        <v>LZ 02</v>
      </c>
      <c r="CE78" s="28">
        <f t="shared" si="8"/>
        <v>1875</v>
      </c>
      <c r="CF78" s="22" t="str">
        <f>IF(CE78&lt;=RÉGUAS!$D$22,"TIP 01",IF(CE78&lt;=RÉGUAS!$F$22,"TIP 02",IF(CE78&gt;RÉGUAS!$F$22,"TIP 03",)))</f>
        <v>TIP 02</v>
      </c>
      <c r="CG78" s="28">
        <f t="shared" si="9"/>
        <v>578.125</v>
      </c>
      <c r="CH78" s="22" t="str">
        <f>IF(CG78&lt;=RÉGUAS!$D$32,"VAGA 01",IF(CG78&lt;=RÉGUAS!$F$32,"VAGA 02",IF(CG78&gt;RÉGUAS!$F$32,"VAGA 03",)))</f>
        <v>VAGA 01</v>
      </c>
      <c r="CI78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4194.75</v>
      </c>
      <c r="CJ78" s="85" t="str">
        <f>IF(AND(G78="BLOCO",CI78&lt;=RÉGUAS!$D$40),"ELEV 01",IF(AND(G78="BLOCO",CI78&gt;RÉGUAS!$D$40),"ELEV 02",IF(AND(G78="TORRE",CI78&lt;=RÉGUAS!$K$40),"ELEV 01",IF(AND(G78="TORRE",CI78&lt;=RÉGUAS!$M$40),"ELEV 02",IF(AND(G78="TORRE",CI78&gt;RÉGUAS!$M$40),"ELEV 03",)))))</f>
        <v>ELEV 03</v>
      </c>
      <c r="CK78" s="85">
        <f>SUM(Tabela13[[#This Row],[TOTAL  ACAB]],Tabela13[[#This Row],[TOTAL LAZER ]],Tabela13[[#This Row],[TOTAL TIPOLOGIA]],Tabela13[[#This Row],[TOTAL VAGA]],Tabela13[[#This Row],[TOTAL ELEVADOR]])</f>
        <v>12572.163281249999</v>
      </c>
      <c r="CL78" s="72" t="str">
        <f>IF(AND(G78="BLOCO",CK78&lt;=RÉGUAS!$D$50),"ESSENCIAL",IF(AND(G78="BLOCO",CK78&lt;=RÉGUAS!$F$50),"ECO",IF(AND(G78="BLOCO",CK78&gt;RÉGUAS!$F$50),"BIO",IF(AND(G78="TORRE",CK78&lt;=RÉGUAS!$K$50),"ESSENCIAL",IF(AND(G78="TORRE",CK78&lt;=RÉGUAS!$M$50),"ECO",IF(AND(G78="TORRE",CK78&gt;RÉGUAS!$M$50),"BIO",))))))</f>
        <v>ECO</v>
      </c>
      <c r="CM78" s="28" t="str">
        <f>IF(AND(G78="BLOCO",CK78&gt;=RÉGUAS!$D$51,CK78&lt;=RÉGUAS!$D$50),"ESSENCIAL-10%",IF(AND(G78="BLOCO",CK78&gt;RÉGUAS!$D$50,CK78&lt;=RÉGUAS!$E$51),"ECO+10%",IF(AND(G78="BLOCO",CK78&gt;=RÉGUAS!$F$51,CK78&lt;=RÉGUAS!$F$50),"ECO-10%",IF(AND(G78="BLOCO",CK78&gt;RÉGUAS!$F$50,CK78&lt;=RÉGUAS!$G$51),"BIO+10%",IF(AND(G78="TORRE",CK78&gt;=RÉGUAS!$K$51,CK78&lt;=RÉGUAS!$K$50),"ESSENCIAL-10%",IF(AND(G78="TORRE",CK78&gt;RÉGUAS!$K$50,CK78&lt;=RÉGUAS!$L$51),"ECO+10%",IF(AND(G78="TORRE",CK78&gt;=RÉGUAS!$M$51,CK78&lt;=RÉGUAS!$M$50),"ECO-10%",IF(AND(G78="TORRE",CK78&gt;RÉGUAS!$M$50,CK78&lt;=RÉGUAS!$N$51),"BIO+10%","-"))))))))</f>
        <v>ECO-10%</v>
      </c>
      <c r="CN78" s="73">
        <f t="shared" si="10"/>
        <v>8377.4132812499993</v>
      </c>
      <c r="CO78" s="72" t="str">
        <f>IF(CN78&lt;=RÉGUAS!$D$58,"ESSENCIAL",IF(CN78&lt;=RÉGUAS!$F$58,"ECO",IF(CN78&gt;RÉGUAS!$F$58,"BIO",)))</f>
        <v>ECO</v>
      </c>
      <c r="CP78" s="72" t="str">
        <f>IF(Tabela13[[#This Row],[INTERVALO DE INTERSEÇÃO 5D]]="-",Tabela13[[#This Row],[CLASSIFICAÇÃO 
5D ]],Tabela13[[#This Row],[CLASSIFICAÇÃO 
4D]])</f>
        <v>ECO</v>
      </c>
      <c r="CQ78" s="72" t="str">
        <f t="shared" si="11"/>
        <v>-</v>
      </c>
      <c r="CR78" s="72" t="str">
        <f t="shared" si="12"/>
        <v>ECO</v>
      </c>
      <c r="CS78" s="22" t="str">
        <f>IF(Tabela13[[#This Row],[PRODUTO ATUAL ]]=Tabela13[[#This Row],[CLASSIFICAÇÃO FINAL 5D]],"ADERÊNTE","NÃO ADERÊNTE")</f>
        <v>ADERÊNTE</v>
      </c>
      <c r="CT78" s="24">
        <f>SUM(Tabela13[[#This Row],[TOTAL  ACAB]],Tabela13[[#This Row],[TOTAL LAZER ]],Tabela13[[#This Row],[TOTAL TIPOLOGIA]],Tabela13[[#This Row],[TOTAL VAGA]])</f>
        <v>8377.4132812499993</v>
      </c>
      <c r="CU78" s="22" t="str">
        <f>IF(CT78&lt;=RÉGUAS!$D$58,"ESSENCIAL",IF(CT78&lt;=RÉGUAS!$F$58,"ECO",IF(CT78&gt;RÉGUAS!$F$58,"BIO",)))</f>
        <v>ECO</v>
      </c>
      <c r="CV78" s="22" t="str">
        <f>IF(AND(CT78&gt;=RÉGUAS!$D$59,CT78&lt;=RÉGUAS!$E$59),"ESSENCIAL/ECO",IF(AND(CT78&gt;=RÉGUAS!$F$59,CT78&lt;=RÉGUAS!$G$59),"ECO/BIO","-"))</f>
        <v>-</v>
      </c>
      <c r="CW78" s="85">
        <f>SUM(Tabela13[[#This Row],[TOTAL LAZER ]],Tabela13[[#This Row],[TOTAL TIPOLOGIA]])</f>
        <v>2949.2882812500002</v>
      </c>
      <c r="CX78" s="22" t="str">
        <f>IF(CW78&lt;=RÉGUAS!$D$72,"ESSENCIAL",IF(CW78&lt;=RÉGUAS!$F$72,"ECO",IF(CN78&gt;RÉGUAS!$F$72,"BIO",)))</f>
        <v>ECO</v>
      </c>
      <c r="CY78" s="22" t="str">
        <f t="shared" si="13"/>
        <v>ECO</v>
      </c>
      <c r="CZ78" s="22" t="str">
        <f>IF(Tabela13[[#This Row],[PRODUTO ATUAL ]]=CY78,"ADERENTE","NÃO ADERENTE")</f>
        <v>ADERENTE</v>
      </c>
      <c r="DA78" s="22" t="str">
        <f>IF(Tabela13[[#This Row],[PRODUTO ATUAL ]]=Tabela13[[#This Row],[CLASSIFICAÇÃO 
4D2]],"ADERENTE","NÃO ADERENTE")</f>
        <v>ADERENTE</v>
      </c>
    </row>
    <row r="79" spans="2:105" hidden="1" x14ac:dyDescent="0.35">
      <c r="B79" s="27">
        <v>69</v>
      </c>
      <c r="C79" s="22" t="s">
        <v>176</v>
      </c>
      <c r="D79" s="22" t="s">
        <v>131</v>
      </c>
      <c r="E79" s="134">
        <v>612</v>
      </c>
      <c r="F79" s="22" t="str">
        <f t="shared" si="7"/>
        <v>Acima de 400 und</v>
      </c>
      <c r="G79" s="133" t="s">
        <v>14</v>
      </c>
      <c r="H79" s="135">
        <v>3</v>
      </c>
      <c r="I79" s="135">
        <v>17</v>
      </c>
      <c r="J79" s="36"/>
      <c r="K79" s="36"/>
      <c r="L79" s="36">
        <f>SUM(Tabela13[[#This Row],[QTD DE B/T 2]],Tabela13[[#This Row],[QTD DE B/T]])</f>
        <v>3</v>
      </c>
      <c r="M79" s="22">
        <v>12</v>
      </c>
      <c r="N79" s="22">
        <f>Tabela13[[#This Row],[ELEVADOR]]/Tabela13[[#This Row],[BLOCO TOTAL]]</f>
        <v>4</v>
      </c>
      <c r="O79" s="22" t="s">
        <v>5</v>
      </c>
      <c r="P79" s="22" t="s">
        <v>101</v>
      </c>
      <c r="Q79" s="22" t="s">
        <v>101</v>
      </c>
      <c r="R79" s="22" t="s">
        <v>142</v>
      </c>
      <c r="S79" s="22" t="s">
        <v>103</v>
      </c>
      <c r="T79" s="22" t="s">
        <v>173</v>
      </c>
      <c r="U79" s="22" t="s">
        <v>105</v>
      </c>
      <c r="V79" s="22" t="s">
        <v>106</v>
      </c>
      <c r="W79" s="24">
        <f>IF(P79=[1]BD_CUSTO!$E$4,[1]BD_CUSTO!$F$4,[1]BD_CUSTO!$F$5)</f>
        <v>2430</v>
      </c>
      <c r="X79" s="24">
        <f>IF(Q79=[1]BD_CUSTO!$E$6,[1]BD_CUSTO!$F$6,[1]BD_CUSTO!$F$7)</f>
        <v>260</v>
      </c>
      <c r="Y79" s="24">
        <f>IF(R79=[1]BD_CUSTO!$E$8,[1]BD_CUSTO!$F$8,[1]BD_CUSTO!$F$9)</f>
        <v>900</v>
      </c>
      <c r="Z79" s="24">
        <f>IF(S79=[1]BD_CUSTO!$E$10,[1]BD_CUSTO!$F$10,[1]BD_CUSTO!$F$11)</f>
        <v>500</v>
      </c>
      <c r="AA79" s="24">
        <f>IF(T79=[1]BD_CUSTO!$E$12,[1]BD_CUSTO!$F$12,[1]BD_CUSTO!$F$13)</f>
        <v>930</v>
      </c>
      <c r="AB79" s="24">
        <f>IF(U79=[1]BD_CUSTO!$E$14,[1]BD_CUSTO!$F$14,[1]BD_CUSTO!$F$15)</f>
        <v>90</v>
      </c>
      <c r="AC79" s="24">
        <f>IF(V79=[1]BD_CUSTO!$E$16,[1]BD_CUSTO!$F$16,[1]BD_CUSTO!$F$17)</f>
        <v>720</v>
      </c>
      <c r="AD79" s="22" t="s">
        <v>129</v>
      </c>
      <c r="AE79" s="22">
        <v>1</v>
      </c>
      <c r="AF79" s="22" t="s">
        <v>107</v>
      </c>
      <c r="AG79" s="22">
        <v>2</v>
      </c>
      <c r="AH79" s="22" t="s">
        <v>108</v>
      </c>
      <c r="AI79" s="22">
        <v>1</v>
      </c>
      <c r="AJ79" s="22" t="s">
        <v>156</v>
      </c>
      <c r="AK79" s="22">
        <v>1</v>
      </c>
      <c r="AL79" s="22" t="s">
        <v>121</v>
      </c>
      <c r="AM79" s="22">
        <v>2</v>
      </c>
      <c r="AN79" s="22" t="s">
        <v>175</v>
      </c>
      <c r="AO79" s="22">
        <v>1</v>
      </c>
      <c r="AP79" s="22" t="s">
        <v>110</v>
      </c>
      <c r="AQ79" s="22">
        <v>1</v>
      </c>
      <c r="AR79" s="22" t="s">
        <v>126</v>
      </c>
      <c r="AS79" s="22">
        <v>1</v>
      </c>
      <c r="AT79" s="22"/>
      <c r="AU79" s="22"/>
      <c r="AV79" s="22"/>
      <c r="AW79" s="22"/>
      <c r="AX79" s="24">
        <f>IF(AD79="",0,VLOOKUP(AD79,[1]BD_CUSTO!I:J,2,0)*AE79/E79)</f>
        <v>449.62022875816996</v>
      </c>
      <c r="AY79" s="24">
        <f>IF(AF79="",0,VLOOKUP(AF79,[1]BD_CUSTO!I:J,2,0)*AG79/E79)</f>
        <v>278.26509803921567</v>
      </c>
      <c r="AZ79" s="24">
        <f>IF(AH79="",0,VLOOKUP(AH79,[1]BD_CUSTO!I:J,2,0)*AI79/E79)</f>
        <v>37.826797385620914</v>
      </c>
      <c r="BA79" s="24">
        <f>IF(AJ79="",0,VLOOKUP(AJ79,[1]BD_CUSTO!I:J,2,0)*AK79/E79)</f>
        <v>160.21241830065358</v>
      </c>
      <c r="BB79" s="24">
        <f>IF(AL79="",0,VLOOKUP(AL79,[1]BD_CUSTO!I:J,2,0)*AM79/E79)</f>
        <v>402.47352941176467</v>
      </c>
      <c r="BC79" s="24">
        <f>IF(AN79="",0,VLOOKUP(AN79,[1]BD_CUSTO!I:J,2,0)*AO79/E79)</f>
        <v>17.630718954248366</v>
      </c>
      <c r="BD79" s="24">
        <f>IF(AP79="",0,VLOOKUP(AP79,[1]BD_CUSTO!I:J,2,0)*AQ79/E79)</f>
        <v>8.6601307189542478</v>
      </c>
      <c r="BE79" s="24">
        <f>IF(AR79="",0,VLOOKUP(AR79,CUSTO!I:J,2,0)*AS79/E79)</f>
        <v>12.352941176470589</v>
      </c>
      <c r="BF79" s="24">
        <f>IF(AT79="",0,VLOOKUP(AT79,[1]BD_CUSTO!I:J,2,0)*AU79/E79)</f>
        <v>0</v>
      </c>
      <c r="BG79" s="24">
        <f>IF(Tabela13[[#This Row],[LZ 10]]="",0,VLOOKUP(Tabela13[[#This Row],[LZ 10]],[1]BD_CUSTO!I:J,2,0)*Tabela13[[#This Row],[QTD922]]/E79)</f>
        <v>0</v>
      </c>
      <c r="BH79" s="133" t="s">
        <v>112</v>
      </c>
      <c r="BI79" s="136">
        <f>384/Tabela13[[#This Row],[Nº UNDS]]</f>
        <v>0.62745098039215685</v>
      </c>
      <c r="BJ79" s="133" t="s">
        <v>113</v>
      </c>
      <c r="BK79" s="136">
        <v>0</v>
      </c>
      <c r="BL79" s="24">
        <f>IF(BH79=[1]BD_CUSTO!$M$6,[1]BD_CUSTO!$N$6)*BI79</f>
        <v>1882.3529411764705</v>
      </c>
      <c r="BM79" s="24">
        <f>IF(BJ79=[1]BD_CUSTO!$M$4,[1]BD_CUSTO!$N$4,[1]BD_CUSTO!$N$5)*BK79</f>
        <v>0</v>
      </c>
      <c r="BN79" s="133" t="s">
        <v>114</v>
      </c>
      <c r="BO79" s="133">
        <f>179-22</f>
        <v>157</v>
      </c>
      <c r="BP79" s="25">
        <f>Tabela13[[#This Row],[QTD ]]/Tabela13[[#This Row],[Nº UNDS]]</f>
        <v>0.25653594771241828</v>
      </c>
      <c r="BQ79" s="133" t="s">
        <v>123</v>
      </c>
      <c r="BR79" s="133">
        <v>22</v>
      </c>
      <c r="BS79" s="22" t="s">
        <v>116</v>
      </c>
      <c r="BT79" s="22">
        <v>0</v>
      </c>
      <c r="BU79" s="22" t="s">
        <v>16</v>
      </c>
      <c r="BV79" s="22">
        <v>0</v>
      </c>
      <c r="BW79" s="24">
        <f>IF(BN79=[1]BD_CUSTO!$Q$7,[1]BD_CUSTO!$R$7,[1]BD_CUSTO!$R$8)*BO79/E79</f>
        <v>513.07189542483661</v>
      </c>
      <c r="BX79" s="24">
        <f>IF(BQ79=[1]BD_CUSTO!$Q$4,[1]BD_CUSTO!$R$4,[1]BD_CUSTO!$R$5)*BR79/E79</f>
        <v>35.947712418300654</v>
      </c>
      <c r="BY79" s="22">
        <f>IF(BS79=[1]BD_CUSTO!$Q$13,[1]BD_CUSTO!$R$13,[1]BD_CUSTO!$R$14)*BT79/E79</f>
        <v>0</v>
      </c>
      <c r="BZ79" s="24">
        <f>BV79*CUSTO!$R$10/E79</f>
        <v>0</v>
      </c>
      <c r="CA79" s="26">
        <f>SUM(Tabela13[[#This Row],[SOMA_PISO SALA E QUARTO]],Tabela13[[#This Row],[SOMA_PAREDE HIDR]],Tabela13[[#This Row],[SOMA_TETO]],Tabela13[[#This Row],[SOMA_BANCADA]],Tabela13[[#This Row],[SOMA_PEDRAS]])</f>
        <v>4850</v>
      </c>
      <c r="CB79" s="27" t="str">
        <f>IF(CA79&lt;=RÉGUAS!$D$4,"ACAB 01",IF(CA79&lt;=RÉGUAS!$F$4,"ACAB 02",IF(CA79&gt;RÉGUAS!$F$4,"ACAB 03",)))</f>
        <v>ACAB 03</v>
      </c>
      <c r="CC79" s="26">
        <f>SUM(Tabela13[[#This Row],[SOMA_LZ 01]:[SOMA_LZ 10]])</f>
        <v>1367.0418627450979</v>
      </c>
      <c r="CD79" s="22" t="str">
        <f>IF(CC79&lt;=RÉGUAS!$D$13,"LZ 01",IF(CC79&lt;=RÉGUAS!$F$13,"LZ 02",IF(CC79&lt;=RÉGUAS!$H$13,"LZ 03",IF(CC79&gt;RÉGUAS!$H$13,"LZ 04",))))</f>
        <v>LZ 02</v>
      </c>
      <c r="CE79" s="28">
        <f t="shared" si="8"/>
        <v>1882.3529411764705</v>
      </c>
      <c r="CF79" s="22" t="str">
        <f>IF(CE79&lt;=RÉGUAS!$D$22,"TIP 01",IF(CE79&lt;=RÉGUAS!$F$22,"TIP 02",IF(CE79&gt;RÉGUAS!$F$22,"TIP 03",)))</f>
        <v>TIP 02</v>
      </c>
      <c r="CG79" s="28">
        <f t="shared" si="9"/>
        <v>549.01960784313724</v>
      </c>
      <c r="CH79" s="22" t="str">
        <f>IF(CG79&lt;=RÉGUAS!$D$32,"VAGA 01",IF(CG79&lt;=RÉGUAS!$F$32,"VAGA 02",IF(CG79&gt;RÉGUAS!$F$32,"VAGA 03",)))</f>
        <v>VAGA 01</v>
      </c>
      <c r="CI79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5593</v>
      </c>
      <c r="CJ79" s="85" t="str">
        <f>IF(AND(G79="BLOCO",CI79&lt;=RÉGUAS!$D$40),"ELEV 01",IF(AND(G79="BLOCO",CI79&gt;RÉGUAS!$D$40),"ELEV 02",IF(AND(G79="TORRE",CI79&lt;=RÉGUAS!$K$40),"ELEV 01",IF(AND(G79="TORRE",CI79&lt;=RÉGUAS!$M$40),"ELEV 02",IF(AND(G79="TORRE",CI79&gt;RÉGUAS!$M$40),"ELEV 03",)))))</f>
        <v>ELEV 03</v>
      </c>
      <c r="CK79" s="85">
        <f>SUM(Tabela13[[#This Row],[TOTAL  ACAB]],Tabela13[[#This Row],[TOTAL LAZER ]],Tabela13[[#This Row],[TOTAL TIPOLOGIA]],Tabela13[[#This Row],[TOTAL VAGA]],Tabela13[[#This Row],[TOTAL ELEVADOR]])</f>
        <v>14241.414411764705</v>
      </c>
      <c r="CL79" s="72" t="str">
        <f>IF(AND(G79="BLOCO",CK79&lt;=RÉGUAS!$D$50),"ESSENCIAL",IF(AND(G79="BLOCO",CK79&lt;=RÉGUAS!$F$50),"ECO",IF(AND(G79="BLOCO",CK79&gt;RÉGUAS!$F$50),"BIO",IF(AND(G79="TORRE",CK79&lt;=RÉGUAS!$K$50),"ESSENCIAL",IF(AND(G79="TORRE",CK79&lt;=RÉGUAS!$M$50),"ECO",IF(AND(G79="TORRE",CK79&gt;RÉGUAS!$M$50),"BIO",))))))</f>
        <v>BIO</v>
      </c>
      <c r="CM79" s="28" t="str">
        <f>IF(AND(G79="BLOCO",CK79&gt;=RÉGUAS!$D$51,CK79&lt;=RÉGUAS!$D$50),"ESSENCIAL-10%",IF(AND(G79="BLOCO",CK79&gt;RÉGUAS!$D$50,CK79&lt;=RÉGUAS!$E$51),"ECO+10%",IF(AND(G79="BLOCO",CK79&gt;=RÉGUAS!$F$51,CK79&lt;=RÉGUAS!$F$50),"ECO-10%",IF(AND(G79="BLOCO",CK79&gt;RÉGUAS!$F$50,CK79&lt;=RÉGUAS!$G$51),"BIO+10%",IF(AND(G79="TORRE",CK79&gt;=RÉGUAS!$K$51,CK79&lt;=RÉGUAS!$K$50),"ESSENCIAL-10%",IF(AND(G79="TORRE",CK79&gt;RÉGUAS!$K$50,CK79&lt;=RÉGUAS!$L$51),"ECO+10%",IF(AND(G79="TORRE",CK79&gt;=RÉGUAS!$M$51,CK79&lt;=RÉGUAS!$M$50),"ECO-10%",IF(AND(G79="TORRE",CK79&gt;RÉGUAS!$M$50,CK79&lt;=RÉGUAS!$N$51),"BIO+10%","-"))))))))</f>
        <v>BIO+10%</v>
      </c>
      <c r="CN79" s="73">
        <f t="shared" si="10"/>
        <v>8648.4144117647047</v>
      </c>
      <c r="CO79" s="72" t="str">
        <f>IF(CN79&lt;=RÉGUAS!$D$58,"ESSENCIAL",IF(CN79&lt;=RÉGUAS!$F$58,"ECO",IF(CN79&gt;RÉGUAS!$F$58,"BIO",)))</f>
        <v>ECO</v>
      </c>
      <c r="CP79" s="72" t="str">
        <f>IF(Tabela13[[#This Row],[INTERVALO DE INTERSEÇÃO 5D]]="-",Tabela13[[#This Row],[CLASSIFICAÇÃO 
5D ]],Tabela13[[#This Row],[CLASSIFICAÇÃO 
4D]])</f>
        <v>ECO</v>
      </c>
      <c r="CQ79" s="72" t="str">
        <f t="shared" si="11"/>
        <v>-</v>
      </c>
      <c r="CR79" s="72" t="str">
        <f t="shared" si="12"/>
        <v>ECO</v>
      </c>
      <c r="CS79" s="22" t="str">
        <f>IF(Tabela13[[#This Row],[PRODUTO ATUAL ]]=Tabela13[[#This Row],[CLASSIFICAÇÃO FINAL 5D]],"ADERÊNTE","NÃO ADERÊNTE")</f>
        <v>ADERÊNTE</v>
      </c>
      <c r="CT79" s="24">
        <f>SUM(Tabela13[[#This Row],[TOTAL  ACAB]],Tabela13[[#This Row],[TOTAL LAZER ]],Tabela13[[#This Row],[TOTAL TIPOLOGIA]],Tabela13[[#This Row],[TOTAL VAGA]])</f>
        <v>8648.4144117647047</v>
      </c>
      <c r="CU79" s="22" t="str">
        <f>IF(CT79&lt;=RÉGUAS!$D$58,"ESSENCIAL",IF(CT79&lt;=RÉGUAS!$F$58,"ECO",IF(CT79&gt;RÉGUAS!$F$58,"BIO",)))</f>
        <v>ECO</v>
      </c>
      <c r="CV79" s="22" t="str">
        <f>IF(AND(CT79&gt;=RÉGUAS!$D$59,CT79&lt;=RÉGUAS!$E$59),"ESSENCIAL/ECO",IF(AND(CT79&gt;=RÉGUAS!$F$59,CT79&lt;=RÉGUAS!$G$59),"ECO/BIO","-"))</f>
        <v>-</v>
      </c>
      <c r="CW79" s="85">
        <f>SUM(Tabela13[[#This Row],[TOTAL LAZER ]],Tabela13[[#This Row],[TOTAL TIPOLOGIA]])</f>
        <v>3249.3948039215684</v>
      </c>
      <c r="CX79" s="22" t="str">
        <f>IF(CW79&lt;=RÉGUAS!$D$72,"ESSENCIAL",IF(CW79&lt;=RÉGUAS!$F$72,"ECO",IF(CN79&gt;RÉGUAS!$F$72,"BIO",)))</f>
        <v>ECO</v>
      </c>
      <c r="CY79" s="22" t="str">
        <f t="shared" si="13"/>
        <v>ECO</v>
      </c>
      <c r="CZ79" s="22" t="str">
        <f>IF(Tabela13[[#This Row],[PRODUTO ATUAL ]]=CY79,"ADERENTE","NÃO ADERENTE")</f>
        <v>ADERENTE</v>
      </c>
      <c r="DA79" s="22" t="str">
        <f>IF(Tabela13[[#This Row],[PRODUTO ATUAL ]]=Tabela13[[#This Row],[CLASSIFICAÇÃO 
4D2]],"ADERENTE","NÃO ADERENTE")</f>
        <v>ADERENTE</v>
      </c>
    </row>
    <row r="80" spans="2:105" hidden="1" x14ac:dyDescent="0.35">
      <c r="B80" s="27">
        <v>55</v>
      </c>
      <c r="C80" s="22" t="s">
        <v>238</v>
      </c>
      <c r="D80" s="22" t="s">
        <v>128</v>
      </c>
      <c r="E80" s="128">
        <v>400</v>
      </c>
      <c r="F80" s="22" t="str">
        <f t="shared" si="7"/>
        <v>De 200 a 400 und</v>
      </c>
      <c r="G80" s="22" t="s">
        <v>1</v>
      </c>
      <c r="H80" s="129">
        <v>20</v>
      </c>
      <c r="I80" s="36">
        <v>5</v>
      </c>
      <c r="J80" s="36"/>
      <c r="K80" s="36"/>
      <c r="L80" s="36">
        <f>SUM(Tabela13[[#This Row],[QTD DE B/T 2]],Tabela13[[#This Row],[QTD DE B/T]])</f>
        <v>20</v>
      </c>
      <c r="M80" s="22">
        <v>20</v>
      </c>
      <c r="N80" s="22">
        <f>Tabela13[[#This Row],[ELEVADOR]]/Tabela13[[#This Row],[BLOCO TOTAL]]</f>
        <v>1</v>
      </c>
      <c r="O80" s="22" t="s">
        <v>5</v>
      </c>
      <c r="P80" s="76" t="s">
        <v>101</v>
      </c>
      <c r="Q80" s="22" t="s">
        <v>101</v>
      </c>
      <c r="R80" s="76" t="s">
        <v>142</v>
      </c>
      <c r="S80" s="76" t="s">
        <v>103</v>
      </c>
      <c r="T80" s="76" t="s">
        <v>173</v>
      </c>
      <c r="U80" s="76" t="s">
        <v>105</v>
      </c>
      <c r="V80" s="22" t="s">
        <v>106</v>
      </c>
      <c r="W80" s="24">
        <f>IF(P80=[1]BD_CUSTO!$E$4,[1]BD_CUSTO!$F$4,[1]BD_CUSTO!$F$5)</f>
        <v>2430</v>
      </c>
      <c r="X80" s="24">
        <f>IF(Q80=[1]BD_CUSTO!$E$6,[1]BD_CUSTO!$F$6,[1]BD_CUSTO!$F$7)</f>
        <v>260</v>
      </c>
      <c r="Y80" s="24">
        <f>IF(R80=[1]BD_CUSTO!$E$8,[1]BD_CUSTO!$F$8,[1]BD_CUSTO!$F$9)</f>
        <v>900</v>
      </c>
      <c r="Z80" s="24">
        <f>IF(S80=[1]BD_CUSTO!$E$10,[1]BD_CUSTO!$F$10,[1]BD_CUSTO!$F$11)</f>
        <v>500</v>
      </c>
      <c r="AA80" s="24">
        <f>IF(T80=[1]BD_CUSTO!$E$12,[1]BD_CUSTO!$F$12,[1]BD_CUSTO!$F$13)</f>
        <v>930</v>
      </c>
      <c r="AB80" s="24">
        <f>IF(U80=[1]BD_CUSTO!$E$14,[1]BD_CUSTO!$F$14,[1]BD_CUSTO!$F$15)</f>
        <v>90</v>
      </c>
      <c r="AC80" s="24">
        <f>IF(V80=[1]BD_CUSTO!$E$16,[1]BD_CUSTO!$F$16,[1]BD_CUSTO!$F$17)</f>
        <v>720</v>
      </c>
      <c r="AD80" s="76" t="s">
        <v>110</v>
      </c>
      <c r="AE80" s="76">
        <v>1</v>
      </c>
      <c r="AF80" s="76" t="s">
        <v>121</v>
      </c>
      <c r="AG80" s="76">
        <v>1</v>
      </c>
      <c r="AH80" s="76" t="s">
        <v>107</v>
      </c>
      <c r="AI80" s="76">
        <v>1</v>
      </c>
      <c r="AJ80" s="76" t="s">
        <v>108</v>
      </c>
      <c r="AK80" s="76">
        <v>1</v>
      </c>
      <c r="AL80" s="76" t="s">
        <v>129</v>
      </c>
      <c r="AM80" s="76">
        <v>1</v>
      </c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4">
        <f>IF(AD80="",0,VLOOKUP(AD80,[1]BD_CUSTO!I:J,2,0)*AE80/E80)</f>
        <v>13.25</v>
      </c>
      <c r="AY80" s="24">
        <f>IF(AF80="",0,VLOOKUP(AF80,[1]BD_CUSTO!I:J,2,0)*AG80/E80)</f>
        <v>307.89224999999999</v>
      </c>
      <c r="AZ80" s="24">
        <f>IF(AH80="",0,VLOOKUP(AH80,[1]BD_CUSTO!I:J,2,0)*AI80/E80)</f>
        <v>212.87279999999998</v>
      </c>
      <c r="BA80" s="24">
        <f>IF(AJ80="",0,VLOOKUP(AJ80,[1]BD_CUSTO!I:J,2,0)*AK80/E80)</f>
        <v>57.875</v>
      </c>
      <c r="BB80" s="24">
        <f>IF(AL80="",0,VLOOKUP(AL80,[1]BD_CUSTO!I:J,2,0)*AM80/E80)</f>
        <v>687.91895</v>
      </c>
      <c r="BC80" s="24">
        <f>IF(AN80="",0,VLOOKUP(AN80,[1]BD_CUSTO!I:J,2,0)*AO80/E80)</f>
        <v>0</v>
      </c>
      <c r="BD80" s="24">
        <f>IF(AP80="",0,VLOOKUP(AP80,[1]BD_CUSTO!I:J,2,0)*AQ80/E80)</f>
        <v>0</v>
      </c>
      <c r="BE80" s="24">
        <f>IF(AR80="",0,VLOOKUP(AR80,CUSTO!I:J,2,0)*AS80/E80)</f>
        <v>0</v>
      </c>
      <c r="BF80" s="24">
        <f>IF(AT80="",0,VLOOKUP(AT80,[1]BD_CUSTO!I:J,2,0)*AU80/E80)</f>
        <v>0</v>
      </c>
      <c r="BG80" s="24">
        <f>IF(Tabela13[[#This Row],[LZ 10]]="",0,VLOOKUP(Tabela13[[#This Row],[LZ 10]],[1]BD_CUSTO!I:J,2,0)*Tabela13[[#This Row],[QTD922]]/E80)</f>
        <v>0</v>
      </c>
      <c r="BH80" s="76" t="s">
        <v>112</v>
      </c>
      <c r="BI80" s="127">
        <f>144/Tabela13[[#This Row],[Nº UNDS]]</f>
        <v>0.36</v>
      </c>
      <c r="BJ80" s="76" t="s">
        <v>113</v>
      </c>
      <c r="BK80" s="127">
        <v>0</v>
      </c>
      <c r="BL80" s="24">
        <f>IF(BH80=[1]BD_CUSTO!$M$6,[1]BD_CUSTO!$N$6)*BI80</f>
        <v>1080</v>
      </c>
      <c r="BM80" s="24">
        <f>IF(BJ80=[1]BD_CUSTO!$M$4,[1]BD_CUSTO!$N$4,[1]BD_CUSTO!$N$5)*BK80</f>
        <v>0</v>
      </c>
      <c r="BN80" s="76" t="s">
        <v>114</v>
      </c>
      <c r="BO80" s="76">
        <v>401</v>
      </c>
      <c r="BP80" s="25">
        <f>Tabela13[[#This Row],[QTD ]]/Tabela13[[#This Row],[Nº UNDS]]</f>
        <v>1.0024999999999999</v>
      </c>
      <c r="BQ80" s="76" t="s">
        <v>115</v>
      </c>
      <c r="BR80" s="76">
        <v>0</v>
      </c>
      <c r="BS80" s="22" t="s">
        <v>116</v>
      </c>
      <c r="BT80" s="22">
        <v>0</v>
      </c>
      <c r="BU80" s="22" t="s">
        <v>16</v>
      </c>
      <c r="BV80" s="22">
        <v>0</v>
      </c>
      <c r="BW80" s="24">
        <f>IF(BN80=[1]BD_CUSTO!$Q$7,[1]BD_CUSTO!$R$7,[1]BD_CUSTO!$R$8)*BO80/E80</f>
        <v>2005</v>
      </c>
      <c r="BX80" s="24">
        <f>IF(BQ80=[1]BD_CUSTO!$Q$4,[1]BD_CUSTO!$R$4,[1]BD_CUSTO!$R$5)*BR80/E80</f>
        <v>0</v>
      </c>
      <c r="BY80" s="22">
        <f>IF(BS80=[1]BD_CUSTO!$Q$13,[1]BD_CUSTO!$R$13,[1]BD_CUSTO!$R$14)*BT80/E80</f>
        <v>0</v>
      </c>
      <c r="BZ80" s="24">
        <f>BV80*CUSTO!$R$10/E80</f>
        <v>0</v>
      </c>
      <c r="CA80" s="26">
        <f>SUM(Tabela13[[#This Row],[SOMA_PISO SALA E QUARTO]],Tabela13[[#This Row],[SOMA_PAREDE HIDR]],Tabela13[[#This Row],[SOMA_TETO]],Tabela13[[#This Row],[SOMA_BANCADA]],Tabela13[[#This Row],[SOMA_PEDRAS]])</f>
        <v>4850</v>
      </c>
      <c r="CB80" s="27" t="str">
        <f>IF(CA80&lt;=RÉGUAS!$D$4,"ACAB 01",IF(CA80&lt;=RÉGUAS!$F$4,"ACAB 02",IF(CA80&gt;RÉGUAS!$F$4,"ACAB 03",)))</f>
        <v>ACAB 03</v>
      </c>
      <c r="CC80" s="26">
        <f>SUM(Tabela13[[#This Row],[SOMA_LZ 01]:[SOMA_LZ 10]])</f>
        <v>1279.809</v>
      </c>
      <c r="CD80" s="22" t="str">
        <f>IF(CC80&lt;=RÉGUAS!$D$13,"LZ 01",IF(CC80&lt;=RÉGUAS!$F$13,"LZ 02",IF(CC80&lt;=RÉGUAS!$H$13,"LZ 03",IF(CC80&gt;RÉGUAS!$H$13,"LZ 04",))))</f>
        <v>LZ 02</v>
      </c>
      <c r="CE80" s="28">
        <f t="shared" si="8"/>
        <v>1080</v>
      </c>
      <c r="CF80" s="22" t="str">
        <f>IF(CE80&lt;=RÉGUAS!$D$22,"TIP 01",IF(CE80&lt;=RÉGUAS!$F$22,"TIP 02",IF(CE80&gt;RÉGUAS!$F$22,"TIP 03",)))</f>
        <v>TIP 01</v>
      </c>
      <c r="CG80" s="28">
        <f t="shared" si="9"/>
        <v>2005</v>
      </c>
      <c r="CH80" s="22" t="str">
        <f>IF(CG80&lt;=RÉGUAS!$D$32,"VAGA 01",IF(CG80&lt;=RÉGUAS!$F$32,"VAGA 02",IF(CG80&gt;RÉGUAS!$F$32,"VAGA 03",)))</f>
        <v>VAGA 02</v>
      </c>
      <c r="CI80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7507</v>
      </c>
      <c r="CJ80" s="85" t="str">
        <f>IF(AND(G80="BLOCO",CI80&lt;=RÉGUAS!$D$40),"ELEV 01",IF(AND(G80="BLOCO",CI80&gt;RÉGUAS!$D$40),"ELEV 02",IF(AND(G80="TORRE",CI80&lt;=RÉGUAS!$K$40),"ELEV 01",IF(AND(G80="TORRE",CI80&lt;=RÉGUAS!$M$40),"ELEV 02",IF(AND(G80="TORRE",CI80&gt;RÉGUAS!$M$40),"ELEV 03",)))))</f>
        <v>ELEV 02</v>
      </c>
      <c r="CK80" s="85">
        <f>SUM(Tabela13[[#This Row],[TOTAL  ACAB]],Tabela13[[#This Row],[TOTAL LAZER ]],Tabela13[[#This Row],[TOTAL TIPOLOGIA]],Tabela13[[#This Row],[TOTAL VAGA]],Tabela13[[#This Row],[TOTAL ELEVADOR]])</f>
        <v>16721.809000000001</v>
      </c>
      <c r="CL80" s="72" t="str">
        <f>IF(AND(G80="BLOCO",CK80&lt;=RÉGUAS!$D$50),"ESSENCIAL",IF(AND(G80="BLOCO",CK80&lt;=RÉGUAS!$F$50),"ECO",IF(AND(G80="BLOCO",CK80&gt;RÉGUAS!$F$50),"BIO",IF(AND(G80="TORRE",CK80&lt;=RÉGUAS!$K$50),"ESSENCIAL",IF(AND(G80="TORRE",CK80&lt;=RÉGUAS!$M$50),"ECO",IF(AND(G80="TORRE",CK80&gt;RÉGUAS!$M$50),"BIO",))))))</f>
        <v>BIO</v>
      </c>
      <c r="CM80" s="28" t="str">
        <f>IF(AND(G80="BLOCO",CK80&gt;=RÉGUAS!$D$51,CK80&lt;=RÉGUAS!$D$50),"ESSENCIAL-10%",IF(AND(G80="BLOCO",CK80&gt;RÉGUAS!$D$50,CK80&lt;=RÉGUAS!$E$51),"ECO+10%",IF(AND(G80="BLOCO",CK80&gt;=RÉGUAS!$F$51,CK80&lt;=RÉGUAS!$F$50),"ECO-10%",IF(AND(G80="BLOCO",CK80&gt;RÉGUAS!$F$50,CK80&lt;=RÉGUAS!$G$51),"BIO+10%",IF(AND(G80="TORRE",CK80&gt;=RÉGUAS!$K$51,CK80&lt;=RÉGUAS!$K$50),"ESSENCIAL-10%",IF(AND(G80="TORRE",CK80&gt;RÉGUAS!$K$50,CK80&lt;=RÉGUAS!$L$51),"ECO+10%",IF(AND(G80="TORRE",CK80&gt;=RÉGUAS!$M$51,CK80&lt;=RÉGUAS!$M$50),"ECO-10%",IF(AND(G80="TORRE",CK80&gt;RÉGUAS!$M$50,CK80&lt;=RÉGUAS!$N$51),"BIO+10%","-"))))))))</f>
        <v>-</v>
      </c>
      <c r="CN80" s="73">
        <f t="shared" si="10"/>
        <v>9214.8090000000011</v>
      </c>
      <c r="CO80" s="72" t="str">
        <f>IF(CN80&lt;=RÉGUAS!$D$58,"ESSENCIAL",IF(CN80&lt;=RÉGUAS!$F$58,"ECO",IF(CN80&gt;RÉGUAS!$F$58,"BIO",)))</f>
        <v>ECO</v>
      </c>
      <c r="CP80" s="72" t="str">
        <f>IF(Tabela13[[#This Row],[INTERVALO DE INTERSEÇÃO 5D]]="-",Tabela13[[#This Row],[CLASSIFICAÇÃO 
5D ]],Tabela13[[#This Row],[CLASSIFICAÇÃO 
4D]])</f>
        <v>BIO</v>
      </c>
      <c r="CQ80" s="72" t="str">
        <f t="shared" si="11"/>
        <v>-</v>
      </c>
      <c r="CR80" s="72" t="str">
        <f t="shared" si="12"/>
        <v>BIO</v>
      </c>
      <c r="CS80" s="22" t="str">
        <f>IF(Tabela13[[#This Row],[PRODUTO ATUAL ]]=Tabela13[[#This Row],[CLASSIFICAÇÃO FINAL 5D]],"ADERÊNTE","NÃO ADERÊNTE")</f>
        <v>NÃO ADERÊNTE</v>
      </c>
      <c r="CT80" s="24">
        <f>SUM(Tabela13[[#This Row],[TOTAL  ACAB]],Tabela13[[#This Row],[TOTAL LAZER ]],Tabela13[[#This Row],[TOTAL TIPOLOGIA]],Tabela13[[#This Row],[TOTAL VAGA]])</f>
        <v>9214.8090000000011</v>
      </c>
      <c r="CU80" s="22" t="str">
        <f>IF(CT80&lt;=RÉGUAS!$D$58,"ESSENCIAL",IF(CT80&lt;=RÉGUAS!$F$58,"ECO",IF(CT80&gt;RÉGUAS!$F$58,"BIO",)))</f>
        <v>ECO</v>
      </c>
      <c r="CV80" s="22" t="str">
        <f>IF(AND(CT80&gt;=RÉGUAS!$D$59,CT80&lt;=RÉGUAS!$E$59),"ESSENCIAL/ECO",IF(AND(CT80&gt;=RÉGUAS!$F$59,CT80&lt;=RÉGUAS!$G$59),"ECO/BIO","-"))</f>
        <v>-</v>
      </c>
      <c r="CW80" s="85">
        <f>SUM(Tabela13[[#This Row],[TOTAL LAZER ]],Tabela13[[#This Row],[TOTAL TIPOLOGIA]])</f>
        <v>2359.8090000000002</v>
      </c>
      <c r="CX80" s="22" t="str">
        <f>IF(CW80&lt;=RÉGUAS!$D$72,"ESSENCIAL",IF(CW80&lt;=RÉGUAS!$F$72,"ECO",IF(CN80&gt;RÉGUAS!$F$72,"BIO",)))</f>
        <v>ECO</v>
      </c>
      <c r="CY80" s="22" t="str">
        <f t="shared" si="13"/>
        <v>ECO</v>
      </c>
      <c r="CZ80" s="22" t="str">
        <f>IF(Tabela13[[#This Row],[PRODUTO ATUAL ]]=CY80,"ADERENTE","NÃO ADERENTE")</f>
        <v>ADERENTE</v>
      </c>
      <c r="DA80" s="22" t="str">
        <f>IF(Tabela13[[#This Row],[PRODUTO ATUAL ]]=Tabela13[[#This Row],[CLASSIFICAÇÃO 
4D2]],"ADERENTE","NÃO ADERENTE")</f>
        <v>ADERENTE</v>
      </c>
    </row>
    <row r="81" spans="2:105" customFormat="1" hidden="1" x14ac:dyDescent="0.35">
      <c r="B81" s="27">
        <v>65</v>
      </c>
      <c r="C81" s="22" t="s">
        <v>200</v>
      </c>
      <c r="D81" s="22" t="s">
        <v>128</v>
      </c>
      <c r="E81" s="23">
        <v>408</v>
      </c>
      <c r="F81" s="22" t="str">
        <f t="shared" si="7"/>
        <v>Acima de 400 und</v>
      </c>
      <c r="G81" s="22" t="s">
        <v>14</v>
      </c>
      <c r="H81" s="36">
        <v>3</v>
      </c>
      <c r="I81" s="36">
        <v>17</v>
      </c>
      <c r="J81" s="36"/>
      <c r="K81" s="36"/>
      <c r="L81" s="36">
        <f>SUM(Tabela13[[#This Row],[QTD DE B/T 2]],Tabela13[[#This Row],[QTD DE B/T]])</f>
        <v>3</v>
      </c>
      <c r="M81" s="22">
        <v>3</v>
      </c>
      <c r="N81" s="22">
        <f>Tabela13[[#This Row],[ELEVADOR]]/Tabela13[[#This Row],[BLOCO TOTAL]]</f>
        <v>1</v>
      </c>
      <c r="O81" s="22" t="s">
        <v>5</v>
      </c>
      <c r="P81" s="22" t="s">
        <v>101</v>
      </c>
      <c r="Q81" s="22" t="s">
        <v>101</v>
      </c>
      <c r="R81" s="22" t="s">
        <v>142</v>
      </c>
      <c r="S81" s="22" t="s">
        <v>103</v>
      </c>
      <c r="T81" s="22" t="s">
        <v>173</v>
      </c>
      <c r="U81" s="22" t="s">
        <v>105</v>
      </c>
      <c r="V81" s="22" t="s">
        <v>106</v>
      </c>
      <c r="W81" s="24">
        <f>IF(P81=[1]BD_CUSTO!$E$4,[1]BD_CUSTO!$F$4,[1]BD_CUSTO!$F$5)</f>
        <v>2430</v>
      </c>
      <c r="X81" s="24">
        <f>IF(Q81=[1]BD_CUSTO!$E$6,[1]BD_CUSTO!$F$6,[1]BD_CUSTO!$F$7)</f>
        <v>260</v>
      </c>
      <c r="Y81" s="24">
        <f>IF(R81=[1]BD_CUSTO!$E$8,[1]BD_CUSTO!$F$8,[1]BD_CUSTO!$F$9)</f>
        <v>900</v>
      </c>
      <c r="Z81" s="24">
        <f>IF(S81=[1]BD_CUSTO!$E$10,[1]BD_CUSTO!$F$10,[1]BD_CUSTO!$F$11)</f>
        <v>500</v>
      </c>
      <c r="AA81" s="24">
        <f>IF(T81=[1]BD_CUSTO!$E$12,[1]BD_CUSTO!$F$12,[1]BD_CUSTO!$F$13)</f>
        <v>930</v>
      </c>
      <c r="AB81" s="24">
        <f>IF(U81=[1]BD_CUSTO!$E$14,[1]BD_CUSTO!$F$14,[1]BD_CUSTO!$F$15)</f>
        <v>90</v>
      </c>
      <c r="AC81" s="24">
        <f>IF(V81=[1]BD_CUSTO!$E$16,[1]BD_CUSTO!$F$16,[1]BD_CUSTO!$F$17)</f>
        <v>720</v>
      </c>
      <c r="AD81" s="22" t="s">
        <v>110</v>
      </c>
      <c r="AE81" s="22">
        <v>3</v>
      </c>
      <c r="AF81" s="22" t="s">
        <v>107</v>
      </c>
      <c r="AG81" s="22">
        <v>1</v>
      </c>
      <c r="AH81" s="22" t="s">
        <v>121</v>
      </c>
      <c r="AI81" s="22">
        <v>1</v>
      </c>
      <c r="AJ81" s="22" t="s">
        <v>129</v>
      </c>
      <c r="AK81" s="22">
        <v>1</v>
      </c>
      <c r="AL81" s="22" t="s">
        <v>108</v>
      </c>
      <c r="AM81" s="22">
        <v>1</v>
      </c>
      <c r="AN81" s="22" t="s">
        <v>175</v>
      </c>
      <c r="AO81" s="22">
        <v>1</v>
      </c>
      <c r="AP81" s="22" t="s">
        <v>109</v>
      </c>
      <c r="AQ81" s="22">
        <v>1</v>
      </c>
      <c r="AR81" s="22"/>
      <c r="AS81" s="22"/>
      <c r="AT81" s="22"/>
      <c r="AU81" s="22"/>
      <c r="AV81" s="22"/>
      <c r="AW81" s="22"/>
      <c r="AX81" s="24">
        <f>IF(AD81="",0,VLOOKUP(AD81,[1]BD_CUSTO!I:J,2,0)*AE81/E81)</f>
        <v>38.970588235294116</v>
      </c>
      <c r="AY81" s="24">
        <f>IF(AF81="",0,VLOOKUP(AF81,[1]BD_CUSTO!I:J,2,0)*AG81/E81)</f>
        <v>208.69882352941175</v>
      </c>
      <c r="AZ81" s="24">
        <f>IF(AH81="",0,VLOOKUP(AH81,[1]BD_CUSTO!I:J,2,0)*AI81/E81)</f>
        <v>301.85514705882349</v>
      </c>
      <c r="BA81" s="24">
        <f>IF(AJ81="",0,VLOOKUP(AJ81,[1]BD_CUSTO!I:J,2,0)*AK81/E81)</f>
        <v>674.43034313725491</v>
      </c>
      <c r="BB81" s="24">
        <f>IF(AL81="",0,VLOOKUP(AL81,[1]BD_CUSTO!I:J,2,0)*AM81/E81)</f>
        <v>56.740196078431374</v>
      </c>
      <c r="BC81" s="24">
        <f>IF(AN81="",0,VLOOKUP(AN81,[1]BD_CUSTO!I:J,2,0)*AO81/E81)</f>
        <v>26.446078431372548</v>
      </c>
      <c r="BD81" s="24">
        <f>IF(AP81="",0,VLOOKUP(AP81,[1]BD_CUSTO!I:J,2,0)*AQ81/E81)</f>
        <v>17.034313725490197</v>
      </c>
      <c r="BE81" s="24">
        <f>IF(AR81="",0,VLOOKUP(AR81,CUSTO!I:J,2,0)*AS81/E81)</f>
        <v>0</v>
      </c>
      <c r="BF81" s="24">
        <f>IF(AT81="",0,VLOOKUP(AT81,[1]BD_CUSTO!I:J,2,0)*AU81/E81)</f>
        <v>0</v>
      </c>
      <c r="BG81" s="24">
        <f>IF(Tabela13[[#This Row],[LZ 10]]="",0,VLOOKUP(Tabela13[[#This Row],[LZ 10]],[1]BD_CUSTO!I:J,2,0)*Tabela13[[#This Row],[QTD922]]/E81)</f>
        <v>0</v>
      </c>
      <c r="BH81" s="22" t="s">
        <v>112</v>
      </c>
      <c r="BI81" s="25">
        <v>0.47</v>
      </c>
      <c r="BJ81" s="22" t="s">
        <v>113</v>
      </c>
      <c r="BK81" s="25">
        <v>0</v>
      </c>
      <c r="BL81" s="24">
        <f>IF(BH81=[1]BD_CUSTO!$M$6,[1]BD_CUSTO!$N$6)*BI81</f>
        <v>1410</v>
      </c>
      <c r="BM81" s="24">
        <f>IF(BJ81=[1]BD_CUSTO!$M$4,[1]BD_CUSTO!$N$4,[1]BD_CUSTO!$N$5)*BK81</f>
        <v>0</v>
      </c>
      <c r="BN81" s="22" t="s">
        <v>114</v>
      </c>
      <c r="BO81" s="22">
        <v>423</v>
      </c>
      <c r="BP81" s="25">
        <f>Tabela13[[#This Row],[QTD ]]/Tabela13[[#This Row],[Nº UNDS]]</f>
        <v>1.036764705882353</v>
      </c>
      <c r="BQ81" s="22" t="s">
        <v>123</v>
      </c>
      <c r="BR81" s="22">
        <v>7</v>
      </c>
      <c r="BS81" s="22" t="s">
        <v>116</v>
      </c>
      <c r="BT81" s="22">
        <v>0</v>
      </c>
      <c r="BU81" s="22" t="s">
        <v>16</v>
      </c>
      <c r="BV81" s="22">
        <v>0</v>
      </c>
      <c r="BW81" s="24">
        <f>IF(BN81=[1]BD_CUSTO!$Q$7,[1]BD_CUSTO!$R$7,[1]BD_CUSTO!$R$8)*BO81/E81</f>
        <v>2073.5294117647059</v>
      </c>
      <c r="BX81" s="24">
        <f>IF(BQ81=[1]BD_CUSTO!$Q$4,[1]BD_CUSTO!$R$4,[1]BD_CUSTO!$R$5)*BR81/E81</f>
        <v>17.156862745098039</v>
      </c>
      <c r="BY81" s="22">
        <f>IF(BS81=[1]BD_CUSTO!$Q$13,[1]BD_CUSTO!$R$13,[1]BD_CUSTO!$R$14)*BT81/E81</f>
        <v>0</v>
      </c>
      <c r="BZ81" s="24">
        <f>BV81*CUSTO!$R$10/E81</f>
        <v>0</v>
      </c>
      <c r="CA81" s="26">
        <f>SUM(Tabela13[[#This Row],[SOMA_PISO SALA E QUARTO]],Tabela13[[#This Row],[SOMA_PAREDE HIDR]],Tabela13[[#This Row],[SOMA_TETO]],Tabela13[[#This Row],[SOMA_BANCADA]],Tabela13[[#This Row],[SOMA_PEDRAS]])</f>
        <v>4850</v>
      </c>
      <c r="CB81" s="27" t="str">
        <f>IF(CA81&lt;=RÉGUAS!$D$4,"ACAB 01",IF(CA81&lt;=RÉGUAS!$F$4,"ACAB 02",IF(CA81&gt;RÉGUAS!$F$4,"ACAB 03",)))</f>
        <v>ACAB 03</v>
      </c>
      <c r="CC81" s="26">
        <f>SUM(Tabela13[[#This Row],[SOMA_LZ 01]:[SOMA_LZ 10]])</f>
        <v>1324.1754901960785</v>
      </c>
      <c r="CD81" s="22" t="str">
        <f>IF(CC81&lt;=RÉGUAS!$D$13,"LZ 01",IF(CC81&lt;=RÉGUAS!$F$13,"LZ 02",IF(CC81&lt;=RÉGUAS!$H$13,"LZ 03",IF(CC81&gt;RÉGUAS!$H$13,"LZ 04",))))</f>
        <v>LZ 02</v>
      </c>
      <c r="CE81" s="28">
        <f t="shared" si="8"/>
        <v>1410</v>
      </c>
      <c r="CF81" s="22" t="str">
        <f>IF(CE81&lt;=RÉGUAS!$D$22,"TIP 01",IF(CE81&lt;=RÉGUAS!$F$22,"TIP 02",IF(CE81&gt;RÉGUAS!$F$22,"TIP 03",)))</f>
        <v>TIP 01</v>
      </c>
      <c r="CG81" s="28">
        <f t="shared" si="9"/>
        <v>2090.6862745098038</v>
      </c>
      <c r="CH81" s="22" t="str">
        <f>IF(CG81&lt;=RÉGUAS!$D$32,"VAGA 01",IF(CG81&lt;=RÉGUAS!$F$32,"VAGA 02",IF(CG81&gt;RÉGUAS!$F$32,"VAGA 03",)))</f>
        <v>VAGA 02</v>
      </c>
      <c r="CI81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2097.375</v>
      </c>
      <c r="CJ81" s="85" t="str">
        <f>IF(AND(G81="BLOCO",CI81&lt;=RÉGUAS!$D$40),"ELEV 01",IF(AND(G81="BLOCO",CI81&gt;RÉGUAS!$D$40),"ELEV 02",IF(AND(G81="TORRE",CI81&lt;=RÉGUAS!$K$40),"ELEV 01",IF(AND(G81="TORRE",CI81&lt;=RÉGUAS!$M$40),"ELEV 02",IF(AND(G81="TORRE",CI81&gt;RÉGUAS!$M$40),"ELEV 03",)))))</f>
        <v>ELEV 01</v>
      </c>
      <c r="CK81" s="85">
        <f>SUM(Tabela13[[#This Row],[TOTAL  ACAB]],Tabela13[[#This Row],[TOTAL LAZER ]],Tabela13[[#This Row],[TOTAL TIPOLOGIA]],Tabela13[[#This Row],[TOTAL VAGA]],Tabela13[[#This Row],[TOTAL ELEVADOR]])</f>
        <v>11772.236764705882</v>
      </c>
      <c r="CL81" s="72" t="str">
        <f>IF(AND(G81="BLOCO",CK81&lt;=RÉGUAS!$D$50),"ESSENCIAL",IF(AND(G81="BLOCO",CK81&lt;=RÉGUAS!$F$50),"ECO",IF(AND(G81="BLOCO",CK81&gt;RÉGUAS!$F$50),"BIO",IF(AND(G81="TORRE",CK81&lt;=RÉGUAS!$K$50),"ESSENCIAL",IF(AND(G81="TORRE",CK81&lt;=RÉGUAS!$M$50),"ECO",IF(AND(G81="TORRE",CK81&gt;RÉGUAS!$M$50),"BIO",))))))</f>
        <v>ECO</v>
      </c>
      <c r="CM81" s="28" t="str">
        <f>IF(AND(G81="BLOCO",CK81&gt;=RÉGUAS!$D$51,CK81&lt;=RÉGUAS!$D$50),"ESSENCIAL-10%",IF(AND(G81="BLOCO",CK81&gt;RÉGUAS!$D$50,CK81&lt;=RÉGUAS!$E$51),"ECO+10%",IF(AND(G81="BLOCO",CK81&gt;=RÉGUAS!$F$51,CK81&lt;=RÉGUAS!$F$50),"ECO-10%",IF(AND(G81="BLOCO",CK81&gt;RÉGUAS!$F$50,CK81&lt;=RÉGUAS!$G$51),"BIO+10%",IF(AND(G81="TORRE",CK81&gt;=RÉGUAS!$K$51,CK81&lt;=RÉGUAS!$K$50),"ESSENCIAL-10%",IF(AND(G81="TORRE",CK81&gt;RÉGUAS!$K$50,CK81&lt;=RÉGUAS!$L$51),"ECO+10%",IF(AND(G81="TORRE",CK81&gt;=RÉGUAS!$M$51,CK81&lt;=RÉGUAS!$M$50),"ECO-10%",IF(AND(G81="TORRE",CK81&gt;RÉGUAS!$M$50,CK81&lt;=RÉGUAS!$N$51),"BIO+10%","-"))))))))</f>
        <v>-</v>
      </c>
      <c r="CN81" s="73">
        <f t="shared" si="10"/>
        <v>9674.8617647058818</v>
      </c>
      <c r="CO81" s="72" t="str">
        <f>IF(CN81&lt;=RÉGUAS!$D$58,"ESSENCIAL",IF(CN81&lt;=RÉGUAS!$F$58,"ECO",IF(CN81&gt;RÉGUAS!$F$58,"BIO",)))</f>
        <v>ECO</v>
      </c>
      <c r="CP81" s="72" t="str">
        <f>IF(Tabela13[[#This Row],[INTERVALO DE INTERSEÇÃO 5D]]="-",Tabela13[[#This Row],[CLASSIFICAÇÃO 
5D ]],Tabela13[[#This Row],[CLASSIFICAÇÃO 
4D]])</f>
        <v>ECO</v>
      </c>
      <c r="CQ81" s="72" t="str">
        <f t="shared" si="11"/>
        <v>-</v>
      </c>
      <c r="CR81" s="72" t="str">
        <f t="shared" si="12"/>
        <v>ECO</v>
      </c>
      <c r="CS81" s="22" t="str">
        <f>IF(Tabela13[[#This Row],[PRODUTO ATUAL ]]=Tabela13[[#This Row],[CLASSIFICAÇÃO FINAL 5D]],"ADERÊNTE","NÃO ADERÊNTE")</f>
        <v>ADERÊNTE</v>
      </c>
      <c r="CT81" s="24">
        <f>SUM(Tabela13[[#This Row],[TOTAL  ACAB]],Tabela13[[#This Row],[TOTAL LAZER ]],Tabela13[[#This Row],[TOTAL TIPOLOGIA]],Tabela13[[#This Row],[TOTAL VAGA]])</f>
        <v>9674.8617647058818</v>
      </c>
      <c r="CU81" s="22" t="str">
        <f>IF(CT81&lt;=RÉGUAS!$D$58,"ESSENCIAL",IF(CT81&lt;=RÉGUAS!$F$58,"ECO",IF(CT81&gt;RÉGUAS!$F$58,"BIO",)))</f>
        <v>ECO</v>
      </c>
      <c r="CV81" s="22" t="str">
        <f>IF(AND(CT81&gt;=RÉGUAS!$D$59,CT81&lt;=RÉGUAS!$E$59),"ESSENCIAL/ECO",IF(AND(CT81&gt;=RÉGUAS!$F$59,CT81&lt;=RÉGUAS!$G$59),"ECO/BIO","-"))</f>
        <v>-</v>
      </c>
      <c r="CW81" s="85">
        <f>SUM(Tabela13[[#This Row],[TOTAL LAZER ]],Tabela13[[#This Row],[TOTAL TIPOLOGIA]])</f>
        <v>2734.1754901960785</v>
      </c>
      <c r="CX81" s="22" t="str">
        <f>IF(CW81&lt;=RÉGUAS!$D$72,"ESSENCIAL",IF(CW81&lt;=RÉGUAS!$F$72,"ECO",IF(CN81&gt;RÉGUAS!$F$72,"BIO",)))</f>
        <v>ECO</v>
      </c>
      <c r="CY81" s="22" t="str">
        <f t="shared" si="13"/>
        <v>ECO</v>
      </c>
      <c r="CZ81" s="22" t="str">
        <f>IF(Tabela13[[#This Row],[PRODUTO ATUAL ]]=CY81,"ADERENTE","NÃO ADERENTE")</f>
        <v>ADERENTE</v>
      </c>
      <c r="DA81" s="22" t="str">
        <f>IF(Tabela13[[#This Row],[PRODUTO ATUAL ]]=Tabela13[[#This Row],[CLASSIFICAÇÃO 
4D2]],"ADERENTE","NÃO ADERENTE")</f>
        <v>ADERENTE</v>
      </c>
    </row>
    <row r="82" spans="2:105" x14ac:dyDescent="0.35">
      <c r="B82" s="27">
        <v>70</v>
      </c>
      <c r="C82" s="22" t="s">
        <v>227</v>
      </c>
      <c r="D82" s="22" t="s">
        <v>131</v>
      </c>
      <c r="E82" s="134">
        <v>320</v>
      </c>
      <c r="F82" s="22" t="str">
        <f t="shared" si="7"/>
        <v>De 200 a 400 und</v>
      </c>
      <c r="G82" s="133" t="s">
        <v>1</v>
      </c>
      <c r="H82" s="135">
        <v>4</v>
      </c>
      <c r="I82" s="135">
        <v>5</v>
      </c>
      <c r="J82" s="36"/>
      <c r="K82" s="36"/>
      <c r="L82" s="36">
        <f>SUM(Tabela13[[#This Row],[QTD DE B/T 2]],Tabela13[[#This Row],[QTD DE B/T]])</f>
        <v>4</v>
      </c>
      <c r="M82" s="22">
        <v>0</v>
      </c>
      <c r="N82" s="22">
        <f>Tabela13[[#This Row],[ELEVADOR]]/Tabela13[[#This Row],[BLOCO TOTAL]]</f>
        <v>0</v>
      </c>
      <c r="O82" s="22" t="s">
        <v>5</v>
      </c>
      <c r="P82" s="133" t="s">
        <v>101</v>
      </c>
      <c r="Q82" s="22" t="s">
        <v>101</v>
      </c>
      <c r="R82" s="133" t="s">
        <v>142</v>
      </c>
      <c r="S82" s="133" t="s">
        <v>103</v>
      </c>
      <c r="T82" s="133" t="s">
        <v>173</v>
      </c>
      <c r="U82" s="133" t="s">
        <v>105</v>
      </c>
      <c r="V82" s="22" t="s">
        <v>106</v>
      </c>
      <c r="W82" s="24">
        <f>IF(P82=[1]BD_CUSTO!$E$4,[1]BD_CUSTO!$F$4,[1]BD_CUSTO!$F$5)</f>
        <v>2430</v>
      </c>
      <c r="X82" s="24">
        <f>IF(Q82=[1]BD_CUSTO!$E$6,[1]BD_CUSTO!$F$6,[1]BD_CUSTO!$F$7)</f>
        <v>260</v>
      </c>
      <c r="Y82" s="24">
        <f>IF(R82=[1]BD_CUSTO!$E$8,[1]BD_CUSTO!$F$8,[1]BD_CUSTO!$F$9)</f>
        <v>900</v>
      </c>
      <c r="Z82" s="24">
        <f>IF(S82=[1]BD_CUSTO!$E$10,[1]BD_CUSTO!$F$10,[1]BD_CUSTO!$F$11)</f>
        <v>500</v>
      </c>
      <c r="AA82" s="24">
        <f>IF(T82=[1]BD_CUSTO!$E$12,[1]BD_CUSTO!$F$12,[1]BD_CUSTO!$F$13)</f>
        <v>930</v>
      </c>
      <c r="AB82" s="24">
        <f>IF(U82=[1]BD_CUSTO!$E$14,[1]BD_CUSTO!$F$14,[1]BD_CUSTO!$F$15)</f>
        <v>90</v>
      </c>
      <c r="AC82" s="24">
        <f>IF(V82=[1]BD_CUSTO!$E$16,[1]BD_CUSTO!$F$16,[1]BD_CUSTO!$F$17)</f>
        <v>720</v>
      </c>
      <c r="AD82" s="133" t="s">
        <v>120</v>
      </c>
      <c r="AE82" s="133">
        <v>1</v>
      </c>
      <c r="AF82" s="133" t="s">
        <v>109</v>
      </c>
      <c r="AG82" s="133">
        <v>1</v>
      </c>
      <c r="AH82" s="133" t="s">
        <v>175</v>
      </c>
      <c r="AI82" s="133">
        <v>1</v>
      </c>
      <c r="AJ82" s="133" t="s">
        <v>121</v>
      </c>
      <c r="AK82" s="133">
        <v>1</v>
      </c>
      <c r="AL82" s="133" t="s">
        <v>108</v>
      </c>
      <c r="AM82" s="133">
        <v>1</v>
      </c>
      <c r="AN82" s="133" t="s">
        <v>107</v>
      </c>
      <c r="AO82" s="133">
        <v>1</v>
      </c>
      <c r="AP82" s="133" t="s">
        <v>126</v>
      </c>
      <c r="AQ82" s="133">
        <v>1</v>
      </c>
      <c r="AR82" s="133" t="s">
        <v>110</v>
      </c>
      <c r="AS82" s="133">
        <v>1</v>
      </c>
      <c r="AT82" s="133" t="s">
        <v>129</v>
      </c>
      <c r="AU82" s="133">
        <v>1</v>
      </c>
      <c r="AV82" s="22"/>
      <c r="AW82" s="22"/>
      <c r="AX82" s="24">
        <f>IF(AD82="",0,VLOOKUP(AD82,[1]BD_CUSTO!I:J,2,0)*AE82/E82)</f>
        <v>177.84025</v>
      </c>
      <c r="AY82" s="24">
        <f>IF(AF82="",0,VLOOKUP(AF82,[1]BD_CUSTO!I:J,2,0)*AG82/E82)</f>
        <v>21.71875</v>
      </c>
      <c r="AZ82" s="24">
        <f>IF(AH82="",0,VLOOKUP(AH82,[1]BD_CUSTO!I:J,2,0)*AI82/E82)</f>
        <v>33.71875</v>
      </c>
      <c r="BA82" s="24">
        <f>IF(AJ82="",0,VLOOKUP(AJ82,[1]BD_CUSTO!I:J,2,0)*AK82/E82)</f>
        <v>384.86531249999996</v>
      </c>
      <c r="BB82" s="24">
        <f>IF(AL82="",0,VLOOKUP(AL82,[1]BD_CUSTO!I:J,2,0)*AM82/E82)</f>
        <v>72.34375</v>
      </c>
      <c r="BC82" s="24">
        <f>IF(AN82="",0,VLOOKUP(AN82,[1]BD_CUSTO!I:J,2,0)*AO82/E82)</f>
        <v>266.09100000000001</v>
      </c>
      <c r="BD82" s="24">
        <f>IF(AP82="",0,VLOOKUP(AP82,[1]BD_CUSTO!I:J,2,0)*AQ82/E82)</f>
        <v>23.625</v>
      </c>
      <c r="BE82" s="24">
        <f>IF(AR82="",0,VLOOKUP(AR82,CUSTO!I:J,2,0)*AS82/E82)</f>
        <v>16.5625</v>
      </c>
      <c r="BF82" s="24">
        <f>IF(AT82="",0,VLOOKUP(AT82,[1]BD_CUSTO!I:J,2,0)*AU82/E82)</f>
        <v>859.89868750000005</v>
      </c>
      <c r="BG82" s="24">
        <f>IF(Tabela13[[#This Row],[LZ 10]]="",0,VLOOKUP(Tabela13[[#This Row],[LZ 10]],[1]BD_CUSTO!I:J,2,0)*Tabela13[[#This Row],[QTD922]]/E82)</f>
        <v>0</v>
      </c>
      <c r="BH82" s="22" t="s">
        <v>112</v>
      </c>
      <c r="BI82" s="25">
        <f>(288+10)/Tabela13[[#This Row],[Nº UNDS]]</f>
        <v>0.93125000000000002</v>
      </c>
      <c r="BJ82" s="22" t="s">
        <v>212</v>
      </c>
      <c r="BK82" s="25"/>
      <c r="BL82" s="24">
        <f>IF(BH82=[1]BD_CUSTO!$M$6,[1]BD_CUSTO!$N$6)*BI82</f>
        <v>2793.75</v>
      </c>
      <c r="BM82" s="24">
        <f>IF(BJ82=[1]BD_CUSTO!$M$4,[1]BD_CUSTO!$N$4,[1]BD_CUSTO!$N$5)*BK82</f>
        <v>0</v>
      </c>
      <c r="BN82" s="133" t="s">
        <v>114</v>
      </c>
      <c r="BO82" s="133">
        <f>185-31</f>
        <v>154</v>
      </c>
      <c r="BP82" s="25">
        <f>Tabela13[[#This Row],[QTD ]]/Tabela13[[#This Row],[Nº UNDS]]</f>
        <v>0.48125000000000001</v>
      </c>
      <c r="BQ82" s="22" t="s">
        <v>123</v>
      </c>
      <c r="BR82" s="22">
        <v>51</v>
      </c>
      <c r="BS82" s="22" t="s">
        <v>116</v>
      </c>
      <c r="BT82" s="22">
        <v>0</v>
      </c>
      <c r="BU82" s="22" t="s">
        <v>16</v>
      </c>
      <c r="BV82" s="22">
        <v>0</v>
      </c>
      <c r="BW82" s="24">
        <f>IF(BN82=[1]BD_CUSTO!$Q$7,[1]BD_CUSTO!$R$7,[1]BD_CUSTO!$R$8)*BO82/E82</f>
        <v>962.5</v>
      </c>
      <c r="BX82" s="24">
        <f>IF(BQ82=[1]BD_CUSTO!$Q$4,[1]BD_CUSTO!$R$4,[1]BD_CUSTO!$R$5)*BR82/E82</f>
        <v>159.375</v>
      </c>
      <c r="BY82" s="22">
        <f>IF(BS82=[1]BD_CUSTO!$Q$13,[1]BD_CUSTO!$R$13,[1]BD_CUSTO!$R$14)*BT82/E82</f>
        <v>0</v>
      </c>
      <c r="BZ82" s="24">
        <f>BV82*CUSTO!$R$10/E82</f>
        <v>0</v>
      </c>
      <c r="CA82" s="26">
        <f>SUM(Tabela13[[#This Row],[SOMA_PISO SALA E QUARTO]],Tabela13[[#This Row],[SOMA_PAREDE HIDR]],Tabela13[[#This Row],[SOMA_TETO]],Tabela13[[#This Row],[SOMA_BANCADA]],Tabela13[[#This Row],[SOMA_PEDRAS]])</f>
        <v>4850</v>
      </c>
      <c r="CB82" s="27" t="str">
        <f>IF(CA82&lt;=RÉGUAS!$D$4,"ACAB 01",IF(CA82&lt;=RÉGUAS!$F$4,"ACAB 02",IF(CA82&gt;RÉGUAS!$F$4,"ACAB 03",)))</f>
        <v>ACAB 03</v>
      </c>
      <c r="CC82" s="26">
        <f>SUM(Tabela13[[#This Row],[SOMA_LZ 01]:[SOMA_LZ 10]])</f>
        <v>1856.664</v>
      </c>
      <c r="CD82" s="22" t="str">
        <f>IF(CC82&lt;=RÉGUAS!$D$13,"LZ 01",IF(CC82&lt;=RÉGUAS!$F$13,"LZ 02",IF(CC82&lt;=RÉGUAS!$H$13,"LZ 03",IF(CC82&gt;RÉGUAS!$H$13,"LZ 04",))))</f>
        <v>LZ 03</v>
      </c>
      <c r="CE82" s="28">
        <f t="shared" si="8"/>
        <v>2793.75</v>
      </c>
      <c r="CF82" s="22" t="str">
        <f>IF(CE82&lt;=RÉGUAS!$D$22,"TIP 01",IF(CE82&lt;=RÉGUAS!$F$22,"TIP 02",IF(CE82&gt;RÉGUAS!$F$22,"TIP 03",)))</f>
        <v>TIP 02</v>
      </c>
      <c r="CG82" s="28">
        <f t="shared" si="9"/>
        <v>1121.875</v>
      </c>
      <c r="CH82" s="22" t="str">
        <f>IF(CG82&lt;=RÉGUAS!$D$32,"VAGA 01",IF(CG82&lt;=RÉGUAS!$F$32,"VAGA 02",IF(CG82&gt;RÉGUAS!$F$32,"VAGA 03",)))</f>
        <v>VAGA 01</v>
      </c>
      <c r="CI82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0</v>
      </c>
      <c r="CJ82" s="85" t="str">
        <f>IF(AND(G82="BLOCO",CI82&lt;=RÉGUAS!$D$40),"ELEV 01",IF(AND(G82="BLOCO",CI82&gt;RÉGUAS!$D$40),"ELEV 02",IF(AND(G82="TORRE",CI82&lt;=RÉGUAS!$K$40),"ELEV 01",IF(AND(G82="TORRE",CI82&lt;=RÉGUAS!$M$40),"ELEV 02",IF(AND(G82="TORRE",CI82&gt;RÉGUAS!$M$40),"ELEV 03",)))))</f>
        <v>ELEV 01</v>
      </c>
      <c r="CK82" s="85">
        <f>SUM(Tabela13[[#This Row],[TOTAL  ACAB]],Tabela13[[#This Row],[TOTAL LAZER ]],Tabela13[[#This Row],[TOTAL TIPOLOGIA]],Tabela13[[#This Row],[TOTAL VAGA]],Tabela13[[#This Row],[TOTAL ELEVADOR]])</f>
        <v>10622.289000000001</v>
      </c>
      <c r="CL82" s="72" t="str">
        <f>IF(AND(G82="BLOCO",CK82&lt;=RÉGUAS!$D$50),"ESSENCIAL",IF(AND(G82="BLOCO",CK82&lt;=RÉGUAS!$F$50),"ECO",IF(AND(G82="BLOCO",CK82&gt;RÉGUAS!$F$50),"BIO",IF(AND(G82="TORRE",CK82&lt;=RÉGUAS!$K$50),"ESSENCIAL",IF(AND(G82="TORRE",CK82&lt;=RÉGUAS!$M$50),"ECO",IF(AND(G82="TORRE",CK82&gt;RÉGUAS!$M$50),"BIO",))))))</f>
        <v>ECO</v>
      </c>
      <c r="CM82" s="28" t="str">
        <f>IF(AND(G82="BLOCO",CK82&gt;=RÉGUAS!$D$51,CK82&lt;=RÉGUAS!$D$50),"ESSENCIAL-10%",IF(AND(G82="BLOCO",CK82&gt;RÉGUAS!$D$50,CK82&lt;=RÉGUAS!$E$51),"ECO+10%",IF(AND(G82="BLOCO",CK82&gt;=RÉGUAS!$F$51,CK82&lt;=RÉGUAS!$F$50),"ECO-10%",IF(AND(G82="BLOCO",CK82&gt;RÉGUAS!$F$50,CK82&lt;=RÉGUAS!$G$51),"BIO+10%",IF(AND(G82="TORRE",CK82&gt;=RÉGUAS!$K$51,CK82&lt;=RÉGUAS!$K$50),"ESSENCIAL-10%",IF(AND(G82="TORRE",CK82&gt;RÉGUAS!$K$50,CK82&lt;=RÉGUAS!$L$51),"ECO+10%",IF(AND(G82="TORRE",CK82&gt;=RÉGUAS!$M$51,CK82&lt;=RÉGUAS!$M$50),"ECO-10%",IF(AND(G82="TORRE",CK82&gt;RÉGUAS!$M$50,CK82&lt;=RÉGUAS!$N$51),"BIO+10%","-"))))))))</f>
        <v>ECO-10%</v>
      </c>
      <c r="CN82" s="73">
        <f t="shared" si="10"/>
        <v>10622.289000000001</v>
      </c>
      <c r="CO82" s="72" t="str">
        <f>IF(CN82&lt;=RÉGUAS!$D$58,"ESSENCIAL",IF(CN82&lt;=RÉGUAS!$F$58,"ECO",IF(CN82&gt;RÉGUAS!$F$58,"BIO",)))</f>
        <v>ECO</v>
      </c>
      <c r="CP82" s="72" t="str">
        <f>IF(Tabela13[[#This Row],[INTERVALO DE INTERSEÇÃO 5D]]="-",Tabela13[[#This Row],[CLASSIFICAÇÃO 
5D ]],Tabela13[[#This Row],[CLASSIFICAÇÃO 
4D]])</f>
        <v>ECO</v>
      </c>
      <c r="CQ82" s="72" t="str">
        <f t="shared" si="11"/>
        <v>-</v>
      </c>
      <c r="CR82" s="72" t="str">
        <f t="shared" si="12"/>
        <v>ECO</v>
      </c>
      <c r="CS82" s="22" t="str">
        <f>IF(Tabela13[[#This Row],[PRODUTO ATUAL ]]=Tabela13[[#This Row],[CLASSIFICAÇÃO FINAL 5D]],"ADERÊNTE","NÃO ADERÊNTE")</f>
        <v>ADERÊNTE</v>
      </c>
      <c r="CT82" s="24">
        <f>SUM(Tabela13[[#This Row],[TOTAL  ACAB]],Tabela13[[#This Row],[TOTAL LAZER ]],Tabela13[[#This Row],[TOTAL TIPOLOGIA]],Tabela13[[#This Row],[TOTAL VAGA]])</f>
        <v>10622.289000000001</v>
      </c>
      <c r="CU82" s="22" t="str">
        <f>IF(CT82&lt;=RÉGUAS!$D$58,"ESSENCIAL",IF(CT82&lt;=RÉGUAS!$F$58,"ECO",IF(CT82&gt;RÉGUAS!$F$58,"BIO",)))</f>
        <v>ECO</v>
      </c>
      <c r="CV82" s="22" t="str">
        <f>IF(AND(CT82&gt;=RÉGUAS!$D$59,CT82&lt;=RÉGUAS!$E$59),"ESSENCIAL/ECO",IF(AND(CT82&gt;=RÉGUAS!$F$59,CT82&lt;=RÉGUAS!$G$59),"ECO/BIO","-"))</f>
        <v>ECO/BIO</v>
      </c>
      <c r="CW82" s="85">
        <f>SUM(Tabela13[[#This Row],[TOTAL LAZER ]],Tabela13[[#This Row],[TOTAL TIPOLOGIA]])</f>
        <v>4650.4139999999998</v>
      </c>
      <c r="CX82" s="22" t="str">
        <f>IF(CW82&lt;=RÉGUAS!$D$72,"ESSENCIAL",IF(CW82&lt;=RÉGUAS!$F$72,"ECO",IF(CN82&gt;RÉGUAS!$F$72,"BIO",)))</f>
        <v>BIO</v>
      </c>
      <c r="CY82" s="22" t="str">
        <f t="shared" si="13"/>
        <v>BIO</v>
      </c>
      <c r="CZ82" s="22" t="str">
        <f>IF(Tabela13[[#This Row],[PRODUTO ATUAL ]]=CY82,"ADERENTE","NÃO ADERENTE")</f>
        <v>NÃO ADERENTE</v>
      </c>
      <c r="DA82" s="22" t="str">
        <f>IF(Tabela13[[#This Row],[PRODUTO ATUAL ]]=Tabela13[[#This Row],[CLASSIFICAÇÃO 
4D2]],"ADERENTE","NÃO ADERENTE")</f>
        <v>ADERENTE</v>
      </c>
    </row>
    <row r="83" spans="2:105" s="217" customFormat="1" x14ac:dyDescent="0.35">
      <c r="B83" s="218">
        <v>64</v>
      </c>
      <c r="C83" s="219" t="s">
        <v>236</v>
      </c>
      <c r="D83" s="219" t="s">
        <v>128</v>
      </c>
      <c r="E83" s="220">
        <v>360</v>
      </c>
      <c r="F83" s="219" t="str">
        <f t="shared" si="7"/>
        <v>De 200 a 400 und</v>
      </c>
      <c r="G83" s="219" t="s">
        <v>14</v>
      </c>
      <c r="H83" s="221">
        <v>2</v>
      </c>
      <c r="I83" s="221">
        <v>15</v>
      </c>
      <c r="J83" s="221"/>
      <c r="K83" s="221"/>
      <c r="L83" s="221">
        <f>SUM(Tabela13[[#This Row],[QTD DE B/T 2]],Tabela13[[#This Row],[QTD DE B/T]])</f>
        <v>2</v>
      </c>
      <c r="M83" s="219">
        <v>6</v>
      </c>
      <c r="N83" s="219">
        <f>Tabela13[[#This Row],[ELEVADOR]]/Tabela13[[#This Row],[BLOCO TOTAL]]</f>
        <v>3</v>
      </c>
      <c r="O83" s="219" t="s">
        <v>5</v>
      </c>
      <c r="P83" s="219" t="s">
        <v>101</v>
      </c>
      <c r="Q83" s="219" t="s">
        <v>101</v>
      </c>
      <c r="R83" s="219" t="s">
        <v>142</v>
      </c>
      <c r="S83" s="219" t="s">
        <v>103</v>
      </c>
      <c r="T83" s="219" t="s">
        <v>104</v>
      </c>
      <c r="U83" s="219" t="s">
        <v>105</v>
      </c>
      <c r="V83" s="219" t="s">
        <v>106</v>
      </c>
      <c r="W83" s="222">
        <f>IF(P83=[1]BD_CUSTO!$E$4,[1]BD_CUSTO!$F$4,[1]BD_CUSTO!$F$5)</f>
        <v>2430</v>
      </c>
      <c r="X83" s="222">
        <f>IF(Q83=[1]BD_CUSTO!$E$6,[1]BD_CUSTO!$F$6,[1]BD_CUSTO!$F$7)</f>
        <v>260</v>
      </c>
      <c r="Y83" s="222">
        <f>IF(R83=[1]BD_CUSTO!$E$8,[1]BD_CUSTO!$F$8,[1]BD_CUSTO!$F$9)</f>
        <v>900</v>
      </c>
      <c r="Z83" s="222">
        <f>IF(S83=[1]BD_CUSTO!$E$10,[1]BD_CUSTO!$F$10,[1]BD_CUSTO!$F$11)</f>
        <v>500</v>
      </c>
      <c r="AA83" s="222">
        <f>IF(T83=[1]BD_CUSTO!$E$12,[1]BD_CUSTO!$F$12,[1]BD_CUSTO!$F$13)</f>
        <v>370</v>
      </c>
      <c r="AB83" s="222">
        <f>IF(U83=[1]BD_CUSTO!$E$14,[1]BD_CUSTO!$F$14,[1]BD_CUSTO!$F$15)</f>
        <v>90</v>
      </c>
      <c r="AC83" s="222">
        <f>IF(V83=[1]BD_CUSTO!$E$16,[1]BD_CUSTO!$F$16,[1]BD_CUSTO!$F$17)</f>
        <v>720</v>
      </c>
      <c r="AD83" s="219" t="s">
        <v>107</v>
      </c>
      <c r="AE83" s="219">
        <v>1</v>
      </c>
      <c r="AF83" s="219" t="s">
        <v>121</v>
      </c>
      <c r="AG83" s="219">
        <v>1</v>
      </c>
      <c r="AH83" s="219" t="s">
        <v>175</v>
      </c>
      <c r="AI83" s="219">
        <v>1</v>
      </c>
      <c r="AJ83" s="219" t="s">
        <v>108</v>
      </c>
      <c r="AK83" s="219">
        <v>1</v>
      </c>
      <c r="AL83" s="219" t="s">
        <v>139</v>
      </c>
      <c r="AM83" s="219">
        <v>1</v>
      </c>
      <c r="AN83" s="219" t="s">
        <v>109</v>
      </c>
      <c r="AO83" s="219">
        <v>1</v>
      </c>
      <c r="AP83" s="219" t="s">
        <v>110</v>
      </c>
      <c r="AQ83" s="219">
        <v>1</v>
      </c>
      <c r="AR83" s="219"/>
      <c r="AS83" s="219"/>
      <c r="AT83" s="219"/>
      <c r="AU83" s="219"/>
      <c r="AV83" s="219"/>
      <c r="AW83" s="219"/>
      <c r="AX83" s="222">
        <f>IF(AD83="",0,VLOOKUP(AD83,[1]BD_CUSTO!I:J,2,0)*AE83/E83)</f>
        <v>236.52533333333332</v>
      </c>
      <c r="AY83" s="222">
        <f>IF(AF83="",0,VLOOKUP(AF83,[1]BD_CUSTO!I:J,2,0)*AG83/E83)</f>
        <v>342.10249999999996</v>
      </c>
      <c r="AZ83" s="222">
        <f>IF(AH83="",0,VLOOKUP(AH83,[1]BD_CUSTO!I:J,2,0)*AI83/E83)</f>
        <v>29.972222222222221</v>
      </c>
      <c r="BA83" s="222">
        <f>IF(AJ83="",0,VLOOKUP(AJ83,[1]BD_CUSTO!I:J,2,0)*AK83/E83)</f>
        <v>64.305555555555557</v>
      </c>
      <c r="BB83" s="222">
        <f>IF(AL83="",0,VLOOKUP(AL83,[1]BD_CUSTO!I:J,2,0)*AM83/E83)</f>
        <v>172.65644444444445</v>
      </c>
      <c r="BC83" s="222">
        <f>IF(AN83="",0,VLOOKUP(AN83,[1]BD_CUSTO!I:J,2,0)*AO83/E83)</f>
        <v>19.305555555555557</v>
      </c>
      <c r="BD83" s="222">
        <f>IF(AP83="",0,VLOOKUP(AP83,[1]BD_CUSTO!I:J,2,0)*AQ83/E83)</f>
        <v>14.722222222222221</v>
      </c>
      <c r="BE83" s="222">
        <f>IF(AR83="",0,VLOOKUP(AR83,CUSTO!I:J,2,0)*AS83/E83)</f>
        <v>0</v>
      </c>
      <c r="BF83" s="222">
        <f>IF(AT83="",0,VLOOKUP(AT83,[1]BD_CUSTO!I:J,2,0)*AU83/E83)</f>
        <v>0</v>
      </c>
      <c r="BG83" s="222">
        <f>IF(Tabela13[[#This Row],[LZ 10]]="",0,VLOOKUP(Tabela13[[#This Row],[LZ 10]],[1]BD_CUSTO!I:J,2,0)*Tabela13[[#This Row],[QTD922]]/E83)</f>
        <v>0</v>
      </c>
      <c r="BH83" s="219" t="s">
        <v>112</v>
      </c>
      <c r="BI83" s="223">
        <f>(112+224)/Tabela13[[#This Row],[Nº UNDS]]</f>
        <v>0.93333333333333335</v>
      </c>
      <c r="BJ83" s="219" t="s">
        <v>212</v>
      </c>
      <c r="BK83" s="223">
        <f>(112+8)/Tabela13[[#This Row],[Nº UNDS]]</f>
        <v>0.33333333333333331</v>
      </c>
      <c r="BL83" s="222">
        <f>IF(BH83=[1]BD_CUSTO!$M$6,[1]BD_CUSTO!$N$6)*BI83</f>
        <v>2800</v>
      </c>
      <c r="BM83" s="222">
        <f>IF(BJ83=[1]BD_CUSTO!$M$4,[1]BD_CUSTO!$N$4,[1]BD_CUSTO!$N$5)*BK83</f>
        <v>2000</v>
      </c>
      <c r="BN83" s="219" t="s">
        <v>114</v>
      </c>
      <c r="BO83" s="219">
        <f>212-21</f>
        <v>191</v>
      </c>
      <c r="BP83" s="223">
        <f>Tabela13[[#This Row],[QTD ]]/Tabela13[[#This Row],[Nº UNDS]]</f>
        <v>0.53055555555555556</v>
      </c>
      <c r="BQ83" s="219" t="s">
        <v>123</v>
      </c>
      <c r="BR83" s="219">
        <v>21</v>
      </c>
      <c r="BS83" s="219" t="s">
        <v>116</v>
      </c>
      <c r="BT83" s="219">
        <v>0</v>
      </c>
      <c r="BU83" s="219" t="s">
        <v>16</v>
      </c>
      <c r="BV83" s="219">
        <v>0</v>
      </c>
      <c r="BW83" s="222">
        <f>IF(BN83=[1]BD_CUSTO!$Q$7,[1]BD_CUSTO!$R$7,[1]BD_CUSTO!$R$8)*BO83/E83</f>
        <v>1061.1111111111111</v>
      </c>
      <c r="BX83" s="222">
        <f>IF(BQ83=[1]BD_CUSTO!$Q$4,[1]BD_CUSTO!$R$4,[1]BD_CUSTO!$R$5)*BR83/E83</f>
        <v>58.333333333333336</v>
      </c>
      <c r="BY83" s="219">
        <f>IF(BS83=[1]BD_CUSTO!$Q$13,[1]BD_CUSTO!$R$13,[1]BD_CUSTO!$R$14)*BT83/E83</f>
        <v>0</v>
      </c>
      <c r="BZ83" s="222">
        <f>BV83*CUSTO!$R$10/E83</f>
        <v>0</v>
      </c>
      <c r="CA83" s="224">
        <f>SUM(Tabela13[[#This Row],[SOMA_PISO SALA E QUARTO]],Tabela13[[#This Row],[SOMA_PAREDE HIDR]],Tabela13[[#This Row],[SOMA_TETO]],Tabela13[[#This Row],[SOMA_BANCADA]],Tabela13[[#This Row],[SOMA_PEDRAS]])</f>
        <v>4290</v>
      </c>
      <c r="CB83" s="218" t="str">
        <f>IF(CA83&lt;=RÉGUAS!$D$4,"ACAB 01",IF(CA83&lt;=RÉGUAS!$F$4,"ACAB 02",IF(CA83&gt;RÉGUAS!$F$4,"ACAB 03",)))</f>
        <v>ACAB 02</v>
      </c>
      <c r="CC83" s="224">
        <f>SUM(Tabela13[[#This Row],[SOMA_LZ 01]:[SOMA_LZ 10]])</f>
        <v>879.5898333333331</v>
      </c>
      <c r="CD83" s="219" t="str">
        <f>IF(CC83&lt;=RÉGUAS!$D$13,"LZ 01",IF(CC83&lt;=RÉGUAS!$F$13,"LZ 02",IF(CC83&lt;=RÉGUAS!$H$13,"LZ 03",IF(CC83&gt;RÉGUAS!$H$13,"LZ 04",))))</f>
        <v>LZ 02</v>
      </c>
      <c r="CE83" s="225">
        <f t="shared" si="8"/>
        <v>4800</v>
      </c>
      <c r="CF83" s="219" t="str">
        <f>IF(CE83&lt;=RÉGUAS!$D$22,"TIP 01",IF(CE83&lt;=RÉGUAS!$F$22,"TIP 02",IF(CE83&gt;RÉGUAS!$F$22,"TIP 03",)))</f>
        <v>TIP 03</v>
      </c>
      <c r="CG83" s="225">
        <f t="shared" si="9"/>
        <v>1119.4444444444443</v>
      </c>
      <c r="CH83" s="219" t="str">
        <f>IF(CG83&lt;=RÉGUAS!$D$32,"VAGA 01",IF(CG83&lt;=RÉGUAS!$F$32,"VAGA 02",IF(CG83&gt;RÉGUAS!$F$32,"VAGA 03",)))</f>
        <v>VAGA 01</v>
      </c>
      <c r="CI83" s="226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4194.75</v>
      </c>
      <c r="CJ83" s="226" t="str">
        <f>IF(AND(G83="BLOCO",CI83&lt;=RÉGUAS!$D$40),"ELEV 01",IF(AND(G83="BLOCO",CI83&gt;RÉGUAS!$D$40),"ELEV 02",IF(AND(G83="TORRE",CI83&lt;=RÉGUAS!$K$40),"ELEV 01",IF(AND(G83="TORRE",CI83&lt;=RÉGUAS!$M$40),"ELEV 02",IF(AND(G83="TORRE",CI83&gt;RÉGUAS!$M$40),"ELEV 03",)))))</f>
        <v>ELEV 03</v>
      </c>
      <c r="CK83" s="85">
        <f>SUM(Tabela13[[#This Row],[TOTAL  ACAB]],Tabela13[[#This Row],[TOTAL LAZER ]],Tabela13[[#This Row],[TOTAL TIPOLOGIA]],Tabela13[[#This Row],[TOTAL VAGA]],Tabela13[[#This Row],[TOTAL ELEVADOR]])</f>
        <v>15283.784277777777</v>
      </c>
      <c r="CL83" s="72" t="str">
        <f>IF(AND(G83="BLOCO",CK83&lt;=RÉGUAS!$D$50),"ESSENCIAL",IF(AND(G83="BLOCO",CK83&lt;=RÉGUAS!$F$50),"ECO",IF(AND(G83="BLOCO",CK83&gt;RÉGUAS!$F$50),"BIO",IF(AND(G83="TORRE",CK83&lt;=RÉGUAS!$K$50),"ESSENCIAL",IF(AND(G83="TORRE",CK83&lt;=RÉGUAS!$M$50),"ECO",IF(AND(G83="TORRE",CK83&gt;RÉGUAS!$M$50),"BIO",))))))</f>
        <v>BIO</v>
      </c>
      <c r="CM83" s="28" t="str">
        <f>IF(AND(G83="BLOCO",CK83&gt;=RÉGUAS!$D$51,CK83&lt;=RÉGUAS!$D$50),"ESSENCIAL-10%",IF(AND(G83="BLOCO",CK83&gt;RÉGUAS!$D$50,CK83&lt;=RÉGUAS!$E$51),"ECO+10%",IF(AND(G83="BLOCO",CK83&gt;=RÉGUAS!$F$51,CK83&lt;=RÉGUAS!$F$50),"ECO-10%",IF(AND(G83="BLOCO",CK83&gt;RÉGUAS!$F$50,CK83&lt;=RÉGUAS!$G$51),"BIO+10%",IF(AND(G83="TORRE",CK83&gt;=RÉGUAS!$K$51,CK83&lt;=RÉGUAS!$K$50),"ESSENCIAL-10%",IF(AND(G83="TORRE",CK83&gt;RÉGUAS!$K$50,CK83&lt;=RÉGUAS!$L$51),"ECO+10%",IF(AND(G83="TORRE",CK83&gt;=RÉGUAS!$M$51,CK83&lt;=RÉGUAS!$M$50),"ECO-10%",IF(AND(G83="TORRE",CK83&gt;RÉGUAS!$M$50,CK83&lt;=RÉGUAS!$N$51),"BIO+10%","-"))))))))</f>
        <v>BIO+10%</v>
      </c>
      <c r="CN83" s="73">
        <f t="shared" si="10"/>
        <v>11089.034277777777</v>
      </c>
      <c r="CO83" s="72" t="str">
        <f>IF(CN83&lt;=RÉGUAS!$D$58,"ESSENCIAL",IF(CN83&lt;=RÉGUAS!$F$58,"ECO",IF(CN83&gt;RÉGUAS!$F$58,"BIO",)))</f>
        <v>ECO</v>
      </c>
      <c r="CP83" s="72" t="str">
        <f>IF(Tabela13[[#This Row],[INTERVALO DE INTERSEÇÃO 5D]]="-",Tabela13[[#This Row],[CLASSIFICAÇÃO 
5D ]],Tabela13[[#This Row],[CLASSIFICAÇÃO 
4D]])</f>
        <v>ECO</v>
      </c>
      <c r="CQ83" s="72" t="str">
        <f t="shared" si="11"/>
        <v>-</v>
      </c>
      <c r="CR83" s="72" t="str">
        <f t="shared" si="12"/>
        <v>ECO</v>
      </c>
      <c r="CS83" s="22" t="str">
        <f>IF(Tabela13[[#This Row],[PRODUTO ATUAL ]]=Tabela13[[#This Row],[CLASSIFICAÇÃO FINAL 5D]],"ADERÊNTE","NÃO ADERÊNTE")</f>
        <v>ADERÊNTE</v>
      </c>
      <c r="CT83" s="222">
        <f>SUM(Tabela13[[#This Row],[TOTAL  ACAB]],Tabela13[[#This Row],[TOTAL LAZER ]],Tabela13[[#This Row],[TOTAL TIPOLOGIA]],Tabela13[[#This Row],[TOTAL VAGA]])</f>
        <v>11089.034277777777</v>
      </c>
      <c r="CU83" s="219" t="str">
        <f>IF(CT83&lt;=RÉGUAS!$D$58,"ESSENCIAL",IF(CT83&lt;=RÉGUAS!$F$58,"ECO",IF(CT83&gt;RÉGUAS!$F$58,"BIO",)))</f>
        <v>ECO</v>
      </c>
      <c r="CV83" s="219" t="str">
        <f>IF(AND(CT83&gt;=RÉGUAS!$D$59,CT83&lt;=RÉGUAS!$E$59),"ESSENCIAL/ECO",IF(AND(CT83&gt;=RÉGUAS!$F$59,CT83&lt;=RÉGUAS!$G$59),"ECO/BIO","-"))</f>
        <v>ECO/BIO</v>
      </c>
      <c r="CW83" s="226">
        <f>SUM(Tabela13[[#This Row],[TOTAL LAZER ]],Tabela13[[#This Row],[TOTAL TIPOLOGIA]])</f>
        <v>5679.5898333333334</v>
      </c>
      <c r="CX83" s="219" t="str">
        <f>IF(CW83&lt;=RÉGUAS!$D$72,"ESSENCIAL",IF(CW83&lt;=RÉGUAS!$F$72,"ECO",IF(CN83&gt;RÉGUAS!$F$72,"BIO",)))</f>
        <v>BIO</v>
      </c>
      <c r="CY83" s="219" t="str">
        <f t="shared" si="13"/>
        <v>BIO</v>
      </c>
      <c r="CZ83" s="219" t="str">
        <f>IF(Tabela13[[#This Row],[PRODUTO ATUAL ]]=CY83,"ADERENTE","NÃO ADERENTE")</f>
        <v>NÃO ADERENTE</v>
      </c>
      <c r="DA83" s="219" t="str">
        <f>IF(Tabela13[[#This Row],[PRODUTO ATUAL ]]=Tabela13[[#This Row],[CLASSIFICAÇÃO 
4D2]],"ADERENTE","NÃO ADERENTE")</f>
        <v>ADERENTE</v>
      </c>
    </row>
    <row r="84" spans="2:105" hidden="1" x14ac:dyDescent="0.35">
      <c r="B84" s="27">
        <v>5</v>
      </c>
      <c r="C84" s="22" t="s">
        <v>237</v>
      </c>
      <c r="D84" s="76" t="s">
        <v>118</v>
      </c>
      <c r="E84" s="76">
        <v>368</v>
      </c>
      <c r="F84" s="22" t="str">
        <f t="shared" si="7"/>
        <v>De 200 a 400 und</v>
      </c>
      <c r="G84" s="22" t="s">
        <v>14</v>
      </c>
      <c r="H84" s="129">
        <v>3</v>
      </c>
      <c r="I84" s="135">
        <v>16</v>
      </c>
      <c r="J84" s="135"/>
      <c r="K84" s="135"/>
      <c r="L84" s="135">
        <f>SUM(Tabela13[[#This Row],[QTD DE B/T 2]],Tabela13[[#This Row],[QTD DE B/T]])</f>
        <v>3</v>
      </c>
      <c r="M84" s="22">
        <v>6</v>
      </c>
      <c r="N84" s="22">
        <f>Tabela13[[#This Row],[ELEVADOR]]/Tabela13[[#This Row],[BLOCO TOTAL]]</f>
        <v>2</v>
      </c>
      <c r="O84" s="133" t="s">
        <v>5</v>
      </c>
      <c r="P84" s="76" t="s">
        <v>101</v>
      </c>
      <c r="Q84" s="76" t="s">
        <v>101</v>
      </c>
      <c r="R84" s="76" t="s">
        <v>142</v>
      </c>
      <c r="S84" s="76" t="s">
        <v>103</v>
      </c>
      <c r="T84" s="76" t="s">
        <v>104</v>
      </c>
      <c r="U84" s="76" t="s">
        <v>105</v>
      </c>
      <c r="V84" s="22" t="s">
        <v>137</v>
      </c>
      <c r="W84" s="24">
        <f>IF(P84=[1]BD_CUSTO!$E$4,[1]BD_CUSTO!$F$4,[1]BD_CUSTO!$F$5)</f>
        <v>2430</v>
      </c>
      <c r="X84" s="24">
        <f>IF(Q84=[1]BD_CUSTO!$E$6,[1]BD_CUSTO!$F$6,[1]BD_CUSTO!$F$7)</f>
        <v>260</v>
      </c>
      <c r="Y84" s="24">
        <f>IF(R84=[1]BD_CUSTO!$E$8,[1]BD_CUSTO!$F$8,[1]BD_CUSTO!$F$9)</f>
        <v>900</v>
      </c>
      <c r="Z84" s="24">
        <f>IF(S84=[1]BD_CUSTO!$E$10,[1]BD_CUSTO!$F$10,[1]BD_CUSTO!$F$11)</f>
        <v>500</v>
      </c>
      <c r="AA84" s="24">
        <f>IF(T84=[1]BD_CUSTO!$E$12,[1]BD_CUSTO!$F$12,[1]BD_CUSTO!$F$13)</f>
        <v>370</v>
      </c>
      <c r="AB84" s="24">
        <f>IF(U84=[1]BD_CUSTO!$E$14,[1]BD_CUSTO!$F$14,[1]BD_CUSTO!$F$15)</f>
        <v>90</v>
      </c>
      <c r="AC84" s="24">
        <f>IF(V84=[1]BD_CUSTO!$E$16,[1]BD_CUSTO!$F$16,[1]BD_CUSTO!$F$17)</f>
        <v>1320</v>
      </c>
      <c r="AD84" s="133" t="s">
        <v>109</v>
      </c>
      <c r="AE84" s="133">
        <v>1</v>
      </c>
      <c r="AF84" s="133" t="s">
        <v>120</v>
      </c>
      <c r="AG84" s="133">
        <v>1</v>
      </c>
      <c r="AH84" s="133" t="s">
        <v>121</v>
      </c>
      <c r="AI84" s="133">
        <v>1</v>
      </c>
      <c r="AJ84" s="133" t="s">
        <v>107</v>
      </c>
      <c r="AK84" s="133">
        <v>1</v>
      </c>
      <c r="AL84" s="133" t="s">
        <v>108</v>
      </c>
      <c r="AM84" s="133">
        <v>1</v>
      </c>
      <c r="AN84" s="133" t="s">
        <v>129</v>
      </c>
      <c r="AO84" s="133">
        <v>1</v>
      </c>
      <c r="AP84" s="133" t="s">
        <v>110</v>
      </c>
      <c r="AQ84" s="133">
        <v>1</v>
      </c>
      <c r="AR84" s="22"/>
      <c r="AS84" s="22">
        <v>0</v>
      </c>
      <c r="AT84" s="22"/>
      <c r="AU84" s="22"/>
      <c r="AV84" s="22"/>
      <c r="AW84" s="22"/>
      <c r="AX84" s="24">
        <f>IF(AD84="",0,VLOOKUP(AD84,[1]BD_CUSTO!I:J,2,0)*AE84/E84)</f>
        <v>18.885869565217391</v>
      </c>
      <c r="AY84" s="24">
        <f>IF(AF84="",0,VLOOKUP(AF84,[1]BD_CUSTO!I:J,2,0)*AG84/E84)</f>
        <v>154.6436956521739</v>
      </c>
      <c r="AZ84" s="24">
        <f>IF(AH84="",0,VLOOKUP(AH84,[1]BD_CUSTO!I:J,2,0)*AI84/E84)</f>
        <v>334.66548913043476</v>
      </c>
      <c r="BA84" s="24">
        <f>IF(AJ84="",0,VLOOKUP(AJ84,[1]BD_CUSTO!I:J,2,0)*AK84/E84)</f>
        <v>231.38347826086957</v>
      </c>
      <c r="BB84" s="24">
        <f>IF(AL84="",0,VLOOKUP(AL84,[1]BD_CUSTO!I:J,2,0)*AM84/E84)</f>
        <v>62.907608695652172</v>
      </c>
      <c r="BC84" s="24">
        <f>IF(AN84="",0,VLOOKUP(AN84,[1]BD_CUSTO!I:J,2,0)*AO84/E84)</f>
        <v>747.73798913043481</v>
      </c>
      <c r="BD84" s="24">
        <f>IF(AP84="",0,VLOOKUP(AP84,[1]BD_CUSTO!I:J,2,0)*AQ84/E84)</f>
        <v>14.402173913043478</v>
      </c>
      <c r="BE84" s="24">
        <f>IF(AR84="",0,VLOOKUP(AR84,CUSTO!I:J,2,0)*AS84/E84)</f>
        <v>0</v>
      </c>
      <c r="BF84" s="24">
        <f>IF(AT84="",0,VLOOKUP(AT84,[1]BD_CUSTO!I:J,2,0)*AU84/E84)</f>
        <v>0</v>
      </c>
      <c r="BG84" s="24">
        <f>IF(Tabela13[[#This Row],[LZ 10]]="",0,VLOOKUP(Tabela13[[#This Row],[LZ 10]],[1]BD_CUSTO!I:J,2,0)*Tabela13[[#This Row],[QTD922]]/E84)</f>
        <v>0</v>
      </c>
      <c r="BH84" s="133" t="s">
        <v>112</v>
      </c>
      <c r="BI84" s="136">
        <v>0.98</v>
      </c>
      <c r="BJ84" s="137" t="s">
        <v>212</v>
      </c>
      <c r="BK84" s="136">
        <v>0.52</v>
      </c>
      <c r="BL84" s="24">
        <f>IF(BH84=[1]BD_CUSTO!$M$6,[1]BD_CUSTO!$N$6)*BI84</f>
        <v>2940</v>
      </c>
      <c r="BM84" s="24">
        <f>IF(BJ84=[1]BD_CUSTO!$M$4,[1]BD_CUSTO!$N$4,[1]BD_CUSTO!$N$5)*BK84</f>
        <v>3120</v>
      </c>
      <c r="BN84" s="133" t="s">
        <v>114</v>
      </c>
      <c r="BO84" s="133">
        <v>383</v>
      </c>
      <c r="BP84" s="25">
        <f>Tabela13[[#This Row],[QTD ]]/Tabela13[[#This Row],[Nº UNDS]]</f>
        <v>1.0407608695652173</v>
      </c>
      <c r="BQ84" s="22" t="s">
        <v>115</v>
      </c>
      <c r="BR84" s="22">
        <v>0</v>
      </c>
      <c r="BS84" s="22" t="s">
        <v>116</v>
      </c>
      <c r="BT84" s="22">
        <v>0</v>
      </c>
      <c r="BU84" s="22" t="s">
        <v>16</v>
      </c>
      <c r="BV84" s="29">
        <v>0</v>
      </c>
      <c r="BW84" s="24">
        <f>IF(BN84=[1]BD_CUSTO!$Q$7,[1]BD_CUSTO!$R$7,[1]BD_CUSTO!$R$8)*BO84/E84</f>
        <v>2081.521739130435</v>
      </c>
      <c r="BX84" s="24">
        <f>IF(BQ84=[1]BD_CUSTO!$Q$4,[1]BD_CUSTO!$R$4,[1]BD_CUSTO!$R$5)*BR84/E84</f>
        <v>0</v>
      </c>
      <c r="BY84" s="22">
        <f>IF(BS84=[1]BD_CUSTO!$Q$13,[1]BD_CUSTO!$R$13,[1]BD_CUSTO!$R$14)*BT84/E84</f>
        <v>0</v>
      </c>
      <c r="BZ84" s="24">
        <f>BV84*CUSTO!$R$10/E84</f>
        <v>0</v>
      </c>
      <c r="CA84" s="26">
        <f>SUM(Tabela13[[#This Row],[SOMA_PISO SALA E QUARTO]],Tabela13[[#This Row],[SOMA_PAREDE HIDR]],Tabela13[[#This Row],[SOMA_TETO]],Tabela13[[#This Row],[SOMA_BANCADA]],Tabela13[[#This Row],[SOMA_PEDRAS]])</f>
        <v>4290</v>
      </c>
      <c r="CB84" s="27" t="str">
        <f>IF(CA84&lt;=RÉGUAS!$D$4,"ACAB 01",IF(CA84&lt;=RÉGUAS!$F$4,"ACAB 02",IF(CA84&gt;RÉGUAS!$F$4,"ACAB 03",)))</f>
        <v>ACAB 02</v>
      </c>
      <c r="CC84" s="26">
        <f>SUM(Tabela13[[#This Row],[SOMA_LZ 01]:[SOMA_LZ 10]])</f>
        <v>1564.6263043478261</v>
      </c>
      <c r="CD84" s="22" t="str">
        <f>IF(CC84&lt;=RÉGUAS!$D$13,"LZ 01",IF(CC84&lt;=RÉGUAS!$F$13,"LZ 02",IF(CC84&lt;=RÉGUAS!$H$13,"LZ 03",IF(CC84&gt;RÉGUAS!$H$13,"LZ 04",))))</f>
        <v>LZ 02</v>
      </c>
      <c r="CE84" s="28">
        <f t="shared" si="8"/>
        <v>6060</v>
      </c>
      <c r="CF84" s="22" t="str">
        <f>IF(CE84&lt;=RÉGUAS!$D$22,"TIP 01",IF(CE84&lt;=RÉGUAS!$F$22,"TIP 02",IF(CE84&gt;RÉGUAS!$F$22,"TIP 03",)))</f>
        <v>TIP 03</v>
      </c>
      <c r="CG84" s="28">
        <f t="shared" si="9"/>
        <v>2081.521739130435</v>
      </c>
      <c r="CH84" s="22" t="str">
        <f>IF(CG84&lt;=RÉGUAS!$D$32,"VAGA 01",IF(CG84&lt;=RÉGUAS!$F$32,"VAGA 02",IF(CG84&gt;RÉGUAS!$F$32,"VAGA 03",)))</f>
        <v>VAGA 02</v>
      </c>
      <c r="CI84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4377.130434782609</v>
      </c>
      <c r="CJ84" s="85" t="str">
        <f>IF(AND(G84="BLOCO",CI84&lt;=RÉGUAS!$D$40),"ELEV 01",IF(AND(G84="BLOCO",CI84&gt;RÉGUAS!$D$40),"ELEV 02",IF(AND(G84="TORRE",CI84&lt;=RÉGUAS!$K$40),"ELEV 01",IF(AND(G84="TORRE",CI84&lt;=RÉGUAS!$M$40),"ELEV 02",IF(AND(G84="TORRE",CI84&gt;RÉGUAS!$M$40),"ELEV 03",)))))</f>
        <v>ELEV 03</v>
      </c>
      <c r="CK84" s="85">
        <f>SUM(Tabela13[[#This Row],[TOTAL  ACAB]],Tabela13[[#This Row],[TOTAL LAZER ]],Tabela13[[#This Row],[TOTAL TIPOLOGIA]],Tabela13[[#This Row],[TOTAL VAGA]],Tabela13[[#This Row],[TOTAL ELEVADOR]])</f>
        <v>18373.278478260869</v>
      </c>
      <c r="CL84" s="72" t="str">
        <f>IF(AND(G84="BLOCO",CK84&lt;=RÉGUAS!$D$50),"ESSENCIAL",IF(AND(G84="BLOCO",CK84&lt;=RÉGUAS!$F$50),"ECO",IF(AND(G84="BLOCO",CK84&gt;RÉGUAS!$F$50),"BIO",IF(AND(G84="TORRE",CK84&lt;=RÉGUAS!$K$50),"ESSENCIAL",IF(AND(G84="TORRE",CK84&lt;=RÉGUAS!$M$50),"ECO",IF(AND(G84="TORRE",CK84&gt;RÉGUAS!$M$50),"BIO",))))))</f>
        <v>BIO</v>
      </c>
      <c r="CM84" s="28" t="str">
        <f>IF(AND(G84="BLOCO",CK84&gt;=RÉGUAS!$D$51,CK84&lt;=RÉGUAS!$D$50),"ESSENCIAL-10%",IF(AND(G84="BLOCO",CK84&gt;RÉGUAS!$D$50,CK84&lt;=RÉGUAS!$E$51),"ECO+10%",IF(AND(G84="BLOCO",CK84&gt;=RÉGUAS!$F$51,CK84&lt;=RÉGUAS!$F$50),"ECO-10%",IF(AND(G84="BLOCO",CK84&gt;RÉGUAS!$F$50,CK84&lt;=RÉGUAS!$G$51),"BIO+10%",IF(AND(G84="TORRE",CK84&gt;=RÉGUAS!$K$51,CK84&lt;=RÉGUAS!$K$50),"ESSENCIAL-10%",IF(AND(G84="TORRE",CK84&gt;RÉGUAS!$K$50,CK84&lt;=RÉGUAS!$L$51),"ECO+10%",IF(AND(G84="TORRE",CK84&gt;=RÉGUAS!$M$51,CK84&lt;=RÉGUAS!$M$50),"ECO-10%",IF(AND(G84="TORRE",CK84&gt;RÉGUAS!$M$50,CK84&lt;=RÉGUAS!$N$51),"BIO+10%","-"))))))))</f>
        <v>-</v>
      </c>
      <c r="CN84" s="73">
        <f t="shared" si="10"/>
        <v>13996.148043478261</v>
      </c>
      <c r="CO84" s="72" t="str">
        <f>IF(CN84&lt;=RÉGUAS!$D$58,"ESSENCIAL",IF(CN84&lt;=RÉGUAS!$F$58,"ECO",IF(CN84&gt;RÉGUAS!$F$58,"BIO",)))</f>
        <v>BIO</v>
      </c>
      <c r="CP84" s="72" t="str">
        <f>IF(Tabela13[[#This Row],[INTERVALO DE INTERSEÇÃO 5D]]="-",Tabela13[[#This Row],[CLASSIFICAÇÃO 
5D ]],Tabela13[[#This Row],[CLASSIFICAÇÃO 
4D]])</f>
        <v>BIO</v>
      </c>
      <c r="CQ84" s="72" t="str">
        <f t="shared" si="11"/>
        <v>-</v>
      </c>
      <c r="CR84" s="72" t="str">
        <f t="shared" si="12"/>
        <v>BIO</v>
      </c>
      <c r="CS84" s="22" t="str">
        <f>IF(Tabela13[[#This Row],[PRODUTO ATUAL ]]=Tabela13[[#This Row],[CLASSIFICAÇÃO FINAL 5D]],"ADERÊNTE","NÃO ADERÊNTE")</f>
        <v>NÃO ADERÊNTE</v>
      </c>
      <c r="CT84" s="24">
        <f>SUM(Tabela13[[#This Row],[TOTAL  ACAB]],Tabela13[[#This Row],[TOTAL LAZER ]],Tabela13[[#This Row],[TOTAL TIPOLOGIA]],Tabela13[[#This Row],[TOTAL VAGA]])</f>
        <v>13996.148043478261</v>
      </c>
      <c r="CU84" s="22" t="str">
        <f>IF(CT84&lt;=RÉGUAS!$D$58,"ESSENCIAL",IF(CT84&lt;=RÉGUAS!$F$58,"ECO",IF(CT84&gt;RÉGUAS!$F$58,"BIO",)))</f>
        <v>BIO</v>
      </c>
      <c r="CV84" s="22" t="str">
        <f>IF(AND(CT84&gt;=RÉGUAS!$D$59,CT84&lt;=RÉGUAS!$E$59),"ESSENCIAL/ECO",IF(AND(CT84&gt;=RÉGUAS!$F$59,CT84&lt;=RÉGUAS!$G$59),"ECO/BIO","-"))</f>
        <v>-</v>
      </c>
      <c r="CW84" s="85">
        <f>SUM(Tabela13[[#This Row],[TOTAL LAZER ]],Tabela13[[#This Row],[TOTAL TIPOLOGIA]])</f>
        <v>7624.6263043478266</v>
      </c>
      <c r="CX84" s="22" t="str">
        <f>IF(CW84&lt;=RÉGUAS!$D$72,"ESSENCIAL",IF(CW84&lt;=RÉGUAS!$F$72,"ECO",IF(CN84&gt;RÉGUAS!$F$72,"BIO",)))</f>
        <v>BIO</v>
      </c>
      <c r="CY84" s="22" t="str">
        <f t="shared" si="13"/>
        <v>BIO</v>
      </c>
      <c r="CZ84" s="22" t="str">
        <f>IF(Tabela13[[#This Row],[PRODUTO ATUAL ]]=CY84,"ADERENTE","NÃO ADERENTE")</f>
        <v>NÃO ADERENTE</v>
      </c>
      <c r="DA84" s="22" t="str">
        <f>IF(Tabela13[[#This Row],[PRODUTO ATUAL ]]=Tabela13[[#This Row],[CLASSIFICAÇÃO 
4D2]],"ADERENTE","NÃO ADERENTE")</f>
        <v>NÃO ADERENTE</v>
      </c>
    </row>
    <row r="85" spans="2:105" hidden="1" x14ac:dyDescent="0.35">
      <c r="B85" s="27">
        <v>102</v>
      </c>
      <c r="C85" s="22" t="s">
        <v>209</v>
      </c>
      <c r="D85" s="76" t="s">
        <v>147</v>
      </c>
      <c r="E85" s="128">
        <v>306</v>
      </c>
      <c r="F85" s="22" t="str">
        <f t="shared" si="7"/>
        <v>De 200 a 400 und</v>
      </c>
      <c r="G85" s="22" t="s">
        <v>14</v>
      </c>
      <c r="H85" s="129">
        <v>2</v>
      </c>
      <c r="I85" s="129">
        <v>17</v>
      </c>
      <c r="J85" s="129"/>
      <c r="K85" s="129"/>
      <c r="L85" s="129">
        <f>SUM(Tabela13[[#This Row],[QTD DE B/T 2]],Tabela13[[#This Row],[QTD DE B/T]])</f>
        <v>2</v>
      </c>
      <c r="M85" s="22">
        <v>4</v>
      </c>
      <c r="N85" s="22">
        <f>Tabela13[[#This Row],[ELEVADOR]]/Tabela13[[#This Row],[BLOCO TOTAL]]</f>
        <v>2</v>
      </c>
      <c r="O85" s="76" t="s">
        <v>4</v>
      </c>
      <c r="P85" s="76" t="s">
        <v>119</v>
      </c>
      <c r="Q85" s="76" t="s">
        <v>101</v>
      </c>
      <c r="R85" s="76" t="s">
        <v>142</v>
      </c>
      <c r="S85" s="76" t="s">
        <v>159</v>
      </c>
      <c r="T85" s="76" t="s">
        <v>173</v>
      </c>
      <c r="U85" s="76" t="s">
        <v>105</v>
      </c>
      <c r="V85" s="22" t="s">
        <v>137</v>
      </c>
      <c r="W85" s="24">
        <f>IF(P85=[1]BD_CUSTO!$E$4,[1]BD_CUSTO!$F$4,[1]BD_CUSTO!$F$5)</f>
        <v>530</v>
      </c>
      <c r="X85" s="24">
        <f>IF(Q85=[1]BD_CUSTO!$E$6,[1]BD_CUSTO!$F$6,[1]BD_CUSTO!$F$7)</f>
        <v>260</v>
      </c>
      <c r="Y85" s="24">
        <f>IF(R85=[1]BD_CUSTO!$E$8,[1]BD_CUSTO!$F$8,[1]BD_CUSTO!$F$9)</f>
        <v>900</v>
      </c>
      <c r="Z85" s="24">
        <f>IF(S85=[1]BD_CUSTO!$E$10,[1]BD_CUSTO!$F$10,[1]BD_CUSTO!$F$11)</f>
        <v>935</v>
      </c>
      <c r="AA85" s="24">
        <f>IF(T85=[1]BD_CUSTO!$E$12,[1]BD_CUSTO!$F$12,[1]BD_CUSTO!$F$13)</f>
        <v>930</v>
      </c>
      <c r="AB85" s="24">
        <f>IF(U85=[1]BD_CUSTO!$E$14,[1]BD_CUSTO!$F$14,[1]BD_CUSTO!$F$15)</f>
        <v>90</v>
      </c>
      <c r="AC85" s="24">
        <f>IF(V85=[1]BD_CUSTO!$E$16,[1]BD_CUSTO!$F$16,[1]BD_CUSTO!$F$17)</f>
        <v>1320</v>
      </c>
      <c r="AD85" s="76" t="s">
        <v>129</v>
      </c>
      <c r="AE85" s="76">
        <v>1</v>
      </c>
      <c r="AF85" s="76" t="s">
        <v>108</v>
      </c>
      <c r="AG85" s="76">
        <v>1</v>
      </c>
      <c r="AH85" s="76" t="s">
        <v>107</v>
      </c>
      <c r="AI85" s="76">
        <v>1</v>
      </c>
      <c r="AJ85" s="76" t="s">
        <v>121</v>
      </c>
      <c r="AK85" s="76">
        <v>1</v>
      </c>
      <c r="AL85" s="76" t="s">
        <v>110</v>
      </c>
      <c r="AM85" s="76">
        <v>1</v>
      </c>
      <c r="AN85" s="76" t="s">
        <v>126</v>
      </c>
      <c r="AO85" s="76">
        <v>1</v>
      </c>
      <c r="AP85" s="76" t="s">
        <v>111</v>
      </c>
      <c r="AQ85" s="76">
        <v>1</v>
      </c>
      <c r="AR85" s="76" t="s">
        <v>109</v>
      </c>
      <c r="AS85" s="76">
        <v>1</v>
      </c>
      <c r="AT85" s="22"/>
      <c r="AU85" s="22"/>
      <c r="AV85" s="22"/>
      <c r="AW85" s="22"/>
      <c r="AX85" s="24">
        <f>IF(AD85="",0,VLOOKUP(AD85,[1]BD_CUSTO!I:J,2,0)*AE85/E85)</f>
        <v>899.24045751633992</v>
      </c>
      <c r="AY85" s="24">
        <f>IF(AF85="",0,VLOOKUP(AF85,[1]BD_CUSTO!I:J,2,0)*AG85/E85)</f>
        <v>75.653594771241828</v>
      </c>
      <c r="AZ85" s="24">
        <f>IF(AH85="",0,VLOOKUP(AH85,[1]BD_CUSTO!I:J,2,0)*AI85/E85)</f>
        <v>278.26509803921567</v>
      </c>
      <c r="BA85" s="24">
        <f>IF(AJ85="",0,VLOOKUP(AJ85,[1]BD_CUSTO!I:J,2,0)*AK85/E85)</f>
        <v>402.47352941176467</v>
      </c>
      <c r="BB85" s="24">
        <f>IF(AL85="",0,VLOOKUP(AL85,[1]BD_CUSTO!I:J,2,0)*AM85/E85)</f>
        <v>17.320261437908496</v>
      </c>
      <c r="BC85" s="24">
        <f>IF(AN85="",0,VLOOKUP(AN85,[1]BD_CUSTO!I:J,2,0)*AO85/E85)</f>
        <v>24.705882352941178</v>
      </c>
      <c r="BD85" s="24">
        <f>IF(AP85="",0,VLOOKUP(AP85,[1]BD_CUSTO!I:J,2,0)*AQ85/E85)</f>
        <v>52.941176470588232</v>
      </c>
      <c r="BE85" s="24">
        <f>IF(AR85="",0,VLOOKUP(AR85,CUSTO!I:J,2,0)*AS85/E85)</f>
        <v>22.712418300653596</v>
      </c>
      <c r="BF85" s="24">
        <f>IF(AT85="",0,VLOOKUP(AT85,[1]BD_CUSTO!I:J,2,0)*AU85/E85)</f>
        <v>0</v>
      </c>
      <c r="BG85" s="24">
        <f>IF(Tabela13[[#This Row],[LZ 10]]="",0,VLOOKUP(Tabela13[[#This Row],[LZ 10]],[1]BD_CUSTO!I:J,2,0)*Tabela13[[#This Row],[QTD922]]/E85)</f>
        <v>0</v>
      </c>
      <c r="BH85" s="76" t="s">
        <v>112</v>
      </c>
      <c r="BI85" s="127">
        <v>0.94</v>
      </c>
      <c r="BJ85" s="76" t="s">
        <v>113</v>
      </c>
      <c r="BK85" s="127">
        <v>0</v>
      </c>
      <c r="BL85" s="24">
        <f>IF(BH85=[1]BD_CUSTO!$M$6,[1]BD_CUSTO!$N$6)*BI85</f>
        <v>2820</v>
      </c>
      <c r="BM85" s="24">
        <f>IF(BJ85=[1]BD_CUSTO!$M$4,[1]BD_CUSTO!$N$4,[1]BD_CUSTO!$N$5)*BK85</f>
        <v>0</v>
      </c>
      <c r="BN85" s="76" t="s">
        <v>114</v>
      </c>
      <c r="BO85" s="76">
        <f>349-12</f>
        <v>337</v>
      </c>
      <c r="BP85" s="25">
        <f>Tabela13[[#This Row],[QTD ]]/Tabela13[[#This Row],[Nº UNDS]]</f>
        <v>1.1013071895424837</v>
      </c>
      <c r="BQ85" s="76" t="s">
        <v>123</v>
      </c>
      <c r="BR85" s="76">
        <v>12</v>
      </c>
      <c r="BS85" s="22" t="s">
        <v>116</v>
      </c>
      <c r="BT85" s="22">
        <v>0</v>
      </c>
      <c r="BU85" s="22" t="s">
        <v>16</v>
      </c>
      <c r="BV85" s="22">
        <v>0</v>
      </c>
      <c r="BW85" s="24">
        <f>IF(BN85=[1]BD_CUSTO!$Q$7,[1]BD_CUSTO!$R$7,[1]BD_CUSTO!$R$8)*BO85/E85</f>
        <v>2202.6143790849674</v>
      </c>
      <c r="BX85" s="24">
        <f>IF(BQ85=[1]BD_CUSTO!$Q$4,[1]BD_CUSTO!$R$4,[1]BD_CUSTO!$R$5)*BR85/E85</f>
        <v>39.215686274509807</v>
      </c>
      <c r="BY85" s="22">
        <f>IF(BS85=[1]BD_CUSTO!$Q$13,[1]BD_CUSTO!$R$13,[1]BD_CUSTO!$R$14)*BT85/E85</f>
        <v>0</v>
      </c>
      <c r="BZ85" s="24">
        <f>BV85*CUSTO!$R$10/E85</f>
        <v>0</v>
      </c>
      <c r="CA85" s="26">
        <f>SUM(Tabela13[[#This Row],[SOMA_PISO SALA E QUARTO]],Tabela13[[#This Row],[SOMA_PAREDE HIDR]],Tabela13[[#This Row],[SOMA_TETO]],Tabela13[[#This Row],[SOMA_BANCADA]],Tabela13[[#This Row],[SOMA_PEDRAS]])</f>
        <v>3385</v>
      </c>
      <c r="CB85" s="27" t="str">
        <f>IF(CA85&lt;=RÉGUAS!$D$4,"ACAB 01",IF(CA85&lt;=RÉGUAS!$F$4,"ACAB 02",IF(CA85&gt;RÉGUAS!$F$4,"ACAB 03",)))</f>
        <v>ACAB 02</v>
      </c>
      <c r="CC85" s="26">
        <f>SUM(Tabela13[[#This Row],[SOMA_LZ 01]:[SOMA_LZ 10]])</f>
        <v>1773.3124183006537</v>
      </c>
      <c r="CD85" s="22" t="str">
        <f>IF(CC85&lt;=RÉGUAS!$D$13,"LZ 01",IF(CC85&lt;=RÉGUAS!$F$13,"LZ 02",IF(CC85&lt;=RÉGUAS!$H$13,"LZ 03",IF(CC85&gt;RÉGUAS!$H$13,"LZ 04",))))</f>
        <v>LZ 03</v>
      </c>
      <c r="CE85" s="28">
        <f t="shared" si="8"/>
        <v>2820</v>
      </c>
      <c r="CF85" s="22" t="str">
        <f>IF(CE85&lt;=RÉGUAS!$D$22,"TIP 01",IF(CE85&lt;=RÉGUAS!$F$22,"TIP 02",IF(CE85&gt;RÉGUAS!$F$22,"TIP 03",)))</f>
        <v>TIP 02</v>
      </c>
      <c r="CG85" s="28">
        <f t="shared" si="9"/>
        <v>2241.830065359477</v>
      </c>
      <c r="CH85" s="22" t="str">
        <f>IF(CG85&lt;=RÉGUAS!$D$32,"VAGA 01",IF(CG85&lt;=RÉGUAS!$F$32,"VAGA 02",IF(CG85&gt;RÉGUAS!$F$32,"VAGA 03",)))</f>
        <v>VAGA 02</v>
      </c>
      <c r="CI85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3728.6666666666665</v>
      </c>
      <c r="CJ85" s="85" t="str">
        <f>IF(AND(G85="BLOCO",CI85&lt;=RÉGUAS!$D$40),"ELEV 01",IF(AND(G85="BLOCO",CI85&gt;RÉGUAS!$D$40),"ELEV 02",IF(AND(G85="TORRE",CI85&lt;=RÉGUAS!$K$40),"ELEV 01",IF(AND(G85="TORRE",CI85&lt;=RÉGUAS!$M$40),"ELEV 02",IF(AND(G85="TORRE",CI85&gt;RÉGUAS!$M$40),"ELEV 03",)))))</f>
        <v>ELEV 03</v>
      </c>
      <c r="CK85" s="85">
        <f>SUM(Tabela13[[#This Row],[TOTAL  ACAB]],Tabela13[[#This Row],[TOTAL LAZER ]],Tabela13[[#This Row],[TOTAL TIPOLOGIA]],Tabela13[[#This Row],[TOTAL VAGA]],Tabela13[[#This Row],[TOTAL ELEVADOR]])</f>
        <v>13948.809150326797</v>
      </c>
      <c r="CL85" s="72" t="str">
        <f>IF(AND(G85="BLOCO",CK85&lt;=RÉGUAS!$D$50),"ESSENCIAL",IF(AND(G85="BLOCO",CK85&lt;=RÉGUAS!$F$50),"ECO",IF(AND(G85="BLOCO",CK85&gt;RÉGUAS!$F$50),"BIO",IF(AND(G85="TORRE",CK85&lt;=RÉGUAS!$K$50),"ESSENCIAL",IF(AND(G85="TORRE",CK85&lt;=RÉGUAS!$M$50),"ECO",IF(AND(G85="TORRE",CK85&gt;RÉGUAS!$M$50),"BIO",))))))</f>
        <v>BIO</v>
      </c>
      <c r="CM85" s="28" t="str">
        <f>IF(AND(G85="BLOCO",CK85&gt;=RÉGUAS!$D$51,CK85&lt;=RÉGUAS!$D$50),"ESSENCIAL-10%",IF(AND(G85="BLOCO",CK85&gt;RÉGUAS!$D$50,CK85&lt;=RÉGUAS!$E$51),"ECO+10%",IF(AND(G85="BLOCO",CK85&gt;=RÉGUAS!$F$51,CK85&lt;=RÉGUAS!$F$50),"ECO-10%",IF(AND(G85="BLOCO",CK85&gt;RÉGUAS!$F$50,CK85&lt;=RÉGUAS!$G$51),"BIO+10%",IF(AND(G85="TORRE",CK85&gt;=RÉGUAS!$K$51,CK85&lt;=RÉGUAS!$K$50),"ESSENCIAL-10%",IF(AND(G85="TORRE",CK85&gt;RÉGUAS!$K$50,CK85&lt;=RÉGUAS!$L$51),"ECO+10%",IF(AND(G85="TORRE",CK85&gt;=RÉGUAS!$M$51,CK85&lt;=RÉGUAS!$M$50),"ECO-10%",IF(AND(G85="TORRE",CK85&gt;RÉGUAS!$M$50,CK85&lt;=RÉGUAS!$N$51),"BIO+10%","-"))))))))</f>
        <v>BIO+10%</v>
      </c>
      <c r="CN85" s="73">
        <f t="shared" si="10"/>
        <v>10220.142483660131</v>
      </c>
      <c r="CO85" s="72" t="str">
        <f>IF(CN85&lt;=RÉGUAS!$D$58,"ESSENCIAL",IF(CN85&lt;=RÉGUAS!$F$58,"ECO",IF(CN85&gt;RÉGUAS!$F$58,"BIO",)))</f>
        <v>ECO</v>
      </c>
      <c r="CP85" s="72" t="str">
        <f>IF(Tabela13[[#This Row],[INTERVALO DE INTERSEÇÃO 5D]]="-",Tabela13[[#This Row],[CLASSIFICAÇÃO 
5D ]],Tabela13[[#This Row],[CLASSIFICAÇÃO 
4D]])</f>
        <v>ECO</v>
      </c>
      <c r="CQ85" s="72" t="str">
        <f t="shared" si="11"/>
        <v>-</v>
      </c>
      <c r="CR85" s="72" t="str">
        <f t="shared" si="12"/>
        <v>ECO</v>
      </c>
      <c r="CS85" s="22" t="str">
        <f>IF(Tabela13[[#This Row],[PRODUTO ATUAL ]]=Tabela13[[#This Row],[CLASSIFICAÇÃO FINAL 5D]],"ADERÊNTE","NÃO ADERÊNTE")</f>
        <v>NÃO ADERÊNTE</v>
      </c>
      <c r="CT85" s="24">
        <f>SUM(Tabela13[[#This Row],[TOTAL  ACAB]],Tabela13[[#This Row],[TOTAL LAZER ]],Tabela13[[#This Row],[TOTAL TIPOLOGIA]],Tabela13[[#This Row],[TOTAL VAGA]])</f>
        <v>10220.142483660131</v>
      </c>
      <c r="CU85" s="22" t="str">
        <f>IF(CT85&lt;=RÉGUAS!$D$58,"ESSENCIAL",IF(CT85&lt;=RÉGUAS!$F$58,"ECO",IF(CT85&gt;RÉGUAS!$F$58,"BIO",)))</f>
        <v>ECO</v>
      </c>
      <c r="CV85" s="22" t="str">
        <f>IF(AND(CT85&gt;=RÉGUAS!$D$59,CT85&lt;=RÉGUAS!$E$59),"ESSENCIAL/ECO",IF(AND(CT85&gt;=RÉGUAS!$F$59,CT85&lt;=RÉGUAS!$G$59),"ECO/BIO","-"))</f>
        <v>-</v>
      </c>
      <c r="CW85" s="85">
        <f>SUM(Tabela13[[#This Row],[TOTAL LAZER ]],Tabela13[[#This Row],[TOTAL TIPOLOGIA]])</f>
        <v>4593.3124183006539</v>
      </c>
      <c r="CX85" s="22" t="str">
        <f>IF(CW85&lt;=RÉGUAS!$D$72,"ESSENCIAL",IF(CW85&lt;=RÉGUAS!$F$72,"ECO",IF(CN85&gt;RÉGUAS!$F$72,"BIO",)))</f>
        <v>ECO</v>
      </c>
      <c r="CY85" s="22" t="str">
        <f t="shared" si="13"/>
        <v>ECO</v>
      </c>
      <c r="CZ85" s="22" t="str">
        <f>IF(Tabela13[[#This Row],[PRODUTO ATUAL ]]=CY85,"ADERENTE","NÃO ADERENTE")</f>
        <v>NÃO ADERENTE</v>
      </c>
      <c r="DA85" s="22" t="str">
        <f>IF(Tabela13[[#This Row],[PRODUTO ATUAL ]]=Tabela13[[#This Row],[CLASSIFICAÇÃO 
4D2]],"ADERENTE","NÃO ADERENTE")</f>
        <v>NÃO ADERENTE</v>
      </c>
    </row>
    <row r="86" spans="2:105" x14ac:dyDescent="0.35">
      <c r="B86" s="27">
        <v>88</v>
      </c>
      <c r="C86" s="22" t="s">
        <v>194</v>
      </c>
      <c r="D86" s="22" t="s">
        <v>100</v>
      </c>
      <c r="E86" s="134">
        <v>240</v>
      </c>
      <c r="F86" s="22" t="str">
        <f t="shared" si="7"/>
        <v>De 200 a 400 und</v>
      </c>
      <c r="G86" s="22" t="s">
        <v>14</v>
      </c>
      <c r="H86" s="135">
        <v>3</v>
      </c>
      <c r="I86" s="135">
        <v>10</v>
      </c>
      <c r="J86" s="135"/>
      <c r="K86" s="135"/>
      <c r="L86" s="135">
        <f>SUM(Tabela13[[#This Row],[QTD DE B/T 2]],Tabela13[[#This Row],[QTD DE B/T]])</f>
        <v>3</v>
      </c>
      <c r="M86" s="22">
        <v>3</v>
      </c>
      <c r="N86" s="22">
        <f>Tabela13[[#This Row],[ELEVADOR]]/Tabela13[[#This Row],[BLOCO TOTAL]]</f>
        <v>1</v>
      </c>
      <c r="O86" s="133" t="s">
        <v>4</v>
      </c>
      <c r="P86" s="133" t="s">
        <v>101</v>
      </c>
      <c r="Q86" s="133" t="s">
        <v>101</v>
      </c>
      <c r="R86" s="133" t="s">
        <v>102</v>
      </c>
      <c r="S86" s="133" t="s">
        <v>159</v>
      </c>
      <c r="T86" s="133" t="s">
        <v>173</v>
      </c>
      <c r="U86" s="133" t="s">
        <v>174</v>
      </c>
      <c r="V86" s="22" t="s">
        <v>106</v>
      </c>
      <c r="W86" s="24">
        <f>IF(P86=[1]BD_CUSTO!$E$4,[1]BD_CUSTO!$F$4,[1]BD_CUSTO!$F$5)</f>
        <v>2430</v>
      </c>
      <c r="X86" s="24">
        <f>IF(Q86=[1]BD_CUSTO!$E$6,[1]BD_CUSTO!$F$6,[1]BD_CUSTO!$F$7)</f>
        <v>260</v>
      </c>
      <c r="Y86" s="24">
        <f>IF(R86=[1]BD_CUSTO!$E$8,[1]BD_CUSTO!$F$8,[1]BD_CUSTO!$F$9)</f>
        <v>600</v>
      </c>
      <c r="Z86" s="24">
        <f>IF(S86=[1]BD_CUSTO!$E$10,[1]BD_CUSTO!$F$10,[1]BD_CUSTO!$F$11)</f>
        <v>935</v>
      </c>
      <c r="AA86" s="24">
        <f>IF(T86=[1]BD_CUSTO!$E$12,[1]BD_CUSTO!$F$12,[1]BD_CUSTO!$F$13)</f>
        <v>930</v>
      </c>
      <c r="AB86" s="24">
        <f>IF(U86=[1]BD_CUSTO!$E$14,[1]BD_CUSTO!$F$14,[1]BD_CUSTO!$F$15)</f>
        <v>240</v>
      </c>
      <c r="AC86" s="24">
        <f>IF(V86=[1]BD_CUSTO!$E$16,[1]BD_CUSTO!$F$16,[1]BD_CUSTO!$F$17)</f>
        <v>720</v>
      </c>
      <c r="AD86" s="133" t="s">
        <v>110</v>
      </c>
      <c r="AE86" s="133">
        <v>1</v>
      </c>
      <c r="AF86" s="133" t="s">
        <v>109</v>
      </c>
      <c r="AG86" s="133">
        <v>1</v>
      </c>
      <c r="AH86" s="133" t="s">
        <v>107</v>
      </c>
      <c r="AI86" s="133">
        <v>2</v>
      </c>
      <c r="AJ86" s="133" t="s">
        <v>126</v>
      </c>
      <c r="AK86" s="133">
        <v>1</v>
      </c>
      <c r="AL86" s="133" t="s">
        <v>108</v>
      </c>
      <c r="AM86" s="133">
        <v>1</v>
      </c>
      <c r="AN86" s="133" t="s">
        <v>121</v>
      </c>
      <c r="AO86" s="133">
        <v>1</v>
      </c>
      <c r="AP86" s="133" t="s">
        <v>129</v>
      </c>
      <c r="AQ86" s="133">
        <v>1</v>
      </c>
      <c r="AR86" s="133" t="s">
        <v>111</v>
      </c>
      <c r="AS86" s="133">
        <v>1</v>
      </c>
      <c r="AT86" s="22"/>
      <c r="AU86" s="22"/>
      <c r="AV86" s="22"/>
      <c r="AW86" s="22"/>
      <c r="AX86" s="24">
        <f>IF(AD86="",0,VLOOKUP(AD86,[1]BD_CUSTO!I:J,2,0)*AE86/E86)</f>
        <v>22.083333333333332</v>
      </c>
      <c r="AY86" s="24">
        <f>IF(AF86="",0,VLOOKUP(AF86,[1]BD_CUSTO!I:J,2,0)*AG86/E86)</f>
        <v>28.958333333333332</v>
      </c>
      <c r="AZ86" s="24">
        <f>IF(AH86="",0,VLOOKUP(AH86,[1]BD_CUSTO!I:J,2,0)*AI86/E86)</f>
        <v>709.57599999999991</v>
      </c>
      <c r="BA86" s="24">
        <f>IF(AJ86="",0,VLOOKUP(AJ86,[1]BD_CUSTO!I:J,2,0)*AK86/E86)</f>
        <v>31.5</v>
      </c>
      <c r="BB86" s="24">
        <f>IF(AL86="",0,VLOOKUP(AL86,[1]BD_CUSTO!I:J,2,0)*AM86/E86)</f>
        <v>96.458333333333329</v>
      </c>
      <c r="BC86" s="24">
        <f>IF(AN86="",0,VLOOKUP(AN86,[1]BD_CUSTO!I:J,2,0)*AO86/E86)</f>
        <v>513.15374999999995</v>
      </c>
      <c r="BD86" s="24">
        <f>IF(AP86="",0,VLOOKUP(AP86,[1]BD_CUSTO!I:J,2,0)*AQ86/E86)</f>
        <v>1146.5315833333334</v>
      </c>
      <c r="BE86" s="24">
        <f>IF(AR86="",0,VLOOKUP(AR86,CUSTO!I:J,2,0)*AS86/E86)</f>
        <v>67.5</v>
      </c>
      <c r="BF86" s="24">
        <f>IF(AT86="",0,VLOOKUP(AT86,[1]BD_CUSTO!I:J,2,0)*AU86/E86)</f>
        <v>0</v>
      </c>
      <c r="BG86" s="24">
        <f>IF(Tabela13[[#This Row],[LZ 10]]="",0,VLOOKUP(Tabela13[[#This Row],[LZ 10]],[1]BD_CUSTO!I:J,2,0)*Tabela13[[#This Row],[QTD922]]/E86)</f>
        <v>0</v>
      </c>
      <c r="BH86" s="133" t="s">
        <v>112</v>
      </c>
      <c r="BI86" s="136">
        <v>0.45</v>
      </c>
      <c r="BJ86" s="133" t="s">
        <v>113</v>
      </c>
      <c r="BK86" s="136">
        <v>0.5</v>
      </c>
      <c r="BL86" s="24">
        <f>IF(BH86=[1]BD_CUSTO!$M$6,[1]BD_CUSTO!$N$6)*BI86</f>
        <v>1350</v>
      </c>
      <c r="BM86" s="24">
        <f>IF(BJ86=[1]BD_CUSTO!$M$4,[1]BD_CUSTO!$N$4,[1]BD_CUSTO!$N$5)*BK86</f>
        <v>0</v>
      </c>
      <c r="BN86" s="133" t="s">
        <v>114</v>
      </c>
      <c r="BO86" s="133">
        <v>253</v>
      </c>
      <c r="BP86" s="25">
        <f>Tabela13[[#This Row],[QTD ]]/Tabela13[[#This Row],[Nº UNDS]]</f>
        <v>1.0541666666666667</v>
      </c>
      <c r="BQ86" s="133" t="s">
        <v>123</v>
      </c>
      <c r="BR86" s="133">
        <v>17</v>
      </c>
      <c r="BS86" s="22" t="s">
        <v>116</v>
      </c>
      <c r="BT86" s="22">
        <v>0</v>
      </c>
      <c r="BU86" s="22" t="s">
        <v>16</v>
      </c>
      <c r="BV86" s="22">
        <v>0</v>
      </c>
      <c r="BW86" s="24">
        <f>IF(BN86=[1]BD_CUSTO!$Q$7,[1]BD_CUSTO!$R$7,[1]BD_CUSTO!$R$8)*BO86/E86</f>
        <v>2108.3333333333335</v>
      </c>
      <c r="BX86" s="24">
        <f>IF(BQ86=[1]BD_CUSTO!$Q$4,[1]BD_CUSTO!$R$4,[1]BD_CUSTO!$R$5)*BR86/E86</f>
        <v>70.833333333333329</v>
      </c>
      <c r="BY86" s="22">
        <f>IF(BS86=[1]BD_CUSTO!$Q$13,[1]BD_CUSTO!$R$13,[1]BD_CUSTO!$R$14)*BT86/E86</f>
        <v>0</v>
      </c>
      <c r="BZ86" s="24">
        <f>BV86*CUSTO!$R$10/E86</f>
        <v>0</v>
      </c>
      <c r="CA86" s="26">
        <f>SUM(Tabela13[[#This Row],[SOMA_PISO SALA E QUARTO]],Tabela13[[#This Row],[SOMA_PAREDE HIDR]],Tabela13[[#This Row],[SOMA_TETO]],Tabela13[[#This Row],[SOMA_BANCADA]],Tabela13[[#This Row],[SOMA_PEDRAS]])</f>
        <v>5135</v>
      </c>
      <c r="CB86" s="27" t="str">
        <f>IF(CA86&lt;=RÉGUAS!$D$4,"ACAB 01",IF(CA86&lt;=RÉGUAS!$F$4,"ACAB 02",IF(CA86&gt;RÉGUAS!$F$4,"ACAB 03",)))</f>
        <v>ACAB 03</v>
      </c>
      <c r="CC86" s="26">
        <f>SUM(Tabela13[[#This Row],[SOMA_LZ 01]:[SOMA_LZ 10]])</f>
        <v>2615.7613333333334</v>
      </c>
      <c r="CD86" s="22" t="str">
        <f>IF(CC86&lt;=RÉGUAS!$D$13,"LZ 01",IF(CC86&lt;=RÉGUAS!$F$13,"LZ 02",IF(CC86&lt;=RÉGUAS!$H$13,"LZ 03",IF(CC86&gt;RÉGUAS!$H$13,"LZ 04",))))</f>
        <v>LZ 04</v>
      </c>
      <c r="CE86" s="28">
        <f t="shared" si="8"/>
        <v>1350</v>
      </c>
      <c r="CF86" s="22" t="str">
        <f>IF(CE86&lt;=RÉGUAS!$D$22,"TIP 01",IF(CE86&lt;=RÉGUAS!$F$22,"TIP 02",IF(CE86&gt;RÉGUAS!$F$22,"TIP 03",)))</f>
        <v>TIP 01</v>
      </c>
      <c r="CG86" s="28">
        <f t="shared" si="9"/>
        <v>2179.166666666667</v>
      </c>
      <c r="CH86" s="22" t="str">
        <f>IF(CG86&lt;=RÉGUAS!$D$32,"VAGA 01",IF(CG86&lt;=RÉGUAS!$F$32,"VAGA 02",IF(CG86&gt;RÉGUAS!$F$32,"VAGA 03",)))</f>
        <v>VAGA 02</v>
      </c>
      <c r="CI86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2468.125</v>
      </c>
      <c r="CJ86" s="85" t="str">
        <f>IF(AND(G86="BLOCO",CI86&lt;=RÉGUAS!$D$40),"ELEV 01",IF(AND(G86="BLOCO",CI86&gt;RÉGUAS!$D$40),"ELEV 02",IF(AND(G86="TORRE",CI86&lt;=RÉGUAS!$K$40),"ELEV 01",IF(AND(G86="TORRE",CI86&lt;=RÉGUAS!$M$40),"ELEV 02",IF(AND(G86="TORRE",CI86&gt;RÉGUAS!$M$40),"ELEV 03",)))))</f>
        <v>ELEV 01</v>
      </c>
      <c r="CK86" s="85">
        <f>SUM(Tabela13[[#This Row],[TOTAL  ACAB]],Tabela13[[#This Row],[TOTAL LAZER ]],Tabela13[[#This Row],[TOTAL TIPOLOGIA]],Tabela13[[#This Row],[TOTAL VAGA]],Tabela13[[#This Row],[TOTAL ELEVADOR]])</f>
        <v>13748.053</v>
      </c>
      <c r="CL86" s="72" t="str">
        <f>IF(AND(G86="BLOCO",CK86&lt;=RÉGUAS!$D$50),"ESSENCIAL",IF(AND(G86="BLOCO",CK86&lt;=RÉGUAS!$F$50),"ECO",IF(AND(G86="BLOCO",CK86&gt;RÉGUAS!$F$50),"BIO",IF(AND(G86="TORRE",CK86&lt;=RÉGUAS!$K$50),"ESSENCIAL",IF(AND(G86="TORRE",CK86&lt;=RÉGUAS!$M$50),"ECO",IF(AND(G86="TORRE",CK86&gt;RÉGUAS!$M$50),"BIO",))))))</f>
        <v>ECO</v>
      </c>
      <c r="CM86" s="28" t="str">
        <f>IF(AND(G86="BLOCO",CK86&gt;=RÉGUAS!$D$51,CK86&lt;=RÉGUAS!$D$50),"ESSENCIAL-10%",IF(AND(G86="BLOCO",CK86&gt;RÉGUAS!$D$50,CK86&lt;=RÉGUAS!$E$51),"ECO+10%",IF(AND(G86="BLOCO",CK86&gt;=RÉGUAS!$F$51,CK86&lt;=RÉGUAS!$F$50),"ECO-10%",IF(AND(G86="BLOCO",CK86&gt;RÉGUAS!$F$50,CK86&lt;=RÉGUAS!$G$51),"BIO+10%",IF(AND(G86="TORRE",CK86&gt;=RÉGUAS!$K$51,CK86&lt;=RÉGUAS!$K$50),"ESSENCIAL-10%",IF(AND(G86="TORRE",CK86&gt;RÉGUAS!$K$50,CK86&lt;=RÉGUAS!$L$51),"ECO+10%",IF(AND(G86="TORRE",CK86&gt;=RÉGUAS!$M$51,CK86&lt;=RÉGUAS!$M$50),"ECO-10%",IF(AND(G86="TORRE",CK86&gt;RÉGUAS!$M$50,CK86&lt;=RÉGUAS!$N$51),"BIO+10%","-"))))))))</f>
        <v>ECO-10%</v>
      </c>
      <c r="CN86" s="73">
        <f t="shared" si="10"/>
        <v>11279.928</v>
      </c>
      <c r="CO86" s="72" t="str">
        <f>IF(CN86&lt;=RÉGUAS!$D$58,"ESSENCIAL",IF(CN86&lt;=RÉGUAS!$F$58,"ECO",IF(CN86&gt;RÉGUAS!$F$58,"BIO",)))</f>
        <v>ECO</v>
      </c>
      <c r="CP86" s="72" t="str">
        <f>IF(Tabela13[[#This Row],[INTERVALO DE INTERSEÇÃO 5D]]="-",Tabela13[[#This Row],[CLASSIFICAÇÃO 
5D ]],Tabela13[[#This Row],[CLASSIFICAÇÃO 
4D]])</f>
        <v>ECO</v>
      </c>
      <c r="CQ86" s="72" t="str">
        <f t="shared" si="11"/>
        <v>-</v>
      </c>
      <c r="CR86" s="72" t="str">
        <f t="shared" si="12"/>
        <v>ECO</v>
      </c>
      <c r="CS86" s="22" t="str">
        <f>IF(Tabela13[[#This Row],[PRODUTO ATUAL ]]=Tabela13[[#This Row],[CLASSIFICAÇÃO FINAL 5D]],"ADERÊNTE","NÃO ADERÊNTE")</f>
        <v>NÃO ADERÊNTE</v>
      </c>
      <c r="CT86" s="24">
        <f>SUM(Tabela13[[#This Row],[TOTAL  ACAB]],Tabela13[[#This Row],[TOTAL LAZER ]],Tabela13[[#This Row],[TOTAL TIPOLOGIA]],Tabela13[[#This Row],[TOTAL VAGA]])</f>
        <v>11279.928</v>
      </c>
      <c r="CU86" s="22" t="str">
        <f>IF(CT86&lt;=RÉGUAS!$D$58,"ESSENCIAL",IF(CT86&lt;=RÉGUAS!$F$58,"ECO",IF(CT86&gt;RÉGUAS!$F$58,"BIO",)))</f>
        <v>ECO</v>
      </c>
      <c r="CV86" s="22" t="str">
        <f>IF(AND(CT86&gt;=RÉGUAS!$D$59,CT86&lt;=RÉGUAS!$E$59),"ESSENCIAL/ECO",IF(AND(CT86&gt;=RÉGUAS!$F$59,CT86&lt;=RÉGUAS!$G$59),"ECO/BIO","-"))</f>
        <v>ECO/BIO</v>
      </c>
      <c r="CW86" s="85">
        <f>SUM(Tabela13[[#This Row],[TOTAL LAZER ]],Tabela13[[#This Row],[TOTAL TIPOLOGIA]])</f>
        <v>3965.7613333333334</v>
      </c>
      <c r="CX86" s="22" t="str">
        <f>IF(CW86&lt;=RÉGUAS!$D$72,"ESSENCIAL",IF(CW86&lt;=RÉGUAS!$F$72,"ECO",IF(CN86&gt;RÉGUAS!$F$72,"BIO",)))</f>
        <v>ECO</v>
      </c>
      <c r="CY86" s="22" t="str">
        <f t="shared" si="13"/>
        <v>ECO</v>
      </c>
      <c r="CZ86" s="22" t="str">
        <f>IF(Tabela13[[#This Row],[PRODUTO ATUAL ]]=CY86,"ADERENTE","NÃO ADERENTE")</f>
        <v>NÃO ADERENTE</v>
      </c>
      <c r="DA86" s="22" t="str">
        <f>IF(Tabela13[[#This Row],[PRODUTO ATUAL ]]=Tabela13[[#This Row],[CLASSIFICAÇÃO 
4D2]],"ADERENTE","NÃO ADERENTE")</f>
        <v>NÃO ADERENTE</v>
      </c>
    </row>
    <row r="87" spans="2:105" ht="14" hidden="1" customHeight="1" x14ac:dyDescent="0.35">
      <c r="B87" s="27">
        <v>90</v>
      </c>
      <c r="C87" s="22" t="s">
        <v>172</v>
      </c>
      <c r="D87" s="22" t="s">
        <v>131</v>
      </c>
      <c r="E87" s="134">
        <v>360</v>
      </c>
      <c r="F87" s="22" t="str">
        <f t="shared" si="7"/>
        <v>De 200 a 400 und</v>
      </c>
      <c r="G87" s="133" t="s">
        <v>14</v>
      </c>
      <c r="H87" s="135">
        <v>3</v>
      </c>
      <c r="I87" s="135">
        <v>15</v>
      </c>
      <c r="J87" s="135"/>
      <c r="K87" s="135"/>
      <c r="L87" s="135">
        <f>SUM(Tabela13[[#This Row],[QTD DE B/T 2]],Tabela13[[#This Row],[QTD DE B/T]])</f>
        <v>3</v>
      </c>
      <c r="M87" s="22">
        <v>6</v>
      </c>
      <c r="N87" s="22">
        <f>Tabela13[[#This Row],[ELEVADOR]]/Tabela13[[#This Row],[BLOCO TOTAL]]</f>
        <v>2</v>
      </c>
      <c r="O87" s="133" t="s">
        <v>4</v>
      </c>
      <c r="P87" s="133" t="s">
        <v>101</v>
      </c>
      <c r="Q87" s="133" t="s">
        <v>101</v>
      </c>
      <c r="R87" s="133" t="s">
        <v>142</v>
      </c>
      <c r="S87" s="133" t="s">
        <v>159</v>
      </c>
      <c r="T87" s="133" t="s">
        <v>173</v>
      </c>
      <c r="U87" s="133" t="s">
        <v>174</v>
      </c>
      <c r="V87" s="22" t="s">
        <v>106</v>
      </c>
      <c r="W87" s="24">
        <f>IF(P87=[1]BD_CUSTO!$E$4,[1]BD_CUSTO!$F$4,[1]BD_CUSTO!$F$5)</f>
        <v>2430</v>
      </c>
      <c r="X87" s="24">
        <f>IF(Q87=[1]BD_CUSTO!$E$6,[1]BD_CUSTO!$F$6,[1]BD_CUSTO!$F$7)</f>
        <v>260</v>
      </c>
      <c r="Y87" s="24">
        <f>IF(R87=[1]BD_CUSTO!$E$8,[1]BD_CUSTO!$F$8,[1]BD_CUSTO!$F$9)</f>
        <v>900</v>
      </c>
      <c r="Z87" s="24">
        <f>IF(S87=[1]BD_CUSTO!$E$10,[1]BD_CUSTO!$F$10,[1]BD_CUSTO!$F$11)</f>
        <v>935</v>
      </c>
      <c r="AA87" s="24">
        <f>IF(T87=[1]BD_CUSTO!$E$12,[1]BD_CUSTO!$F$12,[1]BD_CUSTO!$F$13)</f>
        <v>930</v>
      </c>
      <c r="AB87" s="24">
        <f>IF(U87=[1]BD_CUSTO!$E$14,[1]BD_CUSTO!$F$14,[1]BD_CUSTO!$F$15)</f>
        <v>240</v>
      </c>
      <c r="AC87" s="24">
        <f>IF(V87=[1]BD_CUSTO!$E$16,[1]BD_CUSTO!$F$16,[1]BD_CUSTO!$F$17)</f>
        <v>720</v>
      </c>
      <c r="AD87" s="133" t="s">
        <v>129</v>
      </c>
      <c r="AE87" s="133">
        <v>1</v>
      </c>
      <c r="AF87" s="133" t="s">
        <v>108</v>
      </c>
      <c r="AG87" s="133">
        <v>1</v>
      </c>
      <c r="AH87" s="133" t="s">
        <v>175</v>
      </c>
      <c r="AI87" s="133">
        <v>1</v>
      </c>
      <c r="AJ87" s="22" t="s">
        <v>139</v>
      </c>
      <c r="AK87" s="22">
        <v>1</v>
      </c>
      <c r="AL87" s="133" t="s">
        <v>121</v>
      </c>
      <c r="AM87" s="133">
        <v>1</v>
      </c>
      <c r="AN87" s="133" t="s">
        <v>107</v>
      </c>
      <c r="AO87" s="133">
        <v>1</v>
      </c>
      <c r="AP87" s="133" t="s">
        <v>126</v>
      </c>
      <c r="AQ87" s="133">
        <v>1</v>
      </c>
      <c r="AR87" s="133" t="s">
        <v>109</v>
      </c>
      <c r="AS87" s="133">
        <v>1</v>
      </c>
      <c r="AT87" s="133" t="s">
        <v>110</v>
      </c>
      <c r="AU87" s="133">
        <v>1</v>
      </c>
      <c r="AV87" s="22"/>
      <c r="AW87" s="22"/>
      <c r="AX87" s="24">
        <f>IF(AD87="",0,VLOOKUP(AD87,[1]BD_CUSTO!I:J,2,0)*AE87/E87)</f>
        <v>764.35438888888893</v>
      </c>
      <c r="AY87" s="24">
        <f>IF(AF87="",0,VLOOKUP(AF87,[1]BD_CUSTO!I:J,2,0)*AG87/E87)</f>
        <v>64.305555555555557</v>
      </c>
      <c r="AZ87" s="24">
        <f>IF(AH87="",0,VLOOKUP(AH87,[1]BD_CUSTO!I:J,2,0)*AI87/E87)</f>
        <v>29.972222222222221</v>
      </c>
      <c r="BA87" s="24">
        <f>IF(AJ87="",0,VLOOKUP(AJ87,[1]BD_CUSTO!I:J,2,0)*AK87/E87)</f>
        <v>172.65644444444445</v>
      </c>
      <c r="BB87" s="24">
        <f>IF(AL87="",0,VLOOKUP(AL87,[1]BD_CUSTO!I:J,2,0)*AM87/E87)</f>
        <v>342.10249999999996</v>
      </c>
      <c r="BC87" s="24">
        <f>IF(AN87="",0,VLOOKUP(AN87,[1]BD_CUSTO!I:J,2,0)*AO87/E87)</f>
        <v>236.52533333333332</v>
      </c>
      <c r="BD87" s="24">
        <f>IF(AP87="",0,VLOOKUP(AP87,[1]BD_CUSTO!I:J,2,0)*AQ87/E87)</f>
        <v>21</v>
      </c>
      <c r="BE87" s="24">
        <f>IF(AR87="",0,VLOOKUP(AR87,CUSTO!I:J,2,0)*AS87/E87)</f>
        <v>19.305555555555557</v>
      </c>
      <c r="BF87" s="24">
        <f>IF(AT87="",0,VLOOKUP(AT87,[1]BD_CUSTO!I:J,2,0)*AU87/E87)</f>
        <v>14.722222222222221</v>
      </c>
      <c r="BG87" s="24">
        <f>IF(Tabela13[[#This Row],[LZ 10]]="",0,VLOOKUP(Tabela13[[#This Row],[LZ 10]],[1]BD_CUSTO!I:J,2,0)*Tabela13[[#This Row],[QTD922]]/E87)</f>
        <v>0</v>
      </c>
      <c r="BH87" s="133" t="s">
        <v>112</v>
      </c>
      <c r="BI87" s="136">
        <v>0.46660000000000001</v>
      </c>
      <c r="BJ87" s="133" t="s">
        <v>113</v>
      </c>
      <c r="BK87" s="136">
        <v>0</v>
      </c>
      <c r="BL87" s="24">
        <f>IF(BH87=[1]BD_CUSTO!$M$6,[1]BD_CUSTO!$N$6)*BI87</f>
        <v>1399.8</v>
      </c>
      <c r="BM87" s="24">
        <f>IF(BJ87=[1]BD_CUSTO!$M$4,[1]BD_CUSTO!$N$4,[1]BD_CUSTO!$N$5)*BK87</f>
        <v>0</v>
      </c>
      <c r="BN87" s="133" t="s">
        <v>114</v>
      </c>
      <c r="BO87" s="133">
        <v>124</v>
      </c>
      <c r="BP87" s="25">
        <f>Tabela13[[#This Row],[QTD ]]/Tabela13[[#This Row],[Nº UNDS]]</f>
        <v>0.34444444444444444</v>
      </c>
      <c r="BQ87" s="133" t="s">
        <v>115</v>
      </c>
      <c r="BR87" s="133">
        <v>9</v>
      </c>
      <c r="BS87" s="22" t="s">
        <v>116</v>
      </c>
      <c r="BT87" s="22">
        <v>0</v>
      </c>
      <c r="BU87" s="22" t="s">
        <v>16</v>
      </c>
      <c r="BV87" s="22">
        <v>0</v>
      </c>
      <c r="BW87" s="24">
        <f>IF(BN87=[1]BD_CUSTO!$Q$7,[1]BD_CUSTO!$R$7,[1]BD_CUSTO!$R$8)*BO87/E87</f>
        <v>688.88888888888891</v>
      </c>
      <c r="BX87" s="24">
        <f>IF(BQ87=[1]BD_CUSTO!$Q$4,[1]BD_CUSTO!$R$4,[1]BD_CUSTO!$R$5)*BR87/E87</f>
        <v>0</v>
      </c>
      <c r="BY87" s="22">
        <f>IF(BS87=[1]BD_CUSTO!$Q$13,[1]BD_CUSTO!$R$13,[1]BD_CUSTO!$R$14)*BT87/E87</f>
        <v>0</v>
      </c>
      <c r="BZ87" s="24">
        <f>BV87*CUSTO!$R$10/E87</f>
        <v>0</v>
      </c>
      <c r="CA87" s="26">
        <f>SUM(Tabela13[[#This Row],[SOMA_PISO SALA E QUARTO]],Tabela13[[#This Row],[SOMA_PAREDE HIDR]],Tabela13[[#This Row],[SOMA_TETO]],Tabela13[[#This Row],[SOMA_BANCADA]],Tabela13[[#This Row],[SOMA_PEDRAS]])</f>
        <v>5435</v>
      </c>
      <c r="CB87" s="27" t="str">
        <f>IF(CA87&lt;=RÉGUAS!$D$4,"ACAB 01",IF(CA87&lt;=RÉGUAS!$F$4,"ACAB 02",IF(CA87&gt;RÉGUAS!$F$4,"ACAB 03",)))</f>
        <v>ACAB 03</v>
      </c>
      <c r="CC87" s="26">
        <f>SUM(Tabela13[[#This Row],[SOMA_LZ 01]:[SOMA_LZ 10]])</f>
        <v>1664.9442222222222</v>
      </c>
      <c r="CD87" s="22" t="str">
        <f>IF(CC87&lt;=RÉGUAS!$D$13,"LZ 01",IF(CC87&lt;=RÉGUAS!$F$13,"LZ 02",IF(CC87&lt;=RÉGUAS!$H$13,"LZ 03",IF(CC87&gt;RÉGUAS!$H$13,"LZ 04",))))</f>
        <v>LZ 03</v>
      </c>
      <c r="CE87" s="28">
        <f t="shared" si="8"/>
        <v>1399.8</v>
      </c>
      <c r="CF87" s="22" t="str">
        <f>IF(CE87&lt;=RÉGUAS!$D$22,"TIP 01",IF(CE87&lt;=RÉGUAS!$F$22,"TIP 02",IF(CE87&gt;RÉGUAS!$F$22,"TIP 03",)))</f>
        <v>TIP 01</v>
      </c>
      <c r="CG87" s="28">
        <f t="shared" si="9"/>
        <v>688.88888888888891</v>
      </c>
      <c r="CH87" s="22" t="str">
        <f>IF(CG87&lt;=RÉGUAS!$D$32,"VAGA 01",IF(CG87&lt;=RÉGUAS!$F$32,"VAGA 02",IF(CG87&gt;RÉGUAS!$F$32,"VAGA 03",)))</f>
        <v>VAGA 01</v>
      </c>
      <c r="CI87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4194.75</v>
      </c>
      <c r="CJ87" s="85" t="str">
        <f>IF(AND(G87="BLOCO",CI87&lt;=RÉGUAS!$D$40),"ELEV 01",IF(AND(G87="BLOCO",CI87&gt;RÉGUAS!$D$40),"ELEV 02",IF(AND(G87="TORRE",CI87&lt;=RÉGUAS!$K$40),"ELEV 01",IF(AND(G87="TORRE",CI87&lt;=RÉGUAS!$M$40),"ELEV 02",IF(AND(G87="TORRE",CI87&gt;RÉGUAS!$M$40),"ELEV 03",)))))</f>
        <v>ELEV 03</v>
      </c>
      <c r="CK87" s="85">
        <f>SUM(Tabela13[[#This Row],[TOTAL  ACAB]],Tabela13[[#This Row],[TOTAL LAZER ]],Tabela13[[#This Row],[TOTAL TIPOLOGIA]],Tabela13[[#This Row],[TOTAL VAGA]],Tabela13[[#This Row],[TOTAL ELEVADOR]])</f>
        <v>13383.38311111111</v>
      </c>
      <c r="CL87" s="72" t="str">
        <f>IF(AND(G87="BLOCO",CK87&lt;=RÉGUAS!$D$50),"ESSENCIAL",IF(AND(G87="BLOCO",CK87&lt;=RÉGUAS!$F$50),"ECO",IF(AND(G87="BLOCO",CK87&gt;RÉGUAS!$F$50),"BIO",IF(AND(G87="TORRE",CK87&lt;=RÉGUAS!$K$50),"ESSENCIAL",IF(AND(G87="TORRE",CK87&lt;=RÉGUAS!$M$50),"ECO",IF(AND(G87="TORRE",CK87&gt;RÉGUAS!$M$50),"BIO",))))))</f>
        <v>ECO</v>
      </c>
      <c r="CM87" s="28" t="str">
        <f>IF(AND(G87="BLOCO",CK87&gt;=RÉGUAS!$D$51,CK87&lt;=RÉGUAS!$D$50),"ESSENCIAL-10%",IF(AND(G87="BLOCO",CK87&gt;RÉGUAS!$D$50,CK87&lt;=RÉGUAS!$E$51),"ECO+10%",IF(AND(G87="BLOCO",CK87&gt;=RÉGUAS!$F$51,CK87&lt;=RÉGUAS!$F$50),"ECO-10%",IF(AND(G87="BLOCO",CK87&gt;RÉGUAS!$F$50,CK87&lt;=RÉGUAS!$G$51),"BIO+10%",IF(AND(G87="TORRE",CK87&gt;=RÉGUAS!$K$51,CK87&lt;=RÉGUAS!$K$50),"ESSENCIAL-10%",IF(AND(G87="TORRE",CK87&gt;RÉGUAS!$K$50,CK87&lt;=RÉGUAS!$L$51),"ECO+10%",IF(AND(G87="TORRE",CK87&gt;=RÉGUAS!$M$51,CK87&lt;=RÉGUAS!$M$50),"ECO-10%",IF(AND(G87="TORRE",CK87&gt;RÉGUAS!$M$50,CK87&lt;=RÉGUAS!$N$51),"BIO+10%","-"))))))))</f>
        <v>ECO-10%</v>
      </c>
      <c r="CN87" s="73">
        <f t="shared" si="10"/>
        <v>9188.6331111111103</v>
      </c>
      <c r="CO87" s="72" t="str">
        <f>IF(CN87&lt;=RÉGUAS!$D$58,"ESSENCIAL",IF(CN87&lt;=RÉGUAS!$F$58,"ECO",IF(CN87&gt;RÉGUAS!$F$58,"BIO",)))</f>
        <v>ECO</v>
      </c>
      <c r="CP87" s="72" t="str">
        <f>IF(Tabela13[[#This Row],[INTERVALO DE INTERSEÇÃO 5D]]="-",Tabela13[[#This Row],[CLASSIFICAÇÃO 
5D ]],Tabela13[[#This Row],[CLASSIFICAÇÃO 
4D]])</f>
        <v>ECO</v>
      </c>
      <c r="CQ87" s="72" t="str">
        <f t="shared" si="11"/>
        <v>-</v>
      </c>
      <c r="CR87" s="72" t="str">
        <f t="shared" si="12"/>
        <v>ECO</v>
      </c>
      <c r="CS87" s="22" t="str">
        <f>IF(Tabela13[[#This Row],[PRODUTO ATUAL ]]=Tabela13[[#This Row],[CLASSIFICAÇÃO FINAL 5D]],"ADERÊNTE","NÃO ADERÊNTE")</f>
        <v>NÃO ADERÊNTE</v>
      </c>
      <c r="CT87" s="24">
        <f>SUM(Tabela13[[#This Row],[TOTAL  ACAB]],Tabela13[[#This Row],[TOTAL LAZER ]],Tabela13[[#This Row],[TOTAL TIPOLOGIA]],Tabela13[[#This Row],[TOTAL VAGA]])</f>
        <v>9188.6331111111103</v>
      </c>
      <c r="CU87" s="22" t="str">
        <f>IF(CT87&lt;=RÉGUAS!$D$58,"ESSENCIAL",IF(CT87&lt;=RÉGUAS!$F$58,"ECO",IF(CT87&gt;RÉGUAS!$F$58,"BIO",)))</f>
        <v>ECO</v>
      </c>
      <c r="CV87" s="22" t="str">
        <f>IF(AND(CT87&gt;=RÉGUAS!$D$59,CT87&lt;=RÉGUAS!$E$59),"ESSENCIAL/ECO",IF(AND(CT87&gt;=RÉGUAS!$F$59,CT87&lt;=RÉGUAS!$G$59),"ECO/BIO","-"))</f>
        <v>-</v>
      </c>
      <c r="CW87" s="85">
        <f>SUM(Tabela13[[#This Row],[TOTAL LAZER ]],Tabela13[[#This Row],[TOTAL TIPOLOGIA]])</f>
        <v>3064.7442222222221</v>
      </c>
      <c r="CX87" s="22" t="str">
        <f>IF(CW87&lt;=RÉGUAS!$D$72,"ESSENCIAL",IF(CW87&lt;=RÉGUAS!$F$72,"ECO",IF(CN87&gt;RÉGUAS!$F$72,"BIO",)))</f>
        <v>ECO</v>
      </c>
      <c r="CY87" s="22" t="str">
        <f t="shared" si="13"/>
        <v>ECO</v>
      </c>
      <c r="CZ87" s="22" t="str">
        <f>IF(Tabela13[[#This Row],[PRODUTO ATUAL ]]=CY87,"ADERENTE","NÃO ADERENTE")</f>
        <v>NÃO ADERENTE</v>
      </c>
      <c r="DA87" s="22" t="str">
        <f>IF(Tabela13[[#This Row],[PRODUTO ATUAL ]]=Tabela13[[#This Row],[CLASSIFICAÇÃO 
4D2]],"ADERENTE","NÃO ADERENTE")</f>
        <v>NÃO ADERENTE</v>
      </c>
    </row>
    <row r="88" spans="2:105" hidden="1" x14ac:dyDescent="0.35">
      <c r="B88" s="27">
        <v>87</v>
      </c>
      <c r="C88" s="22" t="s">
        <v>210</v>
      </c>
      <c r="D88" s="22" t="s">
        <v>147</v>
      </c>
      <c r="E88" s="23">
        <v>460</v>
      </c>
      <c r="F88" s="22" t="str">
        <f t="shared" si="7"/>
        <v>Acima de 400 und</v>
      </c>
      <c r="G88" s="22" t="s">
        <v>1</v>
      </c>
      <c r="H88" s="36">
        <v>23</v>
      </c>
      <c r="I88" s="36">
        <v>5</v>
      </c>
      <c r="J88" s="36"/>
      <c r="K88" s="36"/>
      <c r="L88" s="36">
        <f>SUM(Tabela13[[#This Row],[QTD DE B/T 2]],Tabela13[[#This Row],[QTD DE B/T]])</f>
        <v>23</v>
      </c>
      <c r="M88" s="22">
        <v>23</v>
      </c>
      <c r="N88" s="22">
        <f>Tabela13[[#This Row],[ELEVADOR]]/Tabela13[[#This Row],[BLOCO TOTAL]]</f>
        <v>1</v>
      </c>
      <c r="O88" s="22" t="s">
        <v>4</v>
      </c>
      <c r="P88" s="22" t="s">
        <v>101</v>
      </c>
      <c r="Q88" s="22" t="s">
        <v>101</v>
      </c>
      <c r="R88" s="22" t="s">
        <v>142</v>
      </c>
      <c r="S88" s="22" t="s">
        <v>159</v>
      </c>
      <c r="T88" s="22" t="s">
        <v>173</v>
      </c>
      <c r="U88" s="22" t="s">
        <v>174</v>
      </c>
      <c r="V88" s="22" t="s">
        <v>106</v>
      </c>
      <c r="W88" s="24">
        <f>IF(P88=[1]BD_CUSTO!$E$4,[1]BD_CUSTO!$F$4,[1]BD_CUSTO!$F$5)</f>
        <v>2430</v>
      </c>
      <c r="X88" s="24">
        <f>IF(Q88=[1]BD_CUSTO!$E$6,[1]BD_CUSTO!$F$6,[1]BD_CUSTO!$F$7)</f>
        <v>260</v>
      </c>
      <c r="Y88" s="24">
        <f>IF(R88=[1]BD_CUSTO!$E$8,[1]BD_CUSTO!$F$8,[1]BD_CUSTO!$F$9)</f>
        <v>900</v>
      </c>
      <c r="Z88" s="24">
        <f>IF(S88=[1]BD_CUSTO!$E$10,[1]BD_CUSTO!$F$10,[1]BD_CUSTO!$F$11)</f>
        <v>935</v>
      </c>
      <c r="AA88" s="24">
        <f>IF(T88=[1]BD_CUSTO!$E$12,[1]BD_CUSTO!$F$12,[1]BD_CUSTO!$F$13)</f>
        <v>930</v>
      </c>
      <c r="AB88" s="24">
        <f>IF(U88=[1]BD_CUSTO!$E$14,[1]BD_CUSTO!$F$14,[1]BD_CUSTO!$F$15)</f>
        <v>240</v>
      </c>
      <c r="AC88" s="24">
        <f>IF(V88=[1]BD_CUSTO!$E$16,[1]BD_CUSTO!$F$16,[1]BD_CUSTO!$F$17)</f>
        <v>720</v>
      </c>
      <c r="AD88" s="22" t="s">
        <v>121</v>
      </c>
      <c r="AE88" s="22">
        <v>1</v>
      </c>
      <c r="AF88" s="22" t="s">
        <v>107</v>
      </c>
      <c r="AG88" s="22">
        <v>1</v>
      </c>
      <c r="AH88" s="22" t="s">
        <v>108</v>
      </c>
      <c r="AI88" s="22">
        <v>2</v>
      </c>
      <c r="AJ88" s="22" t="s">
        <v>129</v>
      </c>
      <c r="AK88" s="22">
        <v>1</v>
      </c>
      <c r="AL88" s="22" t="s">
        <v>110</v>
      </c>
      <c r="AM88" s="22">
        <v>1</v>
      </c>
      <c r="AN88" s="22" t="s">
        <v>109</v>
      </c>
      <c r="AO88" s="22">
        <v>1</v>
      </c>
      <c r="AP88" s="22" t="s">
        <v>135</v>
      </c>
      <c r="AQ88" s="22">
        <v>1</v>
      </c>
      <c r="AR88" s="22" t="s">
        <v>139</v>
      </c>
      <c r="AS88" s="22">
        <v>1</v>
      </c>
      <c r="AT88" s="22" t="s">
        <v>111</v>
      </c>
      <c r="AU88" s="22">
        <v>1</v>
      </c>
      <c r="AV88" s="22"/>
      <c r="AW88" s="22"/>
      <c r="AX88" s="24">
        <f>IF(AD88="",0,VLOOKUP(AD88,[1]BD_CUSTO!I:J,2,0)*AE88/E88)</f>
        <v>267.7323913043478</v>
      </c>
      <c r="AY88" s="24">
        <f>IF(AF88="",0,VLOOKUP(AF88,[1]BD_CUSTO!I:J,2,0)*AG88/E88)</f>
        <v>185.10678260869565</v>
      </c>
      <c r="AZ88" s="24">
        <f>IF(AH88="",0,VLOOKUP(AH88,[1]BD_CUSTO!I:J,2,0)*AI88/E88)</f>
        <v>100.65217391304348</v>
      </c>
      <c r="BA88" s="24">
        <f>IF(AJ88="",0,VLOOKUP(AJ88,[1]BD_CUSTO!I:J,2,0)*AK88/E88)</f>
        <v>598.19039130434783</v>
      </c>
      <c r="BB88" s="24">
        <f>IF(AL88="",0,VLOOKUP(AL88,[1]BD_CUSTO!I:J,2,0)*AM88/E88)</f>
        <v>11.521739130434783</v>
      </c>
      <c r="BC88" s="24">
        <f>IF(AN88="",0,VLOOKUP(AN88,[1]BD_CUSTO!I:J,2,0)*AO88/E88)</f>
        <v>15.108695652173912</v>
      </c>
      <c r="BD88" s="24">
        <f>IF(AP88="",0,VLOOKUP(AP88,[1]BD_CUSTO!I:J,2,0)*AQ88/E88)</f>
        <v>274.06226086956519</v>
      </c>
      <c r="BE88" s="24">
        <f>IF(AR88="",0,VLOOKUP(AR88,CUSTO!I:J,2,0)*AS88/E88)</f>
        <v>135.12243478260871</v>
      </c>
      <c r="BF88" s="24">
        <f>IF(AT88="",0,VLOOKUP(AT88,[1]BD_CUSTO!I:J,2,0)*AU88/E88)</f>
        <v>35.217391304347828</v>
      </c>
      <c r="BG88" s="24">
        <f>IF(Tabela13[[#This Row],[LZ 10]]="",0,VLOOKUP(Tabela13[[#This Row],[LZ 10]],[1]BD_CUSTO!I:J,2,0)*Tabela13[[#This Row],[QTD922]]/E88)</f>
        <v>0</v>
      </c>
      <c r="BH88" s="22" t="s">
        <v>112</v>
      </c>
      <c r="BI88" s="25">
        <v>0.4</v>
      </c>
      <c r="BJ88" s="22" t="s">
        <v>113</v>
      </c>
      <c r="BK88" s="25">
        <v>0</v>
      </c>
      <c r="BL88" s="24">
        <f>IF(BH88=[1]BD_CUSTO!$M$6,[1]BD_CUSTO!$N$6)*BI88</f>
        <v>1200</v>
      </c>
      <c r="BM88" s="24">
        <f>IF(BJ88=[1]BD_CUSTO!$M$4,[1]BD_CUSTO!$N$4,[1]BD_CUSTO!$N$5)*BK88</f>
        <v>0</v>
      </c>
      <c r="BN88" s="22" t="s">
        <v>114</v>
      </c>
      <c r="BO88" s="22">
        <v>460</v>
      </c>
      <c r="BP88" s="25">
        <f>Tabela13[[#This Row],[QTD ]]/Tabela13[[#This Row],[Nº UNDS]]</f>
        <v>1</v>
      </c>
      <c r="BQ88" s="22" t="s">
        <v>115</v>
      </c>
      <c r="BR88" s="22">
        <v>0</v>
      </c>
      <c r="BS88" s="22" t="s">
        <v>116</v>
      </c>
      <c r="BT88" s="22">
        <v>0</v>
      </c>
      <c r="BU88" s="22" t="s">
        <v>16</v>
      </c>
      <c r="BV88" s="22">
        <v>0</v>
      </c>
      <c r="BW88" s="24">
        <f>IF(BN88=[1]BD_CUSTO!$Q$7,[1]BD_CUSTO!$R$7,[1]BD_CUSTO!$R$8)*BO88/E88</f>
        <v>2000</v>
      </c>
      <c r="BX88" s="24">
        <f>IF(BQ88=[1]BD_CUSTO!$Q$4,[1]BD_CUSTO!$R$4,[1]BD_CUSTO!$R$5)*BR88/E88</f>
        <v>0</v>
      </c>
      <c r="BY88" s="22">
        <f>IF(BS88=[1]BD_CUSTO!$Q$13,[1]BD_CUSTO!$R$13,[1]BD_CUSTO!$R$14)*BT88/E88</f>
        <v>0</v>
      </c>
      <c r="BZ88" s="24">
        <f>BV88*CUSTO!$R$10/E88</f>
        <v>0</v>
      </c>
      <c r="CA88" s="26">
        <f>SUM(Tabela13[[#This Row],[SOMA_PISO SALA E QUARTO]],Tabela13[[#This Row],[SOMA_PAREDE HIDR]],Tabela13[[#This Row],[SOMA_TETO]],Tabela13[[#This Row],[SOMA_BANCADA]],Tabela13[[#This Row],[SOMA_PEDRAS]])</f>
        <v>5435</v>
      </c>
      <c r="CB88" s="27" t="str">
        <f>IF(CA88&lt;=RÉGUAS!$D$4,"ACAB 01",IF(CA88&lt;=RÉGUAS!$F$4,"ACAB 02",IF(CA88&gt;RÉGUAS!$F$4,"ACAB 03",)))</f>
        <v>ACAB 03</v>
      </c>
      <c r="CC88" s="26">
        <f>SUM(Tabela13[[#This Row],[SOMA_LZ 01]:[SOMA_LZ 10]])</f>
        <v>1622.7142608695651</v>
      </c>
      <c r="CD88" s="22" t="str">
        <f>IF(CC88&lt;=RÉGUAS!$D$13,"LZ 01",IF(CC88&lt;=RÉGUAS!$F$13,"LZ 02",IF(CC88&lt;=RÉGUAS!$H$13,"LZ 03",IF(CC88&gt;RÉGUAS!$H$13,"LZ 04",))))</f>
        <v>LZ 02</v>
      </c>
      <c r="CE88" s="28">
        <f t="shared" si="8"/>
        <v>1200</v>
      </c>
      <c r="CF88" s="22" t="str">
        <f>IF(CE88&lt;=RÉGUAS!$D$22,"TIP 01",IF(CE88&lt;=RÉGUAS!$F$22,"TIP 02",IF(CE88&gt;RÉGUAS!$F$22,"TIP 03",)))</f>
        <v>TIP 01</v>
      </c>
      <c r="CG88" s="28">
        <f t="shared" si="9"/>
        <v>2000</v>
      </c>
      <c r="CH88" s="22" t="str">
        <f>IF(CG88&lt;=RÉGUAS!$D$32,"VAGA 01",IF(CG88&lt;=RÉGUAS!$F$32,"VAGA 02",IF(CG88&gt;RÉGUAS!$F$32,"VAGA 03",)))</f>
        <v>VAGA 02</v>
      </c>
      <c r="CI88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7507</v>
      </c>
      <c r="CJ88" s="85" t="str">
        <f>IF(AND(G88="BLOCO",CI88&lt;=RÉGUAS!$D$40),"ELEV 01",IF(AND(G88="BLOCO",CI88&gt;RÉGUAS!$D$40),"ELEV 02",IF(AND(G88="TORRE",CI88&lt;=RÉGUAS!$K$40),"ELEV 01",IF(AND(G88="TORRE",CI88&lt;=RÉGUAS!$M$40),"ELEV 02",IF(AND(G88="TORRE",CI88&gt;RÉGUAS!$M$40),"ELEV 03",)))))</f>
        <v>ELEV 02</v>
      </c>
      <c r="CK88" s="85">
        <f>SUM(Tabela13[[#This Row],[TOTAL  ACAB]],Tabela13[[#This Row],[TOTAL LAZER ]],Tabela13[[#This Row],[TOTAL TIPOLOGIA]],Tabela13[[#This Row],[TOTAL VAGA]],Tabela13[[#This Row],[TOTAL ELEVADOR]])</f>
        <v>17764.714260869565</v>
      </c>
      <c r="CL88" s="72" t="str">
        <f>IF(AND(G88="BLOCO",CK88&lt;=RÉGUAS!$D$50),"ESSENCIAL",IF(AND(G88="BLOCO",CK88&lt;=RÉGUAS!$F$50),"ECO",IF(AND(G88="BLOCO",CK88&gt;RÉGUAS!$F$50),"BIO",IF(AND(G88="TORRE",CK88&lt;=RÉGUAS!$K$50),"ESSENCIAL",IF(AND(G88="TORRE",CK88&lt;=RÉGUAS!$M$50),"ECO",IF(AND(G88="TORRE",CK88&gt;RÉGUAS!$M$50),"BIO",))))))</f>
        <v>BIO</v>
      </c>
      <c r="CM88" s="28" t="str">
        <f>IF(AND(G88="BLOCO",CK88&gt;=RÉGUAS!$D$51,CK88&lt;=RÉGUAS!$D$50),"ESSENCIAL-10%",IF(AND(G88="BLOCO",CK88&gt;RÉGUAS!$D$50,CK88&lt;=RÉGUAS!$E$51),"ECO+10%",IF(AND(G88="BLOCO",CK88&gt;=RÉGUAS!$F$51,CK88&lt;=RÉGUAS!$F$50),"ECO-10%",IF(AND(G88="BLOCO",CK88&gt;RÉGUAS!$F$50,CK88&lt;=RÉGUAS!$G$51),"BIO+10%",IF(AND(G88="TORRE",CK88&gt;=RÉGUAS!$K$51,CK88&lt;=RÉGUAS!$K$50),"ESSENCIAL-10%",IF(AND(G88="TORRE",CK88&gt;RÉGUAS!$K$50,CK88&lt;=RÉGUAS!$L$51),"ECO+10%",IF(AND(G88="TORRE",CK88&gt;=RÉGUAS!$M$51,CK88&lt;=RÉGUAS!$M$50),"ECO-10%",IF(AND(G88="TORRE",CK88&gt;RÉGUAS!$M$50,CK88&lt;=RÉGUAS!$N$51),"BIO+10%","-"))))))))</f>
        <v>-</v>
      </c>
      <c r="CN88" s="73">
        <f t="shared" si="10"/>
        <v>10257.714260869565</v>
      </c>
      <c r="CO88" s="72" t="str">
        <f>IF(CN88&lt;=RÉGUAS!$D$58,"ESSENCIAL",IF(CN88&lt;=RÉGUAS!$F$58,"ECO",IF(CN88&gt;RÉGUAS!$F$58,"BIO",)))</f>
        <v>ECO</v>
      </c>
      <c r="CP88" s="72" t="str">
        <f>IF(Tabela13[[#This Row],[INTERVALO DE INTERSEÇÃO 5D]]="-",Tabela13[[#This Row],[CLASSIFICAÇÃO 
5D ]],Tabela13[[#This Row],[CLASSIFICAÇÃO 
4D]])</f>
        <v>BIO</v>
      </c>
      <c r="CQ88" s="72" t="str">
        <f t="shared" si="11"/>
        <v>-</v>
      </c>
      <c r="CR88" s="72" t="str">
        <f t="shared" si="12"/>
        <v>BIO</v>
      </c>
      <c r="CS88" s="22" t="str">
        <f>IF(Tabela13[[#This Row],[PRODUTO ATUAL ]]=Tabela13[[#This Row],[CLASSIFICAÇÃO FINAL 5D]],"ADERÊNTE","NÃO ADERÊNTE")</f>
        <v>ADERÊNTE</v>
      </c>
      <c r="CT88" s="24">
        <f>SUM(Tabela13[[#This Row],[TOTAL  ACAB]],Tabela13[[#This Row],[TOTAL LAZER ]],Tabela13[[#This Row],[TOTAL TIPOLOGIA]],Tabela13[[#This Row],[TOTAL VAGA]])</f>
        <v>10257.714260869565</v>
      </c>
      <c r="CU88" s="22" t="str">
        <f>IF(CT88&lt;=RÉGUAS!$D$58,"ESSENCIAL",IF(CT88&lt;=RÉGUAS!$F$58,"ECO",IF(CT88&gt;RÉGUAS!$F$58,"BIO",)))</f>
        <v>ECO</v>
      </c>
      <c r="CV88" s="22" t="str">
        <f>IF(AND(CT88&gt;=RÉGUAS!$D$59,CT88&lt;=RÉGUAS!$E$59),"ESSENCIAL/ECO",IF(AND(CT88&gt;=RÉGUAS!$F$59,CT88&lt;=RÉGUAS!$G$59),"ECO/BIO","-"))</f>
        <v>-</v>
      </c>
      <c r="CW88" s="85">
        <f>SUM(Tabela13[[#This Row],[TOTAL LAZER ]],Tabela13[[#This Row],[TOTAL TIPOLOGIA]])</f>
        <v>2822.7142608695649</v>
      </c>
      <c r="CX88" s="22" t="str">
        <f>IF(CW88&lt;=RÉGUAS!$D$72,"ESSENCIAL",IF(CW88&lt;=RÉGUAS!$F$72,"ECO",IF(CN88&gt;RÉGUAS!$F$72,"BIO",)))</f>
        <v>ECO</v>
      </c>
      <c r="CY88" s="22" t="str">
        <f t="shared" si="13"/>
        <v>ECO</v>
      </c>
      <c r="CZ88" s="22" t="str">
        <f>IF(Tabela13[[#This Row],[PRODUTO ATUAL ]]=CY88,"ADERENTE","NÃO ADERENTE")</f>
        <v>NÃO ADERENTE</v>
      </c>
      <c r="DA88" s="22" t="str">
        <f>IF(Tabela13[[#This Row],[PRODUTO ATUAL ]]=Tabela13[[#This Row],[CLASSIFICAÇÃO 
4D2]],"ADERENTE","NÃO ADERENTE")</f>
        <v>NÃO ADERENTE</v>
      </c>
    </row>
    <row r="89" spans="2:105" x14ac:dyDescent="0.35">
      <c r="B89" s="27">
        <v>89</v>
      </c>
      <c r="C89" s="22" t="s">
        <v>206</v>
      </c>
      <c r="D89" s="22" t="s">
        <v>125</v>
      </c>
      <c r="E89" s="128">
        <v>336</v>
      </c>
      <c r="F89" s="22" t="str">
        <f t="shared" si="7"/>
        <v>De 200 a 400 und</v>
      </c>
      <c r="G89" s="22" t="s">
        <v>14</v>
      </c>
      <c r="H89" s="129">
        <v>2</v>
      </c>
      <c r="I89" s="129">
        <v>14</v>
      </c>
      <c r="J89" s="129"/>
      <c r="K89" s="129"/>
      <c r="L89" s="129">
        <f>SUM(Tabela13[[#This Row],[QTD DE B/T 2]],Tabela13[[#This Row],[QTD DE B/T]])</f>
        <v>2</v>
      </c>
      <c r="M89" s="22">
        <v>6</v>
      </c>
      <c r="N89" s="22">
        <f>Tabela13[[#This Row],[ELEVADOR]]/Tabela13[[#This Row],[BLOCO TOTAL]]</f>
        <v>3</v>
      </c>
      <c r="O89" s="76" t="s">
        <v>4</v>
      </c>
      <c r="P89" s="76" t="s">
        <v>101</v>
      </c>
      <c r="Q89" s="76" t="s">
        <v>101</v>
      </c>
      <c r="R89" s="22" t="s">
        <v>142</v>
      </c>
      <c r="S89" s="76" t="s">
        <v>159</v>
      </c>
      <c r="T89" s="22" t="s">
        <v>173</v>
      </c>
      <c r="U89" s="76" t="s">
        <v>174</v>
      </c>
      <c r="V89" s="22" t="s">
        <v>106</v>
      </c>
      <c r="W89" s="24">
        <f>IF(P89=[1]BD_CUSTO!$E$4,[1]BD_CUSTO!$F$4,[1]BD_CUSTO!$F$5)</f>
        <v>2430</v>
      </c>
      <c r="X89" s="24">
        <f>IF(Q89=[1]BD_CUSTO!$E$6,[1]BD_CUSTO!$F$6,[1]BD_CUSTO!$F$7)</f>
        <v>260</v>
      </c>
      <c r="Y89" s="24">
        <f>IF(R89=[1]BD_CUSTO!$E$8,[1]BD_CUSTO!$F$8,[1]BD_CUSTO!$F$9)</f>
        <v>900</v>
      </c>
      <c r="Z89" s="24">
        <f>IF(S89=[1]BD_CUSTO!$E$10,[1]BD_CUSTO!$F$10,[1]BD_CUSTO!$F$11)</f>
        <v>935</v>
      </c>
      <c r="AA89" s="24">
        <f>IF(T89=[1]BD_CUSTO!$E$12,[1]BD_CUSTO!$F$12,[1]BD_CUSTO!$F$13)</f>
        <v>930</v>
      </c>
      <c r="AB89" s="24">
        <f>IF(U89=[1]BD_CUSTO!$E$14,[1]BD_CUSTO!$F$14,[1]BD_CUSTO!$F$15)</f>
        <v>240</v>
      </c>
      <c r="AC89" s="24">
        <f>IF(V89=[1]BD_CUSTO!$E$16,[1]BD_CUSTO!$F$16,[1]BD_CUSTO!$F$17)</f>
        <v>720</v>
      </c>
      <c r="AD89" s="76" t="s">
        <v>110</v>
      </c>
      <c r="AE89" s="76">
        <v>1</v>
      </c>
      <c r="AF89" s="76" t="s">
        <v>129</v>
      </c>
      <c r="AG89" s="76">
        <v>1</v>
      </c>
      <c r="AH89" s="76" t="s">
        <v>111</v>
      </c>
      <c r="AI89" s="76">
        <v>1</v>
      </c>
      <c r="AJ89" s="76" t="s">
        <v>107</v>
      </c>
      <c r="AK89" s="76">
        <v>1</v>
      </c>
      <c r="AL89" s="76" t="s">
        <v>108</v>
      </c>
      <c r="AM89" s="76">
        <v>1</v>
      </c>
      <c r="AN89" s="76" t="s">
        <v>109</v>
      </c>
      <c r="AO89" s="76">
        <v>1</v>
      </c>
      <c r="AP89" s="76" t="s">
        <v>126</v>
      </c>
      <c r="AQ89" s="76">
        <v>2</v>
      </c>
      <c r="AR89" s="76" t="s">
        <v>133</v>
      </c>
      <c r="AS89" s="76">
        <v>3</v>
      </c>
      <c r="AT89" s="22"/>
      <c r="AU89" s="22"/>
      <c r="AV89" s="22"/>
      <c r="AW89" s="22"/>
      <c r="AX89" s="24">
        <f>IF(AD89="",0,VLOOKUP(AD89,[1]BD_CUSTO!I:J,2,0)*AE89/E89)</f>
        <v>15.773809523809524</v>
      </c>
      <c r="AY89" s="24">
        <f>IF(AF89="",0,VLOOKUP(AF89,[1]BD_CUSTO!I:J,2,0)*AG89/E89)</f>
        <v>818.95113095238105</v>
      </c>
      <c r="AZ89" s="24">
        <f>IF(AH89="",0,VLOOKUP(AH89,[1]BD_CUSTO!I:J,2,0)*AI89/E89)</f>
        <v>48.214285714285715</v>
      </c>
      <c r="BA89" s="24">
        <f>IF(AJ89="",0,VLOOKUP(AJ89,[1]BD_CUSTO!I:J,2,0)*AK89/E89)</f>
        <v>253.42</v>
      </c>
      <c r="BB89" s="24">
        <f>IF(AL89="",0,VLOOKUP(AL89,[1]BD_CUSTO!I:J,2,0)*AM89/E89)</f>
        <v>68.898809523809518</v>
      </c>
      <c r="BC89" s="24">
        <f>IF(AN89="",0,VLOOKUP(AN89,[1]BD_CUSTO!I:J,2,0)*AO89/E89)</f>
        <v>20.68452380952381</v>
      </c>
      <c r="BD89" s="24">
        <f>IF(AP89="",0,VLOOKUP(AP89,[1]BD_CUSTO!I:J,2,0)*AQ89/E89)</f>
        <v>45</v>
      </c>
      <c r="BE89" s="24">
        <f>IF(AR89="",0,VLOOKUP(AR89,CUSTO!I:J,2,0)*AS89/E89)</f>
        <v>62.142857142857146</v>
      </c>
      <c r="BF89" s="24">
        <f>IF(AT89="",0,VLOOKUP(AT89,[1]BD_CUSTO!I:J,2,0)*AU89/E89)</f>
        <v>0</v>
      </c>
      <c r="BG89" s="24">
        <f>IF(Tabela13[[#This Row],[LZ 10]]="",0,VLOOKUP(Tabela13[[#This Row],[LZ 10]],[1]BD_CUSTO!I:J,2,0)*Tabela13[[#This Row],[QTD922]]/E89)</f>
        <v>0</v>
      </c>
      <c r="BH89" s="76" t="s">
        <v>112</v>
      </c>
      <c r="BI89" s="127">
        <v>0.62</v>
      </c>
      <c r="BJ89" s="76" t="s">
        <v>113</v>
      </c>
      <c r="BK89" s="127">
        <v>0</v>
      </c>
      <c r="BL89" s="24">
        <f>IF(BH89=[1]BD_CUSTO!$M$6,[1]BD_CUSTO!$N$6)*BI89</f>
        <v>1860</v>
      </c>
      <c r="BM89" s="24">
        <f>IF(BJ89=[1]BD_CUSTO!$M$4,[1]BD_CUSTO!$N$4,[1]BD_CUSTO!$N$5)*BK89</f>
        <v>0</v>
      </c>
      <c r="BN89" s="76" t="s">
        <v>114</v>
      </c>
      <c r="BO89" s="76">
        <v>341</v>
      </c>
      <c r="BP89" s="25">
        <f>Tabela13[[#This Row],[QTD ]]/Tabela13[[#This Row],[Nº UNDS]]</f>
        <v>1.0148809523809523</v>
      </c>
      <c r="BQ89" s="22" t="s">
        <v>115</v>
      </c>
      <c r="BR89" s="22">
        <v>0</v>
      </c>
      <c r="BS89" s="22" t="s">
        <v>116</v>
      </c>
      <c r="BT89" s="22">
        <v>0</v>
      </c>
      <c r="BU89" s="22" t="s">
        <v>16</v>
      </c>
      <c r="BV89" s="22">
        <v>0</v>
      </c>
      <c r="BW89" s="24">
        <f>IF(BN89=[1]BD_CUSTO!$Q$7,[1]BD_CUSTO!$R$7,[1]BD_CUSTO!$R$8)*BO89/E89</f>
        <v>2029.7619047619048</v>
      </c>
      <c r="BX89" s="24">
        <f>IF(BQ89=[1]BD_CUSTO!$Q$4,[1]BD_CUSTO!$R$4,[1]BD_CUSTO!$R$5)*BR89/E89</f>
        <v>0</v>
      </c>
      <c r="BY89" s="22">
        <f>IF(BS89=[1]BD_CUSTO!$Q$13,[1]BD_CUSTO!$R$13,[1]BD_CUSTO!$R$14)*BT89/E89</f>
        <v>0</v>
      </c>
      <c r="BZ89" s="24">
        <f>BV89*CUSTO!$R$10/E89</f>
        <v>0</v>
      </c>
      <c r="CA89" s="26">
        <f>SUM(Tabela13[[#This Row],[SOMA_PISO SALA E QUARTO]],Tabela13[[#This Row],[SOMA_PAREDE HIDR]],Tabela13[[#This Row],[SOMA_TETO]],Tabela13[[#This Row],[SOMA_BANCADA]],Tabela13[[#This Row],[SOMA_PEDRAS]])</f>
        <v>5435</v>
      </c>
      <c r="CB89" s="27" t="str">
        <f>IF(CA89&lt;=RÉGUAS!$D$4,"ACAB 01",IF(CA89&lt;=RÉGUAS!$F$4,"ACAB 02",IF(CA89&gt;RÉGUAS!$F$4,"ACAB 03",)))</f>
        <v>ACAB 03</v>
      </c>
      <c r="CC89" s="26">
        <f>SUM(Tabela13[[#This Row],[SOMA_LZ 01]:[SOMA_LZ 10]])</f>
        <v>1333.0854166666666</v>
      </c>
      <c r="CD89" s="22" t="str">
        <f>IF(CC89&lt;=RÉGUAS!$D$13,"LZ 01",IF(CC89&lt;=RÉGUAS!$F$13,"LZ 02",IF(CC89&lt;=RÉGUAS!$H$13,"LZ 03",IF(CC89&gt;RÉGUAS!$H$13,"LZ 04",))))</f>
        <v>LZ 02</v>
      </c>
      <c r="CE89" s="28">
        <f t="shared" si="8"/>
        <v>1860</v>
      </c>
      <c r="CF89" s="22" t="str">
        <f>IF(CE89&lt;=RÉGUAS!$D$22,"TIP 01",IF(CE89&lt;=RÉGUAS!$F$22,"TIP 02",IF(CE89&gt;RÉGUAS!$F$22,"TIP 03",)))</f>
        <v>TIP 02</v>
      </c>
      <c r="CG89" s="28">
        <f t="shared" si="9"/>
        <v>2029.7619047619048</v>
      </c>
      <c r="CH89" s="22" t="str">
        <f>IF(CG89&lt;=RÉGUAS!$D$32,"VAGA 01",IF(CG89&lt;=RÉGUAS!$F$32,"VAGA 02",IF(CG89&gt;RÉGUAS!$F$32,"VAGA 03",)))</f>
        <v>VAGA 02</v>
      </c>
      <c r="CI89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4194.75</v>
      </c>
      <c r="CJ89" s="85" t="str">
        <f>IF(AND(G89="BLOCO",CI89&lt;=RÉGUAS!$D$40),"ELEV 01",IF(AND(G89="BLOCO",CI89&gt;RÉGUAS!$D$40),"ELEV 02",IF(AND(G89="TORRE",CI89&lt;=RÉGUAS!$K$40),"ELEV 01",IF(AND(G89="TORRE",CI89&lt;=RÉGUAS!$M$40),"ELEV 02",IF(AND(G89="TORRE",CI89&gt;RÉGUAS!$M$40),"ELEV 03",)))))</f>
        <v>ELEV 03</v>
      </c>
      <c r="CK89" s="85">
        <f>SUM(Tabela13[[#This Row],[TOTAL  ACAB]],Tabela13[[#This Row],[TOTAL LAZER ]],Tabela13[[#This Row],[TOTAL TIPOLOGIA]],Tabela13[[#This Row],[TOTAL VAGA]],Tabela13[[#This Row],[TOTAL ELEVADOR]])</f>
        <v>14852.597321428571</v>
      </c>
      <c r="CL89" s="72" t="str">
        <f>IF(AND(G89="BLOCO",CK89&lt;=RÉGUAS!$D$50),"ESSENCIAL",IF(AND(G89="BLOCO",CK89&lt;=RÉGUAS!$F$50),"ECO",IF(AND(G89="BLOCO",CK89&gt;RÉGUAS!$F$50),"BIO",IF(AND(G89="TORRE",CK89&lt;=RÉGUAS!$K$50),"ESSENCIAL",IF(AND(G89="TORRE",CK89&lt;=RÉGUAS!$M$50),"ECO",IF(AND(G89="TORRE",CK89&gt;RÉGUAS!$M$50),"BIO",))))))</f>
        <v>BIO</v>
      </c>
      <c r="CM89" s="28" t="str">
        <f>IF(AND(G89="BLOCO",CK89&gt;=RÉGUAS!$D$51,CK89&lt;=RÉGUAS!$D$50),"ESSENCIAL-10%",IF(AND(G89="BLOCO",CK89&gt;RÉGUAS!$D$50,CK89&lt;=RÉGUAS!$E$51),"ECO+10%",IF(AND(G89="BLOCO",CK89&gt;=RÉGUAS!$F$51,CK89&lt;=RÉGUAS!$F$50),"ECO-10%",IF(AND(G89="BLOCO",CK89&gt;RÉGUAS!$F$50,CK89&lt;=RÉGUAS!$G$51),"BIO+10%",IF(AND(G89="TORRE",CK89&gt;=RÉGUAS!$K$51,CK89&lt;=RÉGUAS!$K$50),"ESSENCIAL-10%",IF(AND(G89="TORRE",CK89&gt;RÉGUAS!$K$50,CK89&lt;=RÉGUAS!$L$51),"ECO+10%",IF(AND(G89="TORRE",CK89&gt;=RÉGUAS!$M$51,CK89&lt;=RÉGUAS!$M$50),"ECO-10%",IF(AND(G89="TORRE",CK89&gt;RÉGUAS!$M$50,CK89&lt;=RÉGUAS!$N$51),"BIO+10%","-"))))))))</f>
        <v>BIO+10%</v>
      </c>
      <c r="CN89" s="73">
        <f t="shared" si="10"/>
        <v>10657.847321428571</v>
      </c>
      <c r="CO89" s="72" t="str">
        <f>IF(CN89&lt;=RÉGUAS!$D$58,"ESSENCIAL",IF(CN89&lt;=RÉGUAS!$F$58,"ECO",IF(CN89&gt;RÉGUAS!$F$58,"BIO",)))</f>
        <v>ECO</v>
      </c>
      <c r="CP89" s="72" t="str">
        <f>IF(Tabela13[[#This Row],[INTERVALO DE INTERSEÇÃO 5D]]="-",Tabela13[[#This Row],[CLASSIFICAÇÃO 
5D ]],Tabela13[[#This Row],[CLASSIFICAÇÃO 
4D]])</f>
        <v>ECO</v>
      </c>
      <c r="CQ89" s="72" t="str">
        <f t="shared" si="11"/>
        <v>-</v>
      </c>
      <c r="CR89" s="72" t="str">
        <f t="shared" si="12"/>
        <v>ECO</v>
      </c>
      <c r="CS89" s="22" t="str">
        <f>IF(Tabela13[[#This Row],[PRODUTO ATUAL ]]=Tabela13[[#This Row],[CLASSIFICAÇÃO FINAL 5D]],"ADERÊNTE","NÃO ADERÊNTE")</f>
        <v>NÃO ADERÊNTE</v>
      </c>
      <c r="CT89" s="24">
        <f>SUM(Tabela13[[#This Row],[TOTAL  ACAB]],Tabela13[[#This Row],[TOTAL LAZER ]],Tabela13[[#This Row],[TOTAL TIPOLOGIA]],Tabela13[[#This Row],[TOTAL VAGA]])</f>
        <v>10657.847321428571</v>
      </c>
      <c r="CU89" s="22" t="str">
        <f>IF(CT89&lt;=RÉGUAS!$D$58,"ESSENCIAL",IF(CT89&lt;=RÉGUAS!$F$58,"ECO",IF(CT89&gt;RÉGUAS!$F$58,"BIO",)))</f>
        <v>ECO</v>
      </c>
      <c r="CV89" s="22" t="str">
        <f>IF(AND(CT89&gt;=RÉGUAS!$D$59,CT89&lt;=RÉGUAS!$E$59),"ESSENCIAL/ECO",IF(AND(CT89&gt;=RÉGUAS!$F$59,CT89&lt;=RÉGUAS!$G$59),"ECO/BIO","-"))</f>
        <v>ECO/BIO</v>
      </c>
      <c r="CW89" s="85">
        <f>SUM(Tabela13[[#This Row],[TOTAL LAZER ]],Tabela13[[#This Row],[TOTAL TIPOLOGIA]])</f>
        <v>3193.0854166666668</v>
      </c>
      <c r="CX89" s="22" t="str">
        <f>IF(CW89&lt;=RÉGUAS!$D$72,"ESSENCIAL",IF(CW89&lt;=RÉGUAS!$F$72,"ECO",IF(CN89&gt;RÉGUAS!$F$72,"BIO",)))</f>
        <v>ECO</v>
      </c>
      <c r="CY89" s="22" t="str">
        <f t="shared" si="13"/>
        <v>ECO</v>
      </c>
      <c r="CZ89" s="22" t="str">
        <f>IF(Tabela13[[#This Row],[PRODUTO ATUAL ]]=CY89,"ADERENTE","NÃO ADERENTE")</f>
        <v>NÃO ADERENTE</v>
      </c>
      <c r="DA89" s="22" t="str">
        <f>IF(Tabela13[[#This Row],[PRODUTO ATUAL ]]=Tabela13[[#This Row],[CLASSIFICAÇÃO 
4D2]],"ADERENTE","NÃO ADERENTE")</f>
        <v>NÃO ADERENTE</v>
      </c>
    </row>
    <row r="90" spans="2:105" hidden="1" x14ac:dyDescent="0.35">
      <c r="B90" s="27">
        <v>7</v>
      </c>
      <c r="C90" s="22" t="s">
        <v>221</v>
      </c>
      <c r="D90" s="22" t="s">
        <v>147</v>
      </c>
      <c r="E90" s="22">
        <v>192</v>
      </c>
      <c r="F90" s="22" t="str">
        <f t="shared" si="7"/>
        <v>Até 200 und</v>
      </c>
      <c r="G90" s="22" t="s">
        <v>14</v>
      </c>
      <c r="H90" s="36">
        <v>1</v>
      </c>
      <c r="I90" s="36">
        <v>24</v>
      </c>
      <c r="J90" s="36"/>
      <c r="K90" s="36"/>
      <c r="L90" s="36">
        <f>SUM(Tabela13[[#This Row],[QTD DE B/T 2]],Tabela13[[#This Row],[QTD DE B/T]])</f>
        <v>1</v>
      </c>
      <c r="M90" s="22">
        <v>4</v>
      </c>
      <c r="N90" s="22">
        <f>Tabela13[[#This Row],[ELEVADOR]]/Tabela13[[#This Row],[BLOCO TOTAL]]</f>
        <v>4</v>
      </c>
      <c r="O90" s="22" t="s">
        <v>4</v>
      </c>
      <c r="P90" s="22" t="s">
        <v>101</v>
      </c>
      <c r="Q90" s="22" t="s">
        <v>101</v>
      </c>
      <c r="R90" s="22" t="s">
        <v>142</v>
      </c>
      <c r="S90" s="22" t="s">
        <v>159</v>
      </c>
      <c r="T90" s="22" t="s">
        <v>173</v>
      </c>
      <c r="U90" s="22" t="s">
        <v>174</v>
      </c>
      <c r="V90" s="22" t="s">
        <v>137</v>
      </c>
      <c r="W90" s="24">
        <f>IF(P90=[1]BD_CUSTO!$E$4,[1]BD_CUSTO!$F$4,[1]BD_CUSTO!$F$5)</f>
        <v>2430</v>
      </c>
      <c r="X90" s="24">
        <f>IF(Q90=[1]BD_CUSTO!$E$6,[1]BD_CUSTO!$F$6,[1]BD_CUSTO!$F$7)</f>
        <v>260</v>
      </c>
      <c r="Y90" s="24">
        <f>IF(R90=[1]BD_CUSTO!$E$8,[1]BD_CUSTO!$F$8,[1]BD_CUSTO!$F$9)</f>
        <v>900</v>
      </c>
      <c r="Z90" s="24">
        <f>IF(S90=[1]BD_CUSTO!$E$10,[1]BD_CUSTO!$F$10,[1]BD_CUSTO!$F$11)</f>
        <v>935</v>
      </c>
      <c r="AA90" s="24">
        <f>IF(T90=[1]BD_CUSTO!$E$12,[1]BD_CUSTO!$F$12,[1]BD_CUSTO!$F$13)</f>
        <v>930</v>
      </c>
      <c r="AB90" s="24">
        <f>IF(U90=[1]BD_CUSTO!$E$14,[1]BD_CUSTO!$F$14,[1]BD_CUSTO!$F$15)</f>
        <v>240</v>
      </c>
      <c r="AC90" s="24">
        <f>IF(V90=[1]BD_CUSTO!$E$16,[1]BD_CUSTO!$F$16,[1]BD_CUSTO!$F$17)</f>
        <v>1320</v>
      </c>
      <c r="AD90" s="22" t="s">
        <v>108</v>
      </c>
      <c r="AE90" s="22">
        <v>1</v>
      </c>
      <c r="AF90" s="22" t="s">
        <v>121</v>
      </c>
      <c r="AG90" s="22">
        <v>1</v>
      </c>
      <c r="AH90" s="22" t="s">
        <v>129</v>
      </c>
      <c r="AI90" s="22">
        <v>1</v>
      </c>
      <c r="AJ90" s="22" t="s">
        <v>110</v>
      </c>
      <c r="AK90" s="22">
        <v>1</v>
      </c>
      <c r="AL90" s="22" t="s">
        <v>107</v>
      </c>
      <c r="AM90" s="22">
        <v>1</v>
      </c>
      <c r="AN90" s="22"/>
      <c r="AO90" s="22">
        <v>0</v>
      </c>
      <c r="AP90" s="22"/>
      <c r="AQ90" s="22">
        <v>0</v>
      </c>
      <c r="AR90" s="22"/>
      <c r="AS90" s="22">
        <v>0</v>
      </c>
      <c r="AT90" s="22"/>
      <c r="AU90" s="22"/>
      <c r="AV90" s="22"/>
      <c r="AW90" s="22"/>
      <c r="AX90" s="24">
        <f>IF(AD90="",0,VLOOKUP(AD90,[1]BD_CUSTO!I:J,2,0)*AE90/E90)</f>
        <v>120.57291666666667</v>
      </c>
      <c r="AY90" s="24">
        <f>IF(AF90="",0,VLOOKUP(AF90,[1]BD_CUSTO!I:J,2,0)*AG90/E90)</f>
        <v>641.44218749999993</v>
      </c>
      <c r="AZ90" s="24">
        <f>IF(AH90="",0,VLOOKUP(AH90,[1]BD_CUSTO!I:J,2,0)*AI90/E90)</f>
        <v>1433.1644791666668</v>
      </c>
      <c r="BA90" s="24">
        <f>IF(AJ90="",0,VLOOKUP(AJ90,[1]BD_CUSTO!I:J,2,0)*AK90/E90)</f>
        <v>27.604166666666668</v>
      </c>
      <c r="BB90" s="24">
        <f>IF(AL90="",0,VLOOKUP(AL90,[1]BD_CUSTO!I:J,2,0)*AM90/E90)</f>
        <v>443.48499999999996</v>
      </c>
      <c r="BC90" s="24">
        <f>IF(AN90="",0,VLOOKUP(AN90,[1]BD_CUSTO!I:J,2,0)*AO90/E90)</f>
        <v>0</v>
      </c>
      <c r="BD90" s="24">
        <f>IF(AP90="",0,VLOOKUP(AP90,[1]BD_CUSTO!I:J,2,0)*AQ90/E90)</f>
        <v>0</v>
      </c>
      <c r="BE90" s="24">
        <f>IF(AR90="",0,VLOOKUP(AR90,CUSTO!I:J,2,0)*AS90/E90)</f>
        <v>0</v>
      </c>
      <c r="BF90" s="24">
        <f>IF(AT90="",0,VLOOKUP(AT90,[1]BD_CUSTO!I:J,2,0)*AU90/E90)</f>
        <v>0</v>
      </c>
      <c r="BG90" s="24">
        <f>IF(Tabela13[[#This Row],[LZ 10]]="",0,VLOOKUP(Tabela13[[#This Row],[LZ 10]],[1]BD_CUSTO!I:J,2,0)*Tabela13[[#This Row],[QTD922]]/E90)</f>
        <v>0</v>
      </c>
      <c r="BH90" s="22" t="s">
        <v>112</v>
      </c>
      <c r="BI90" s="25">
        <v>0.9</v>
      </c>
      <c r="BJ90" s="29" t="s">
        <v>212</v>
      </c>
      <c r="BK90" s="25">
        <v>0.5</v>
      </c>
      <c r="BL90" s="24">
        <f>IF(BH90=[1]BD_CUSTO!$M$6,[1]BD_CUSTO!$N$6)*BI90</f>
        <v>2700</v>
      </c>
      <c r="BM90" s="24">
        <f>IF(BJ90=[1]BD_CUSTO!$M$4,[1]BD_CUSTO!$N$4,[1]BD_CUSTO!$N$5)*BK90</f>
        <v>3000</v>
      </c>
      <c r="BN90" s="22" t="s">
        <v>114</v>
      </c>
      <c r="BO90" s="22">
        <v>0</v>
      </c>
      <c r="BP90" s="25">
        <f>Tabela13[[#This Row],[QTD ]]/Tabela13[[#This Row],[Nº UNDS]]</f>
        <v>0</v>
      </c>
      <c r="BQ90" s="22" t="s">
        <v>115</v>
      </c>
      <c r="BR90" s="22">
        <v>0</v>
      </c>
      <c r="BS90" s="22" t="s">
        <v>116</v>
      </c>
      <c r="BT90" s="22">
        <v>0</v>
      </c>
      <c r="BU90" s="22" t="s">
        <v>222</v>
      </c>
      <c r="BV90" s="22">
        <v>241</v>
      </c>
      <c r="BW90" s="24">
        <f>IF(BN90=[1]BD_CUSTO!$Q$7,[1]BD_CUSTO!$R$7,[1]BD_CUSTO!$R$8)*BO90/E90</f>
        <v>0</v>
      </c>
      <c r="BX90" s="24">
        <f>IF(BQ90=[1]BD_CUSTO!$Q$4,[1]BD_CUSTO!$R$4,[1]BD_CUSTO!$R$5)*BR90/E90</f>
        <v>0</v>
      </c>
      <c r="BY90" s="22">
        <f>IF(BS90=[1]BD_CUSTO!$Q$13,[1]BD_CUSTO!$R$13,[1]BD_CUSTO!$R$14)*BT90/E90</f>
        <v>0</v>
      </c>
      <c r="BZ90" s="24">
        <f>BV90*CUSTO!$R$10/E90</f>
        <v>18828.125</v>
      </c>
      <c r="CA90" s="26">
        <f>SUM(Tabela13[[#This Row],[SOMA_PISO SALA E QUARTO]],Tabela13[[#This Row],[SOMA_PAREDE HIDR]],Tabela13[[#This Row],[SOMA_TETO]],Tabela13[[#This Row],[SOMA_BANCADA]],Tabela13[[#This Row],[SOMA_PEDRAS]])</f>
        <v>5435</v>
      </c>
      <c r="CB90" s="27" t="str">
        <f>IF(CA90&lt;=RÉGUAS!$D$4,"ACAB 01",IF(CA90&lt;=RÉGUAS!$F$4,"ACAB 02",IF(CA90&gt;RÉGUAS!$F$4,"ACAB 03",)))</f>
        <v>ACAB 03</v>
      </c>
      <c r="CC90" s="26">
        <f>SUM(Tabela13[[#This Row],[SOMA_LZ 01]:[SOMA_LZ 10]])</f>
        <v>2666.2687500000002</v>
      </c>
      <c r="CD90" s="22" t="str">
        <f>IF(CC90&lt;=RÉGUAS!$D$13,"LZ 01",IF(CC90&lt;=RÉGUAS!$F$13,"LZ 02",IF(CC90&lt;=RÉGUAS!$H$13,"LZ 03",IF(CC90&gt;RÉGUAS!$H$13,"LZ 04",))))</f>
        <v>LZ 04</v>
      </c>
      <c r="CE90" s="28">
        <f t="shared" si="8"/>
        <v>5700</v>
      </c>
      <c r="CF90" s="22" t="str">
        <f>IF(CE90&lt;=RÉGUAS!$D$22,"TIP 01",IF(CE90&lt;=RÉGUAS!$F$22,"TIP 02",IF(CE90&gt;RÉGUAS!$F$22,"TIP 03",)))</f>
        <v>TIP 03</v>
      </c>
      <c r="CG90" s="28">
        <f t="shared" si="9"/>
        <v>18828.125</v>
      </c>
      <c r="CH90" s="22" t="str">
        <f>IF(CG90&lt;=RÉGUAS!$D$32,"VAGA 01",IF(CG90&lt;=RÉGUAS!$F$32,"VAGA 02",IF(CG90&gt;RÉGUAS!$F$32,"VAGA 03",)))</f>
        <v>VAGA 03</v>
      </c>
      <c r="CI90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8389.5</v>
      </c>
      <c r="CJ90" s="85" t="str">
        <f>IF(AND(G90="BLOCO",CI90&lt;=RÉGUAS!$D$40),"ELEV 01",IF(AND(G90="BLOCO",CI90&gt;RÉGUAS!$D$40),"ELEV 02",IF(AND(G90="TORRE",CI90&lt;=RÉGUAS!$K$40),"ELEV 01",IF(AND(G90="TORRE",CI90&lt;=RÉGUAS!$M$40),"ELEV 02",IF(AND(G90="TORRE",CI90&gt;RÉGUAS!$M$40),"ELEV 03",)))))</f>
        <v>ELEV 03</v>
      </c>
      <c r="CK90" s="85">
        <f>SUM(Tabela13[[#This Row],[TOTAL  ACAB]],Tabela13[[#This Row],[TOTAL LAZER ]],Tabela13[[#This Row],[TOTAL TIPOLOGIA]],Tabela13[[#This Row],[TOTAL VAGA]],Tabela13[[#This Row],[TOTAL ELEVADOR]])</f>
        <v>41018.893750000003</v>
      </c>
      <c r="CL90" s="72" t="str">
        <f>IF(AND(G90="BLOCO",CK90&lt;=RÉGUAS!$D$50),"ESSENCIAL",IF(AND(G90="BLOCO",CK90&lt;=RÉGUAS!$F$50),"ECO",IF(AND(G90="BLOCO",CK90&gt;RÉGUAS!$F$50),"BIO",IF(AND(G90="TORRE",CK90&lt;=RÉGUAS!$K$50),"ESSENCIAL",IF(AND(G90="TORRE",CK90&lt;=RÉGUAS!$M$50),"ECO",IF(AND(G90="TORRE",CK90&gt;RÉGUAS!$M$50),"BIO",))))))</f>
        <v>BIO</v>
      </c>
      <c r="CM90" s="28" t="str">
        <f>IF(AND(G90="BLOCO",CK90&gt;=RÉGUAS!$D$51,CK90&lt;=RÉGUAS!$D$50),"ESSENCIAL-10%",IF(AND(G90="BLOCO",CK90&gt;RÉGUAS!$D$50,CK90&lt;=RÉGUAS!$E$51),"ECO+10%",IF(AND(G90="BLOCO",CK90&gt;=RÉGUAS!$F$51,CK90&lt;=RÉGUAS!$F$50),"ECO-10%",IF(AND(G90="BLOCO",CK90&gt;RÉGUAS!$F$50,CK90&lt;=RÉGUAS!$G$51),"BIO+10%",IF(AND(G90="TORRE",CK90&gt;=RÉGUAS!$K$51,CK90&lt;=RÉGUAS!$K$50),"ESSENCIAL-10%",IF(AND(G90="TORRE",CK90&gt;RÉGUAS!$K$50,CK90&lt;=RÉGUAS!$L$51),"ECO+10%",IF(AND(G90="TORRE",CK90&gt;=RÉGUAS!$M$51,CK90&lt;=RÉGUAS!$M$50),"ECO-10%",IF(AND(G90="TORRE",CK90&gt;RÉGUAS!$M$50,CK90&lt;=RÉGUAS!$N$51),"BIO+10%","-"))))))))</f>
        <v>-</v>
      </c>
      <c r="CN90" s="73">
        <f t="shared" si="10"/>
        <v>32629.393749999999</v>
      </c>
      <c r="CO90" s="72" t="str">
        <f>IF(CN90&lt;=RÉGUAS!$D$58,"ESSENCIAL",IF(CN90&lt;=RÉGUAS!$F$58,"ECO",IF(CN90&gt;RÉGUAS!$F$58,"BIO",)))</f>
        <v>BIO</v>
      </c>
      <c r="CP90" s="72" t="str">
        <f>IF(Tabela13[[#This Row],[INTERVALO DE INTERSEÇÃO 5D]]="-",Tabela13[[#This Row],[CLASSIFICAÇÃO 
5D ]],Tabela13[[#This Row],[CLASSIFICAÇÃO 
4D]])</f>
        <v>BIO</v>
      </c>
      <c r="CQ90" s="72" t="str">
        <f t="shared" si="11"/>
        <v>-</v>
      </c>
      <c r="CR90" s="72" t="str">
        <f t="shared" si="12"/>
        <v>BIO</v>
      </c>
      <c r="CS90" s="22" t="str">
        <f>IF(Tabela13[[#This Row],[PRODUTO ATUAL ]]=Tabela13[[#This Row],[CLASSIFICAÇÃO FINAL 5D]],"ADERÊNTE","NÃO ADERÊNTE")</f>
        <v>ADERÊNTE</v>
      </c>
      <c r="CT90" s="24">
        <f>SUM(Tabela13[[#This Row],[TOTAL  ACAB]],Tabela13[[#This Row],[TOTAL LAZER ]],Tabela13[[#This Row],[TOTAL TIPOLOGIA]],Tabela13[[#This Row],[TOTAL VAGA]])</f>
        <v>32629.393749999999</v>
      </c>
      <c r="CU90" s="22" t="str">
        <f>IF(CT90&lt;=RÉGUAS!$D$58,"ESSENCIAL",IF(CT90&lt;=RÉGUAS!$F$58,"ECO",IF(CT90&gt;RÉGUAS!$F$58,"BIO",)))</f>
        <v>BIO</v>
      </c>
      <c r="CV90" s="22" t="str">
        <f>IF(AND(CT90&gt;=RÉGUAS!$D$59,CT90&lt;=RÉGUAS!$E$59),"ESSENCIAL/ECO",IF(AND(CT90&gt;=RÉGUAS!$F$59,CT90&lt;=RÉGUAS!$G$59),"ECO/BIO","-"))</f>
        <v>-</v>
      </c>
      <c r="CW90" s="85">
        <f>SUM(Tabela13[[#This Row],[TOTAL LAZER ]],Tabela13[[#This Row],[TOTAL TIPOLOGIA]])</f>
        <v>8366.2687499999993</v>
      </c>
      <c r="CX90" s="22" t="str">
        <f>IF(CW90&lt;=RÉGUAS!$D$72,"ESSENCIAL",IF(CW90&lt;=RÉGUAS!$F$72,"ECO",IF(CN90&gt;RÉGUAS!$F$72,"BIO",)))</f>
        <v>BIO</v>
      </c>
      <c r="CY90" s="22" t="str">
        <f t="shared" si="13"/>
        <v>BIO</v>
      </c>
      <c r="CZ90" s="22" t="str">
        <f>IF(Tabela13[[#This Row],[PRODUTO ATUAL ]]=CY90,"ADERENTE","NÃO ADERENTE")</f>
        <v>ADERENTE</v>
      </c>
      <c r="DA90" s="22" t="str">
        <f>IF(Tabela13[[#This Row],[PRODUTO ATUAL ]]=Tabela13[[#This Row],[CLASSIFICAÇÃO 
4D2]],"ADERENTE","NÃO ADERENTE")</f>
        <v>ADERENTE</v>
      </c>
    </row>
    <row r="91" spans="2:105" hidden="1" x14ac:dyDescent="0.35">
      <c r="B91" s="27">
        <v>97</v>
      </c>
      <c r="C91" s="22" t="s">
        <v>243</v>
      </c>
      <c r="D91" s="22" t="s">
        <v>154</v>
      </c>
      <c r="E91" s="23">
        <v>412</v>
      </c>
      <c r="F91" s="22" t="str">
        <f t="shared" si="7"/>
        <v>Acima de 400 und</v>
      </c>
      <c r="G91" s="22" t="s">
        <v>14</v>
      </c>
      <c r="H91" s="36">
        <v>3</v>
      </c>
      <c r="I91" s="36">
        <v>18</v>
      </c>
      <c r="J91" s="36"/>
      <c r="K91" s="36"/>
      <c r="L91" s="36">
        <f>SUM(Tabela13[[#This Row],[QTD DE B/T 2]],Tabela13[[#This Row],[QTD DE B/T]])</f>
        <v>3</v>
      </c>
      <c r="M91" s="22">
        <v>6</v>
      </c>
      <c r="N91" s="22">
        <f>Tabela13[[#This Row],[ELEVADOR]]/Tabela13[[#This Row],[BLOCO TOTAL]]</f>
        <v>2</v>
      </c>
      <c r="O91" s="22" t="s">
        <v>4</v>
      </c>
      <c r="P91" s="22" t="s">
        <v>101</v>
      </c>
      <c r="Q91" s="22" t="s">
        <v>101</v>
      </c>
      <c r="R91" s="22" t="s">
        <v>102</v>
      </c>
      <c r="S91" s="22" t="s">
        <v>159</v>
      </c>
      <c r="T91" s="22" t="s">
        <v>173</v>
      </c>
      <c r="U91" s="22" t="s">
        <v>174</v>
      </c>
      <c r="V91" s="22" t="s">
        <v>106</v>
      </c>
      <c r="W91" s="24">
        <f>IF(P91=[1]BD_CUSTO!$E$4,[1]BD_CUSTO!$F$4,[1]BD_CUSTO!$F$5)</f>
        <v>2430</v>
      </c>
      <c r="X91" s="24">
        <f>IF(Q91=[1]BD_CUSTO!$E$6,[1]BD_CUSTO!$F$6,[1]BD_CUSTO!$F$7)</f>
        <v>260</v>
      </c>
      <c r="Y91" s="24">
        <f>IF(R91=[1]BD_CUSTO!$E$8,[1]BD_CUSTO!$F$8,[1]BD_CUSTO!$F$9)</f>
        <v>600</v>
      </c>
      <c r="Z91" s="24">
        <f>IF(S91=[1]BD_CUSTO!$E$10,[1]BD_CUSTO!$F$10,[1]BD_CUSTO!$F$11)</f>
        <v>935</v>
      </c>
      <c r="AA91" s="24">
        <f>IF(T91=[1]BD_CUSTO!$E$12,[1]BD_CUSTO!$F$12,[1]BD_CUSTO!$F$13)</f>
        <v>930</v>
      </c>
      <c r="AB91" s="24">
        <f>IF(U91=[1]BD_CUSTO!$E$14,[1]BD_CUSTO!$F$14,[1]BD_CUSTO!$F$15)</f>
        <v>240</v>
      </c>
      <c r="AC91" s="24">
        <f>IF(V91=[1]BD_CUSTO!$E$16,[1]BD_CUSTO!$F$16,[1]BD_CUSTO!$F$17)</f>
        <v>720</v>
      </c>
      <c r="AD91" s="22" t="s">
        <v>121</v>
      </c>
      <c r="AE91" s="22">
        <v>2</v>
      </c>
      <c r="AF91" s="22" t="s">
        <v>107</v>
      </c>
      <c r="AG91" s="22">
        <v>2</v>
      </c>
      <c r="AH91" s="22" t="s">
        <v>129</v>
      </c>
      <c r="AI91" s="22">
        <v>1</v>
      </c>
      <c r="AJ91" s="22" t="s">
        <v>108</v>
      </c>
      <c r="AK91" s="22">
        <v>2</v>
      </c>
      <c r="AL91" s="22" t="s">
        <v>110</v>
      </c>
      <c r="AM91" s="22">
        <v>1</v>
      </c>
      <c r="AN91" s="22" t="s">
        <v>151</v>
      </c>
      <c r="AO91" s="22">
        <v>1</v>
      </c>
      <c r="AP91" s="22" t="s">
        <v>175</v>
      </c>
      <c r="AQ91" s="22">
        <v>1</v>
      </c>
      <c r="AR91" s="22" t="s">
        <v>167</v>
      </c>
      <c r="AS91" s="22">
        <v>1</v>
      </c>
      <c r="AT91" s="22"/>
      <c r="AU91" s="22"/>
      <c r="AV91" s="22"/>
      <c r="AW91" s="22"/>
      <c r="AX91" s="24">
        <f>IF(AD91="",0,VLOOKUP(AD91,[1]BD_CUSTO!I:J,2,0)*AE91/E91)</f>
        <v>597.84902912621351</v>
      </c>
      <c r="AY91" s="24">
        <f>IF(AF91="",0,VLOOKUP(AF91,[1]BD_CUSTO!I:J,2,0)*AG91/E91)</f>
        <v>413.34524271844657</v>
      </c>
      <c r="AZ91" s="24">
        <f>IF(AH91="",0,VLOOKUP(AH91,[1]BD_CUSTO!I:J,2,0)*AI91/E91)</f>
        <v>667.88247572815533</v>
      </c>
      <c r="BA91" s="24">
        <f>IF(AJ91="",0,VLOOKUP(AJ91,[1]BD_CUSTO!I:J,2,0)*AK91/E91)</f>
        <v>112.37864077669903</v>
      </c>
      <c r="BB91" s="24">
        <f>IF(AL91="",0,VLOOKUP(AL91,[1]BD_CUSTO!I:J,2,0)*AM91/E91)</f>
        <v>12.864077669902912</v>
      </c>
      <c r="BC91" s="24">
        <f>IF(AN91="",0,VLOOKUP(AN91,[1]BD_CUSTO!I:J,2,0)*AO91/E91)</f>
        <v>193.52716019417477</v>
      </c>
      <c r="BD91" s="24">
        <f>IF(AP91="",0,VLOOKUP(AP91,[1]BD_CUSTO!I:J,2,0)*AQ91/E91)</f>
        <v>26.189320388349515</v>
      </c>
      <c r="BE91" s="24">
        <f>IF(AR91="",0,VLOOKUP(AR91,CUSTO!I:J,2,0)*AS91/E91)</f>
        <v>199.16288834951456</v>
      </c>
      <c r="BF91" s="24">
        <f>IF(AT91="",0,VLOOKUP(AT91,[1]BD_CUSTO!I:J,2,0)*AU91/E91)</f>
        <v>0</v>
      </c>
      <c r="BG91" s="24">
        <f>IF(Tabela13[[#This Row],[LZ 10]]="",0,VLOOKUP(Tabela13[[#This Row],[LZ 10]],[1]BD_CUSTO!I:J,2,0)*Tabela13[[#This Row],[QTD922]]/E91)</f>
        <v>0</v>
      </c>
      <c r="BH91" s="22" t="s">
        <v>112</v>
      </c>
      <c r="BI91" s="25">
        <v>0.93200000000000005</v>
      </c>
      <c r="BJ91" s="22" t="s">
        <v>212</v>
      </c>
      <c r="BK91" s="25">
        <v>0.49020000000000002</v>
      </c>
      <c r="BL91" s="24">
        <f>IF(BH91=[1]BD_CUSTO!$M$6,[1]BD_CUSTO!$N$6)*BI91</f>
        <v>2796</v>
      </c>
      <c r="BM91" s="24">
        <f>IF(BJ91=[1]BD_CUSTO!$M$4,[1]BD_CUSTO!$N$4,[1]BD_CUSTO!$N$5)*BK91</f>
        <v>2941.2000000000003</v>
      </c>
      <c r="BN91" s="22" t="s">
        <v>114</v>
      </c>
      <c r="BO91" s="22">
        <v>117</v>
      </c>
      <c r="BP91" s="25">
        <f>Tabela13[[#This Row],[QTD ]]/Tabela13[[#This Row],[Nº UNDS]]</f>
        <v>0.28398058252427183</v>
      </c>
      <c r="BQ91" s="22" t="s">
        <v>115</v>
      </c>
      <c r="BR91" s="22">
        <v>0</v>
      </c>
      <c r="BS91" s="22" t="s">
        <v>116</v>
      </c>
      <c r="BT91" s="22">
        <v>0</v>
      </c>
      <c r="BU91" s="22" t="s">
        <v>222</v>
      </c>
      <c r="BV91" s="22">
        <v>237</v>
      </c>
      <c r="BW91" s="24">
        <f>IF(BN91=[1]BD_CUSTO!$Q$7,[1]BD_CUSTO!$R$7,[1]BD_CUSTO!$R$8)*BO91/E91</f>
        <v>567.96116504854365</v>
      </c>
      <c r="BX91" s="24">
        <f>IF(BQ91=[1]BD_CUSTO!$Q$4,[1]BD_CUSTO!$R$4,[1]BD_CUSTO!$R$5)*BR91/E91</f>
        <v>0</v>
      </c>
      <c r="BY91" s="22">
        <f>IF(BS91=[1]BD_CUSTO!$Q$13,[1]BD_CUSTO!$R$13,[1]BD_CUSTO!$R$14)*BT91/E91</f>
        <v>0</v>
      </c>
      <c r="BZ91" s="24">
        <f>BV91*CUSTO!$R$10/E91</f>
        <v>8628.6407766990287</v>
      </c>
      <c r="CA91" s="26">
        <f>SUM(Tabela13[[#This Row],[SOMA_PISO SALA E QUARTO]],Tabela13[[#This Row],[SOMA_PAREDE HIDR]],Tabela13[[#This Row],[SOMA_TETO]],Tabela13[[#This Row],[SOMA_BANCADA]],Tabela13[[#This Row],[SOMA_PEDRAS]])</f>
        <v>5135</v>
      </c>
      <c r="CB91" s="27" t="str">
        <f>IF(CA91&lt;=RÉGUAS!$D$4,"ACAB 01",IF(CA91&lt;=RÉGUAS!$F$4,"ACAB 02",IF(CA91&gt;RÉGUAS!$F$4,"ACAB 03",)))</f>
        <v>ACAB 03</v>
      </c>
      <c r="CC91" s="26">
        <f>SUM(Tabela13[[#This Row],[SOMA_LZ 01]:[SOMA_LZ 10]])</f>
        <v>2223.1988349514559</v>
      </c>
      <c r="CD91" s="22" t="str">
        <f>IF(CC91&lt;=RÉGUAS!$D$13,"LZ 01",IF(CC91&lt;=RÉGUAS!$F$13,"LZ 02",IF(CC91&lt;=RÉGUAS!$H$13,"LZ 03",IF(CC91&gt;RÉGUAS!$H$13,"LZ 04",))))</f>
        <v>LZ 03</v>
      </c>
      <c r="CE91" s="28">
        <f t="shared" si="8"/>
        <v>5737.2000000000007</v>
      </c>
      <c r="CF91" s="22" t="str">
        <f>IF(CE91&lt;=RÉGUAS!$D$22,"TIP 01",IF(CE91&lt;=RÉGUAS!$F$22,"TIP 02",IF(CE91&gt;RÉGUAS!$F$22,"TIP 03",)))</f>
        <v>TIP 03</v>
      </c>
      <c r="CG91" s="28">
        <f t="shared" si="9"/>
        <v>9196.6019417475727</v>
      </c>
      <c r="CH91" s="22" t="str">
        <f>IF(CG91&lt;=RÉGUAS!$D$32,"VAGA 01",IF(CG91&lt;=RÉGUAS!$F$32,"VAGA 02",IF(CG91&gt;RÉGUAS!$F$32,"VAGA 03",)))</f>
        <v>VAGA 03</v>
      </c>
      <c r="CI91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4398.3786407766993</v>
      </c>
      <c r="CJ91" s="85" t="str">
        <f>IF(AND(G91="BLOCO",CI91&lt;=RÉGUAS!$D$40),"ELEV 01",IF(AND(G91="BLOCO",CI91&gt;RÉGUAS!$D$40),"ELEV 02",IF(AND(G91="TORRE",CI91&lt;=RÉGUAS!$K$40),"ELEV 01",IF(AND(G91="TORRE",CI91&lt;=RÉGUAS!$M$40),"ELEV 02",IF(AND(G91="TORRE",CI91&gt;RÉGUAS!$M$40),"ELEV 03",)))))</f>
        <v>ELEV 03</v>
      </c>
      <c r="CK91" s="85">
        <f>SUM(Tabela13[[#This Row],[TOTAL  ACAB]],Tabela13[[#This Row],[TOTAL LAZER ]],Tabela13[[#This Row],[TOTAL TIPOLOGIA]],Tabela13[[#This Row],[TOTAL VAGA]],Tabela13[[#This Row],[TOTAL ELEVADOR]])</f>
        <v>26690.379417475731</v>
      </c>
      <c r="CL91" s="72" t="str">
        <f>IF(AND(G91="BLOCO",CK91&lt;=RÉGUAS!$D$50),"ESSENCIAL",IF(AND(G91="BLOCO",CK91&lt;=RÉGUAS!$F$50),"ECO",IF(AND(G91="BLOCO",CK91&gt;RÉGUAS!$F$50),"BIO",IF(AND(G91="TORRE",CK91&lt;=RÉGUAS!$K$50),"ESSENCIAL",IF(AND(G91="TORRE",CK91&lt;=RÉGUAS!$M$50),"ECO",IF(AND(G91="TORRE",CK91&gt;RÉGUAS!$M$50),"BIO",))))))</f>
        <v>BIO</v>
      </c>
      <c r="CM91" s="28" t="str">
        <f>IF(AND(G91="BLOCO",CK91&gt;=RÉGUAS!$D$51,CK91&lt;=RÉGUAS!$D$50),"ESSENCIAL-10%",IF(AND(G91="BLOCO",CK91&gt;RÉGUAS!$D$50,CK91&lt;=RÉGUAS!$E$51),"ECO+10%",IF(AND(G91="BLOCO",CK91&gt;=RÉGUAS!$F$51,CK91&lt;=RÉGUAS!$F$50),"ECO-10%",IF(AND(G91="BLOCO",CK91&gt;RÉGUAS!$F$50,CK91&lt;=RÉGUAS!$G$51),"BIO+10%",IF(AND(G91="TORRE",CK91&gt;=RÉGUAS!$K$51,CK91&lt;=RÉGUAS!$K$50),"ESSENCIAL-10%",IF(AND(G91="TORRE",CK91&gt;RÉGUAS!$K$50,CK91&lt;=RÉGUAS!$L$51),"ECO+10%",IF(AND(G91="TORRE",CK91&gt;=RÉGUAS!$M$51,CK91&lt;=RÉGUAS!$M$50),"ECO-10%",IF(AND(G91="TORRE",CK91&gt;RÉGUAS!$M$50,CK91&lt;=RÉGUAS!$N$51),"BIO+10%","-"))))))))</f>
        <v>-</v>
      </c>
      <c r="CN91" s="73">
        <f t="shared" si="10"/>
        <v>22292.000776699031</v>
      </c>
      <c r="CO91" s="72" t="str">
        <f>IF(CN91&lt;=RÉGUAS!$D$58,"ESSENCIAL",IF(CN91&lt;=RÉGUAS!$F$58,"ECO",IF(CN91&gt;RÉGUAS!$F$58,"BIO",)))</f>
        <v>BIO</v>
      </c>
      <c r="CP91" s="72" t="str">
        <f>IF(Tabela13[[#This Row],[INTERVALO DE INTERSEÇÃO 5D]]="-",Tabela13[[#This Row],[CLASSIFICAÇÃO 
5D ]],Tabela13[[#This Row],[CLASSIFICAÇÃO 
4D]])</f>
        <v>BIO</v>
      </c>
      <c r="CQ91" s="72" t="str">
        <f t="shared" si="11"/>
        <v>-</v>
      </c>
      <c r="CR91" s="72" t="str">
        <f t="shared" si="12"/>
        <v>BIO</v>
      </c>
      <c r="CS91" s="22" t="str">
        <f>IF(Tabela13[[#This Row],[PRODUTO ATUAL ]]=Tabela13[[#This Row],[CLASSIFICAÇÃO FINAL 5D]],"ADERÊNTE","NÃO ADERÊNTE")</f>
        <v>ADERÊNTE</v>
      </c>
      <c r="CT91" s="24">
        <f>SUM(Tabela13[[#This Row],[TOTAL  ACAB]],Tabela13[[#This Row],[TOTAL LAZER ]],Tabela13[[#This Row],[TOTAL TIPOLOGIA]],Tabela13[[#This Row],[TOTAL VAGA]])</f>
        <v>22292.000776699031</v>
      </c>
      <c r="CU91" s="22" t="str">
        <f>IF(CT91&lt;=RÉGUAS!$D$58,"ESSENCIAL",IF(CT91&lt;=RÉGUAS!$F$58,"ECO",IF(CT91&gt;RÉGUAS!$F$58,"BIO",)))</f>
        <v>BIO</v>
      </c>
      <c r="CV91" s="22" t="str">
        <f>IF(AND(CT91&gt;=RÉGUAS!$D$59,CT91&lt;=RÉGUAS!$E$59),"ESSENCIAL/ECO",IF(AND(CT91&gt;=RÉGUAS!$F$59,CT91&lt;=RÉGUAS!$G$59),"ECO/BIO","-"))</f>
        <v>-</v>
      </c>
      <c r="CW91" s="85">
        <f>SUM(Tabela13[[#This Row],[TOTAL LAZER ]],Tabela13[[#This Row],[TOTAL TIPOLOGIA]])</f>
        <v>7960.3988349514566</v>
      </c>
      <c r="CX91" s="22" t="str">
        <f>IF(CW91&lt;=RÉGUAS!$D$72,"ESSENCIAL",IF(CW91&lt;=RÉGUAS!$F$72,"ECO",IF(CN91&gt;RÉGUAS!$F$72,"BIO",)))</f>
        <v>BIO</v>
      </c>
      <c r="CY91" s="22" t="str">
        <f t="shared" si="13"/>
        <v>BIO</v>
      </c>
      <c r="CZ91" s="22" t="str">
        <f>IF(Tabela13[[#This Row],[PRODUTO ATUAL ]]=CY91,"ADERENTE","NÃO ADERENTE")</f>
        <v>ADERENTE</v>
      </c>
      <c r="DA91" s="22" t="str">
        <f>IF(Tabela13[[#This Row],[PRODUTO ATUAL ]]=Tabela13[[#This Row],[CLASSIFICAÇÃO 
4D2]],"ADERENTE","NÃO ADERENTE")</f>
        <v>ADERENTE</v>
      </c>
    </row>
    <row r="92" spans="2:105" x14ac:dyDescent="0.35">
      <c r="B92" s="27">
        <v>98</v>
      </c>
      <c r="C92" s="22" t="s">
        <v>245</v>
      </c>
      <c r="D92" s="22" t="s">
        <v>154</v>
      </c>
      <c r="E92" s="128">
        <v>288</v>
      </c>
      <c r="F92" s="22" t="str">
        <f t="shared" si="7"/>
        <v>De 200 a 400 und</v>
      </c>
      <c r="G92" s="76" t="s">
        <v>14</v>
      </c>
      <c r="H92" s="129">
        <v>2</v>
      </c>
      <c r="I92" s="129">
        <v>18</v>
      </c>
      <c r="J92" s="36"/>
      <c r="K92" s="36"/>
      <c r="L92" s="36">
        <f>SUM(Tabela13[[#This Row],[QTD DE B/T 2]],Tabela13[[#This Row],[QTD DE B/T]])</f>
        <v>2</v>
      </c>
      <c r="M92" s="22">
        <v>4</v>
      </c>
      <c r="N92" s="22">
        <f>Tabela13[[#This Row],[ELEVADOR]]/Tabela13[[#This Row],[BLOCO TOTAL]]</f>
        <v>2</v>
      </c>
      <c r="O92" s="22" t="s">
        <v>4</v>
      </c>
      <c r="P92" s="22" t="s">
        <v>119</v>
      </c>
      <c r="Q92" s="22" t="s">
        <v>101</v>
      </c>
      <c r="R92" s="22" t="s">
        <v>142</v>
      </c>
      <c r="S92" s="22" t="s">
        <v>159</v>
      </c>
      <c r="T92" s="22" t="s">
        <v>173</v>
      </c>
      <c r="U92" s="22" t="s">
        <v>174</v>
      </c>
      <c r="V92" s="22" t="s">
        <v>106</v>
      </c>
      <c r="W92" s="24">
        <f>IF(P92=[1]BD_CUSTO!$E$4,[1]BD_CUSTO!$F$4,[1]BD_CUSTO!$F$5)</f>
        <v>530</v>
      </c>
      <c r="X92" s="24">
        <f>IF(Q92=[1]BD_CUSTO!$E$6,[1]BD_CUSTO!$F$6,[1]BD_CUSTO!$F$7)</f>
        <v>260</v>
      </c>
      <c r="Y92" s="24">
        <f>IF(R92=[1]BD_CUSTO!$E$8,[1]BD_CUSTO!$F$8,[1]BD_CUSTO!$F$9)</f>
        <v>900</v>
      </c>
      <c r="Z92" s="24">
        <f>IF(S92=[1]BD_CUSTO!$E$10,[1]BD_CUSTO!$F$10,[1]BD_CUSTO!$F$11)</f>
        <v>935</v>
      </c>
      <c r="AA92" s="24">
        <f>IF(T92=[1]BD_CUSTO!$E$12,[1]BD_CUSTO!$F$12,[1]BD_CUSTO!$F$13)</f>
        <v>930</v>
      </c>
      <c r="AB92" s="24">
        <f>IF(U92=[1]BD_CUSTO!$E$14,[1]BD_CUSTO!$F$14,[1]BD_CUSTO!$F$15)</f>
        <v>240</v>
      </c>
      <c r="AC92" s="24">
        <f>IF(V92=[1]BD_CUSTO!$E$16,[1]BD_CUSTO!$F$16,[1]BD_CUSTO!$F$17)</f>
        <v>720</v>
      </c>
      <c r="AD92" s="76" t="s">
        <v>107</v>
      </c>
      <c r="AE92" s="76">
        <v>1</v>
      </c>
      <c r="AF92" s="76" t="s">
        <v>108</v>
      </c>
      <c r="AG92" s="76">
        <v>1</v>
      </c>
      <c r="AH92" s="76" t="s">
        <v>129</v>
      </c>
      <c r="AI92" s="76">
        <v>1</v>
      </c>
      <c r="AJ92" s="76" t="s">
        <v>110</v>
      </c>
      <c r="AK92" s="76">
        <v>1</v>
      </c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4">
        <f>IF(AD92="",0,VLOOKUP(AD92,[1]BD_CUSTO!I:J,2,0)*AE92/E92)</f>
        <v>295.65666666666664</v>
      </c>
      <c r="AY92" s="24">
        <f>IF(AF92="",0,VLOOKUP(AF92,[1]BD_CUSTO!I:J,2,0)*AG92/E92)</f>
        <v>80.381944444444443</v>
      </c>
      <c r="AZ92" s="24">
        <f>IF(AH92="",0,VLOOKUP(AH92,[1]BD_CUSTO!I:J,2,0)*AI92/E92)</f>
        <v>955.44298611111117</v>
      </c>
      <c r="BA92" s="24">
        <f>IF(AJ92="",0,VLOOKUP(AJ92,[1]BD_CUSTO!I:J,2,0)*AK92/E92)</f>
        <v>18.402777777777779</v>
      </c>
      <c r="BB92" s="24">
        <f>IF(AL92="",0,VLOOKUP(AL92,[1]BD_CUSTO!I:J,2,0)*AM92/E92)</f>
        <v>0</v>
      </c>
      <c r="BC92" s="24">
        <f>IF(AN92="",0,VLOOKUP(AN92,[1]BD_CUSTO!I:J,2,0)*AO92/E92)</f>
        <v>0</v>
      </c>
      <c r="BD92" s="24">
        <f>IF(AP92="",0,VLOOKUP(AP92,[1]BD_CUSTO!I:J,2,0)*AQ92/E92)</f>
        <v>0</v>
      </c>
      <c r="BE92" s="24">
        <f>IF(AR92="",0,VLOOKUP(AR92,CUSTO!I:J,2,0)*AS92/E92)</f>
        <v>0</v>
      </c>
      <c r="BF92" s="24">
        <f>IF(AT92="",0,VLOOKUP(AT92,[1]BD_CUSTO!I:J,2,0)*AU92/E92)</f>
        <v>0</v>
      </c>
      <c r="BG92" s="24">
        <f>IF(Tabela13[[#This Row],[LZ 10]]="",0,VLOOKUP(Tabela13[[#This Row],[LZ 10]],[1]BD_CUSTO!I:J,2,0)*Tabela13[[#This Row],[QTD922]]/E92)</f>
        <v>0</v>
      </c>
      <c r="BH92" s="127" t="s">
        <v>112</v>
      </c>
      <c r="BI92" s="127">
        <f>272/Tabela13[[#This Row],[Nº UNDS]]</f>
        <v>0.94444444444444442</v>
      </c>
      <c r="BJ92" s="76" t="s">
        <v>212</v>
      </c>
      <c r="BK92" s="127">
        <f>144/Tabela13[[#This Row],[Nº UNDS]]</f>
        <v>0.5</v>
      </c>
      <c r="BL92" s="24">
        <f>IF(BH92=[1]BD_CUSTO!$M$6,[1]BD_CUSTO!$N$6)*BI92</f>
        <v>2833.3333333333335</v>
      </c>
      <c r="BM92" s="24">
        <f>IF(BJ92=[1]BD_CUSTO!$M$4,[1]BD_CUSTO!$N$4,[1]BD_CUSTO!$N$5)*BK92</f>
        <v>3000</v>
      </c>
      <c r="BN92" s="22" t="s">
        <v>114</v>
      </c>
      <c r="BO92" s="22">
        <v>172</v>
      </c>
      <c r="BP92" s="25">
        <f>Tabela13[[#This Row],[QTD ]]/Tabela13[[#This Row],[Nº UNDS]]</f>
        <v>0.59722222222222221</v>
      </c>
      <c r="BQ92" s="22" t="s">
        <v>115</v>
      </c>
      <c r="BR92" s="22">
        <v>0</v>
      </c>
      <c r="BS92" s="22" t="s">
        <v>116</v>
      </c>
      <c r="BT92" s="22">
        <v>0</v>
      </c>
      <c r="BU92" s="22" t="s">
        <v>16</v>
      </c>
      <c r="BV92" s="22">
        <v>0</v>
      </c>
      <c r="BW92" s="24">
        <f>IF(BN92=[1]BD_CUSTO!$Q$7,[1]BD_CUSTO!$R$7,[1]BD_CUSTO!$R$8)*BO92/E92</f>
        <v>1194.4444444444443</v>
      </c>
      <c r="BX92" s="24">
        <f>IF(BQ92=[1]BD_CUSTO!$Q$4,[1]BD_CUSTO!$R$4,[1]BD_CUSTO!$R$5)*BR92/E92</f>
        <v>0</v>
      </c>
      <c r="BY92" s="22">
        <f>IF(BS92=[1]BD_CUSTO!$Q$13,[1]BD_CUSTO!$R$13,[1]BD_CUSTO!$R$14)*BT92/E92</f>
        <v>0</v>
      </c>
      <c r="BZ92" s="24">
        <f>BV92*CUSTO!$R$10/E92</f>
        <v>0</v>
      </c>
      <c r="CA92" s="26">
        <f>SUM(Tabela13[[#This Row],[SOMA_PISO SALA E QUARTO]],Tabela13[[#This Row],[SOMA_PAREDE HIDR]],Tabela13[[#This Row],[SOMA_TETO]],Tabela13[[#This Row],[SOMA_BANCADA]],Tabela13[[#This Row],[SOMA_PEDRAS]])</f>
        <v>3535</v>
      </c>
      <c r="CB92" s="27" t="str">
        <f>IF(CA92&lt;=RÉGUAS!$D$4,"ACAB 01",IF(CA92&lt;=RÉGUAS!$F$4,"ACAB 02",IF(CA92&gt;RÉGUAS!$F$4,"ACAB 03",)))</f>
        <v>ACAB 02</v>
      </c>
      <c r="CC92" s="26">
        <f>SUM(Tabela13[[#This Row],[SOMA_LZ 01]:[SOMA_LZ 10]])</f>
        <v>1349.8843750000001</v>
      </c>
      <c r="CD92" s="22" t="str">
        <f>IF(CC92&lt;=RÉGUAS!$D$13,"LZ 01",IF(CC92&lt;=RÉGUAS!$F$13,"LZ 02",IF(CC92&lt;=RÉGUAS!$H$13,"LZ 03",IF(CC92&gt;RÉGUAS!$H$13,"LZ 04",))))</f>
        <v>LZ 02</v>
      </c>
      <c r="CE92" s="28">
        <f t="shared" si="8"/>
        <v>5833.3333333333339</v>
      </c>
      <c r="CF92" s="22" t="str">
        <f>IF(CE92&lt;=RÉGUAS!$D$22,"TIP 01",IF(CE92&lt;=RÉGUAS!$F$22,"TIP 02",IF(CE92&gt;RÉGUAS!$F$22,"TIP 03",)))</f>
        <v>TIP 03</v>
      </c>
      <c r="CG92" s="28">
        <f t="shared" si="9"/>
        <v>1194.4444444444443</v>
      </c>
      <c r="CH92" s="22" t="str">
        <f>IF(CG92&lt;=RÉGUAS!$D$32,"VAGA 01",IF(CG92&lt;=RÉGUAS!$F$32,"VAGA 02",IF(CG92&gt;RÉGUAS!$F$32,"VAGA 03",)))</f>
        <v>VAGA 01</v>
      </c>
      <c r="CI92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4194.75</v>
      </c>
      <c r="CJ92" s="85" t="str">
        <f>IF(AND(G92="BLOCO",CI92&lt;=RÉGUAS!$D$40),"ELEV 01",IF(AND(G92="BLOCO",CI92&gt;RÉGUAS!$D$40),"ELEV 02",IF(AND(G92="TORRE",CI92&lt;=RÉGUAS!$K$40),"ELEV 01",IF(AND(G92="TORRE",CI92&lt;=RÉGUAS!$M$40),"ELEV 02",IF(AND(G92="TORRE",CI92&gt;RÉGUAS!$M$40),"ELEV 03",)))))</f>
        <v>ELEV 03</v>
      </c>
      <c r="CK92" s="85">
        <f>SUM(Tabela13[[#This Row],[TOTAL  ACAB]],Tabela13[[#This Row],[TOTAL LAZER ]],Tabela13[[#This Row],[TOTAL TIPOLOGIA]],Tabela13[[#This Row],[TOTAL VAGA]],Tabela13[[#This Row],[TOTAL ELEVADOR]])</f>
        <v>16107.412152777779</v>
      </c>
      <c r="CL92" s="72" t="str">
        <f>IF(AND(G92="BLOCO",CK92&lt;=RÉGUAS!$D$50),"ESSENCIAL",IF(AND(G92="BLOCO",CK92&lt;=RÉGUAS!$F$50),"ECO",IF(AND(G92="BLOCO",CK92&gt;RÉGUAS!$F$50),"BIO",IF(AND(G92="TORRE",CK92&lt;=RÉGUAS!$K$50),"ESSENCIAL",IF(AND(G92="TORRE",CK92&lt;=RÉGUAS!$M$50),"ECO",IF(AND(G92="TORRE",CK92&gt;RÉGUAS!$M$50),"BIO",))))))</f>
        <v>BIO</v>
      </c>
      <c r="CM92" s="28" t="str">
        <f>IF(AND(G92="BLOCO",CK92&gt;=RÉGUAS!$D$51,CK92&lt;=RÉGUAS!$D$50),"ESSENCIAL-10%",IF(AND(G92="BLOCO",CK92&gt;RÉGUAS!$D$50,CK92&lt;=RÉGUAS!$E$51),"ECO+10%",IF(AND(G92="BLOCO",CK92&gt;=RÉGUAS!$F$51,CK92&lt;=RÉGUAS!$F$50),"ECO-10%",IF(AND(G92="BLOCO",CK92&gt;RÉGUAS!$F$50,CK92&lt;=RÉGUAS!$G$51),"BIO+10%",IF(AND(G92="TORRE",CK92&gt;=RÉGUAS!$K$51,CK92&lt;=RÉGUAS!$K$50),"ESSENCIAL-10%",IF(AND(G92="TORRE",CK92&gt;RÉGUAS!$K$50,CK92&lt;=RÉGUAS!$L$51),"ECO+10%",IF(AND(G92="TORRE",CK92&gt;=RÉGUAS!$M$51,CK92&lt;=RÉGUAS!$M$50),"ECO-10%",IF(AND(G92="TORRE",CK92&gt;RÉGUAS!$M$50,CK92&lt;=RÉGUAS!$N$51),"BIO+10%","-"))))))))</f>
        <v>-</v>
      </c>
      <c r="CN92" s="73">
        <f t="shared" si="10"/>
        <v>11912.662152777779</v>
      </c>
      <c r="CO92" s="72" t="str">
        <f>IF(CN92&lt;=RÉGUAS!$D$58,"ESSENCIAL",IF(CN92&lt;=RÉGUAS!$F$58,"ECO",IF(CN92&gt;RÉGUAS!$F$58,"BIO",)))</f>
        <v>BIO</v>
      </c>
      <c r="CP92" s="72" t="str">
        <f>IF(Tabela13[[#This Row],[INTERVALO DE INTERSEÇÃO 5D]]="-",Tabela13[[#This Row],[CLASSIFICAÇÃO 
5D ]],Tabela13[[#This Row],[CLASSIFICAÇÃO 
4D]])</f>
        <v>BIO</v>
      </c>
      <c r="CQ92" s="72" t="str">
        <f t="shared" si="11"/>
        <v>-</v>
      </c>
      <c r="CR92" s="72" t="str">
        <f t="shared" si="12"/>
        <v>BIO</v>
      </c>
      <c r="CS92" s="22" t="str">
        <f>IF(Tabela13[[#This Row],[PRODUTO ATUAL ]]=Tabela13[[#This Row],[CLASSIFICAÇÃO FINAL 5D]],"ADERÊNTE","NÃO ADERÊNTE")</f>
        <v>ADERÊNTE</v>
      </c>
      <c r="CT92" s="24">
        <f>SUM(Tabela13[[#This Row],[TOTAL  ACAB]],Tabela13[[#This Row],[TOTAL LAZER ]],Tabela13[[#This Row],[TOTAL TIPOLOGIA]],Tabela13[[#This Row],[TOTAL VAGA]])</f>
        <v>11912.662152777779</v>
      </c>
      <c r="CU92" s="22" t="str">
        <f>IF(CT92&lt;=RÉGUAS!$D$58,"ESSENCIAL",IF(CT92&lt;=RÉGUAS!$F$58,"ECO",IF(CT92&gt;RÉGUAS!$F$58,"BIO",)))</f>
        <v>BIO</v>
      </c>
      <c r="CV92" s="22" t="str">
        <f>IF(AND(CT92&gt;=RÉGUAS!$D$59,CT92&lt;=RÉGUAS!$E$59),"ESSENCIAL/ECO",IF(AND(CT92&gt;=RÉGUAS!$F$59,CT92&lt;=RÉGUAS!$G$59),"ECO/BIO","-"))</f>
        <v>ECO/BIO</v>
      </c>
      <c r="CW92" s="85">
        <f>SUM(Tabela13[[#This Row],[TOTAL LAZER ]],Tabela13[[#This Row],[TOTAL TIPOLOGIA]])</f>
        <v>7183.2177083333336</v>
      </c>
      <c r="CX92" s="22" t="str">
        <f>IF(CW92&lt;=RÉGUAS!$D$72,"ESSENCIAL",IF(CW92&lt;=RÉGUAS!$F$72,"ECO",IF(CN92&gt;RÉGUAS!$F$72,"BIO",)))</f>
        <v>BIO</v>
      </c>
      <c r="CY92" s="22" t="str">
        <f t="shared" si="13"/>
        <v>BIO</v>
      </c>
      <c r="CZ92" s="22" t="str">
        <f>IF(Tabela13[[#This Row],[PRODUTO ATUAL ]]=CY92,"ADERENTE","NÃO ADERENTE")</f>
        <v>ADERENTE</v>
      </c>
      <c r="DA92" s="22" t="str">
        <f>IF(Tabela13[[#This Row],[PRODUTO ATUAL ]]=Tabela13[[#This Row],[CLASSIFICAÇÃO 
4D2]],"ADERENTE","NÃO ADERENTE")</f>
        <v>ADERENTE</v>
      </c>
    </row>
    <row r="93" spans="2:105" x14ac:dyDescent="0.35">
      <c r="B93" s="27">
        <v>91</v>
      </c>
      <c r="C93" s="22" t="s">
        <v>207</v>
      </c>
      <c r="D93" s="76" t="s">
        <v>125</v>
      </c>
      <c r="E93" s="128">
        <v>360</v>
      </c>
      <c r="F93" s="22" t="str">
        <f t="shared" si="7"/>
        <v>De 200 a 400 und</v>
      </c>
      <c r="G93" s="22" t="s">
        <v>14</v>
      </c>
      <c r="H93" s="129">
        <v>2</v>
      </c>
      <c r="I93" s="129">
        <v>15</v>
      </c>
      <c r="J93" s="129"/>
      <c r="K93" s="129"/>
      <c r="L93" s="129">
        <f>SUM(Tabela13[[#This Row],[QTD DE B/T 2]],Tabela13[[#This Row],[QTD DE B/T]])</f>
        <v>2</v>
      </c>
      <c r="M93" s="22">
        <v>6</v>
      </c>
      <c r="N93" s="22">
        <f>Tabela13[[#This Row],[ELEVADOR]]/Tabela13[[#This Row],[BLOCO TOTAL]]</f>
        <v>3</v>
      </c>
      <c r="O93" s="76" t="s">
        <v>4</v>
      </c>
      <c r="P93" s="76" t="s">
        <v>101</v>
      </c>
      <c r="Q93" s="76" t="s">
        <v>101</v>
      </c>
      <c r="R93" s="76" t="s">
        <v>142</v>
      </c>
      <c r="S93" s="76" t="s">
        <v>159</v>
      </c>
      <c r="T93" s="76" t="s">
        <v>173</v>
      </c>
      <c r="U93" s="76" t="s">
        <v>174</v>
      </c>
      <c r="V93" s="76" t="s">
        <v>106</v>
      </c>
      <c r="W93" s="24">
        <f>IF(P93=[1]BD_CUSTO!$E$4,[1]BD_CUSTO!$F$4,[1]BD_CUSTO!$F$5)</f>
        <v>2430</v>
      </c>
      <c r="X93" s="24">
        <f>IF(Q93=[1]BD_CUSTO!$E$6,[1]BD_CUSTO!$F$6,[1]BD_CUSTO!$F$7)</f>
        <v>260</v>
      </c>
      <c r="Y93" s="24">
        <f>IF(R93=[1]BD_CUSTO!$E$8,[1]BD_CUSTO!$F$8,[1]BD_CUSTO!$F$9)</f>
        <v>900</v>
      </c>
      <c r="Z93" s="24">
        <f>IF(S93=[1]BD_CUSTO!$E$10,[1]BD_CUSTO!$F$10,[1]BD_CUSTO!$F$11)</f>
        <v>935</v>
      </c>
      <c r="AA93" s="24">
        <f>IF(T93=[1]BD_CUSTO!$E$12,[1]BD_CUSTO!$F$12,[1]BD_CUSTO!$F$13)</f>
        <v>930</v>
      </c>
      <c r="AB93" s="24">
        <f>IF(U93=[1]BD_CUSTO!$E$14,[1]BD_CUSTO!$F$14,[1]BD_CUSTO!$F$15)</f>
        <v>240</v>
      </c>
      <c r="AC93" s="24">
        <f>IF(V93=[1]BD_CUSTO!$E$16,[1]BD_CUSTO!$F$16,[1]BD_CUSTO!$F$17)</f>
        <v>720</v>
      </c>
      <c r="AD93" s="76" t="s">
        <v>109</v>
      </c>
      <c r="AE93" s="76">
        <v>1</v>
      </c>
      <c r="AF93" s="76" t="s">
        <v>108</v>
      </c>
      <c r="AG93" s="76">
        <v>1</v>
      </c>
      <c r="AH93" s="76" t="s">
        <v>121</v>
      </c>
      <c r="AI93" s="76">
        <v>2</v>
      </c>
      <c r="AJ93" s="76" t="s">
        <v>107</v>
      </c>
      <c r="AK93" s="76">
        <v>4</v>
      </c>
      <c r="AL93" s="76" t="s">
        <v>111</v>
      </c>
      <c r="AM93" s="76">
        <v>2</v>
      </c>
      <c r="AN93" s="76" t="s">
        <v>167</v>
      </c>
      <c r="AO93" s="76">
        <v>1</v>
      </c>
      <c r="AP93" s="76" t="s">
        <v>110</v>
      </c>
      <c r="AQ93" s="76">
        <v>1</v>
      </c>
      <c r="AR93" s="76" t="s">
        <v>175</v>
      </c>
      <c r="AS93" s="76">
        <v>1</v>
      </c>
      <c r="AT93" s="76" t="s">
        <v>135</v>
      </c>
      <c r="AU93" s="76">
        <v>1</v>
      </c>
      <c r="AV93" s="22"/>
      <c r="AW93" s="22"/>
      <c r="AX93" s="24">
        <f>IF(AD93="",0,VLOOKUP(AD93,[1]BD_CUSTO!I:J,2,0)*AE93/E93)</f>
        <v>19.305555555555557</v>
      </c>
      <c r="AY93" s="24">
        <f>IF(AF93="",0,VLOOKUP(AF93,[1]BD_CUSTO!I:J,2,0)*AG93/E93)</f>
        <v>64.305555555555557</v>
      </c>
      <c r="AZ93" s="24">
        <f>IF(AH93="",0,VLOOKUP(AH93,[1]BD_CUSTO!I:J,2,0)*AI93/E93)</f>
        <v>684.20499999999993</v>
      </c>
      <c r="BA93" s="24">
        <f>IF(AJ93="",0,VLOOKUP(AJ93,[1]BD_CUSTO!I:J,2,0)*AK93/E93)</f>
        <v>946.10133333333329</v>
      </c>
      <c r="BB93" s="24">
        <f>IF(AL93="",0,VLOOKUP(AL93,[1]BD_CUSTO!I:J,2,0)*AM93/E93)</f>
        <v>90</v>
      </c>
      <c r="BC93" s="24">
        <f>IF(AN93="",0,VLOOKUP(AN93,[1]BD_CUSTO!I:J,2,0)*AO93/E93)</f>
        <v>227.93086111111111</v>
      </c>
      <c r="BD93" s="24">
        <f>IF(AP93="",0,VLOOKUP(AP93,[1]BD_CUSTO!I:J,2,0)*AQ93/E93)</f>
        <v>14.722222222222221</v>
      </c>
      <c r="BE93" s="24">
        <f>IF(AR93="",0,VLOOKUP(AR93,CUSTO!I:J,2,0)*AS93/E93)</f>
        <v>29.972222222222221</v>
      </c>
      <c r="BF93" s="24">
        <f>IF(AT93="",0,VLOOKUP(AT93,[1]BD_CUSTO!I:J,2,0)*AU93/E93)</f>
        <v>350.19066666666669</v>
      </c>
      <c r="BG93" s="24">
        <f>IF(Tabela13[[#This Row],[LZ 10]]="",0,VLOOKUP(Tabela13[[#This Row],[LZ 10]],[1]BD_CUSTO!I:J,2,0)*Tabela13[[#This Row],[QTD922]]/E93)</f>
        <v>0</v>
      </c>
      <c r="BH93" s="76" t="s">
        <v>112</v>
      </c>
      <c r="BI93" s="127">
        <v>0.67</v>
      </c>
      <c r="BJ93" s="76" t="s">
        <v>113</v>
      </c>
      <c r="BK93" s="127">
        <v>0</v>
      </c>
      <c r="BL93" s="24">
        <f>IF(BH93=[1]BD_CUSTO!$M$6,[1]BD_CUSTO!$N$6)*BI93</f>
        <v>2010.0000000000002</v>
      </c>
      <c r="BM93" s="24">
        <f>IF(BJ93=[1]BD_CUSTO!$M$4,[1]BD_CUSTO!$N$4,[1]BD_CUSTO!$N$5)*BK93</f>
        <v>0</v>
      </c>
      <c r="BN93" s="76" t="s">
        <v>114</v>
      </c>
      <c r="BO93" s="76">
        <v>360</v>
      </c>
      <c r="BP93" s="25">
        <f>Tabela13[[#This Row],[QTD ]]/Tabela13[[#This Row],[Nº UNDS]]</f>
        <v>1</v>
      </c>
      <c r="BQ93" s="22" t="s">
        <v>115</v>
      </c>
      <c r="BR93" s="22">
        <v>0</v>
      </c>
      <c r="BS93" s="22" t="s">
        <v>116</v>
      </c>
      <c r="BT93" s="22">
        <v>0</v>
      </c>
      <c r="BU93" s="22" t="s">
        <v>16</v>
      </c>
      <c r="BV93" s="22">
        <v>0</v>
      </c>
      <c r="BW93" s="24">
        <f>IF(BN93=[1]BD_CUSTO!$Q$7,[1]BD_CUSTO!$R$7,[1]BD_CUSTO!$R$8)*BO93/E93</f>
        <v>2000</v>
      </c>
      <c r="BX93" s="24">
        <f>IF(BQ93=[1]BD_CUSTO!$Q$4,[1]BD_CUSTO!$R$4,[1]BD_CUSTO!$R$5)*BR93/E93</f>
        <v>0</v>
      </c>
      <c r="BY93" s="22">
        <f>IF(BS93=[1]BD_CUSTO!$Q$13,[1]BD_CUSTO!$R$13,[1]BD_CUSTO!$R$14)*BT93/E93</f>
        <v>0</v>
      </c>
      <c r="BZ93" s="24">
        <f>BV93*CUSTO!$R$10/E93</f>
        <v>0</v>
      </c>
      <c r="CA93" s="26">
        <f>SUM(Tabela13[[#This Row],[SOMA_PISO SALA E QUARTO]],Tabela13[[#This Row],[SOMA_PAREDE HIDR]],Tabela13[[#This Row],[SOMA_TETO]],Tabela13[[#This Row],[SOMA_BANCADA]],Tabela13[[#This Row],[SOMA_PEDRAS]])</f>
        <v>5435</v>
      </c>
      <c r="CB93" s="27" t="str">
        <f>IF(CA93&lt;=RÉGUAS!$D$4,"ACAB 01",IF(CA93&lt;=RÉGUAS!$F$4,"ACAB 02",IF(CA93&gt;RÉGUAS!$F$4,"ACAB 03",)))</f>
        <v>ACAB 03</v>
      </c>
      <c r="CC93" s="26">
        <f>SUM(Tabela13[[#This Row],[SOMA_LZ 01]:[SOMA_LZ 10]])</f>
        <v>2426.7334166666669</v>
      </c>
      <c r="CD93" s="22" t="str">
        <f>IF(CC93&lt;=RÉGUAS!$D$13,"LZ 01",IF(CC93&lt;=RÉGUAS!$F$13,"LZ 02",IF(CC93&lt;=RÉGUAS!$H$13,"LZ 03",IF(CC93&gt;RÉGUAS!$H$13,"LZ 04",))))</f>
        <v>LZ 03</v>
      </c>
      <c r="CE93" s="28">
        <f t="shared" si="8"/>
        <v>2010.0000000000002</v>
      </c>
      <c r="CF93" s="22" t="str">
        <f>IF(CE93&lt;=RÉGUAS!$D$22,"TIP 01",IF(CE93&lt;=RÉGUAS!$F$22,"TIP 02",IF(CE93&gt;RÉGUAS!$F$22,"TIP 03",)))</f>
        <v>TIP 02</v>
      </c>
      <c r="CG93" s="28">
        <f t="shared" si="9"/>
        <v>2000</v>
      </c>
      <c r="CH93" s="22" t="str">
        <f>IF(CG93&lt;=RÉGUAS!$D$32,"VAGA 01",IF(CG93&lt;=RÉGUAS!$F$32,"VAGA 02",IF(CG93&gt;RÉGUAS!$F$32,"VAGA 03",)))</f>
        <v>VAGA 02</v>
      </c>
      <c r="CI93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4194.75</v>
      </c>
      <c r="CJ93" s="85" t="str">
        <f>IF(AND(G93="BLOCO",CI93&lt;=RÉGUAS!$D$40),"ELEV 01",IF(AND(G93="BLOCO",CI93&gt;RÉGUAS!$D$40),"ELEV 02",IF(AND(G93="TORRE",CI93&lt;=RÉGUAS!$K$40),"ELEV 01",IF(AND(G93="TORRE",CI93&lt;=RÉGUAS!$M$40),"ELEV 02",IF(AND(G93="TORRE",CI93&gt;RÉGUAS!$M$40),"ELEV 03",)))))</f>
        <v>ELEV 03</v>
      </c>
      <c r="CK93" s="85">
        <f>SUM(Tabela13[[#This Row],[TOTAL  ACAB]],Tabela13[[#This Row],[TOTAL LAZER ]],Tabela13[[#This Row],[TOTAL TIPOLOGIA]],Tabela13[[#This Row],[TOTAL VAGA]],Tabela13[[#This Row],[TOTAL ELEVADOR]])</f>
        <v>16066.483416666668</v>
      </c>
      <c r="CL93" s="72" t="str">
        <f>IF(AND(G93="BLOCO",CK93&lt;=RÉGUAS!$D$50),"ESSENCIAL",IF(AND(G93="BLOCO",CK93&lt;=RÉGUAS!$F$50),"ECO",IF(AND(G93="BLOCO",CK93&gt;RÉGUAS!$F$50),"BIO",IF(AND(G93="TORRE",CK93&lt;=RÉGUAS!$K$50),"ESSENCIAL",IF(AND(G93="TORRE",CK93&lt;=RÉGUAS!$M$50),"ECO",IF(AND(G93="TORRE",CK93&gt;RÉGUAS!$M$50),"BIO",))))))</f>
        <v>BIO</v>
      </c>
      <c r="CM93" s="28" t="str">
        <f>IF(AND(G93="BLOCO",CK93&gt;=RÉGUAS!$D$51,CK93&lt;=RÉGUAS!$D$50),"ESSENCIAL-10%",IF(AND(G93="BLOCO",CK93&gt;RÉGUAS!$D$50,CK93&lt;=RÉGUAS!$E$51),"ECO+10%",IF(AND(G93="BLOCO",CK93&gt;=RÉGUAS!$F$51,CK93&lt;=RÉGUAS!$F$50),"ECO-10%",IF(AND(G93="BLOCO",CK93&gt;RÉGUAS!$F$50,CK93&lt;=RÉGUAS!$G$51),"BIO+10%",IF(AND(G93="TORRE",CK93&gt;=RÉGUAS!$K$51,CK93&lt;=RÉGUAS!$K$50),"ESSENCIAL-10%",IF(AND(G93="TORRE",CK93&gt;RÉGUAS!$K$50,CK93&lt;=RÉGUAS!$L$51),"ECO+10%",IF(AND(G93="TORRE",CK93&gt;=RÉGUAS!$M$51,CK93&lt;=RÉGUAS!$M$50),"ECO-10%",IF(AND(G93="TORRE",CK93&gt;RÉGUAS!$M$50,CK93&lt;=RÉGUAS!$N$51),"BIO+10%","-"))))))))</f>
        <v>-</v>
      </c>
      <c r="CN93" s="73">
        <f t="shared" si="10"/>
        <v>11871.733416666668</v>
      </c>
      <c r="CO93" s="72" t="str">
        <f>IF(CN93&lt;=RÉGUAS!$D$58,"ESSENCIAL",IF(CN93&lt;=RÉGUAS!$F$58,"ECO",IF(CN93&gt;RÉGUAS!$F$58,"BIO",)))</f>
        <v>BIO</v>
      </c>
      <c r="CP93" s="72" t="str">
        <f>IF(Tabela13[[#This Row],[INTERVALO DE INTERSEÇÃO 5D]]="-",Tabela13[[#This Row],[CLASSIFICAÇÃO 
5D ]],Tabela13[[#This Row],[CLASSIFICAÇÃO 
4D]])</f>
        <v>BIO</v>
      </c>
      <c r="CQ93" s="72" t="str">
        <f t="shared" si="11"/>
        <v>-</v>
      </c>
      <c r="CR93" s="72" t="str">
        <f t="shared" si="12"/>
        <v>BIO</v>
      </c>
      <c r="CS93" s="22" t="str">
        <f>IF(Tabela13[[#This Row],[PRODUTO ATUAL ]]=Tabela13[[#This Row],[CLASSIFICAÇÃO FINAL 5D]],"ADERÊNTE","NÃO ADERÊNTE")</f>
        <v>ADERÊNTE</v>
      </c>
      <c r="CT93" s="24">
        <f>SUM(Tabela13[[#This Row],[TOTAL  ACAB]],Tabela13[[#This Row],[TOTAL LAZER ]],Tabela13[[#This Row],[TOTAL TIPOLOGIA]],Tabela13[[#This Row],[TOTAL VAGA]])</f>
        <v>11871.733416666668</v>
      </c>
      <c r="CU93" s="22" t="str">
        <f>IF(CT93&lt;=RÉGUAS!$D$58,"ESSENCIAL",IF(CT93&lt;=RÉGUAS!$F$58,"ECO",IF(CT93&gt;RÉGUAS!$F$58,"BIO",)))</f>
        <v>BIO</v>
      </c>
      <c r="CV93" s="22" t="str">
        <f>IF(AND(CT93&gt;=RÉGUAS!$D$59,CT93&lt;=RÉGUAS!$E$59),"ESSENCIAL/ECO",IF(AND(CT93&gt;=RÉGUAS!$F$59,CT93&lt;=RÉGUAS!$G$59),"ECO/BIO","-"))</f>
        <v>ECO/BIO</v>
      </c>
      <c r="CW93" s="85">
        <f>SUM(Tabela13[[#This Row],[TOTAL LAZER ]],Tabela13[[#This Row],[TOTAL TIPOLOGIA]])</f>
        <v>4436.7334166666669</v>
      </c>
      <c r="CX93" s="22" t="str">
        <f>IF(CW93&lt;=RÉGUAS!$D$72,"ESSENCIAL",IF(CW93&lt;=RÉGUAS!$F$72,"ECO",IF(CN93&gt;RÉGUAS!$F$72,"BIO",)))</f>
        <v>ECO</v>
      </c>
      <c r="CY93" s="22" t="str">
        <f t="shared" si="13"/>
        <v>ECO</v>
      </c>
      <c r="CZ93" s="22" t="str">
        <f>IF(Tabela13[[#This Row],[PRODUTO ATUAL ]]=CY93,"ADERENTE","NÃO ADERENTE")</f>
        <v>NÃO ADERENTE</v>
      </c>
      <c r="DA93" s="22" t="str">
        <f>IF(Tabela13[[#This Row],[PRODUTO ATUAL ]]=Tabela13[[#This Row],[CLASSIFICAÇÃO 
4D2]],"ADERENTE","NÃO ADERENTE")</f>
        <v>ADERENTE</v>
      </c>
    </row>
    <row r="94" spans="2:105" hidden="1" x14ac:dyDescent="0.35">
      <c r="B94" s="27">
        <v>8</v>
      </c>
      <c r="C94" s="22" t="s">
        <v>228</v>
      </c>
      <c r="D94" s="22" t="s">
        <v>147</v>
      </c>
      <c r="E94" s="22">
        <v>136</v>
      </c>
      <c r="F94" s="22" t="str">
        <f t="shared" si="7"/>
        <v>Até 200 und</v>
      </c>
      <c r="G94" s="22" t="s">
        <v>14</v>
      </c>
      <c r="H94" s="36">
        <v>1</v>
      </c>
      <c r="I94" s="36">
        <v>17</v>
      </c>
      <c r="J94" s="36"/>
      <c r="K94" s="36"/>
      <c r="L94" s="36">
        <f>SUM(Tabela13[[#This Row],[QTD DE B/T 2]],Tabela13[[#This Row],[QTD DE B/T]])</f>
        <v>1</v>
      </c>
      <c r="M94" s="22">
        <v>2</v>
      </c>
      <c r="N94" s="22">
        <f>Tabela13[[#This Row],[ELEVADOR]]/Tabela13[[#This Row],[BLOCO TOTAL]]</f>
        <v>2</v>
      </c>
      <c r="O94" s="22" t="s">
        <v>4</v>
      </c>
      <c r="P94" s="22" t="s">
        <v>101</v>
      </c>
      <c r="Q94" s="22" t="s">
        <v>101</v>
      </c>
      <c r="R94" s="22" t="s">
        <v>142</v>
      </c>
      <c r="S94" s="22" t="s">
        <v>159</v>
      </c>
      <c r="T94" s="22" t="s">
        <v>173</v>
      </c>
      <c r="U94" s="22" t="s">
        <v>174</v>
      </c>
      <c r="V94" s="22" t="s">
        <v>137</v>
      </c>
      <c r="W94" s="24">
        <f>IF(P94=[1]BD_CUSTO!$E$4,[1]BD_CUSTO!$F$4,[1]BD_CUSTO!$F$5)</f>
        <v>2430</v>
      </c>
      <c r="X94" s="24">
        <f>IF(Q94=[1]BD_CUSTO!$E$6,[1]BD_CUSTO!$F$6,[1]BD_CUSTO!$F$7)</f>
        <v>260</v>
      </c>
      <c r="Y94" s="24">
        <f>IF(R94=[1]BD_CUSTO!$E$8,[1]BD_CUSTO!$F$8,[1]BD_CUSTO!$F$9)</f>
        <v>900</v>
      </c>
      <c r="Z94" s="24">
        <f>IF(S94=[1]BD_CUSTO!$E$10,[1]BD_CUSTO!$F$10,[1]BD_CUSTO!$F$11)</f>
        <v>935</v>
      </c>
      <c r="AA94" s="24">
        <f>IF(T94=[1]BD_CUSTO!$E$12,[1]BD_CUSTO!$F$12,[1]BD_CUSTO!$F$13)</f>
        <v>930</v>
      </c>
      <c r="AB94" s="24">
        <f>IF(U94=[1]BD_CUSTO!$E$14,[1]BD_CUSTO!$F$14,[1]BD_CUSTO!$F$15)</f>
        <v>240</v>
      </c>
      <c r="AC94" s="24">
        <f>IF(V94=[1]BD_CUSTO!$E$16,[1]BD_CUSTO!$F$16,[1]BD_CUSTO!$F$17)</f>
        <v>1320</v>
      </c>
      <c r="AD94" s="22" t="s">
        <v>110</v>
      </c>
      <c r="AE94" s="22">
        <v>1</v>
      </c>
      <c r="AF94" s="22" t="s">
        <v>108</v>
      </c>
      <c r="AG94" s="22">
        <v>1</v>
      </c>
      <c r="AH94" s="22" t="s">
        <v>109</v>
      </c>
      <c r="AI94" s="22">
        <v>1</v>
      </c>
      <c r="AJ94" s="22" t="s">
        <v>107</v>
      </c>
      <c r="AK94" s="22">
        <v>1</v>
      </c>
      <c r="AL94" s="22" t="s">
        <v>120</v>
      </c>
      <c r="AM94" s="22">
        <v>1</v>
      </c>
      <c r="AN94" s="22" t="s">
        <v>129</v>
      </c>
      <c r="AO94" s="22">
        <v>1</v>
      </c>
      <c r="AP94" s="22"/>
      <c r="AQ94" s="22">
        <v>0</v>
      </c>
      <c r="AR94" s="22"/>
      <c r="AS94" s="22">
        <v>0</v>
      </c>
      <c r="AT94" s="22"/>
      <c r="AU94" s="22"/>
      <c r="AV94" s="22"/>
      <c r="AW94" s="22"/>
      <c r="AX94" s="24">
        <f>IF(AD94="",0,VLOOKUP(AD94,[1]BD_CUSTO!I:J,2,0)*AE94/E94)</f>
        <v>38.970588235294116</v>
      </c>
      <c r="AY94" s="24">
        <f>IF(AF94="",0,VLOOKUP(AF94,[1]BD_CUSTO!I:J,2,0)*AG94/E94)</f>
        <v>170.22058823529412</v>
      </c>
      <c r="AZ94" s="24">
        <f>IF(AH94="",0,VLOOKUP(AH94,[1]BD_CUSTO!I:J,2,0)*AI94/E94)</f>
        <v>51.102941176470587</v>
      </c>
      <c r="BA94" s="24">
        <f>IF(AJ94="",0,VLOOKUP(AJ94,[1]BD_CUSTO!I:J,2,0)*AK94/E94)</f>
        <v>626.09647058823521</v>
      </c>
      <c r="BB94" s="24">
        <f>IF(AL94="",0,VLOOKUP(AL94,[1]BD_CUSTO!I:J,2,0)*AM94/E94)</f>
        <v>418.44764705882352</v>
      </c>
      <c r="BC94" s="24">
        <f>IF(AN94="",0,VLOOKUP(AN94,[1]BD_CUSTO!I:J,2,0)*AO94/E94)</f>
        <v>2023.2910294117648</v>
      </c>
      <c r="BD94" s="24">
        <f>IF(AP94="",0,VLOOKUP(AP94,[1]BD_CUSTO!I:J,2,0)*AQ94/E94)</f>
        <v>0</v>
      </c>
      <c r="BE94" s="24">
        <f>IF(AR94="",0,VLOOKUP(AR94,CUSTO!I:J,2,0)*AS94/E94)</f>
        <v>0</v>
      </c>
      <c r="BF94" s="24">
        <f>IF(AT94="",0,VLOOKUP(AT94,[1]BD_CUSTO!I:J,2,0)*AU94/E94)</f>
        <v>0</v>
      </c>
      <c r="BG94" s="24">
        <f>IF(Tabela13[[#This Row],[LZ 10]]="",0,VLOOKUP(Tabela13[[#This Row],[LZ 10]],[1]BD_CUSTO!I:J,2,0)*Tabela13[[#This Row],[QTD922]]/E94)</f>
        <v>0</v>
      </c>
      <c r="BH94" s="22" t="s">
        <v>112</v>
      </c>
      <c r="BI94" s="25">
        <v>0.9</v>
      </c>
      <c r="BJ94" s="29" t="s">
        <v>212</v>
      </c>
      <c r="BK94" s="25">
        <v>0.5</v>
      </c>
      <c r="BL94" s="24">
        <f>IF(BH94=[1]BD_CUSTO!$M$6,[1]BD_CUSTO!$N$6)*BI94</f>
        <v>2700</v>
      </c>
      <c r="BM94" s="24">
        <f>IF(BJ94=[1]BD_CUSTO!$M$4,[1]BD_CUSTO!$N$4,[1]BD_CUSTO!$N$5)*BK94</f>
        <v>3000</v>
      </c>
      <c r="BN94" s="22" t="s">
        <v>114</v>
      </c>
      <c r="BO94" s="22">
        <v>138</v>
      </c>
      <c r="BP94" s="25">
        <f>Tabela13[[#This Row],[QTD ]]/Tabela13[[#This Row],[Nº UNDS]]</f>
        <v>1.0147058823529411</v>
      </c>
      <c r="BQ94" s="22" t="s">
        <v>115</v>
      </c>
      <c r="BR94" s="22">
        <v>0</v>
      </c>
      <c r="BS94" s="22" t="s">
        <v>116</v>
      </c>
      <c r="BT94" s="22">
        <v>0</v>
      </c>
      <c r="BU94" s="22" t="s">
        <v>16</v>
      </c>
      <c r="BV94" s="29">
        <v>0</v>
      </c>
      <c r="BW94" s="24">
        <f>IF(BN94=[1]BD_CUSTO!$Q$7,[1]BD_CUSTO!$R$7,[1]BD_CUSTO!$R$8)*BO94/E94</f>
        <v>2029.4117647058824</v>
      </c>
      <c r="BX94" s="24">
        <f>IF(BQ94=[1]BD_CUSTO!$Q$4,[1]BD_CUSTO!$R$4,[1]BD_CUSTO!$R$5)*BR94/E94</f>
        <v>0</v>
      </c>
      <c r="BY94" s="22">
        <f>IF(BS94=[1]BD_CUSTO!$Q$13,[1]BD_CUSTO!$R$13,[1]BD_CUSTO!$R$14)*BT94/E94</f>
        <v>0</v>
      </c>
      <c r="BZ94" s="24">
        <f>BV94*CUSTO!$R$10/E94</f>
        <v>0</v>
      </c>
      <c r="CA94" s="26">
        <f>SUM(Tabela13[[#This Row],[SOMA_PISO SALA E QUARTO]],Tabela13[[#This Row],[SOMA_PAREDE HIDR]],Tabela13[[#This Row],[SOMA_TETO]],Tabela13[[#This Row],[SOMA_BANCADA]],Tabela13[[#This Row],[SOMA_PEDRAS]])</f>
        <v>5435</v>
      </c>
      <c r="CB94" s="27" t="str">
        <f>IF(CA94&lt;=RÉGUAS!$D$4,"ACAB 01",IF(CA94&lt;=RÉGUAS!$F$4,"ACAB 02",IF(CA94&gt;RÉGUAS!$F$4,"ACAB 03",)))</f>
        <v>ACAB 03</v>
      </c>
      <c r="CC94" s="26">
        <f>SUM(Tabela13[[#This Row],[SOMA_LZ 01]:[SOMA_LZ 10]])</f>
        <v>3328.1292647058826</v>
      </c>
      <c r="CD94" s="22" t="str">
        <f>IF(CC94&lt;=RÉGUAS!$D$13,"LZ 01",IF(CC94&lt;=RÉGUAS!$F$13,"LZ 02",IF(CC94&lt;=RÉGUAS!$H$13,"LZ 03",IF(CC94&gt;RÉGUAS!$H$13,"LZ 04",))))</f>
        <v>LZ 04</v>
      </c>
      <c r="CE94" s="28">
        <f t="shared" si="8"/>
        <v>5700</v>
      </c>
      <c r="CF94" s="22" t="str">
        <f>IF(CE94&lt;=RÉGUAS!$D$22,"TIP 01",IF(CE94&lt;=RÉGUAS!$F$22,"TIP 02",IF(CE94&gt;RÉGUAS!$F$22,"TIP 03",)))</f>
        <v>TIP 03</v>
      </c>
      <c r="CG94" s="28">
        <f t="shared" si="9"/>
        <v>2029.4117647058824</v>
      </c>
      <c r="CH94" s="22" t="str">
        <f>IF(CG94&lt;=RÉGUAS!$D$32,"VAGA 01",IF(CG94&lt;=RÉGUAS!$F$32,"VAGA 02",IF(CG94&gt;RÉGUAS!$F$32,"VAGA 03",)))</f>
        <v>VAGA 02</v>
      </c>
      <c r="CI94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4194.75</v>
      </c>
      <c r="CJ94" s="85" t="str">
        <f>IF(AND(G94="BLOCO",CI94&lt;=RÉGUAS!$D$40),"ELEV 01",IF(AND(G94="BLOCO",CI94&gt;RÉGUAS!$D$40),"ELEV 02",IF(AND(G94="TORRE",CI94&lt;=RÉGUAS!$K$40),"ELEV 01",IF(AND(G94="TORRE",CI94&lt;=RÉGUAS!$M$40),"ELEV 02",IF(AND(G94="TORRE",CI94&gt;RÉGUAS!$M$40),"ELEV 03",)))))</f>
        <v>ELEV 03</v>
      </c>
      <c r="CK94" s="85">
        <f>SUM(Tabela13[[#This Row],[TOTAL  ACAB]],Tabela13[[#This Row],[TOTAL LAZER ]],Tabela13[[#This Row],[TOTAL TIPOLOGIA]],Tabela13[[#This Row],[TOTAL VAGA]],Tabela13[[#This Row],[TOTAL ELEVADOR]])</f>
        <v>20687.291029411765</v>
      </c>
      <c r="CL94" s="72" t="str">
        <f>IF(AND(G94="BLOCO",CK94&lt;=RÉGUAS!$D$50),"ESSENCIAL",IF(AND(G94="BLOCO",CK94&lt;=RÉGUAS!$F$50),"ECO",IF(AND(G94="BLOCO",CK94&gt;RÉGUAS!$F$50),"BIO",IF(AND(G94="TORRE",CK94&lt;=RÉGUAS!$K$50),"ESSENCIAL",IF(AND(G94="TORRE",CK94&lt;=RÉGUAS!$M$50),"ECO",IF(AND(G94="TORRE",CK94&gt;RÉGUAS!$M$50),"BIO",))))))</f>
        <v>BIO</v>
      </c>
      <c r="CM94" s="28" t="str">
        <f>IF(AND(G94="BLOCO",CK94&gt;=RÉGUAS!$D$51,CK94&lt;=RÉGUAS!$D$50),"ESSENCIAL-10%",IF(AND(G94="BLOCO",CK94&gt;RÉGUAS!$D$50,CK94&lt;=RÉGUAS!$E$51),"ECO+10%",IF(AND(G94="BLOCO",CK94&gt;=RÉGUAS!$F$51,CK94&lt;=RÉGUAS!$F$50),"ECO-10%",IF(AND(G94="BLOCO",CK94&gt;RÉGUAS!$F$50,CK94&lt;=RÉGUAS!$G$51),"BIO+10%",IF(AND(G94="TORRE",CK94&gt;=RÉGUAS!$K$51,CK94&lt;=RÉGUAS!$K$50),"ESSENCIAL-10%",IF(AND(G94="TORRE",CK94&gt;RÉGUAS!$K$50,CK94&lt;=RÉGUAS!$L$51),"ECO+10%",IF(AND(G94="TORRE",CK94&gt;=RÉGUAS!$M$51,CK94&lt;=RÉGUAS!$M$50),"ECO-10%",IF(AND(G94="TORRE",CK94&gt;RÉGUAS!$M$50,CK94&lt;=RÉGUAS!$N$51),"BIO+10%","-"))))))))</f>
        <v>-</v>
      </c>
      <c r="CN94" s="73">
        <f t="shared" si="10"/>
        <v>16492.541029411765</v>
      </c>
      <c r="CO94" s="72" t="str">
        <f>IF(CN94&lt;=RÉGUAS!$D$58,"ESSENCIAL",IF(CN94&lt;=RÉGUAS!$F$58,"ECO",IF(CN94&gt;RÉGUAS!$F$58,"BIO",)))</f>
        <v>BIO</v>
      </c>
      <c r="CP94" s="72" t="str">
        <f>IF(Tabela13[[#This Row],[INTERVALO DE INTERSEÇÃO 5D]]="-",Tabela13[[#This Row],[CLASSIFICAÇÃO 
5D ]],Tabela13[[#This Row],[CLASSIFICAÇÃO 
4D]])</f>
        <v>BIO</v>
      </c>
      <c r="CQ94" s="72" t="str">
        <f t="shared" si="11"/>
        <v>-</v>
      </c>
      <c r="CR94" s="72" t="str">
        <f t="shared" si="12"/>
        <v>BIO</v>
      </c>
      <c r="CS94" s="22" t="str">
        <f>IF(Tabela13[[#This Row],[PRODUTO ATUAL ]]=Tabela13[[#This Row],[CLASSIFICAÇÃO FINAL 5D]],"ADERÊNTE","NÃO ADERÊNTE")</f>
        <v>ADERÊNTE</v>
      </c>
      <c r="CT94" s="24">
        <f>SUM(Tabela13[[#This Row],[TOTAL  ACAB]],Tabela13[[#This Row],[TOTAL LAZER ]],Tabela13[[#This Row],[TOTAL TIPOLOGIA]],Tabela13[[#This Row],[TOTAL VAGA]])</f>
        <v>16492.541029411765</v>
      </c>
      <c r="CU94" s="22" t="str">
        <f>IF(CT94&lt;=RÉGUAS!$D$58,"ESSENCIAL",IF(CT94&lt;=RÉGUAS!$F$58,"ECO",IF(CT94&gt;RÉGUAS!$F$58,"BIO",)))</f>
        <v>BIO</v>
      </c>
      <c r="CV94" s="22" t="str">
        <f>IF(AND(CT94&gt;=RÉGUAS!$D$59,CT94&lt;=RÉGUAS!$E$59),"ESSENCIAL/ECO",IF(AND(CT94&gt;=RÉGUAS!$F$59,CT94&lt;=RÉGUAS!$G$59),"ECO/BIO","-"))</f>
        <v>-</v>
      </c>
      <c r="CW94" s="85">
        <f>SUM(Tabela13[[#This Row],[TOTAL LAZER ]],Tabela13[[#This Row],[TOTAL TIPOLOGIA]])</f>
        <v>9028.1292647058835</v>
      </c>
      <c r="CX94" s="22" t="str">
        <f>IF(CW94&lt;=RÉGUAS!$D$72,"ESSENCIAL",IF(CW94&lt;=RÉGUAS!$F$72,"ECO",IF(CN94&gt;RÉGUAS!$F$72,"BIO",)))</f>
        <v>BIO</v>
      </c>
      <c r="CY94" s="22" t="str">
        <f t="shared" si="13"/>
        <v>BIO</v>
      </c>
      <c r="CZ94" s="22" t="str">
        <f>IF(Tabela13[[#This Row],[PRODUTO ATUAL ]]=CY94,"ADERENTE","NÃO ADERENTE")</f>
        <v>ADERENTE</v>
      </c>
      <c r="DA94" s="22" t="str">
        <f>IF(Tabela13[[#This Row],[PRODUTO ATUAL ]]=Tabela13[[#This Row],[CLASSIFICAÇÃO 
4D2]],"ADERENTE","NÃO ADERENTE")</f>
        <v>ADERENTE</v>
      </c>
    </row>
    <row r="95" spans="2:105" x14ac:dyDescent="0.35">
      <c r="B95" s="27">
        <v>6</v>
      </c>
      <c r="C95" s="22" t="s">
        <v>186</v>
      </c>
      <c r="D95" s="22" t="s">
        <v>125</v>
      </c>
      <c r="E95" s="133">
        <v>360</v>
      </c>
      <c r="F95" s="22" t="str">
        <f t="shared" si="7"/>
        <v>De 200 a 400 und</v>
      </c>
      <c r="G95" s="22" t="s">
        <v>14</v>
      </c>
      <c r="H95" s="135">
        <v>2</v>
      </c>
      <c r="I95" s="135">
        <v>15</v>
      </c>
      <c r="J95" s="135"/>
      <c r="K95" s="135"/>
      <c r="L95" s="135">
        <f>SUM(Tabela13[[#This Row],[QTD DE B/T 2]],Tabela13[[#This Row],[QTD DE B/T]])</f>
        <v>2</v>
      </c>
      <c r="M95" s="22">
        <v>6</v>
      </c>
      <c r="N95" s="22">
        <f>Tabela13[[#This Row],[ELEVADOR]]/Tabela13[[#This Row],[BLOCO TOTAL]]</f>
        <v>3</v>
      </c>
      <c r="O95" s="133" t="s">
        <v>4</v>
      </c>
      <c r="P95" s="133" t="s">
        <v>101</v>
      </c>
      <c r="Q95" s="133" t="s">
        <v>101</v>
      </c>
      <c r="R95" s="133" t="s">
        <v>142</v>
      </c>
      <c r="S95" s="133" t="s">
        <v>159</v>
      </c>
      <c r="T95" s="133" t="s">
        <v>173</v>
      </c>
      <c r="U95" s="133" t="s">
        <v>174</v>
      </c>
      <c r="V95" s="22" t="s">
        <v>106</v>
      </c>
      <c r="W95" s="24">
        <f>IF(P95=[1]BD_CUSTO!$E$4,[1]BD_CUSTO!$F$4,[1]BD_CUSTO!$F$5)</f>
        <v>2430</v>
      </c>
      <c r="X95" s="24">
        <f>IF(Q95=[1]BD_CUSTO!$E$6,[1]BD_CUSTO!$F$6,[1]BD_CUSTO!$F$7)</f>
        <v>260</v>
      </c>
      <c r="Y95" s="24">
        <f>IF(R95=[1]BD_CUSTO!$E$8,[1]BD_CUSTO!$F$8,[1]BD_CUSTO!$F$9)</f>
        <v>900</v>
      </c>
      <c r="Z95" s="24">
        <f>IF(S95=[1]BD_CUSTO!$E$10,[1]BD_CUSTO!$F$10,[1]BD_CUSTO!$F$11)</f>
        <v>935</v>
      </c>
      <c r="AA95" s="24">
        <f>IF(T95=[1]BD_CUSTO!$E$12,[1]BD_CUSTO!$F$12,[1]BD_CUSTO!$F$13)</f>
        <v>930</v>
      </c>
      <c r="AB95" s="24">
        <f>IF(U95=[1]BD_CUSTO!$E$14,[1]BD_CUSTO!$F$14,[1]BD_CUSTO!$F$15)</f>
        <v>240</v>
      </c>
      <c r="AC95" s="24">
        <f>IF(V95=[1]BD_CUSTO!$E$16,[1]BD_CUSTO!$F$16,[1]BD_CUSTO!$F$17)</f>
        <v>720</v>
      </c>
      <c r="AD95" s="133" t="s">
        <v>167</v>
      </c>
      <c r="AE95" s="133">
        <v>1</v>
      </c>
      <c r="AF95" s="133" t="s">
        <v>108</v>
      </c>
      <c r="AG95" s="133">
        <v>1</v>
      </c>
      <c r="AH95" s="133" t="s">
        <v>107</v>
      </c>
      <c r="AI95" s="133">
        <v>1</v>
      </c>
      <c r="AJ95" s="133" t="s">
        <v>121</v>
      </c>
      <c r="AK95" s="133">
        <v>2</v>
      </c>
      <c r="AL95" s="133" t="s">
        <v>135</v>
      </c>
      <c r="AM95" s="133">
        <v>1</v>
      </c>
      <c r="AN95" s="133" t="s">
        <v>109</v>
      </c>
      <c r="AO95" s="133">
        <v>1</v>
      </c>
      <c r="AP95" s="133" t="s">
        <v>110</v>
      </c>
      <c r="AQ95" s="133">
        <v>1</v>
      </c>
      <c r="AR95" s="22"/>
      <c r="AS95" s="22">
        <v>0</v>
      </c>
      <c r="AT95" s="22"/>
      <c r="AU95" s="22"/>
      <c r="AV95" s="22"/>
      <c r="AW95" s="22"/>
      <c r="AX95" s="24">
        <f>IF(AD95="",0,VLOOKUP(AD95,[1]BD_CUSTO!I:J,2,0)*AE95/E95)</f>
        <v>227.93086111111111</v>
      </c>
      <c r="AY95" s="24">
        <f>IF(AF95="",0,VLOOKUP(AF95,[1]BD_CUSTO!I:J,2,0)*AG95/E95)</f>
        <v>64.305555555555557</v>
      </c>
      <c r="AZ95" s="24">
        <f>IF(AH95="",0,VLOOKUP(AH95,[1]BD_CUSTO!I:J,2,0)*AI95/E95)</f>
        <v>236.52533333333332</v>
      </c>
      <c r="BA95" s="24">
        <f>IF(AJ95="",0,VLOOKUP(AJ95,[1]BD_CUSTO!I:J,2,0)*AK95/E95)</f>
        <v>684.20499999999993</v>
      </c>
      <c r="BB95" s="24">
        <f>IF(AL95="",0,VLOOKUP(AL95,[1]BD_CUSTO!I:J,2,0)*AM95/E95)</f>
        <v>350.19066666666669</v>
      </c>
      <c r="BC95" s="24">
        <f>IF(AN95="",0,VLOOKUP(AN95,[1]BD_CUSTO!I:J,2,0)*AO95/E95)</f>
        <v>19.305555555555557</v>
      </c>
      <c r="BD95" s="24">
        <f>IF(AP95="",0,VLOOKUP(AP95,[1]BD_CUSTO!I:J,2,0)*AQ95/E95)</f>
        <v>14.722222222222221</v>
      </c>
      <c r="BE95" s="24">
        <f>IF(AR95="",0,VLOOKUP(AR95,CUSTO!I:J,2,0)*AS95/E95)</f>
        <v>0</v>
      </c>
      <c r="BF95" s="24">
        <f>IF(AT95="",0,VLOOKUP(AT95,[1]BD_CUSTO!I:J,2,0)*AU95/E95)</f>
        <v>0</v>
      </c>
      <c r="BG95" s="24">
        <f>IF(Tabela13[[#This Row],[LZ 10]]="",0,VLOOKUP(Tabela13[[#This Row],[LZ 10]],[1]BD_CUSTO!I:J,2,0)*Tabela13[[#This Row],[QTD922]]/E95)</f>
        <v>0</v>
      </c>
      <c r="BH95" s="133" t="s">
        <v>112</v>
      </c>
      <c r="BI95" s="136">
        <v>0.66600000000000004</v>
      </c>
      <c r="BJ95" s="137" t="s">
        <v>113</v>
      </c>
      <c r="BK95" s="136">
        <v>0</v>
      </c>
      <c r="BL95" s="24">
        <f>IF(BH95=[1]BD_CUSTO!$M$6,[1]BD_CUSTO!$N$6)*BI95</f>
        <v>1998</v>
      </c>
      <c r="BM95" s="24">
        <f>IF(BJ95=[1]BD_CUSTO!$M$4,[1]BD_CUSTO!$N$4,[1]BD_CUSTO!$N$5)*BK95</f>
        <v>0</v>
      </c>
      <c r="BN95" s="133" t="s">
        <v>114</v>
      </c>
      <c r="BO95" s="133">
        <v>368</v>
      </c>
      <c r="BP95" s="25">
        <f>Tabela13[[#This Row],[QTD ]]/Tabela13[[#This Row],[Nº UNDS]]</f>
        <v>1.0222222222222221</v>
      </c>
      <c r="BQ95" s="22" t="s">
        <v>115</v>
      </c>
      <c r="BR95" s="22">
        <v>0</v>
      </c>
      <c r="BS95" s="22" t="s">
        <v>116</v>
      </c>
      <c r="BT95" s="22">
        <v>0</v>
      </c>
      <c r="BU95" s="22" t="s">
        <v>16</v>
      </c>
      <c r="BV95" s="29">
        <v>0</v>
      </c>
      <c r="BW95" s="24">
        <f>IF(BN95=[1]BD_CUSTO!$Q$7,[1]BD_CUSTO!$R$7,[1]BD_CUSTO!$R$8)*BO95/E95</f>
        <v>2044.4444444444443</v>
      </c>
      <c r="BX95" s="24">
        <f>IF(BQ95=[1]BD_CUSTO!$Q$4,[1]BD_CUSTO!$R$4,[1]BD_CUSTO!$R$5)*BR95/E95</f>
        <v>0</v>
      </c>
      <c r="BY95" s="22">
        <f>IF(BS95=[1]BD_CUSTO!$Q$13,[1]BD_CUSTO!$R$13,[1]BD_CUSTO!$R$14)*BT95/E95</f>
        <v>0</v>
      </c>
      <c r="BZ95" s="24">
        <f>BV95*CUSTO!$R$10/E95</f>
        <v>0</v>
      </c>
      <c r="CA95" s="26">
        <f>SUM(Tabela13[[#This Row],[SOMA_PISO SALA E QUARTO]],Tabela13[[#This Row],[SOMA_PAREDE HIDR]],Tabela13[[#This Row],[SOMA_TETO]],Tabela13[[#This Row],[SOMA_BANCADA]],Tabela13[[#This Row],[SOMA_PEDRAS]])</f>
        <v>5435</v>
      </c>
      <c r="CB95" s="27" t="str">
        <f>IF(CA95&lt;=RÉGUAS!$D$4,"ACAB 01",IF(CA95&lt;=RÉGUAS!$F$4,"ACAB 02",IF(CA95&gt;RÉGUAS!$F$4,"ACAB 03",)))</f>
        <v>ACAB 03</v>
      </c>
      <c r="CC95" s="26">
        <f>SUM(Tabela13[[#This Row],[SOMA_LZ 01]:[SOMA_LZ 10]])</f>
        <v>1597.1851944444445</v>
      </c>
      <c r="CD95" s="22" t="str">
        <f>IF(CC95&lt;=RÉGUAS!$D$13,"LZ 01",IF(CC95&lt;=RÉGUAS!$F$13,"LZ 02",IF(CC95&lt;=RÉGUAS!$H$13,"LZ 03",IF(CC95&gt;RÉGUAS!$H$13,"LZ 04",))))</f>
        <v>LZ 02</v>
      </c>
      <c r="CE95" s="28">
        <f t="shared" si="8"/>
        <v>1998</v>
      </c>
      <c r="CF95" s="22" t="str">
        <f>IF(CE95&lt;=RÉGUAS!$D$22,"TIP 01",IF(CE95&lt;=RÉGUAS!$F$22,"TIP 02",IF(CE95&gt;RÉGUAS!$F$22,"TIP 03",)))</f>
        <v>TIP 02</v>
      </c>
      <c r="CG95" s="28">
        <f t="shared" si="9"/>
        <v>2044.4444444444443</v>
      </c>
      <c r="CH95" s="22" t="str">
        <f>IF(CG95&lt;=RÉGUAS!$D$32,"VAGA 01",IF(CG95&lt;=RÉGUAS!$F$32,"VAGA 02",IF(CG95&gt;RÉGUAS!$F$32,"VAGA 03",)))</f>
        <v>VAGA 02</v>
      </c>
      <c r="CI95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4194.75</v>
      </c>
      <c r="CJ95" s="85" t="str">
        <f>IF(AND(G95="BLOCO",CI95&lt;=RÉGUAS!$D$40),"ELEV 01",IF(AND(G95="BLOCO",CI95&gt;RÉGUAS!$D$40),"ELEV 02",IF(AND(G95="TORRE",CI95&lt;=RÉGUAS!$K$40),"ELEV 01",IF(AND(G95="TORRE",CI95&lt;=RÉGUAS!$M$40),"ELEV 02",IF(AND(G95="TORRE",CI95&gt;RÉGUAS!$M$40),"ELEV 03",)))))</f>
        <v>ELEV 03</v>
      </c>
      <c r="CK95" s="85">
        <f>SUM(Tabela13[[#This Row],[TOTAL  ACAB]],Tabela13[[#This Row],[TOTAL LAZER ]],Tabela13[[#This Row],[TOTAL TIPOLOGIA]],Tabela13[[#This Row],[TOTAL VAGA]],Tabela13[[#This Row],[TOTAL ELEVADOR]])</f>
        <v>15269.379638888888</v>
      </c>
      <c r="CL95" s="72" t="str">
        <f>IF(AND(G95="BLOCO",CK95&lt;=RÉGUAS!$D$50),"ESSENCIAL",IF(AND(G95="BLOCO",CK95&lt;=RÉGUAS!$F$50),"ECO",IF(AND(G95="BLOCO",CK95&gt;RÉGUAS!$F$50),"BIO",IF(AND(G95="TORRE",CK95&lt;=RÉGUAS!$K$50),"ESSENCIAL",IF(AND(G95="TORRE",CK95&lt;=RÉGUAS!$M$50),"ECO",IF(AND(G95="TORRE",CK95&gt;RÉGUAS!$M$50),"BIO",))))))</f>
        <v>BIO</v>
      </c>
      <c r="CM95" s="28" t="str">
        <f>IF(AND(G95="BLOCO",CK95&gt;=RÉGUAS!$D$51,CK95&lt;=RÉGUAS!$D$50),"ESSENCIAL-10%",IF(AND(G95="BLOCO",CK95&gt;RÉGUAS!$D$50,CK95&lt;=RÉGUAS!$E$51),"ECO+10%",IF(AND(G95="BLOCO",CK95&gt;=RÉGUAS!$F$51,CK95&lt;=RÉGUAS!$F$50),"ECO-10%",IF(AND(G95="BLOCO",CK95&gt;RÉGUAS!$F$50,CK95&lt;=RÉGUAS!$G$51),"BIO+10%",IF(AND(G95="TORRE",CK95&gt;=RÉGUAS!$K$51,CK95&lt;=RÉGUAS!$K$50),"ESSENCIAL-10%",IF(AND(G95="TORRE",CK95&gt;RÉGUAS!$K$50,CK95&lt;=RÉGUAS!$L$51),"ECO+10%",IF(AND(G95="TORRE",CK95&gt;=RÉGUAS!$M$51,CK95&lt;=RÉGUAS!$M$50),"ECO-10%",IF(AND(G95="TORRE",CK95&gt;RÉGUAS!$M$50,CK95&lt;=RÉGUAS!$N$51),"BIO+10%","-"))))))))</f>
        <v>BIO+10%</v>
      </c>
      <c r="CN95" s="73">
        <f t="shared" si="10"/>
        <v>11074.629638888888</v>
      </c>
      <c r="CO95" s="72" t="str">
        <f>IF(CN95&lt;=RÉGUAS!$D$58,"ESSENCIAL",IF(CN95&lt;=RÉGUAS!$F$58,"ECO",IF(CN95&gt;RÉGUAS!$F$58,"BIO",)))</f>
        <v>ECO</v>
      </c>
      <c r="CP95" s="72" t="str">
        <f>IF(Tabela13[[#This Row],[INTERVALO DE INTERSEÇÃO 5D]]="-",Tabela13[[#This Row],[CLASSIFICAÇÃO 
5D ]],Tabela13[[#This Row],[CLASSIFICAÇÃO 
4D]])</f>
        <v>ECO</v>
      </c>
      <c r="CQ95" s="72" t="str">
        <f t="shared" si="11"/>
        <v>-</v>
      </c>
      <c r="CR95" s="72" t="str">
        <f t="shared" si="12"/>
        <v>ECO</v>
      </c>
      <c r="CS95" s="22" t="str">
        <f>IF(Tabela13[[#This Row],[PRODUTO ATUAL ]]=Tabela13[[#This Row],[CLASSIFICAÇÃO FINAL 5D]],"ADERÊNTE","NÃO ADERÊNTE")</f>
        <v>NÃO ADERÊNTE</v>
      </c>
      <c r="CT95" s="24">
        <f>SUM(Tabela13[[#This Row],[TOTAL  ACAB]],Tabela13[[#This Row],[TOTAL LAZER ]],Tabela13[[#This Row],[TOTAL TIPOLOGIA]],Tabela13[[#This Row],[TOTAL VAGA]])</f>
        <v>11074.629638888888</v>
      </c>
      <c r="CU95" s="22" t="str">
        <f>IF(CT95&lt;=RÉGUAS!$D$58,"ESSENCIAL",IF(CT95&lt;=RÉGUAS!$F$58,"ECO",IF(CT95&gt;RÉGUAS!$F$58,"BIO",)))</f>
        <v>ECO</v>
      </c>
      <c r="CV95" s="22" t="str">
        <f>IF(AND(CT95&gt;=RÉGUAS!$D$59,CT95&lt;=RÉGUAS!$E$59),"ESSENCIAL/ECO",IF(AND(CT95&gt;=RÉGUAS!$F$59,CT95&lt;=RÉGUAS!$G$59),"ECO/BIO","-"))</f>
        <v>ECO/BIO</v>
      </c>
      <c r="CW95" s="85">
        <f>SUM(Tabela13[[#This Row],[TOTAL LAZER ]],Tabela13[[#This Row],[TOTAL TIPOLOGIA]])</f>
        <v>3595.1851944444443</v>
      </c>
      <c r="CX95" s="22" t="str">
        <f>IF(CW95&lt;=RÉGUAS!$D$72,"ESSENCIAL",IF(CW95&lt;=RÉGUAS!$F$72,"ECO",IF(CN95&gt;RÉGUAS!$F$72,"BIO",)))</f>
        <v>ECO</v>
      </c>
      <c r="CY95" s="22" t="str">
        <f t="shared" si="13"/>
        <v>ECO</v>
      </c>
      <c r="CZ95" s="22" t="str">
        <f>IF(Tabela13[[#This Row],[PRODUTO ATUAL ]]=CY95,"ADERENTE","NÃO ADERENTE")</f>
        <v>NÃO ADERENTE</v>
      </c>
      <c r="DA95" s="22" t="str">
        <f>IF(Tabela13[[#This Row],[PRODUTO ATUAL ]]=Tabela13[[#This Row],[CLASSIFICAÇÃO 
4D2]],"ADERENTE","NÃO ADERENTE")</f>
        <v>NÃO ADERENTE</v>
      </c>
    </row>
    <row r="96" spans="2:105" customFormat="1" x14ac:dyDescent="0.35">
      <c r="B96" s="27">
        <v>95</v>
      </c>
      <c r="C96" s="22" t="s">
        <v>190</v>
      </c>
      <c r="D96" s="22" t="s">
        <v>125</v>
      </c>
      <c r="E96" s="134">
        <v>360</v>
      </c>
      <c r="F96" s="22" t="str">
        <f t="shared" si="7"/>
        <v>De 200 a 400 und</v>
      </c>
      <c r="G96" s="22" t="s">
        <v>14</v>
      </c>
      <c r="H96" s="135">
        <v>2</v>
      </c>
      <c r="I96" s="36">
        <v>15</v>
      </c>
      <c r="J96" s="36"/>
      <c r="K96" s="36"/>
      <c r="L96" s="36">
        <f>SUM(Tabela13[[#This Row],[QTD DE B/T 2]],Tabela13[[#This Row],[QTD DE B/T]])</f>
        <v>2</v>
      </c>
      <c r="M96" s="22">
        <v>6</v>
      </c>
      <c r="N96" s="22">
        <f>Tabela13[[#This Row],[ELEVADOR]]/Tabela13[[#This Row],[BLOCO TOTAL]]</f>
        <v>3</v>
      </c>
      <c r="O96" s="133" t="s">
        <v>4</v>
      </c>
      <c r="P96" s="133" t="s">
        <v>101</v>
      </c>
      <c r="Q96" s="133" t="s">
        <v>101</v>
      </c>
      <c r="R96" s="133" t="s">
        <v>142</v>
      </c>
      <c r="S96" s="133" t="s">
        <v>159</v>
      </c>
      <c r="T96" s="133" t="s">
        <v>173</v>
      </c>
      <c r="U96" s="133" t="s">
        <v>174</v>
      </c>
      <c r="V96" s="22" t="s">
        <v>106</v>
      </c>
      <c r="W96" s="24">
        <f>IF(P96=[1]BD_CUSTO!$E$4,[1]BD_CUSTO!$F$4,[1]BD_CUSTO!$F$5)</f>
        <v>2430</v>
      </c>
      <c r="X96" s="24">
        <f>IF(Q96=[1]BD_CUSTO!$E$6,[1]BD_CUSTO!$F$6,[1]BD_CUSTO!$F$7)</f>
        <v>260</v>
      </c>
      <c r="Y96" s="24">
        <f>IF(R96=[1]BD_CUSTO!$E$8,[1]BD_CUSTO!$F$8,[1]BD_CUSTO!$F$9)</f>
        <v>900</v>
      </c>
      <c r="Z96" s="24">
        <f>IF(S96=[1]BD_CUSTO!$E$10,[1]BD_CUSTO!$F$10,[1]BD_CUSTO!$F$11)</f>
        <v>935</v>
      </c>
      <c r="AA96" s="24">
        <f>IF(T96=[1]BD_CUSTO!$E$12,[1]BD_CUSTO!$F$12,[1]BD_CUSTO!$F$13)</f>
        <v>930</v>
      </c>
      <c r="AB96" s="24">
        <f>IF(U96=[1]BD_CUSTO!$E$14,[1]BD_CUSTO!$F$14,[1]BD_CUSTO!$F$15)</f>
        <v>240</v>
      </c>
      <c r="AC96" s="24">
        <f>IF(V96=[1]BD_CUSTO!$E$16,[1]BD_CUSTO!$F$16,[1]BD_CUSTO!$F$17)</f>
        <v>720</v>
      </c>
      <c r="AD96" s="133" t="s">
        <v>121</v>
      </c>
      <c r="AE96" s="133">
        <v>2</v>
      </c>
      <c r="AF96" s="133" t="s">
        <v>151</v>
      </c>
      <c r="AG96" s="133">
        <v>1</v>
      </c>
      <c r="AH96" s="133" t="s">
        <v>107</v>
      </c>
      <c r="AI96" s="133">
        <v>1</v>
      </c>
      <c r="AJ96" s="133" t="s">
        <v>108</v>
      </c>
      <c r="AK96" s="133">
        <v>1</v>
      </c>
      <c r="AL96" s="133" t="s">
        <v>109</v>
      </c>
      <c r="AM96" s="133">
        <v>1</v>
      </c>
      <c r="AN96" s="133" t="s">
        <v>111</v>
      </c>
      <c r="AO96" s="133">
        <v>2</v>
      </c>
      <c r="AP96" s="133" t="s">
        <v>110</v>
      </c>
      <c r="AQ96" s="133">
        <v>1</v>
      </c>
      <c r="AR96" s="133" t="s">
        <v>167</v>
      </c>
      <c r="AS96" s="133">
        <v>1</v>
      </c>
      <c r="AT96" s="133" t="s">
        <v>175</v>
      </c>
      <c r="AU96" s="133">
        <v>1</v>
      </c>
      <c r="AV96" s="22" t="s">
        <v>135</v>
      </c>
      <c r="AW96" s="22">
        <v>1</v>
      </c>
      <c r="AX96" s="24">
        <f>IF(AD96="",0,VLOOKUP(AD96,[1]BD_CUSTO!I:J,2,0)*AE96/E96)</f>
        <v>684.20499999999993</v>
      </c>
      <c r="AY96" s="24">
        <f>IF(AF96="",0,VLOOKUP(AF96,[1]BD_CUSTO!I:J,2,0)*AG96/E96)</f>
        <v>221.48108333333334</v>
      </c>
      <c r="AZ96" s="24">
        <f>IF(AH96="",0,VLOOKUP(AH96,[1]BD_CUSTO!I:J,2,0)*AI96/E96)</f>
        <v>236.52533333333332</v>
      </c>
      <c r="BA96" s="24">
        <f>IF(AJ96="",0,VLOOKUP(AJ96,[1]BD_CUSTO!I:J,2,0)*AK96/E96)</f>
        <v>64.305555555555557</v>
      </c>
      <c r="BB96" s="24">
        <f>IF(AL96="",0,VLOOKUP(AL96,[1]BD_CUSTO!I:J,2,0)*AM96/E96)</f>
        <v>19.305555555555557</v>
      </c>
      <c r="BC96" s="24">
        <f>IF(AN96="",0,VLOOKUP(AN96,[1]BD_CUSTO!I:J,2,0)*AO96/E96)</f>
        <v>90</v>
      </c>
      <c r="BD96" s="24">
        <f>IF(AP96="",0,VLOOKUP(AP96,[1]BD_CUSTO!I:J,2,0)*AQ96/E96)</f>
        <v>14.722222222222221</v>
      </c>
      <c r="BE96" s="24">
        <f>IF(AR96="",0,VLOOKUP(AR96,CUSTO!I:J,2,0)*AS96/E96)</f>
        <v>227.93086111111111</v>
      </c>
      <c r="BF96" s="24">
        <f>IF(AT96="",0,VLOOKUP(AT96,[1]BD_CUSTO!I:J,2,0)*AU96/E96)</f>
        <v>29.972222222222221</v>
      </c>
      <c r="BG96" s="24">
        <f>IF(Tabela13[[#This Row],[LZ 10]]="",0,VLOOKUP(Tabela13[[#This Row],[LZ 10]],[1]BD_CUSTO!I:J,2,0)*Tabela13[[#This Row],[QTD922]]/E96)</f>
        <v>350.19066666666669</v>
      </c>
      <c r="BH96" s="133" t="s">
        <v>112</v>
      </c>
      <c r="BI96" s="136">
        <v>0.67</v>
      </c>
      <c r="BJ96" s="133" t="s">
        <v>113</v>
      </c>
      <c r="BK96" s="136">
        <v>0</v>
      </c>
      <c r="BL96" s="24">
        <f>IF(BH96=[1]BD_CUSTO!$M$6,[1]BD_CUSTO!$N$6)*BI96</f>
        <v>2010.0000000000002</v>
      </c>
      <c r="BM96" s="24">
        <f>IF(BJ96=[1]BD_CUSTO!$M$4,[1]BD_CUSTO!$N$4,[1]BD_CUSTO!$N$5)*BK96</f>
        <v>0</v>
      </c>
      <c r="BN96" s="133" t="s">
        <v>114</v>
      </c>
      <c r="BO96" s="133">
        <v>368</v>
      </c>
      <c r="BP96" s="25">
        <f>Tabela13[[#This Row],[QTD ]]/Tabela13[[#This Row],[Nº UNDS]]</f>
        <v>1.0222222222222221</v>
      </c>
      <c r="BQ96" s="22" t="s">
        <v>115</v>
      </c>
      <c r="BR96" s="22">
        <v>0</v>
      </c>
      <c r="BS96" s="22" t="s">
        <v>116</v>
      </c>
      <c r="BT96" s="22">
        <v>0</v>
      </c>
      <c r="BU96" s="22" t="s">
        <v>16</v>
      </c>
      <c r="BV96" s="22">
        <v>0</v>
      </c>
      <c r="BW96" s="24">
        <f>IF(BN96=[1]BD_CUSTO!$Q$7,[1]BD_CUSTO!$R$7,[1]BD_CUSTO!$R$8)*BO96/E96</f>
        <v>2044.4444444444443</v>
      </c>
      <c r="BX96" s="24">
        <f>IF(BQ96=[1]BD_CUSTO!$Q$4,[1]BD_CUSTO!$R$4,[1]BD_CUSTO!$R$5)*BR96/E96</f>
        <v>0</v>
      </c>
      <c r="BY96" s="22">
        <f>IF(BS96=[1]BD_CUSTO!$Q$13,[1]BD_CUSTO!$R$13,[1]BD_CUSTO!$R$14)*BT96/E96</f>
        <v>0</v>
      </c>
      <c r="BZ96" s="24">
        <f>BV96*CUSTO!$R$10/E96</f>
        <v>0</v>
      </c>
      <c r="CA96" s="26">
        <f>SUM(Tabela13[[#This Row],[SOMA_PISO SALA E QUARTO]],Tabela13[[#This Row],[SOMA_PAREDE HIDR]],Tabela13[[#This Row],[SOMA_TETO]],Tabela13[[#This Row],[SOMA_BANCADA]],Tabela13[[#This Row],[SOMA_PEDRAS]])</f>
        <v>5435</v>
      </c>
      <c r="CB96" s="27" t="str">
        <f>IF(CA96&lt;=RÉGUAS!$D$4,"ACAB 01",IF(CA96&lt;=RÉGUAS!$F$4,"ACAB 02",IF(CA96&gt;RÉGUAS!$F$4,"ACAB 03",)))</f>
        <v>ACAB 03</v>
      </c>
      <c r="CC96" s="26">
        <f>SUM(Tabela13[[#This Row],[SOMA_LZ 01]:[SOMA_LZ 10]])</f>
        <v>1938.6385</v>
      </c>
      <c r="CD96" s="22" t="str">
        <f>IF(CC96&lt;=RÉGUAS!$D$13,"LZ 01",IF(CC96&lt;=RÉGUAS!$F$13,"LZ 02",IF(CC96&lt;=RÉGUAS!$H$13,"LZ 03",IF(CC96&gt;RÉGUAS!$H$13,"LZ 04",))))</f>
        <v>LZ 03</v>
      </c>
      <c r="CE96" s="28">
        <f t="shared" si="8"/>
        <v>2010.0000000000002</v>
      </c>
      <c r="CF96" s="22" t="str">
        <f>IF(CE96&lt;=RÉGUAS!$D$22,"TIP 01",IF(CE96&lt;=RÉGUAS!$F$22,"TIP 02",IF(CE96&gt;RÉGUAS!$F$22,"TIP 03",)))</f>
        <v>TIP 02</v>
      </c>
      <c r="CG96" s="28">
        <f t="shared" si="9"/>
        <v>2044.4444444444443</v>
      </c>
      <c r="CH96" s="22" t="str">
        <f>IF(CG96&lt;=RÉGUAS!$D$32,"VAGA 01",IF(CG96&lt;=RÉGUAS!$F$32,"VAGA 02",IF(CG96&gt;RÉGUAS!$F$32,"VAGA 03",)))</f>
        <v>VAGA 02</v>
      </c>
      <c r="CI96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4194.75</v>
      </c>
      <c r="CJ96" s="85" t="str">
        <f>IF(AND(G96="BLOCO",CI96&lt;=RÉGUAS!$D$40),"ELEV 01",IF(AND(G96="BLOCO",CI96&gt;RÉGUAS!$D$40),"ELEV 02",IF(AND(G96="TORRE",CI96&lt;=RÉGUAS!$K$40),"ELEV 01",IF(AND(G96="TORRE",CI96&lt;=RÉGUAS!$M$40),"ELEV 02",IF(AND(G96="TORRE",CI96&gt;RÉGUAS!$M$40),"ELEV 03",)))))</f>
        <v>ELEV 03</v>
      </c>
      <c r="CK96" s="85">
        <f>SUM(Tabela13[[#This Row],[TOTAL  ACAB]],Tabela13[[#This Row],[TOTAL LAZER ]],Tabela13[[#This Row],[TOTAL TIPOLOGIA]],Tabela13[[#This Row],[TOTAL VAGA]],Tabela13[[#This Row],[TOTAL ELEVADOR]])</f>
        <v>15622.832944444446</v>
      </c>
      <c r="CL96" s="72" t="str">
        <f>IF(AND(G96="BLOCO",CK96&lt;=RÉGUAS!$D$50),"ESSENCIAL",IF(AND(G96="BLOCO",CK96&lt;=RÉGUAS!$F$50),"ECO",IF(AND(G96="BLOCO",CK96&gt;RÉGUAS!$F$50),"BIO",IF(AND(G96="TORRE",CK96&lt;=RÉGUAS!$K$50),"ESSENCIAL",IF(AND(G96="TORRE",CK96&lt;=RÉGUAS!$M$50),"ECO",IF(AND(G96="TORRE",CK96&gt;RÉGUAS!$M$50),"BIO",))))))</f>
        <v>BIO</v>
      </c>
      <c r="CM96" s="28" t="str">
        <f>IF(AND(G96="BLOCO",CK96&gt;=RÉGUAS!$D$51,CK96&lt;=RÉGUAS!$D$50),"ESSENCIAL-10%",IF(AND(G96="BLOCO",CK96&gt;RÉGUAS!$D$50,CK96&lt;=RÉGUAS!$E$51),"ECO+10%",IF(AND(G96="BLOCO",CK96&gt;=RÉGUAS!$F$51,CK96&lt;=RÉGUAS!$F$50),"ECO-10%",IF(AND(G96="BLOCO",CK96&gt;RÉGUAS!$F$50,CK96&lt;=RÉGUAS!$G$51),"BIO+10%",IF(AND(G96="TORRE",CK96&gt;=RÉGUAS!$K$51,CK96&lt;=RÉGUAS!$K$50),"ESSENCIAL-10%",IF(AND(G96="TORRE",CK96&gt;RÉGUAS!$K$50,CK96&lt;=RÉGUAS!$L$51),"ECO+10%",IF(AND(G96="TORRE",CK96&gt;=RÉGUAS!$M$51,CK96&lt;=RÉGUAS!$M$50),"ECO-10%",IF(AND(G96="TORRE",CK96&gt;RÉGUAS!$M$50,CK96&lt;=RÉGUAS!$N$51),"BIO+10%","-"))))))))</f>
        <v>-</v>
      </c>
      <c r="CN96" s="73">
        <f t="shared" si="10"/>
        <v>11428.082944444446</v>
      </c>
      <c r="CO96" s="72" t="str">
        <f>IF(CN96&lt;=RÉGUAS!$D$58,"ESSENCIAL",IF(CN96&lt;=RÉGUAS!$F$58,"ECO",IF(CN96&gt;RÉGUAS!$F$58,"BIO",)))</f>
        <v>ECO</v>
      </c>
      <c r="CP96" s="72" t="str">
        <f>IF(Tabela13[[#This Row],[INTERVALO DE INTERSEÇÃO 5D]]="-",Tabela13[[#This Row],[CLASSIFICAÇÃO 
5D ]],Tabela13[[#This Row],[CLASSIFICAÇÃO 
4D]])</f>
        <v>BIO</v>
      </c>
      <c r="CQ96" s="72" t="str">
        <f t="shared" si="11"/>
        <v>-</v>
      </c>
      <c r="CR96" s="72" t="str">
        <f t="shared" si="12"/>
        <v>BIO</v>
      </c>
      <c r="CS96" s="22" t="str">
        <f>IF(Tabela13[[#This Row],[PRODUTO ATUAL ]]=Tabela13[[#This Row],[CLASSIFICAÇÃO FINAL 5D]],"ADERÊNTE","NÃO ADERÊNTE")</f>
        <v>ADERÊNTE</v>
      </c>
      <c r="CT96" s="24">
        <f>SUM(Tabela13[[#This Row],[TOTAL  ACAB]],Tabela13[[#This Row],[TOTAL LAZER ]],Tabela13[[#This Row],[TOTAL TIPOLOGIA]],Tabela13[[#This Row],[TOTAL VAGA]])</f>
        <v>11428.082944444446</v>
      </c>
      <c r="CU96" s="22" t="str">
        <f>IF(CT96&lt;=RÉGUAS!$D$58,"ESSENCIAL",IF(CT96&lt;=RÉGUAS!$F$58,"ECO",IF(CT96&gt;RÉGUAS!$F$58,"BIO",)))</f>
        <v>ECO</v>
      </c>
      <c r="CV96" s="22" t="str">
        <f>IF(AND(CT96&gt;=RÉGUAS!$D$59,CT96&lt;=RÉGUAS!$E$59),"ESSENCIAL/ECO",IF(AND(CT96&gt;=RÉGUAS!$F$59,CT96&lt;=RÉGUAS!$G$59),"ECO/BIO","-"))</f>
        <v>ECO/BIO</v>
      </c>
      <c r="CW96" s="85">
        <f>SUM(Tabela13[[#This Row],[TOTAL LAZER ]],Tabela13[[#This Row],[TOTAL TIPOLOGIA]])</f>
        <v>3948.6385</v>
      </c>
      <c r="CX96" s="22" t="str">
        <f>IF(CW96&lt;=RÉGUAS!$D$72,"ESSENCIAL",IF(CW96&lt;=RÉGUAS!$F$72,"ECO",IF(CN96&gt;RÉGUAS!$F$72,"BIO",)))</f>
        <v>ECO</v>
      </c>
      <c r="CY96" s="22" t="str">
        <f t="shared" si="13"/>
        <v>ECO</v>
      </c>
      <c r="CZ96" s="22" t="str">
        <f>IF(Tabela13[[#This Row],[PRODUTO ATUAL ]]=CY96,"ADERENTE","NÃO ADERENTE")</f>
        <v>NÃO ADERENTE</v>
      </c>
      <c r="DA96" s="22" t="str">
        <f>IF(Tabela13[[#This Row],[PRODUTO ATUAL ]]=Tabela13[[#This Row],[CLASSIFICAÇÃO 
4D2]],"ADERENTE","NÃO ADERENTE")</f>
        <v>NÃO ADERENTE</v>
      </c>
    </row>
    <row r="97" spans="2:105" x14ac:dyDescent="0.35">
      <c r="B97" s="27">
        <v>94</v>
      </c>
      <c r="C97" s="22" t="s">
        <v>183</v>
      </c>
      <c r="D97" s="76" t="s">
        <v>128</v>
      </c>
      <c r="E97" s="128">
        <v>512</v>
      </c>
      <c r="F97" s="22" t="str">
        <f t="shared" si="7"/>
        <v>Acima de 400 und</v>
      </c>
      <c r="G97" s="76" t="s">
        <v>14</v>
      </c>
      <c r="H97" s="129">
        <v>4</v>
      </c>
      <c r="I97" s="129">
        <v>16</v>
      </c>
      <c r="J97" s="129"/>
      <c r="K97" s="129"/>
      <c r="L97" s="129">
        <f>SUM(Tabela13[[#This Row],[QTD DE B/T 2]],Tabela13[[#This Row],[QTD DE B/T]])</f>
        <v>4</v>
      </c>
      <c r="M97" s="22">
        <v>12</v>
      </c>
      <c r="N97" s="22">
        <f>Tabela13[[#This Row],[ELEVADOR]]/Tabela13[[#This Row],[BLOCO TOTAL]]</f>
        <v>3</v>
      </c>
      <c r="O97" s="76" t="s">
        <v>4</v>
      </c>
      <c r="P97" s="76" t="s">
        <v>101</v>
      </c>
      <c r="Q97" s="76" t="s">
        <v>101</v>
      </c>
      <c r="R97" s="76" t="s">
        <v>142</v>
      </c>
      <c r="S97" s="76" t="s">
        <v>159</v>
      </c>
      <c r="T97" s="76" t="s">
        <v>173</v>
      </c>
      <c r="U97" s="76" t="s">
        <v>174</v>
      </c>
      <c r="V97" s="22" t="s">
        <v>106</v>
      </c>
      <c r="W97" s="24">
        <f>IF(P97=[1]BD_CUSTO!$E$4,[1]BD_CUSTO!$F$4,[1]BD_CUSTO!$F$5)</f>
        <v>2430</v>
      </c>
      <c r="X97" s="24">
        <f>IF(Q97=[1]BD_CUSTO!$E$6,[1]BD_CUSTO!$F$6,[1]BD_CUSTO!$F$7)</f>
        <v>260</v>
      </c>
      <c r="Y97" s="24">
        <f>IF(R97=[1]BD_CUSTO!$E$8,[1]BD_CUSTO!$F$8,[1]BD_CUSTO!$F$9)</f>
        <v>900</v>
      </c>
      <c r="Z97" s="24">
        <f>IF(S97=[1]BD_CUSTO!$E$10,[1]BD_CUSTO!$F$10,[1]BD_CUSTO!$F$11)</f>
        <v>935</v>
      </c>
      <c r="AA97" s="24">
        <f>IF(T97=[1]BD_CUSTO!$E$12,[1]BD_CUSTO!$F$12,[1]BD_CUSTO!$F$13)</f>
        <v>930</v>
      </c>
      <c r="AB97" s="24">
        <f>IF(U97=[1]BD_CUSTO!$E$14,[1]BD_CUSTO!$F$14,[1]BD_CUSTO!$F$15)</f>
        <v>240</v>
      </c>
      <c r="AC97" s="24">
        <f>IF(V97=[1]BD_CUSTO!$E$16,[1]BD_CUSTO!$F$16,[1]BD_CUSTO!$F$17)</f>
        <v>720</v>
      </c>
      <c r="AD97" s="76" t="s">
        <v>110</v>
      </c>
      <c r="AE97" s="76">
        <v>1</v>
      </c>
      <c r="AF97" s="76" t="s">
        <v>107</v>
      </c>
      <c r="AG97" s="76">
        <v>1</v>
      </c>
      <c r="AH97" s="76" t="s">
        <v>121</v>
      </c>
      <c r="AI97" s="76">
        <v>1</v>
      </c>
      <c r="AJ97" s="22" t="s">
        <v>139</v>
      </c>
      <c r="AK97" s="22">
        <v>1</v>
      </c>
      <c r="AL97" s="76" t="s">
        <v>129</v>
      </c>
      <c r="AM97" s="76">
        <v>1</v>
      </c>
      <c r="AN97" s="76" t="s">
        <v>108</v>
      </c>
      <c r="AO97" s="76">
        <v>1</v>
      </c>
      <c r="AP97" s="76" t="s">
        <v>109</v>
      </c>
      <c r="AQ97" s="76">
        <v>1</v>
      </c>
      <c r="AR97" s="22"/>
      <c r="AS97" s="22"/>
      <c r="AT97" s="22"/>
      <c r="AU97" s="22"/>
      <c r="AV97" s="22"/>
      <c r="AW97" s="22"/>
      <c r="AX97" s="24">
        <f>IF(AD97="",0,VLOOKUP(AD97,[1]BD_CUSTO!I:J,2,0)*AE97/E97)</f>
        <v>10.3515625</v>
      </c>
      <c r="AY97" s="24">
        <f>IF(AF97="",0,VLOOKUP(AF97,[1]BD_CUSTO!I:J,2,0)*AG97/E97)</f>
        <v>166.30687499999999</v>
      </c>
      <c r="AZ97" s="24">
        <f>IF(AH97="",0,VLOOKUP(AH97,[1]BD_CUSTO!I:J,2,0)*AI97/E97)</f>
        <v>240.54082031249999</v>
      </c>
      <c r="BA97" s="24">
        <f>IF(AJ97="",0,VLOOKUP(AJ97,[1]BD_CUSTO!I:J,2,0)*AK97/E97)</f>
        <v>121.3990625</v>
      </c>
      <c r="BB97" s="24">
        <f>IF(AL97="",0,VLOOKUP(AL97,[1]BD_CUSTO!I:J,2,0)*AM97/E97)</f>
        <v>537.43667968750003</v>
      </c>
      <c r="BC97" s="24">
        <f>IF(AN97="",0,VLOOKUP(AN97,[1]BD_CUSTO!I:J,2,0)*AO97/E97)</f>
        <v>45.21484375</v>
      </c>
      <c r="BD97" s="24">
        <f>IF(AP97="",0,VLOOKUP(AP97,[1]BD_CUSTO!I:J,2,0)*AQ97/E97)</f>
        <v>13.57421875</v>
      </c>
      <c r="BE97" s="24">
        <f>IF(AR97="",0,VLOOKUP(AR97,CUSTO!I:J,2,0)*AS97/E97)</f>
        <v>0</v>
      </c>
      <c r="BF97" s="24">
        <f>IF(AT97="",0,VLOOKUP(AT97,[1]BD_CUSTO!I:J,2,0)*AU97/E97)</f>
        <v>0</v>
      </c>
      <c r="BG97" s="24">
        <f>IF(Tabela13[[#This Row],[LZ 10]]="",0,VLOOKUP(Tabela13[[#This Row],[LZ 10]],[1]BD_CUSTO!I:J,2,0)*Tabela13[[#This Row],[QTD922]]/E97)</f>
        <v>0</v>
      </c>
      <c r="BH97" s="76" t="s">
        <v>112</v>
      </c>
      <c r="BI97" s="127">
        <v>0.9375</v>
      </c>
      <c r="BJ97" s="76" t="s">
        <v>113</v>
      </c>
      <c r="BK97" s="127">
        <v>0</v>
      </c>
      <c r="BL97" s="24">
        <f>IF(BH97=[1]BD_CUSTO!$M$6,[1]BD_CUSTO!$N$6)*BI97</f>
        <v>2812.5</v>
      </c>
      <c r="BM97" s="24">
        <f>IF(BJ97=[1]BD_CUSTO!$M$4,[1]BD_CUSTO!$N$4,[1]BD_CUSTO!$N$5)*BK97</f>
        <v>0</v>
      </c>
      <c r="BN97" s="76" t="s">
        <v>114</v>
      </c>
      <c r="BO97" s="76">
        <v>528</v>
      </c>
      <c r="BP97" s="25">
        <f>Tabela13[[#This Row],[QTD ]]/Tabela13[[#This Row],[Nº UNDS]]</f>
        <v>1.03125</v>
      </c>
      <c r="BQ97" s="76" t="s">
        <v>123</v>
      </c>
      <c r="BR97" s="76">
        <v>8</v>
      </c>
      <c r="BS97" s="22" t="s">
        <v>116</v>
      </c>
      <c r="BT97" s="22">
        <v>0</v>
      </c>
      <c r="BU97" s="22" t="s">
        <v>16</v>
      </c>
      <c r="BV97" s="22">
        <v>0</v>
      </c>
      <c r="BW97" s="24">
        <f>IF(BN97=[1]BD_CUSTO!$Q$7,[1]BD_CUSTO!$R$7,[1]BD_CUSTO!$R$8)*BO97/E97</f>
        <v>2062.5</v>
      </c>
      <c r="BX97" s="24">
        <f>IF(BQ97=[1]BD_CUSTO!$Q$4,[1]BD_CUSTO!$R$4,[1]BD_CUSTO!$R$5)*BR97/E97</f>
        <v>15.625</v>
      </c>
      <c r="BY97" s="22">
        <f>IF(BS97=[1]BD_CUSTO!$Q$13,[1]BD_CUSTO!$R$13,[1]BD_CUSTO!$R$14)*BT97/E97</f>
        <v>0</v>
      </c>
      <c r="BZ97" s="24">
        <f>BV97*CUSTO!$R$10/E97</f>
        <v>0</v>
      </c>
      <c r="CA97" s="26">
        <f>SUM(Tabela13[[#This Row],[SOMA_PISO SALA E QUARTO]],Tabela13[[#This Row],[SOMA_PAREDE HIDR]],Tabela13[[#This Row],[SOMA_TETO]],Tabela13[[#This Row],[SOMA_BANCADA]],Tabela13[[#This Row],[SOMA_PEDRAS]])</f>
        <v>5435</v>
      </c>
      <c r="CB97" s="27" t="str">
        <f>IF(CA97&lt;=RÉGUAS!$D$4,"ACAB 01",IF(CA97&lt;=RÉGUAS!$F$4,"ACAB 02",IF(CA97&gt;RÉGUAS!$F$4,"ACAB 03",)))</f>
        <v>ACAB 03</v>
      </c>
      <c r="CC97" s="26">
        <f>SUM(Tabela13[[#This Row],[SOMA_LZ 01]:[SOMA_LZ 10]])</f>
        <v>1134.8240624999999</v>
      </c>
      <c r="CD97" s="22" t="str">
        <f>IF(CC97&lt;=RÉGUAS!$D$13,"LZ 01",IF(CC97&lt;=RÉGUAS!$F$13,"LZ 02",IF(CC97&lt;=RÉGUAS!$H$13,"LZ 03",IF(CC97&gt;RÉGUAS!$H$13,"LZ 04",))))</f>
        <v>LZ 02</v>
      </c>
      <c r="CE97" s="28">
        <f t="shared" si="8"/>
        <v>2812.5</v>
      </c>
      <c r="CF97" s="22" t="str">
        <f>IF(CE97&lt;=RÉGUAS!$D$22,"TIP 01",IF(CE97&lt;=RÉGUAS!$F$22,"TIP 02",IF(CE97&gt;RÉGUAS!$F$22,"TIP 03",)))</f>
        <v>TIP 02</v>
      </c>
      <c r="CG97" s="28">
        <f t="shared" si="9"/>
        <v>2078.125</v>
      </c>
      <c r="CH97" s="22" t="str">
        <f>IF(CG97&lt;=RÉGUAS!$D$32,"VAGA 01",IF(CG97&lt;=RÉGUAS!$F$32,"VAGA 02",IF(CG97&gt;RÉGUAS!$F$32,"VAGA 03",)))</f>
        <v>VAGA 02</v>
      </c>
      <c r="CI97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6292.125</v>
      </c>
      <c r="CJ97" s="85" t="str">
        <f>IF(AND(G97="BLOCO",CI97&lt;=RÉGUAS!$D$40),"ELEV 01",IF(AND(G97="BLOCO",CI97&gt;RÉGUAS!$D$40),"ELEV 02",IF(AND(G97="TORRE",CI97&lt;=RÉGUAS!$K$40),"ELEV 01",IF(AND(G97="TORRE",CI97&lt;=RÉGUAS!$M$40),"ELEV 02",IF(AND(G97="TORRE",CI97&gt;RÉGUAS!$M$40),"ELEV 03",)))))</f>
        <v>ELEV 03</v>
      </c>
      <c r="CK97" s="85">
        <f>SUM(Tabela13[[#This Row],[TOTAL  ACAB]],Tabela13[[#This Row],[TOTAL LAZER ]],Tabela13[[#This Row],[TOTAL TIPOLOGIA]],Tabela13[[#This Row],[TOTAL VAGA]],Tabela13[[#This Row],[TOTAL ELEVADOR]])</f>
        <v>17752.5740625</v>
      </c>
      <c r="CL97" s="72" t="str">
        <f>IF(AND(G97="BLOCO",CK97&lt;=RÉGUAS!$D$50),"ESSENCIAL",IF(AND(G97="BLOCO",CK97&lt;=RÉGUAS!$F$50),"ECO",IF(AND(G97="BLOCO",CK97&gt;RÉGUAS!$F$50),"BIO",IF(AND(G97="TORRE",CK97&lt;=RÉGUAS!$K$50),"ESSENCIAL",IF(AND(G97="TORRE",CK97&lt;=RÉGUAS!$M$50),"ECO",IF(AND(G97="TORRE",CK97&gt;RÉGUAS!$M$50),"BIO",))))))</f>
        <v>BIO</v>
      </c>
      <c r="CM97" s="28" t="str">
        <f>IF(AND(G97="BLOCO",CK97&gt;=RÉGUAS!$D$51,CK97&lt;=RÉGUAS!$D$50),"ESSENCIAL-10%",IF(AND(G97="BLOCO",CK97&gt;RÉGUAS!$D$50,CK97&lt;=RÉGUAS!$E$51),"ECO+10%",IF(AND(G97="BLOCO",CK97&gt;=RÉGUAS!$F$51,CK97&lt;=RÉGUAS!$F$50),"ECO-10%",IF(AND(G97="BLOCO",CK97&gt;RÉGUAS!$F$50,CK97&lt;=RÉGUAS!$G$51),"BIO+10%",IF(AND(G97="TORRE",CK97&gt;=RÉGUAS!$K$51,CK97&lt;=RÉGUAS!$K$50),"ESSENCIAL-10%",IF(AND(G97="TORRE",CK97&gt;RÉGUAS!$K$50,CK97&lt;=RÉGUAS!$L$51),"ECO+10%",IF(AND(G97="TORRE",CK97&gt;=RÉGUAS!$M$51,CK97&lt;=RÉGUAS!$M$50),"ECO-10%",IF(AND(G97="TORRE",CK97&gt;RÉGUAS!$M$50,CK97&lt;=RÉGUAS!$N$51),"BIO+10%","-"))))))))</f>
        <v>-</v>
      </c>
      <c r="CN97" s="73">
        <f t="shared" si="10"/>
        <v>11460.4490625</v>
      </c>
      <c r="CO97" s="72" t="str">
        <f>IF(CN97&lt;=RÉGUAS!$D$58,"ESSENCIAL",IF(CN97&lt;=RÉGUAS!$F$58,"ECO",IF(CN97&gt;RÉGUAS!$F$58,"BIO",)))</f>
        <v>BIO</v>
      </c>
      <c r="CP97" s="72" t="str">
        <f>IF(Tabela13[[#This Row],[INTERVALO DE INTERSEÇÃO 5D]]="-",Tabela13[[#This Row],[CLASSIFICAÇÃO 
5D ]],Tabela13[[#This Row],[CLASSIFICAÇÃO 
4D]])</f>
        <v>BIO</v>
      </c>
      <c r="CQ97" s="72" t="str">
        <f t="shared" si="11"/>
        <v>-</v>
      </c>
      <c r="CR97" s="72" t="str">
        <f t="shared" si="12"/>
        <v>BIO</v>
      </c>
      <c r="CS97" s="22" t="str">
        <f>IF(Tabela13[[#This Row],[PRODUTO ATUAL ]]=Tabela13[[#This Row],[CLASSIFICAÇÃO FINAL 5D]],"ADERÊNTE","NÃO ADERÊNTE")</f>
        <v>ADERÊNTE</v>
      </c>
      <c r="CT97" s="24">
        <f>SUM(Tabela13[[#This Row],[TOTAL  ACAB]],Tabela13[[#This Row],[TOTAL LAZER ]],Tabela13[[#This Row],[TOTAL TIPOLOGIA]],Tabela13[[#This Row],[TOTAL VAGA]])</f>
        <v>11460.4490625</v>
      </c>
      <c r="CU97" s="22" t="str">
        <f>IF(CT97&lt;=RÉGUAS!$D$58,"ESSENCIAL",IF(CT97&lt;=RÉGUAS!$F$58,"ECO",IF(CT97&gt;RÉGUAS!$F$58,"BIO",)))</f>
        <v>BIO</v>
      </c>
      <c r="CV97" s="22" t="str">
        <f>IF(AND(CT97&gt;=RÉGUAS!$D$59,CT97&lt;=RÉGUAS!$E$59),"ESSENCIAL/ECO",IF(AND(CT97&gt;=RÉGUAS!$F$59,CT97&lt;=RÉGUAS!$G$59),"ECO/BIO","-"))</f>
        <v>ECO/BIO</v>
      </c>
      <c r="CW97" s="85">
        <f>SUM(Tabela13[[#This Row],[TOTAL LAZER ]],Tabela13[[#This Row],[TOTAL TIPOLOGIA]])</f>
        <v>3947.3240624999999</v>
      </c>
      <c r="CX97" s="22" t="str">
        <f>IF(CW97&lt;=RÉGUAS!$D$72,"ESSENCIAL",IF(CW97&lt;=RÉGUAS!$F$72,"ECO",IF(CN97&gt;RÉGUAS!$F$72,"BIO",)))</f>
        <v>ECO</v>
      </c>
      <c r="CY97" s="22" t="str">
        <f t="shared" si="13"/>
        <v>ECO</v>
      </c>
      <c r="CZ97" s="22" t="str">
        <f>IF(Tabela13[[#This Row],[PRODUTO ATUAL ]]=CY97,"ADERENTE","NÃO ADERENTE")</f>
        <v>NÃO ADERENTE</v>
      </c>
      <c r="DA97" s="22" t="str">
        <f>IF(Tabela13[[#This Row],[PRODUTO ATUAL ]]=Tabela13[[#This Row],[CLASSIFICAÇÃO 
4D2]],"ADERENTE","NÃO ADERENTE")</f>
        <v>ADERENTE</v>
      </c>
    </row>
    <row r="98" spans="2:105" s="234" customFormat="1" x14ac:dyDescent="0.35">
      <c r="B98" s="227">
        <v>100</v>
      </c>
      <c r="C98" s="188" t="s">
        <v>214</v>
      </c>
      <c r="D98" s="188" t="s">
        <v>128</v>
      </c>
      <c r="E98" s="228">
        <v>352</v>
      </c>
      <c r="F98" s="188" t="str">
        <f t="shared" si="7"/>
        <v>De 200 a 400 und</v>
      </c>
      <c r="G98" s="188" t="s">
        <v>14</v>
      </c>
      <c r="H98" s="229">
        <v>4</v>
      </c>
      <c r="I98" s="229">
        <v>11</v>
      </c>
      <c r="J98" s="229"/>
      <c r="K98" s="229"/>
      <c r="L98" s="229">
        <f>SUM(Tabela13[[#This Row],[QTD DE B/T 2]],Tabela13[[#This Row],[QTD DE B/T]])</f>
        <v>4</v>
      </c>
      <c r="M98" s="188">
        <v>8</v>
      </c>
      <c r="N98" s="188">
        <f>Tabela13[[#This Row],[ELEVADOR]]/Tabela13[[#This Row],[BLOCO TOTAL]]</f>
        <v>2</v>
      </c>
      <c r="O98" s="188" t="s">
        <v>4</v>
      </c>
      <c r="P98" s="188" t="s">
        <v>101</v>
      </c>
      <c r="Q98" s="188" t="s">
        <v>101</v>
      </c>
      <c r="R98" s="188" t="s">
        <v>142</v>
      </c>
      <c r="S98" s="188" t="s">
        <v>159</v>
      </c>
      <c r="T98" s="188" t="s">
        <v>173</v>
      </c>
      <c r="U98" s="188" t="s">
        <v>174</v>
      </c>
      <c r="V98" s="188" t="s">
        <v>106</v>
      </c>
      <c r="W98" s="230">
        <f>IF(P98=[1]BD_CUSTO!$E$4,[1]BD_CUSTO!$F$4,[1]BD_CUSTO!$F$5)</f>
        <v>2430</v>
      </c>
      <c r="X98" s="230">
        <f>IF(Q98=[1]BD_CUSTO!$E$6,[1]BD_CUSTO!$F$6,[1]BD_CUSTO!$F$7)</f>
        <v>260</v>
      </c>
      <c r="Y98" s="230">
        <f>IF(R98=[1]BD_CUSTO!$E$8,[1]BD_CUSTO!$F$8,[1]BD_CUSTO!$F$9)</f>
        <v>900</v>
      </c>
      <c r="Z98" s="230">
        <f>IF(S98=[1]BD_CUSTO!$E$10,[1]BD_CUSTO!$F$10,[1]BD_CUSTO!$F$11)</f>
        <v>935</v>
      </c>
      <c r="AA98" s="230">
        <f>IF(T98=[1]BD_CUSTO!$E$12,[1]BD_CUSTO!$F$12,[1]BD_CUSTO!$F$13)</f>
        <v>930</v>
      </c>
      <c r="AB98" s="230">
        <f>IF(U98=[1]BD_CUSTO!$E$14,[1]BD_CUSTO!$F$14,[1]BD_CUSTO!$F$15)</f>
        <v>240</v>
      </c>
      <c r="AC98" s="230">
        <f>IF(V98=[1]BD_CUSTO!$E$16,[1]BD_CUSTO!$F$16,[1]BD_CUSTO!$F$17)</f>
        <v>720</v>
      </c>
      <c r="AD98" s="188" t="s">
        <v>110</v>
      </c>
      <c r="AE98" s="188">
        <v>1</v>
      </c>
      <c r="AF98" s="188" t="s">
        <v>107</v>
      </c>
      <c r="AG98" s="188">
        <v>1</v>
      </c>
      <c r="AH98" s="188" t="s">
        <v>129</v>
      </c>
      <c r="AI98" s="188">
        <v>1</v>
      </c>
      <c r="AJ98" s="188" t="s">
        <v>121</v>
      </c>
      <c r="AK98" s="188">
        <v>1</v>
      </c>
      <c r="AL98" s="188" t="s">
        <v>126</v>
      </c>
      <c r="AM98" s="188">
        <v>1</v>
      </c>
      <c r="AN98" s="188" t="s">
        <v>120</v>
      </c>
      <c r="AO98" s="188">
        <v>1</v>
      </c>
      <c r="AP98" s="188" t="s">
        <v>175</v>
      </c>
      <c r="AQ98" s="188">
        <v>1</v>
      </c>
      <c r="AR98" s="188" t="s">
        <v>108</v>
      </c>
      <c r="AS98" s="188">
        <v>1</v>
      </c>
      <c r="AT98" s="188" t="s">
        <v>133</v>
      </c>
      <c r="AU98" s="188">
        <v>1</v>
      </c>
      <c r="AV98" s="188"/>
      <c r="AW98" s="188"/>
      <c r="AX98" s="230">
        <f>IF(AD98="",0,VLOOKUP(AD98,[1]BD_CUSTO!I:J,2,0)*AE98/E98)</f>
        <v>15.056818181818182</v>
      </c>
      <c r="AY98" s="230">
        <f>IF(AF98="",0,VLOOKUP(AF98,[1]BD_CUSTO!I:J,2,0)*AG98/E98)</f>
        <v>241.90090909090907</v>
      </c>
      <c r="AZ98" s="230">
        <f>IF(AH98="",0,VLOOKUP(AH98,[1]BD_CUSTO!I:J,2,0)*AI98/E98)</f>
        <v>781.72607954545458</v>
      </c>
      <c r="BA98" s="230">
        <f>IF(AJ98="",0,VLOOKUP(AJ98,[1]BD_CUSTO!I:J,2,0)*AK98/E98)</f>
        <v>349.8775568181818</v>
      </c>
      <c r="BB98" s="230">
        <f>IF(AL98="",0,VLOOKUP(AL98,[1]BD_CUSTO!I:J,2,0)*AM98/E98)</f>
        <v>21.477272727272727</v>
      </c>
      <c r="BC98" s="230">
        <f>IF(AN98="",0,VLOOKUP(AN98,[1]BD_CUSTO!I:J,2,0)*AO98/E98)</f>
        <v>161.67295454545453</v>
      </c>
      <c r="BD98" s="230">
        <f>IF(AP98="",0,VLOOKUP(AP98,[1]BD_CUSTO!I:J,2,0)*AQ98/E98)</f>
        <v>30.65340909090909</v>
      </c>
      <c r="BE98" s="230">
        <f>IF(AR98="",0,VLOOKUP(AR98,CUSTO!I:J,2,0)*AS98/E98)</f>
        <v>65.767045454545453</v>
      </c>
      <c r="BF98" s="230">
        <f>IF(AT98="",0,VLOOKUP(AT98,[1]BD_CUSTO!I:J,2,0)*AU98/E98)</f>
        <v>19.772727272727273</v>
      </c>
      <c r="BG98" s="230">
        <f>IF(Tabela13[[#This Row],[LZ 10]]="",0,VLOOKUP(Tabela13[[#This Row],[LZ 10]],[1]BD_CUSTO!I:J,2,0)*Tabela13[[#This Row],[QTD922]]/E98)</f>
        <v>0</v>
      </c>
      <c r="BH98" s="188" t="s">
        <v>112</v>
      </c>
      <c r="BI98" s="177">
        <v>0.91</v>
      </c>
      <c r="BJ98" s="188" t="s">
        <v>113</v>
      </c>
      <c r="BK98" s="177">
        <v>0</v>
      </c>
      <c r="BL98" s="230">
        <f>IF(BH98=[1]BD_CUSTO!$M$6,[1]BD_CUSTO!$N$6)*BI98</f>
        <v>2730</v>
      </c>
      <c r="BM98" s="230">
        <f>IF(BJ98=[1]BD_CUSTO!$M$4,[1]BD_CUSTO!$N$4,[1]BD_CUSTO!$N$5)*BK98</f>
        <v>0</v>
      </c>
      <c r="BN98" s="188" t="s">
        <v>114</v>
      </c>
      <c r="BO98" s="188">
        <v>365</v>
      </c>
      <c r="BP98" s="177">
        <f>Tabela13[[#This Row],[QTD ]]/Tabela13[[#This Row],[Nº UNDS]]</f>
        <v>1.0369318181818181</v>
      </c>
      <c r="BQ98" s="188" t="s">
        <v>123</v>
      </c>
      <c r="BR98" s="188">
        <v>34</v>
      </c>
      <c r="BS98" s="188" t="s">
        <v>116</v>
      </c>
      <c r="BT98" s="188">
        <v>0</v>
      </c>
      <c r="BU98" s="188" t="s">
        <v>16</v>
      </c>
      <c r="BV98" s="188">
        <v>0</v>
      </c>
      <c r="BW98" s="230">
        <f>IF(BN98=[1]BD_CUSTO!$Q$7,[1]BD_CUSTO!$R$7,[1]BD_CUSTO!$R$8)*BO98/E98</f>
        <v>2073.8636363636365</v>
      </c>
      <c r="BX98" s="230">
        <f>IF(BQ98=[1]BD_CUSTO!$Q$4,[1]BD_CUSTO!$R$4,[1]BD_CUSTO!$R$5)*BR98/E98</f>
        <v>96.590909090909093</v>
      </c>
      <c r="BY98" s="188">
        <f>IF(BS98=[1]BD_CUSTO!$Q$13,[1]BD_CUSTO!$R$13,[1]BD_CUSTO!$R$14)*BT98/E98</f>
        <v>0</v>
      </c>
      <c r="BZ98" s="230">
        <f>BV98*CUSTO!$R$10/E98</f>
        <v>0</v>
      </c>
      <c r="CA98" s="231">
        <f>SUM(Tabela13[[#This Row],[SOMA_PISO SALA E QUARTO]],Tabela13[[#This Row],[SOMA_PAREDE HIDR]],Tabela13[[#This Row],[SOMA_TETO]],Tabela13[[#This Row],[SOMA_BANCADA]],Tabela13[[#This Row],[SOMA_PEDRAS]])</f>
        <v>5435</v>
      </c>
      <c r="CB98" s="227" t="str">
        <f>IF(CA98&lt;=RÉGUAS!$D$4,"ACAB 01",IF(CA98&lt;=RÉGUAS!$F$4,"ACAB 02",IF(CA98&gt;RÉGUAS!$F$4,"ACAB 03",)))</f>
        <v>ACAB 03</v>
      </c>
      <c r="CC98" s="231">
        <f>SUM(Tabela13[[#This Row],[SOMA_LZ 01]:[SOMA_LZ 10]])</f>
        <v>1687.9047727272728</v>
      </c>
      <c r="CD98" s="188" t="str">
        <f>IF(CC98&lt;=RÉGUAS!$D$13,"LZ 01",IF(CC98&lt;=RÉGUAS!$F$13,"LZ 02",IF(CC98&lt;=RÉGUAS!$H$13,"LZ 03",IF(CC98&gt;RÉGUAS!$H$13,"LZ 04",))))</f>
        <v>LZ 03</v>
      </c>
      <c r="CE98" s="232">
        <f t="shared" si="8"/>
        <v>2730</v>
      </c>
      <c r="CF98" s="188" t="str">
        <f>IF(CE98&lt;=RÉGUAS!$D$22,"TIP 01",IF(CE98&lt;=RÉGUAS!$F$22,"TIP 02",IF(CE98&gt;RÉGUAS!$F$22,"TIP 03",)))</f>
        <v>TIP 02</v>
      </c>
      <c r="CG98" s="232">
        <f t="shared" si="9"/>
        <v>2170.4545454545455</v>
      </c>
      <c r="CH98" s="188" t="str">
        <f>IF(CG98&lt;=RÉGUAS!$D$32,"VAGA 01",IF(CG98&lt;=RÉGUAS!$F$32,"VAGA 02",IF(CG98&gt;RÉGUAS!$F$32,"VAGA 03",)))</f>
        <v>VAGA 02</v>
      </c>
      <c r="CI98" s="233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4936.25</v>
      </c>
      <c r="CJ98" s="233" t="str">
        <f>IF(AND(G98="BLOCO",CI98&lt;=RÉGUAS!$D$40),"ELEV 01",IF(AND(G98="BLOCO",CI98&gt;RÉGUAS!$D$40),"ELEV 02",IF(AND(G98="TORRE",CI98&lt;=RÉGUAS!$K$40),"ELEV 01",IF(AND(G98="TORRE",CI98&lt;=RÉGUAS!$M$40),"ELEV 02",IF(AND(G98="TORRE",CI98&gt;RÉGUAS!$M$40),"ELEV 03",)))))</f>
        <v>ELEV 03</v>
      </c>
      <c r="CK98" s="120">
        <f>SUM(Tabela13[[#This Row],[TOTAL  ACAB]],Tabela13[[#This Row],[TOTAL LAZER ]],Tabela13[[#This Row],[TOTAL TIPOLOGIA]],Tabela13[[#This Row],[TOTAL VAGA]],Tabela13[[#This Row],[TOTAL ELEVADOR]])</f>
        <v>16959.609318181821</v>
      </c>
      <c r="CL98" s="38" t="str">
        <f>IF(AND(G98="BLOCO",CK98&lt;=RÉGUAS!$D$50),"ESSENCIAL",IF(AND(G98="BLOCO",CK98&lt;=RÉGUAS!$F$50),"ECO",IF(AND(G98="BLOCO",CK98&gt;RÉGUAS!$F$50),"BIO",IF(AND(G98="TORRE",CK98&lt;=RÉGUAS!$K$50),"ESSENCIAL",IF(AND(G98="TORRE",CK98&lt;=RÉGUAS!$M$50),"ECO",IF(AND(G98="TORRE",CK98&gt;RÉGUAS!$M$50),"BIO",))))))</f>
        <v>BIO</v>
      </c>
      <c r="CM98" s="119" t="str">
        <f>IF(AND(G98="BLOCO",CK98&gt;=RÉGUAS!$D$51,CK98&lt;=RÉGUAS!$D$50),"ESSENCIAL-10%",IF(AND(G98="BLOCO",CK98&gt;RÉGUAS!$D$50,CK98&lt;=RÉGUAS!$E$51),"ECO+10%",IF(AND(G98="BLOCO",CK98&gt;=RÉGUAS!$F$51,CK98&lt;=RÉGUAS!$F$50),"ECO-10%",IF(AND(G98="BLOCO",CK98&gt;RÉGUAS!$F$50,CK98&lt;=RÉGUAS!$G$51),"BIO+10%",IF(AND(G98="TORRE",CK98&gt;=RÉGUAS!$K$51,CK98&lt;=RÉGUAS!$K$50),"ESSENCIAL-10%",IF(AND(G98="TORRE",CK98&gt;RÉGUAS!$K$50,CK98&lt;=RÉGUAS!$L$51),"ECO+10%",IF(AND(G98="TORRE",CK98&gt;=RÉGUAS!$M$51,CK98&lt;=RÉGUAS!$M$50),"ECO-10%",IF(AND(G98="TORRE",CK98&gt;RÉGUAS!$M$50,CK98&lt;=RÉGUAS!$N$51),"BIO+10%","-"))))))))</f>
        <v>-</v>
      </c>
      <c r="CN98" s="81">
        <f t="shared" si="10"/>
        <v>12023.35931818182</v>
      </c>
      <c r="CO98" s="38" t="str">
        <f>IF(CN98&lt;=RÉGUAS!$D$58,"ESSENCIAL",IF(CN98&lt;=RÉGUAS!$F$58,"ECO",IF(CN98&gt;RÉGUAS!$F$58,"BIO",)))</f>
        <v>BIO</v>
      </c>
      <c r="CP98" s="38" t="str">
        <f>IF(Tabela13[[#This Row],[INTERVALO DE INTERSEÇÃO 5D]]="-",Tabela13[[#This Row],[CLASSIFICAÇÃO 
5D ]],Tabela13[[#This Row],[CLASSIFICAÇÃO 
4D]])</f>
        <v>BIO</v>
      </c>
      <c r="CQ98" s="38" t="str">
        <f t="shared" si="11"/>
        <v>-</v>
      </c>
      <c r="CR98" s="38" t="str">
        <f t="shared" si="12"/>
        <v>BIO</v>
      </c>
      <c r="CS98" s="22" t="str">
        <f>IF(Tabela13[[#This Row],[PRODUTO ATUAL ]]=Tabela13[[#This Row],[CLASSIFICAÇÃO FINAL 5D]],"ADERÊNTE","NÃO ADERÊNTE")</f>
        <v>ADERÊNTE</v>
      </c>
      <c r="CT98" s="230">
        <f>SUM(Tabela13[[#This Row],[TOTAL  ACAB]],Tabela13[[#This Row],[TOTAL LAZER ]],Tabela13[[#This Row],[TOTAL TIPOLOGIA]],Tabela13[[#This Row],[TOTAL VAGA]])</f>
        <v>12023.35931818182</v>
      </c>
      <c r="CU98" s="188" t="str">
        <f>IF(CT98&lt;=RÉGUAS!$D$58,"ESSENCIAL",IF(CT98&lt;=RÉGUAS!$F$58,"ECO",IF(CT98&gt;RÉGUAS!$F$58,"BIO",)))</f>
        <v>BIO</v>
      </c>
      <c r="CV98" s="188" t="str">
        <f>IF(AND(CT98&gt;=RÉGUAS!$D$59,CT98&lt;=RÉGUAS!$E$59),"ESSENCIAL/ECO",IF(AND(CT98&gt;=RÉGUAS!$F$59,CT98&lt;=RÉGUAS!$G$59),"ECO/BIO","-"))</f>
        <v>ECO/BIO</v>
      </c>
      <c r="CW98" s="233">
        <f>SUM(Tabela13[[#This Row],[TOTAL LAZER ]],Tabela13[[#This Row],[TOTAL TIPOLOGIA]])</f>
        <v>4417.9047727272728</v>
      </c>
      <c r="CX98" s="188" t="str">
        <f>IF(CW98&lt;=RÉGUAS!$D$72,"ESSENCIAL",IF(CW98&lt;=RÉGUAS!$F$72,"ECO",IF(CN98&gt;RÉGUAS!$F$72,"BIO",)))</f>
        <v>ECO</v>
      </c>
      <c r="CY98" s="188" t="str">
        <f t="shared" si="13"/>
        <v>ECO</v>
      </c>
      <c r="CZ98" s="188" t="str">
        <f>IF(Tabela13[[#This Row],[PRODUTO ATUAL ]]=CY98,"ADERENTE","NÃO ADERENTE")</f>
        <v>NÃO ADERENTE</v>
      </c>
      <c r="DA98" s="188" t="str">
        <f>IF(Tabela13[[#This Row],[PRODUTO ATUAL ]]=Tabela13[[#This Row],[CLASSIFICAÇÃO 
4D2]],"ADERENTE","NÃO ADERENTE")</f>
        <v>ADERENTE</v>
      </c>
    </row>
    <row r="99" spans="2:105" hidden="1" x14ac:dyDescent="0.35">
      <c r="B99" s="27">
        <v>93</v>
      </c>
      <c r="C99" s="22" t="s">
        <v>241</v>
      </c>
      <c r="D99" s="22" t="s">
        <v>154</v>
      </c>
      <c r="E99" s="23">
        <v>576</v>
      </c>
      <c r="F99" s="22" t="str">
        <f t="shared" si="7"/>
        <v>Acima de 400 und</v>
      </c>
      <c r="G99" s="22" t="s">
        <v>14</v>
      </c>
      <c r="H99" s="36">
        <v>6</v>
      </c>
      <c r="I99" s="36">
        <v>13</v>
      </c>
      <c r="J99" s="36"/>
      <c r="K99" s="36"/>
      <c r="L99" s="36">
        <f>SUM(Tabela13[[#This Row],[QTD DE B/T 2]],Tabela13[[#This Row],[QTD DE B/T]])</f>
        <v>6</v>
      </c>
      <c r="M99" s="22">
        <v>12</v>
      </c>
      <c r="N99" s="22">
        <f>Tabela13[[#This Row],[ELEVADOR]]/Tabela13[[#This Row],[BLOCO TOTAL]]</f>
        <v>2</v>
      </c>
      <c r="O99" s="22" t="s">
        <v>4</v>
      </c>
      <c r="P99" s="22" t="s">
        <v>101</v>
      </c>
      <c r="Q99" s="22" t="s">
        <v>101</v>
      </c>
      <c r="R99" s="22" t="s">
        <v>142</v>
      </c>
      <c r="S99" s="22" t="s">
        <v>159</v>
      </c>
      <c r="T99" s="22" t="s">
        <v>173</v>
      </c>
      <c r="U99" s="22" t="s">
        <v>174</v>
      </c>
      <c r="V99" s="22" t="s">
        <v>106</v>
      </c>
      <c r="W99" s="24">
        <f>IF(P99=[1]BD_CUSTO!$E$4,[1]BD_CUSTO!$F$4,[1]BD_CUSTO!$F$5)</f>
        <v>2430</v>
      </c>
      <c r="X99" s="24">
        <f>IF(Q99=[1]BD_CUSTO!$E$6,[1]BD_CUSTO!$F$6,[1]BD_CUSTO!$F$7)</f>
        <v>260</v>
      </c>
      <c r="Y99" s="24">
        <f>IF(R99=[1]BD_CUSTO!$E$8,[1]BD_CUSTO!$F$8,[1]BD_CUSTO!$F$9)</f>
        <v>900</v>
      </c>
      <c r="Z99" s="24">
        <f>IF(S99=[1]BD_CUSTO!$E$10,[1]BD_CUSTO!$F$10,[1]BD_CUSTO!$F$11)</f>
        <v>935</v>
      </c>
      <c r="AA99" s="24">
        <f>IF(T99=[1]BD_CUSTO!$E$12,[1]BD_CUSTO!$F$12,[1]BD_CUSTO!$F$13)</f>
        <v>930</v>
      </c>
      <c r="AB99" s="24">
        <f>IF(U99=[1]BD_CUSTO!$E$14,[1]BD_CUSTO!$F$14,[1]BD_CUSTO!$F$15)</f>
        <v>240</v>
      </c>
      <c r="AC99" s="24">
        <f>IF(V99=[1]BD_CUSTO!$E$16,[1]BD_CUSTO!$F$16,[1]BD_CUSTO!$F$17)</f>
        <v>720</v>
      </c>
      <c r="AD99" s="22" t="s">
        <v>109</v>
      </c>
      <c r="AE99" s="22">
        <v>1</v>
      </c>
      <c r="AF99" s="22" t="s">
        <v>135</v>
      </c>
      <c r="AG99" s="22">
        <v>1</v>
      </c>
      <c r="AH99" s="22" t="s">
        <v>129</v>
      </c>
      <c r="AI99" s="22">
        <v>1</v>
      </c>
      <c r="AJ99" s="22" t="s">
        <v>121</v>
      </c>
      <c r="AK99" s="22">
        <v>1</v>
      </c>
      <c r="AL99" s="22" t="s">
        <v>107</v>
      </c>
      <c r="AM99" s="22">
        <v>1</v>
      </c>
      <c r="AN99" s="22" t="s">
        <v>108</v>
      </c>
      <c r="AO99" s="22">
        <v>2</v>
      </c>
      <c r="AP99" s="22" t="s">
        <v>110</v>
      </c>
      <c r="AQ99" s="22">
        <v>1</v>
      </c>
      <c r="AR99" s="22"/>
      <c r="AS99" s="22"/>
      <c r="AT99" s="22"/>
      <c r="AU99" s="22"/>
      <c r="AV99" s="22"/>
      <c r="AW99" s="22"/>
      <c r="AX99" s="24">
        <f>IF(AD99="",0,VLOOKUP(AD99,[1]BD_CUSTO!I:J,2,0)*AE99/E99)</f>
        <v>12.065972222222221</v>
      </c>
      <c r="AY99" s="24">
        <f>IF(AF99="",0,VLOOKUP(AF99,[1]BD_CUSTO!I:J,2,0)*AG99/E99)</f>
        <v>218.86916666666667</v>
      </c>
      <c r="AZ99" s="24">
        <f>IF(AH99="",0,VLOOKUP(AH99,[1]BD_CUSTO!I:J,2,0)*AI99/E99)</f>
        <v>477.72149305555558</v>
      </c>
      <c r="BA99" s="24">
        <f>IF(AJ99="",0,VLOOKUP(AJ99,[1]BD_CUSTO!I:J,2,0)*AK99/E99)</f>
        <v>213.81406249999998</v>
      </c>
      <c r="BB99" s="24">
        <f>IF(AL99="",0,VLOOKUP(AL99,[1]BD_CUSTO!I:J,2,0)*AM99/E99)</f>
        <v>147.82833333333332</v>
      </c>
      <c r="BC99" s="24">
        <f>IF(AN99="",0,VLOOKUP(AN99,[1]BD_CUSTO!I:J,2,0)*AO99/E99)</f>
        <v>80.381944444444443</v>
      </c>
      <c r="BD99" s="24">
        <f>IF(AP99="",0,VLOOKUP(AP99,[1]BD_CUSTO!I:J,2,0)*AQ99/E99)</f>
        <v>9.2013888888888893</v>
      </c>
      <c r="BE99" s="24">
        <f>IF(AR99="",0,VLOOKUP(AR99,CUSTO!I:J,2,0)*AS99/E99)</f>
        <v>0</v>
      </c>
      <c r="BF99" s="24">
        <f>IF(AT99="",0,VLOOKUP(AT99,[1]BD_CUSTO!I:J,2,0)*AU99/E99)</f>
        <v>0</v>
      </c>
      <c r="BG99" s="24">
        <f>IF(Tabela13[[#This Row],[LZ 10]]="",0,VLOOKUP(Tabela13[[#This Row],[LZ 10]],[1]BD_CUSTO!I:J,2,0)*Tabela13[[#This Row],[QTD922]]/E99)</f>
        <v>0</v>
      </c>
      <c r="BH99" s="22" t="s">
        <v>112</v>
      </c>
      <c r="BI99" s="25">
        <v>0.91659999999999997</v>
      </c>
      <c r="BJ99" s="22" t="s">
        <v>212</v>
      </c>
      <c r="BK99" s="25">
        <v>0.625</v>
      </c>
      <c r="BL99" s="24">
        <f>IF(BH99=[1]BD_CUSTO!$M$6,[1]BD_CUSTO!$N$6)*BI99</f>
        <v>2749.7999999999997</v>
      </c>
      <c r="BM99" s="24">
        <f>IF(BJ99=[1]BD_CUSTO!$M$4,[1]BD_CUSTO!$N$4,[1]BD_CUSTO!$N$5)*BK99</f>
        <v>3750</v>
      </c>
      <c r="BN99" s="22" t="s">
        <v>114</v>
      </c>
      <c r="BO99" s="22">
        <v>609</v>
      </c>
      <c r="BP99" s="25">
        <f>Tabela13[[#This Row],[QTD ]]/Tabela13[[#This Row],[Nº UNDS]]</f>
        <v>1.0572916666666667</v>
      </c>
      <c r="BQ99" s="22" t="s">
        <v>123</v>
      </c>
      <c r="BR99" s="22">
        <v>75</v>
      </c>
      <c r="BS99" s="22" t="s">
        <v>116</v>
      </c>
      <c r="BT99" s="22">
        <v>0</v>
      </c>
      <c r="BU99" s="22" t="s">
        <v>16</v>
      </c>
      <c r="BV99" s="22">
        <v>0</v>
      </c>
      <c r="BW99" s="24">
        <f>IF(BN99=[1]BD_CUSTO!$Q$7,[1]BD_CUSTO!$R$7,[1]BD_CUSTO!$R$8)*BO99/E99</f>
        <v>2114.5833333333335</v>
      </c>
      <c r="BX99" s="24">
        <f>IF(BQ99=[1]BD_CUSTO!$Q$4,[1]BD_CUSTO!$R$4,[1]BD_CUSTO!$R$5)*BR99/E99</f>
        <v>130.20833333333334</v>
      </c>
      <c r="BY99" s="22">
        <f>IF(BS99=[1]BD_CUSTO!$Q$13,[1]BD_CUSTO!$R$13,[1]BD_CUSTO!$R$14)*BT99/E99</f>
        <v>0</v>
      </c>
      <c r="BZ99" s="24">
        <f>BV99*CUSTO!$R$10/E99</f>
        <v>0</v>
      </c>
      <c r="CA99" s="26">
        <f>SUM(Tabela13[[#This Row],[SOMA_PISO SALA E QUARTO]],Tabela13[[#This Row],[SOMA_PAREDE HIDR]],Tabela13[[#This Row],[SOMA_TETO]],Tabela13[[#This Row],[SOMA_BANCADA]],Tabela13[[#This Row],[SOMA_PEDRAS]])</f>
        <v>5435</v>
      </c>
      <c r="CB99" s="27" t="str">
        <f>IF(CA99&lt;=RÉGUAS!$D$4,"ACAB 01",IF(CA99&lt;=RÉGUAS!$F$4,"ACAB 02",IF(CA99&gt;RÉGUAS!$F$4,"ACAB 03",)))</f>
        <v>ACAB 03</v>
      </c>
      <c r="CC99" s="26">
        <f>SUM(Tabela13[[#This Row],[SOMA_LZ 01]:[SOMA_LZ 10]])</f>
        <v>1159.8823611111111</v>
      </c>
      <c r="CD99" s="22" t="str">
        <f>IF(CC99&lt;=RÉGUAS!$D$13,"LZ 01",IF(CC99&lt;=RÉGUAS!$F$13,"LZ 02",IF(CC99&lt;=RÉGUAS!$H$13,"LZ 03",IF(CC99&gt;RÉGUAS!$H$13,"LZ 04",))))</f>
        <v>LZ 02</v>
      </c>
      <c r="CE99" s="28">
        <f t="shared" si="8"/>
        <v>6499.7999999999993</v>
      </c>
      <c r="CF99" s="22" t="str">
        <f>IF(CE99&lt;=RÉGUAS!$D$22,"TIP 01",IF(CE99&lt;=RÉGUAS!$F$22,"TIP 02",IF(CE99&gt;RÉGUAS!$F$22,"TIP 03",)))</f>
        <v>TIP 03</v>
      </c>
      <c r="CG99" s="28">
        <f t="shared" si="9"/>
        <v>2244.791666666667</v>
      </c>
      <c r="CH99" s="22" t="str">
        <f>IF(CG99&lt;=RÉGUAS!$D$32,"VAGA 01",IF(CG99&lt;=RÉGUAS!$F$32,"VAGA 02",IF(CG99&gt;RÉGUAS!$F$32,"VAGA 03",)))</f>
        <v>VAGA 02</v>
      </c>
      <c r="CI99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4544.3125</v>
      </c>
      <c r="CJ99" s="85" t="str">
        <f>IF(AND(G99="BLOCO",CI99&lt;=RÉGUAS!$D$40),"ELEV 01",IF(AND(G99="BLOCO",CI99&gt;RÉGUAS!$D$40),"ELEV 02",IF(AND(G99="TORRE",CI99&lt;=RÉGUAS!$K$40),"ELEV 01",IF(AND(G99="TORRE",CI99&lt;=RÉGUAS!$M$40),"ELEV 02",IF(AND(G99="TORRE",CI99&gt;RÉGUAS!$M$40),"ELEV 03",)))))</f>
        <v>ELEV 03</v>
      </c>
      <c r="CK99" s="85">
        <f>SUM(Tabela13[[#This Row],[TOTAL  ACAB]],Tabela13[[#This Row],[TOTAL LAZER ]],Tabela13[[#This Row],[TOTAL TIPOLOGIA]],Tabela13[[#This Row],[TOTAL VAGA]],Tabela13[[#This Row],[TOTAL ELEVADOR]])</f>
        <v>19883.786527777778</v>
      </c>
      <c r="CL99" s="72" t="str">
        <f>IF(AND(G99="BLOCO",CK99&lt;=RÉGUAS!$D$50),"ESSENCIAL",IF(AND(G99="BLOCO",CK99&lt;=RÉGUAS!$F$50),"ECO",IF(AND(G99="BLOCO",CK99&gt;RÉGUAS!$F$50),"BIO",IF(AND(G99="TORRE",CK99&lt;=RÉGUAS!$K$50),"ESSENCIAL",IF(AND(G99="TORRE",CK99&lt;=RÉGUAS!$M$50),"ECO",IF(AND(G99="TORRE",CK99&gt;RÉGUAS!$M$50),"BIO",))))))</f>
        <v>BIO</v>
      </c>
      <c r="CM99" s="28" t="str">
        <f>IF(AND(G99="BLOCO",CK99&gt;=RÉGUAS!$D$51,CK99&lt;=RÉGUAS!$D$50),"ESSENCIAL-10%",IF(AND(G99="BLOCO",CK99&gt;RÉGUAS!$D$50,CK99&lt;=RÉGUAS!$E$51),"ECO+10%",IF(AND(G99="BLOCO",CK99&gt;=RÉGUAS!$F$51,CK99&lt;=RÉGUAS!$F$50),"ECO-10%",IF(AND(G99="BLOCO",CK99&gt;RÉGUAS!$F$50,CK99&lt;=RÉGUAS!$G$51),"BIO+10%",IF(AND(G99="TORRE",CK99&gt;=RÉGUAS!$K$51,CK99&lt;=RÉGUAS!$K$50),"ESSENCIAL-10%",IF(AND(G99="TORRE",CK99&gt;RÉGUAS!$K$50,CK99&lt;=RÉGUAS!$L$51),"ECO+10%",IF(AND(G99="TORRE",CK99&gt;=RÉGUAS!$M$51,CK99&lt;=RÉGUAS!$M$50),"ECO-10%",IF(AND(G99="TORRE",CK99&gt;RÉGUAS!$M$50,CK99&lt;=RÉGUAS!$N$51),"BIO+10%","-"))))))))</f>
        <v>-</v>
      </c>
      <c r="CN99" s="73">
        <f t="shared" si="10"/>
        <v>15339.474027777778</v>
      </c>
      <c r="CO99" s="72" t="str">
        <f>IF(CN99&lt;=RÉGUAS!$D$58,"ESSENCIAL",IF(CN99&lt;=RÉGUAS!$F$58,"ECO",IF(CN99&gt;RÉGUAS!$F$58,"BIO",)))</f>
        <v>BIO</v>
      </c>
      <c r="CP99" s="72" t="str">
        <f>IF(Tabela13[[#This Row],[INTERVALO DE INTERSEÇÃO 5D]]="-",Tabela13[[#This Row],[CLASSIFICAÇÃO 
5D ]],Tabela13[[#This Row],[CLASSIFICAÇÃO 
4D]])</f>
        <v>BIO</v>
      </c>
      <c r="CQ99" s="72" t="str">
        <f t="shared" si="11"/>
        <v>-</v>
      </c>
      <c r="CR99" s="72" t="str">
        <f t="shared" si="12"/>
        <v>BIO</v>
      </c>
      <c r="CS99" s="22" t="str">
        <f>IF(Tabela13[[#This Row],[PRODUTO ATUAL ]]=Tabela13[[#This Row],[CLASSIFICAÇÃO FINAL 5D]],"ADERÊNTE","NÃO ADERÊNTE")</f>
        <v>ADERÊNTE</v>
      </c>
      <c r="CT99" s="24">
        <f>SUM(Tabela13[[#This Row],[TOTAL  ACAB]],Tabela13[[#This Row],[TOTAL LAZER ]],Tabela13[[#This Row],[TOTAL TIPOLOGIA]],Tabela13[[#This Row],[TOTAL VAGA]])</f>
        <v>15339.474027777778</v>
      </c>
      <c r="CU99" s="22" t="str">
        <f>IF(CT99&lt;=RÉGUAS!$D$58,"ESSENCIAL",IF(CT99&lt;=RÉGUAS!$F$58,"ECO",IF(CT99&gt;RÉGUAS!$F$58,"BIO",)))</f>
        <v>BIO</v>
      </c>
      <c r="CV99" s="22" t="str">
        <f>IF(AND(CT99&gt;=RÉGUAS!$D$59,CT99&lt;=RÉGUAS!$E$59),"ESSENCIAL/ECO",IF(AND(CT99&gt;=RÉGUAS!$F$59,CT99&lt;=RÉGUAS!$G$59),"ECO/BIO","-"))</f>
        <v>-</v>
      </c>
      <c r="CW99" s="85">
        <f>SUM(Tabela13[[#This Row],[TOTAL LAZER ]],Tabela13[[#This Row],[TOTAL TIPOLOGIA]])</f>
        <v>7659.6823611111104</v>
      </c>
      <c r="CX99" s="22" t="str">
        <f>IF(CW99&lt;=RÉGUAS!$D$72,"ESSENCIAL",IF(CW99&lt;=RÉGUAS!$F$72,"ECO",IF(CN99&gt;RÉGUAS!$F$72,"BIO",)))</f>
        <v>BIO</v>
      </c>
      <c r="CY99" s="22" t="str">
        <f t="shared" si="13"/>
        <v>BIO</v>
      </c>
      <c r="CZ99" s="22" t="str">
        <f>IF(Tabela13[[#This Row],[PRODUTO ATUAL ]]=CY99,"ADERENTE","NÃO ADERENTE")</f>
        <v>ADERENTE</v>
      </c>
      <c r="DA99" s="22" t="str">
        <f>IF(Tabela13[[#This Row],[PRODUTO ATUAL ]]=Tabela13[[#This Row],[CLASSIFICAÇÃO 
4D2]],"ADERENTE","NÃO ADERENTE")</f>
        <v>ADERENTE</v>
      </c>
    </row>
    <row r="100" spans="2:105" hidden="1" x14ac:dyDescent="0.35">
      <c r="B100" s="27">
        <v>103</v>
      </c>
      <c r="C100" s="22" t="s">
        <v>215</v>
      </c>
      <c r="D100" s="22" t="s">
        <v>100</v>
      </c>
      <c r="E100" s="23">
        <v>256</v>
      </c>
      <c r="F100" s="22" t="str">
        <f t="shared" si="7"/>
        <v>De 200 a 400 und</v>
      </c>
      <c r="G100" s="22" t="s">
        <v>14</v>
      </c>
      <c r="H100" s="36">
        <v>3</v>
      </c>
      <c r="I100" s="36">
        <v>11</v>
      </c>
      <c r="J100" s="36"/>
      <c r="K100" s="36"/>
      <c r="L100" s="36">
        <f>SUM(Tabela13[[#This Row],[QTD DE B/T 2]],Tabela13[[#This Row],[QTD DE B/T]])</f>
        <v>3</v>
      </c>
      <c r="M100" s="22">
        <v>3</v>
      </c>
      <c r="N100" s="22">
        <f>Tabela13[[#This Row],[ELEVADOR]]/Tabela13[[#This Row],[BLOCO TOTAL]]</f>
        <v>1</v>
      </c>
      <c r="O100" s="22" t="s">
        <v>4</v>
      </c>
      <c r="P100" s="22" t="s">
        <v>101</v>
      </c>
      <c r="Q100" s="22" t="s">
        <v>101</v>
      </c>
      <c r="R100" s="22" t="s">
        <v>142</v>
      </c>
      <c r="S100" s="22" t="s">
        <v>159</v>
      </c>
      <c r="T100" s="22" t="s">
        <v>173</v>
      </c>
      <c r="U100" s="22" t="s">
        <v>174</v>
      </c>
      <c r="V100" s="22" t="s">
        <v>106</v>
      </c>
      <c r="W100" s="24">
        <f>IF(P100=[1]BD_CUSTO!$E$4,[1]BD_CUSTO!$F$4,[1]BD_CUSTO!$F$5)</f>
        <v>2430</v>
      </c>
      <c r="X100" s="24">
        <f>IF(Q100=[1]BD_CUSTO!$E$6,[1]BD_CUSTO!$F$6,[1]BD_CUSTO!$F$7)</f>
        <v>260</v>
      </c>
      <c r="Y100" s="24">
        <f>IF(R100=[1]BD_CUSTO!$E$8,[1]BD_CUSTO!$F$8,[1]BD_CUSTO!$F$9)</f>
        <v>900</v>
      </c>
      <c r="Z100" s="24">
        <f>IF(S100=[1]BD_CUSTO!$E$10,[1]BD_CUSTO!$F$10,[1]BD_CUSTO!$F$11)</f>
        <v>935</v>
      </c>
      <c r="AA100" s="24">
        <f>IF(T100=[1]BD_CUSTO!$E$12,[1]BD_CUSTO!$F$12,[1]BD_CUSTO!$F$13)</f>
        <v>930</v>
      </c>
      <c r="AB100" s="24">
        <f>IF(U100=[1]BD_CUSTO!$E$14,[1]BD_CUSTO!$F$14,[1]BD_CUSTO!$F$15)</f>
        <v>240</v>
      </c>
      <c r="AC100" s="24">
        <f>IF(V100=[1]BD_CUSTO!$E$16,[1]BD_CUSTO!$F$16,[1]BD_CUSTO!$F$17)</f>
        <v>720</v>
      </c>
      <c r="AD100" s="22" t="s">
        <v>107</v>
      </c>
      <c r="AE100" s="22">
        <v>2</v>
      </c>
      <c r="AF100" s="22" t="s">
        <v>129</v>
      </c>
      <c r="AG100" s="22">
        <v>1</v>
      </c>
      <c r="AH100" s="22" t="s">
        <v>121</v>
      </c>
      <c r="AI100" s="22">
        <v>2</v>
      </c>
      <c r="AJ100" s="22" t="s">
        <v>108</v>
      </c>
      <c r="AK100" s="22">
        <v>1</v>
      </c>
      <c r="AL100" s="22" t="s">
        <v>109</v>
      </c>
      <c r="AM100" s="22">
        <v>1</v>
      </c>
      <c r="AN100" s="22" t="s">
        <v>133</v>
      </c>
      <c r="AO100" s="22">
        <v>1</v>
      </c>
      <c r="AP100" s="22" t="s">
        <v>110</v>
      </c>
      <c r="AQ100" s="22">
        <v>1</v>
      </c>
      <c r="AR100" s="22"/>
      <c r="AS100" s="22"/>
      <c r="AT100" s="22"/>
      <c r="AU100" s="22"/>
      <c r="AV100" s="22"/>
      <c r="AW100" s="22"/>
      <c r="AX100" s="24">
        <f>IF(AD100="",0,VLOOKUP(AD100,[1]BD_CUSTO!I:J,2,0)*AE100/E100)</f>
        <v>665.22749999999996</v>
      </c>
      <c r="AY100" s="24">
        <f>IF(AF100="",0,VLOOKUP(AF100,[1]BD_CUSTO!I:J,2,0)*AG100/E100)</f>
        <v>1074.8733593750001</v>
      </c>
      <c r="AZ100" s="24">
        <f>IF(AH100="",0,VLOOKUP(AH100,[1]BD_CUSTO!I:J,2,0)*AI100/E100)</f>
        <v>962.16328124999995</v>
      </c>
      <c r="BA100" s="24">
        <f>IF(AJ100="",0,VLOOKUP(AJ100,[1]BD_CUSTO!I:J,2,0)*AK100/E100)</f>
        <v>90.4296875</v>
      </c>
      <c r="BB100" s="24">
        <f>IF(AL100="",0,VLOOKUP(AL100,[1]BD_CUSTO!I:J,2,0)*AM100/E100)</f>
        <v>27.1484375</v>
      </c>
      <c r="BC100" s="24">
        <f>IF(AN100="",0,VLOOKUP(AN100,[1]BD_CUSTO!I:J,2,0)*AO100/E100)</f>
        <v>27.1875</v>
      </c>
      <c r="BD100" s="24">
        <f>IF(AP100="",0,VLOOKUP(AP100,[1]BD_CUSTO!I:J,2,0)*AQ100/E100)</f>
        <v>20.703125</v>
      </c>
      <c r="BE100" s="24">
        <f>IF(AR100="",0,VLOOKUP(AR100,CUSTO!I:J,2,0)*AS100/E100)</f>
        <v>0</v>
      </c>
      <c r="BF100" s="24">
        <f>IF(AT100="",0,VLOOKUP(AT100,[1]BD_CUSTO!I:J,2,0)*AU100/E100)</f>
        <v>0</v>
      </c>
      <c r="BG100" s="24">
        <f>IF(Tabela13[[#This Row],[LZ 10]]="",0,VLOOKUP(Tabela13[[#This Row],[LZ 10]],[1]BD_CUSTO!I:J,2,0)*Tabela13[[#This Row],[QTD922]]/E100)</f>
        <v>0</v>
      </c>
      <c r="BH100" s="22" t="s">
        <v>112</v>
      </c>
      <c r="BI100" s="25">
        <f>(116+116)/Tabela13[[#This Row],[Nº UNDS]]</f>
        <v>0.90625</v>
      </c>
      <c r="BJ100" s="22" t="s">
        <v>212</v>
      </c>
      <c r="BK100" s="25">
        <f>(116+12)/Tabela13[[#This Row],[Nº UNDS]]</f>
        <v>0.5</v>
      </c>
      <c r="BL100" s="24">
        <f>IF(BH100=[1]BD_CUSTO!$M$6,[1]BD_CUSTO!$N$6)*BI100</f>
        <v>2718.75</v>
      </c>
      <c r="BM100" s="24">
        <f>IF(BJ100=[1]BD_CUSTO!$M$4,[1]BD_CUSTO!$N$4,[1]BD_CUSTO!$N$5)*BK100</f>
        <v>3000</v>
      </c>
      <c r="BN100" s="22" t="s">
        <v>114</v>
      </c>
      <c r="BO100" s="22">
        <v>276</v>
      </c>
      <c r="BP100" s="25">
        <f>Tabela13[[#This Row],[QTD ]]/Tabela13[[#This Row],[Nº UNDS]]</f>
        <v>1.078125</v>
      </c>
      <c r="BQ100" s="22" t="s">
        <v>115</v>
      </c>
      <c r="BR100" s="22">
        <v>0</v>
      </c>
      <c r="BS100" s="22" t="s">
        <v>116</v>
      </c>
      <c r="BT100" s="22">
        <v>0</v>
      </c>
      <c r="BU100" s="22" t="s">
        <v>16</v>
      </c>
      <c r="BV100" s="22">
        <v>0</v>
      </c>
      <c r="BW100" s="24">
        <f>IF(BN100=[1]BD_CUSTO!$Q$7,[1]BD_CUSTO!$R$7,[1]BD_CUSTO!$R$8)*BO100/E100</f>
        <v>2156.25</v>
      </c>
      <c r="BX100" s="24">
        <f>IF(BQ100=[1]BD_CUSTO!$Q$4,[1]BD_CUSTO!$R$4,[1]BD_CUSTO!$R$5)*BR100/E100</f>
        <v>0</v>
      </c>
      <c r="BY100" s="22">
        <f>IF(BS100=[1]BD_CUSTO!$Q$13,[1]BD_CUSTO!$R$13,[1]BD_CUSTO!$R$14)*BT100/E100</f>
        <v>0</v>
      </c>
      <c r="BZ100" s="24">
        <f>BV100*CUSTO!$R$10/E100</f>
        <v>0</v>
      </c>
      <c r="CA100" s="26">
        <f>SUM(Tabela13[[#This Row],[SOMA_PISO SALA E QUARTO]],Tabela13[[#This Row],[SOMA_PAREDE HIDR]],Tabela13[[#This Row],[SOMA_TETO]],Tabela13[[#This Row],[SOMA_BANCADA]],Tabela13[[#This Row],[SOMA_PEDRAS]])</f>
        <v>5435</v>
      </c>
      <c r="CB100" s="27" t="str">
        <f>IF(CA100&lt;=RÉGUAS!$D$4,"ACAB 01",IF(CA100&lt;=RÉGUAS!$F$4,"ACAB 02",IF(CA100&gt;RÉGUAS!$F$4,"ACAB 03",)))</f>
        <v>ACAB 03</v>
      </c>
      <c r="CC100" s="26">
        <f>SUM(Tabela13[[#This Row],[SOMA_LZ 01]:[SOMA_LZ 10]])</f>
        <v>2867.732890625</v>
      </c>
      <c r="CD100" s="22" t="str">
        <f>IF(CC100&lt;=RÉGUAS!$D$13,"LZ 01",IF(CC100&lt;=RÉGUAS!$F$13,"LZ 02",IF(CC100&lt;=RÉGUAS!$H$13,"LZ 03",IF(CC100&gt;RÉGUAS!$H$13,"LZ 04",))))</f>
        <v>LZ 04</v>
      </c>
      <c r="CE100" s="28">
        <f t="shared" si="8"/>
        <v>5718.75</v>
      </c>
      <c r="CF100" s="22" t="str">
        <f>IF(CE100&lt;=RÉGUAS!$D$22,"TIP 01",IF(CE100&lt;=RÉGUAS!$F$22,"TIP 02",IF(CE100&gt;RÉGUAS!$F$22,"TIP 03",)))</f>
        <v>TIP 03</v>
      </c>
      <c r="CG100" s="28">
        <f t="shared" si="9"/>
        <v>2156.25</v>
      </c>
      <c r="CH100" s="22" t="str">
        <f>IF(CG100&lt;=RÉGUAS!$D$32,"VAGA 01",IF(CG100&lt;=RÉGUAS!$F$32,"VAGA 02",IF(CG100&gt;RÉGUAS!$F$32,"VAGA 03",)))</f>
        <v>VAGA 02</v>
      </c>
      <c r="CI100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2545.25390625</v>
      </c>
      <c r="CJ100" s="85" t="str">
        <f>IF(AND(G100="BLOCO",CI100&lt;=RÉGUAS!$D$40),"ELEV 01",IF(AND(G100="BLOCO",CI100&gt;RÉGUAS!$D$40),"ELEV 02",IF(AND(G100="TORRE",CI100&lt;=RÉGUAS!$K$40),"ELEV 01",IF(AND(G100="TORRE",CI100&lt;=RÉGUAS!$M$40),"ELEV 02",IF(AND(G100="TORRE",CI100&gt;RÉGUAS!$M$40),"ELEV 03",)))))</f>
        <v>ELEV 03</v>
      </c>
      <c r="CK100" s="85">
        <f>SUM(Tabela13[[#This Row],[TOTAL  ACAB]],Tabela13[[#This Row],[TOTAL LAZER ]],Tabela13[[#This Row],[TOTAL TIPOLOGIA]],Tabela13[[#This Row],[TOTAL VAGA]],Tabela13[[#This Row],[TOTAL ELEVADOR]])</f>
        <v>18722.986796875</v>
      </c>
      <c r="CL100" s="72" t="str">
        <f>IF(AND(G100="BLOCO",CK100&lt;=RÉGUAS!$D$50),"ESSENCIAL",IF(AND(G100="BLOCO",CK100&lt;=RÉGUAS!$F$50),"ECO",IF(AND(G100="BLOCO",CK100&gt;RÉGUAS!$F$50),"BIO",IF(AND(G100="TORRE",CK100&lt;=RÉGUAS!$K$50),"ESSENCIAL",IF(AND(G100="TORRE",CK100&lt;=RÉGUAS!$M$50),"ECO",IF(AND(G100="TORRE",CK100&gt;RÉGUAS!$M$50),"BIO",))))))</f>
        <v>BIO</v>
      </c>
      <c r="CM100" s="28" t="str">
        <f>IF(AND(G100="BLOCO",CK100&gt;=RÉGUAS!$D$51,CK100&lt;=RÉGUAS!$D$50),"ESSENCIAL-10%",IF(AND(G100="BLOCO",CK100&gt;RÉGUAS!$D$50,CK100&lt;=RÉGUAS!$E$51),"ECO+10%",IF(AND(G100="BLOCO",CK100&gt;=RÉGUAS!$F$51,CK100&lt;=RÉGUAS!$F$50),"ECO-10%",IF(AND(G100="BLOCO",CK100&gt;RÉGUAS!$F$50,CK100&lt;=RÉGUAS!$G$51),"BIO+10%",IF(AND(G100="TORRE",CK100&gt;=RÉGUAS!$K$51,CK100&lt;=RÉGUAS!$K$50),"ESSENCIAL-10%",IF(AND(G100="TORRE",CK100&gt;RÉGUAS!$K$50,CK100&lt;=RÉGUAS!$L$51),"ECO+10%",IF(AND(G100="TORRE",CK100&gt;=RÉGUAS!$M$51,CK100&lt;=RÉGUAS!$M$50),"ECO-10%",IF(AND(G100="TORRE",CK100&gt;RÉGUAS!$M$50,CK100&lt;=RÉGUAS!$N$51),"BIO+10%","-"))))))))</f>
        <v>-</v>
      </c>
      <c r="CN100" s="73">
        <f t="shared" si="10"/>
        <v>16177.732890625</v>
      </c>
      <c r="CO100" s="72" t="str">
        <f>IF(CN100&lt;=RÉGUAS!$D$58,"ESSENCIAL",IF(CN100&lt;=RÉGUAS!$F$58,"ECO",IF(CN100&gt;RÉGUAS!$F$58,"BIO",)))</f>
        <v>BIO</v>
      </c>
      <c r="CP100" s="72" t="str">
        <f>IF(Tabela13[[#This Row],[INTERVALO DE INTERSEÇÃO 5D]]="-",Tabela13[[#This Row],[CLASSIFICAÇÃO 
5D ]],Tabela13[[#This Row],[CLASSIFICAÇÃO 
4D]])</f>
        <v>BIO</v>
      </c>
      <c r="CQ100" s="72" t="str">
        <f t="shared" si="11"/>
        <v>-</v>
      </c>
      <c r="CR100" s="72" t="str">
        <f t="shared" si="12"/>
        <v>BIO</v>
      </c>
      <c r="CS100" s="22" t="str">
        <f>IF(Tabela13[[#This Row],[PRODUTO ATUAL ]]=Tabela13[[#This Row],[CLASSIFICAÇÃO FINAL 5D]],"ADERÊNTE","NÃO ADERÊNTE")</f>
        <v>ADERÊNTE</v>
      </c>
      <c r="CT100" s="24">
        <f>SUM(Tabela13[[#This Row],[TOTAL  ACAB]],Tabela13[[#This Row],[TOTAL LAZER ]],Tabela13[[#This Row],[TOTAL TIPOLOGIA]],Tabela13[[#This Row],[TOTAL VAGA]])</f>
        <v>16177.732890625</v>
      </c>
      <c r="CU100" s="22" t="str">
        <f>IF(CT100&lt;=RÉGUAS!$D$58,"ESSENCIAL",IF(CT100&lt;=RÉGUAS!$F$58,"ECO",IF(CT100&gt;RÉGUAS!$F$58,"BIO",)))</f>
        <v>BIO</v>
      </c>
      <c r="CV100" s="22" t="str">
        <f>IF(AND(CT100&gt;=RÉGUAS!$D$59,CT100&lt;=RÉGUAS!$E$59),"ESSENCIAL/ECO",IF(AND(CT100&gt;=RÉGUAS!$F$59,CT100&lt;=RÉGUAS!$G$59),"ECO/BIO","-"))</f>
        <v>-</v>
      </c>
      <c r="CW100" s="85">
        <f>SUM(Tabela13[[#This Row],[TOTAL LAZER ]],Tabela13[[#This Row],[TOTAL TIPOLOGIA]])</f>
        <v>8586.4828906250004</v>
      </c>
      <c r="CX100" s="22" t="str">
        <f>IF(CW100&lt;=RÉGUAS!$D$72,"ESSENCIAL",IF(CW100&lt;=RÉGUAS!$F$72,"ECO",IF(CN100&gt;RÉGUAS!$F$72,"BIO",)))</f>
        <v>BIO</v>
      </c>
      <c r="CY100" s="22" t="str">
        <f t="shared" si="13"/>
        <v>BIO</v>
      </c>
      <c r="CZ100" s="22" t="str">
        <f>IF(Tabela13[[#This Row],[PRODUTO ATUAL ]]=CY100,"ADERENTE","NÃO ADERENTE")</f>
        <v>ADERENTE</v>
      </c>
      <c r="DA100" s="22" t="str">
        <f>IF(Tabela13[[#This Row],[PRODUTO ATUAL ]]=Tabela13[[#This Row],[CLASSIFICAÇÃO 
4D2]],"ADERENTE","NÃO ADERENTE")</f>
        <v>ADERENTE</v>
      </c>
    </row>
    <row r="101" spans="2:105" hidden="1" x14ac:dyDescent="0.35">
      <c r="B101" s="27">
        <v>99</v>
      </c>
      <c r="C101" s="22" t="s">
        <v>211</v>
      </c>
      <c r="D101" s="22" t="s">
        <v>100</v>
      </c>
      <c r="E101" s="23">
        <v>320</v>
      </c>
      <c r="F101" s="22" t="str">
        <f t="shared" si="7"/>
        <v>De 200 a 400 und</v>
      </c>
      <c r="G101" s="22" t="s">
        <v>14</v>
      </c>
      <c r="H101" s="36">
        <v>4</v>
      </c>
      <c r="I101" s="36">
        <v>10</v>
      </c>
      <c r="J101" s="36"/>
      <c r="K101" s="36"/>
      <c r="L101" s="36">
        <f>SUM(Tabela13[[#This Row],[QTD DE B/T 2]],Tabela13[[#This Row],[QTD DE B/T]])</f>
        <v>4</v>
      </c>
      <c r="M101" s="22">
        <v>4</v>
      </c>
      <c r="N101" s="22">
        <f>Tabela13[[#This Row],[ELEVADOR]]/Tabela13[[#This Row],[BLOCO TOTAL]]</f>
        <v>1</v>
      </c>
      <c r="O101" s="22" t="s">
        <v>4</v>
      </c>
      <c r="P101" s="22" t="s">
        <v>101</v>
      </c>
      <c r="Q101" s="22" t="s">
        <v>101</v>
      </c>
      <c r="R101" s="22" t="s">
        <v>142</v>
      </c>
      <c r="S101" s="22" t="s">
        <v>159</v>
      </c>
      <c r="T101" s="22" t="s">
        <v>173</v>
      </c>
      <c r="U101" s="22" t="s">
        <v>174</v>
      </c>
      <c r="V101" s="22" t="s">
        <v>106</v>
      </c>
      <c r="W101" s="24">
        <f>IF(P101=[1]BD_CUSTO!$E$4,[1]BD_CUSTO!$F$4,[1]BD_CUSTO!$F$5)</f>
        <v>2430</v>
      </c>
      <c r="X101" s="24">
        <f>IF(Q101=[1]BD_CUSTO!$E$6,[1]BD_CUSTO!$F$6,[1]BD_CUSTO!$F$7)</f>
        <v>260</v>
      </c>
      <c r="Y101" s="24">
        <f>IF(R101=[1]BD_CUSTO!$E$8,[1]BD_CUSTO!$F$8,[1]BD_CUSTO!$F$9)</f>
        <v>900</v>
      </c>
      <c r="Z101" s="24">
        <f>IF(S101=[1]BD_CUSTO!$E$10,[1]BD_CUSTO!$F$10,[1]BD_CUSTO!$F$11)</f>
        <v>935</v>
      </c>
      <c r="AA101" s="24">
        <f>IF(T101=[1]BD_CUSTO!$E$12,[1]BD_CUSTO!$F$12,[1]BD_CUSTO!$F$13)</f>
        <v>930</v>
      </c>
      <c r="AB101" s="24">
        <f>IF(U101=[1]BD_CUSTO!$E$14,[1]BD_CUSTO!$F$14,[1]BD_CUSTO!$F$15)</f>
        <v>240</v>
      </c>
      <c r="AC101" s="24">
        <f>IF(V101=[1]BD_CUSTO!$E$16,[1]BD_CUSTO!$F$16,[1]BD_CUSTO!$F$17)</f>
        <v>720</v>
      </c>
      <c r="AD101" s="22" t="s">
        <v>129</v>
      </c>
      <c r="AE101" s="22">
        <v>1</v>
      </c>
      <c r="AF101" s="22" t="s">
        <v>120</v>
      </c>
      <c r="AG101" s="22">
        <v>1</v>
      </c>
      <c r="AH101" s="22" t="s">
        <v>108</v>
      </c>
      <c r="AI101" s="22">
        <v>1</v>
      </c>
      <c r="AJ101" s="22" t="s">
        <v>107</v>
      </c>
      <c r="AK101" s="22">
        <v>1</v>
      </c>
      <c r="AL101" s="22" t="s">
        <v>121</v>
      </c>
      <c r="AM101" s="22">
        <v>1</v>
      </c>
      <c r="AN101" s="22" t="s">
        <v>109</v>
      </c>
      <c r="AO101" s="22">
        <v>1</v>
      </c>
      <c r="AP101" s="22" t="s">
        <v>110</v>
      </c>
      <c r="AQ101" s="22">
        <v>1</v>
      </c>
      <c r="AR101" s="22"/>
      <c r="AS101" s="22"/>
      <c r="AT101" s="22"/>
      <c r="AU101" s="22"/>
      <c r="AV101" s="22"/>
      <c r="AW101" s="22"/>
      <c r="AX101" s="24">
        <f>IF(AD101="",0,VLOOKUP(AD101,[1]BD_CUSTO!I:J,2,0)*AE101/E101)</f>
        <v>859.89868750000005</v>
      </c>
      <c r="AY101" s="24">
        <f>IF(AF101="",0,VLOOKUP(AF101,[1]BD_CUSTO!I:J,2,0)*AG101/E101)</f>
        <v>177.84025</v>
      </c>
      <c r="AZ101" s="24">
        <f>IF(AH101="",0,VLOOKUP(AH101,[1]BD_CUSTO!I:J,2,0)*AI101/E101)</f>
        <v>72.34375</v>
      </c>
      <c r="BA101" s="24">
        <f>IF(AJ101="",0,VLOOKUP(AJ101,[1]BD_CUSTO!I:J,2,0)*AK101/E101)</f>
        <v>266.09100000000001</v>
      </c>
      <c r="BB101" s="24">
        <f>IF(AL101="",0,VLOOKUP(AL101,[1]BD_CUSTO!I:J,2,0)*AM101/E101)</f>
        <v>384.86531249999996</v>
      </c>
      <c r="BC101" s="24">
        <f>IF(AN101="",0,VLOOKUP(AN101,[1]BD_CUSTO!I:J,2,0)*AO101/E101)</f>
        <v>21.71875</v>
      </c>
      <c r="BD101" s="24">
        <f>IF(AP101="",0,VLOOKUP(AP101,[1]BD_CUSTO!I:J,2,0)*AQ101/E101)</f>
        <v>16.5625</v>
      </c>
      <c r="BE101" s="24">
        <f>IF(AR101="",0,VLOOKUP(AR101,CUSTO!I:J,2,0)*AS101/E101)</f>
        <v>0</v>
      </c>
      <c r="BF101" s="24">
        <f>IF(AT101="",0,VLOOKUP(AT101,[1]BD_CUSTO!I:J,2,0)*AU101/E101)</f>
        <v>0</v>
      </c>
      <c r="BG101" s="24">
        <f>IF(Tabela13[[#This Row],[LZ 10]]="",0,VLOOKUP(Tabela13[[#This Row],[LZ 10]],[1]BD_CUSTO!I:J,2,0)*Tabela13[[#This Row],[QTD922]]/E101)</f>
        <v>0</v>
      </c>
      <c r="BH101" s="22" t="s">
        <v>112</v>
      </c>
      <c r="BI101" s="25">
        <f>(144+16)/Tabela13[[#This Row],[Nº UNDS]]</f>
        <v>0.5</v>
      </c>
      <c r="BJ101" s="22" t="s">
        <v>212</v>
      </c>
      <c r="BK101" s="25">
        <f>(144+16)/Tabela13[[#This Row],[Nº UNDS]]</f>
        <v>0.5</v>
      </c>
      <c r="BL101" s="24">
        <f>IF(BH101=[1]BD_CUSTO!$M$6,[1]BD_CUSTO!$N$6)*BI101</f>
        <v>1500</v>
      </c>
      <c r="BM101" s="24">
        <f>IF(BJ101=[1]BD_CUSTO!$M$4,[1]BD_CUSTO!$N$4,[1]BD_CUSTO!$N$5)*BK101</f>
        <v>3000</v>
      </c>
      <c r="BN101" s="22" t="s">
        <v>114</v>
      </c>
      <c r="BO101" s="22">
        <f>406-58</f>
        <v>348</v>
      </c>
      <c r="BP101" s="25">
        <f>Tabela13[[#This Row],[QTD ]]/Tabela13[[#This Row],[Nº UNDS]]</f>
        <v>1.0874999999999999</v>
      </c>
      <c r="BQ101" s="22" t="s">
        <v>115</v>
      </c>
      <c r="BR101" s="22">
        <v>58</v>
      </c>
      <c r="BS101" s="22" t="s">
        <v>116</v>
      </c>
      <c r="BT101" s="22">
        <v>0</v>
      </c>
      <c r="BU101" s="22" t="s">
        <v>16</v>
      </c>
      <c r="BV101" s="22">
        <v>0</v>
      </c>
      <c r="BW101" s="24">
        <f>IF(BN101=[1]BD_CUSTO!$Q$7,[1]BD_CUSTO!$R$7,[1]BD_CUSTO!$R$8)*BO101/E101</f>
        <v>2175</v>
      </c>
      <c r="BX101" s="24">
        <f>IF(BQ101=[1]BD_CUSTO!$Q$4,[1]BD_CUSTO!$R$4,[1]BD_CUSTO!$R$5)*BR101/E101</f>
        <v>0</v>
      </c>
      <c r="BY101" s="22">
        <f>IF(BS101=[1]BD_CUSTO!$Q$13,[1]BD_CUSTO!$R$13,[1]BD_CUSTO!$R$14)*BT101/E101</f>
        <v>0</v>
      </c>
      <c r="BZ101" s="24">
        <f>BV101*CUSTO!$R$10/E101</f>
        <v>0</v>
      </c>
      <c r="CA101" s="26">
        <f>SUM(Tabela13[[#This Row],[SOMA_PISO SALA E QUARTO]],Tabela13[[#This Row],[SOMA_PAREDE HIDR]],Tabela13[[#This Row],[SOMA_TETO]],Tabela13[[#This Row],[SOMA_BANCADA]],Tabela13[[#This Row],[SOMA_PEDRAS]])</f>
        <v>5435</v>
      </c>
      <c r="CB101" s="27" t="str">
        <f>IF(CA101&lt;=RÉGUAS!$D$4,"ACAB 01",IF(CA101&lt;=RÉGUAS!$F$4,"ACAB 02",IF(CA101&gt;RÉGUAS!$F$4,"ACAB 03",)))</f>
        <v>ACAB 03</v>
      </c>
      <c r="CC101" s="26">
        <f>SUM(Tabela13[[#This Row],[SOMA_LZ 01]:[SOMA_LZ 10]])</f>
        <v>1799.3202500000002</v>
      </c>
      <c r="CD101" s="22" t="str">
        <f>IF(CC101&lt;=RÉGUAS!$D$13,"LZ 01",IF(CC101&lt;=RÉGUAS!$F$13,"LZ 02",IF(CC101&lt;=RÉGUAS!$H$13,"LZ 03",IF(CC101&gt;RÉGUAS!$H$13,"LZ 04",))))</f>
        <v>LZ 03</v>
      </c>
      <c r="CE101" s="28">
        <f t="shared" si="8"/>
        <v>4500</v>
      </c>
      <c r="CF101" s="22" t="str">
        <f>IF(CE101&lt;=RÉGUAS!$D$22,"TIP 01",IF(CE101&lt;=RÉGUAS!$F$22,"TIP 02",IF(CE101&gt;RÉGUAS!$F$22,"TIP 03",)))</f>
        <v>TIP 03</v>
      </c>
      <c r="CG101" s="28">
        <f t="shared" si="9"/>
        <v>2175</v>
      </c>
      <c r="CH101" s="22" t="str">
        <f>IF(CG101&lt;=RÉGUAS!$D$32,"VAGA 01",IF(CG101&lt;=RÉGUAS!$F$32,"VAGA 02",IF(CG101&gt;RÉGUAS!$F$32,"VAGA 03",)))</f>
        <v>VAGA 02</v>
      </c>
      <c r="CI101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2468.125</v>
      </c>
      <c r="CJ101" s="85" t="str">
        <f>IF(AND(G101="BLOCO",CI101&lt;=RÉGUAS!$D$40),"ELEV 01",IF(AND(G101="BLOCO",CI101&gt;RÉGUAS!$D$40),"ELEV 02",IF(AND(G101="TORRE",CI101&lt;=RÉGUAS!$K$40),"ELEV 01",IF(AND(G101="TORRE",CI101&lt;=RÉGUAS!$M$40),"ELEV 02",IF(AND(G101="TORRE",CI101&gt;RÉGUAS!$M$40),"ELEV 03",)))))</f>
        <v>ELEV 01</v>
      </c>
      <c r="CK101" s="85">
        <f>SUM(Tabela13[[#This Row],[TOTAL  ACAB]],Tabela13[[#This Row],[TOTAL LAZER ]],Tabela13[[#This Row],[TOTAL TIPOLOGIA]],Tabela13[[#This Row],[TOTAL VAGA]],Tabela13[[#This Row],[TOTAL ELEVADOR]])</f>
        <v>16377.445250000001</v>
      </c>
      <c r="CL101" s="72" t="str">
        <f>IF(AND(G101="BLOCO",CK101&lt;=RÉGUAS!$D$50),"ESSENCIAL",IF(AND(G101="BLOCO",CK101&lt;=RÉGUAS!$F$50),"ECO",IF(AND(G101="BLOCO",CK101&gt;RÉGUAS!$F$50),"BIO",IF(AND(G101="TORRE",CK101&lt;=RÉGUAS!$K$50),"ESSENCIAL",IF(AND(G101="TORRE",CK101&lt;=RÉGUAS!$M$50),"ECO",IF(AND(G101="TORRE",CK101&gt;RÉGUAS!$M$50),"BIO",))))))</f>
        <v>BIO</v>
      </c>
      <c r="CM101" s="28" t="str">
        <f>IF(AND(G101="BLOCO",CK101&gt;=RÉGUAS!$D$51,CK101&lt;=RÉGUAS!$D$50),"ESSENCIAL-10%",IF(AND(G101="BLOCO",CK101&gt;RÉGUAS!$D$50,CK101&lt;=RÉGUAS!$E$51),"ECO+10%",IF(AND(G101="BLOCO",CK101&gt;=RÉGUAS!$F$51,CK101&lt;=RÉGUAS!$F$50),"ECO-10%",IF(AND(G101="BLOCO",CK101&gt;RÉGUAS!$F$50,CK101&lt;=RÉGUAS!$G$51),"BIO+10%",IF(AND(G101="TORRE",CK101&gt;=RÉGUAS!$K$51,CK101&lt;=RÉGUAS!$K$50),"ESSENCIAL-10%",IF(AND(G101="TORRE",CK101&gt;RÉGUAS!$K$50,CK101&lt;=RÉGUAS!$L$51),"ECO+10%",IF(AND(G101="TORRE",CK101&gt;=RÉGUAS!$M$51,CK101&lt;=RÉGUAS!$M$50),"ECO-10%",IF(AND(G101="TORRE",CK101&gt;RÉGUAS!$M$50,CK101&lt;=RÉGUAS!$N$51),"BIO+10%","-"))))))))</f>
        <v>-</v>
      </c>
      <c r="CN101" s="73">
        <f t="shared" si="10"/>
        <v>13909.320250000001</v>
      </c>
      <c r="CO101" s="72" t="str">
        <f>IF(CN101&lt;=RÉGUAS!$D$58,"ESSENCIAL",IF(CN101&lt;=RÉGUAS!$F$58,"ECO",IF(CN101&gt;RÉGUAS!$F$58,"BIO",)))</f>
        <v>BIO</v>
      </c>
      <c r="CP101" s="72" t="str">
        <f>IF(Tabela13[[#This Row],[INTERVALO DE INTERSEÇÃO 5D]]="-",Tabela13[[#This Row],[CLASSIFICAÇÃO 
5D ]],Tabela13[[#This Row],[CLASSIFICAÇÃO 
4D]])</f>
        <v>BIO</v>
      </c>
      <c r="CQ101" s="72" t="str">
        <f t="shared" si="11"/>
        <v>-</v>
      </c>
      <c r="CR101" s="72" t="str">
        <f t="shared" si="12"/>
        <v>BIO</v>
      </c>
      <c r="CS101" s="22" t="str">
        <f>IF(Tabela13[[#This Row],[PRODUTO ATUAL ]]=Tabela13[[#This Row],[CLASSIFICAÇÃO FINAL 5D]],"ADERÊNTE","NÃO ADERÊNTE")</f>
        <v>ADERÊNTE</v>
      </c>
      <c r="CT101" s="24">
        <f>SUM(Tabela13[[#This Row],[TOTAL  ACAB]],Tabela13[[#This Row],[TOTAL LAZER ]],Tabela13[[#This Row],[TOTAL TIPOLOGIA]],Tabela13[[#This Row],[TOTAL VAGA]])</f>
        <v>13909.320250000001</v>
      </c>
      <c r="CU101" s="22" t="str">
        <f>IF(CT101&lt;=RÉGUAS!$D$58,"ESSENCIAL",IF(CT101&lt;=RÉGUAS!$F$58,"ECO",IF(CT101&gt;RÉGUAS!$F$58,"BIO",)))</f>
        <v>BIO</v>
      </c>
      <c r="CV101" s="22" t="str">
        <f>IF(AND(CT101&gt;=RÉGUAS!$D$59,CT101&lt;=RÉGUAS!$E$59),"ESSENCIAL/ECO",IF(AND(CT101&gt;=RÉGUAS!$F$59,CT101&lt;=RÉGUAS!$G$59),"ECO/BIO","-"))</f>
        <v>-</v>
      </c>
      <c r="CW101" s="85">
        <f>SUM(Tabela13[[#This Row],[TOTAL LAZER ]],Tabela13[[#This Row],[TOTAL TIPOLOGIA]])</f>
        <v>6299.3202500000007</v>
      </c>
      <c r="CX101" s="22" t="str">
        <f>IF(CW101&lt;=RÉGUAS!$D$72,"ESSENCIAL",IF(CW101&lt;=RÉGUAS!$F$72,"ECO",IF(CN101&gt;RÉGUAS!$F$72,"BIO",)))</f>
        <v>BIO</v>
      </c>
      <c r="CY101" s="22" t="str">
        <f t="shared" si="13"/>
        <v>BIO</v>
      </c>
      <c r="CZ101" s="22" t="str">
        <f>IF(Tabela13[[#This Row],[PRODUTO ATUAL ]]=CY101,"ADERENTE","NÃO ADERENTE")</f>
        <v>ADERENTE</v>
      </c>
      <c r="DA101" s="22" t="str">
        <f>IF(Tabela13[[#This Row],[PRODUTO ATUAL ]]=Tabela13[[#This Row],[CLASSIFICAÇÃO 
4D2]],"ADERENTE","NÃO ADERENTE")</f>
        <v>ADERENTE</v>
      </c>
    </row>
    <row r="102" spans="2:105" hidden="1" x14ac:dyDescent="0.35">
      <c r="B102" s="27">
        <v>92</v>
      </c>
      <c r="C102" s="22" t="s">
        <v>240</v>
      </c>
      <c r="D102" s="22" t="s">
        <v>100</v>
      </c>
      <c r="E102" s="23">
        <v>320</v>
      </c>
      <c r="F102" s="22" t="str">
        <f t="shared" si="7"/>
        <v>De 200 a 400 und</v>
      </c>
      <c r="G102" s="109" t="s">
        <v>14</v>
      </c>
      <c r="H102" s="36">
        <v>5</v>
      </c>
      <c r="I102" s="36">
        <v>8</v>
      </c>
      <c r="J102" s="36"/>
      <c r="K102" s="36"/>
      <c r="L102" s="36">
        <f>SUM(Tabela13[[#This Row],[QTD DE B/T 2]],Tabela13[[#This Row],[QTD DE B/T]])</f>
        <v>5</v>
      </c>
      <c r="M102" s="22">
        <v>5</v>
      </c>
      <c r="N102" s="22">
        <f>Tabela13[[#This Row],[ELEVADOR]]/Tabela13[[#This Row],[BLOCO TOTAL]]</f>
        <v>1</v>
      </c>
      <c r="O102" s="22" t="s">
        <v>4</v>
      </c>
      <c r="P102" s="22" t="s">
        <v>101</v>
      </c>
      <c r="Q102" s="22" t="s">
        <v>101</v>
      </c>
      <c r="R102" s="22" t="s">
        <v>142</v>
      </c>
      <c r="S102" s="22" t="s">
        <v>159</v>
      </c>
      <c r="T102" s="22" t="s">
        <v>173</v>
      </c>
      <c r="U102" s="22" t="s">
        <v>174</v>
      </c>
      <c r="V102" s="22" t="s">
        <v>106</v>
      </c>
      <c r="W102" s="24">
        <f>IF(P102=[1]BD_CUSTO!$E$4,[1]BD_CUSTO!$F$4,[1]BD_CUSTO!$F$5)</f>
        <v>2430</v>
      </c>
      <c r="X102" s="24">
        <f>IF(Q102=[1]BD_CUSTO!$E$6,[1]BD_CUSTO!$F$6,[1]BD_CUSTO!$F$7)</f>
        <v>260</v>
      </c>
      <c r="Y102" s="24">
        <f>IF(R102=[1]BD_CUSTO!$E$8,[1]BD_CUSTO!$F$8,[1]BD_CUSTO!$F$9)</f>
        <v>900</v>
      </c>
      <c r="Z102" s="24">
        <f>IF(S102=[1]BD_CUSTO!$E$10,[1]BD_CUSTO!$F$10,[1]BD_CUSTO!$F$11)</f>
        <v>935</v>
      </c>
      <c r="AA102" s="24">
        <f>IF(T102=[1]BD_CUSTO!$E$12,[1]BD_CUSTO!$F$12,[1]BD_CUSTO!$F$13)</f>
        <v>930</v>
      </c>
      <c r="AB102" s="24">
        <f>IF(U102=[1]BD_CUSTO!$E$14,[1]BD_CUSTO!$F$14,[1]BD_CUSTO!$F$15)</f>
        <v>240</v>
      </c>
      <c r="AC102" s="24">
        <f>IF(V102=[1]BD_CUSTO!$E$16,[1]BD_CUSTO!$F$16,[1]BD_CUSTO!$F$17)</f>
        <v>720</v>
      </c>
      <c r="AD102" s="22" t="s">
        <v>121</v>
      </c>
      <c r="AE102" s="22">
        <v>1</v>
      </c>
      <c r="AF102" s="22" t="s">
        <v>107</v>
      </c>
      <c r="AG102" s="22">
        <v>1</v>
      </c>
      <c r="AH102" s="22" t="s">
        <v>135</v>
      </c>
      <c r="AI102" s="22">
        <v>1</v>
      </c>
      <c r="AJ102" s="22" t="s">
        <v>109</v>
      </c>
      <c r="AK102" s="22">
        <v>1</v>
      </c>
      <c r="AL102" s="22" t="s">
        <v>175</v>
      </c>
      <c r="AM102" s="22">
        <v>1</v>
      </c>
      <c r="AN102" s="22" t="s">
        <v>129</v>
      </c>
      <c r="AO102" s="22">
        <v>1</v>
      </c>
      <c r="AP102" s="22" t="s">
        <v>108</v>
      </c>
      <c r="AQ102" s="22">
        <v>1</v>
      </c>
      <c r="AR102" s="22" t="s">
        <v>110</v>
      </c>
      <c r="AS102" s="22">
        <v>1</v>
      </c>
      <c r="AT102" s="22"/>
      <c r="AU102" s="22"/>
      <c r="AV102" s="22"/>
      <c r="AW102" s="22"/>
      <c r="AX102" s="24">
        <f>IF(AD102="",0,VLOOKUP(AD102,[1]BD_CUSTO!I:J,2,0)*AE102/E102)</f>
        <v>384.86531249999996</v>
      </c>
      <c r="AY102" s="24">
        <f>IF(AF102="",0,VLOOKUP(AF102,[1]BD_CUSTO!I:J,2,0)*AG102/E102)</f>
        <v>266.09100000000001</v>
      </c>
      <c r="AZ102" s="24">
        <f>IF(AH102="",0,VLOOKUP(AH102,[1]BD_CUSTO!I:J,2,0)*AI102/E102)</f>
        <v>393.96449999999999</v>
      </c>
      <c r="BA102" s="24">
        <f>IF(AJ102="",0,VLOOKUP(AJ102,[1]BD_CUSTO!I:J,2,0)*AK102/E102)</f>
        <v>21.71875</v>
      </c>
      <c r="BB102" s="24">
        <f>IF(AL102="",0,VLOOKUP(AL102,[1]BD_CUSTO!I:J,2,0)*AM102/E102)</f>
        <v>33.71875</v>
      </c>
      <c r="BC102" s="24">
        <f>IF(AN102="",0,VLOOKUP(AN102,[1]BD_CUSTO!I:J,2,0)*AO102/E102)</f>
        <v>859.89868750000005</v>
      </c>
      <c r="BD102" s="24">
        <f>IF(AP102="",0,VLOOKUP(AP102,[1]BD_CUSTO!I:J,2,0)*AQ102/E102)</f>
        <v>72.34375</v>
      </c>
      <c r="BE102" s="24">
        <f>IF(AR102="",0,VLOOKUP(AR102,CUSTO!I:J,2,0)*AS102/E102)</f>
        <v>16.5625</v>
      </c>
      <c r="BF102" s="24">
        <f>IF(AT102="",0,VLOOKUP(AT102,[1]BD_CUSTO!I:J,2,0)*AU102/E102)</f>
        <v>0</v>
      </c>
      <c r="BG102" s="24">
        <f>IF(Tabela13[[#This Row],[LZ 10]]="",0,VLOOKUP(Tabela13[[#This Row],[LZ 10]],[1]BD_CUSTO!I:J,2,0)*Tabela13[[#This Row],[QTD922]]/E102)</f>
        <v>0</v>
      </c>
      <c r="BH102" s="22" t="s">
        <v>112</v>
      </c>
      <c r="BI102" s="25">
        <f>SUM(280+20)/Tabela13[[#This Row],[Nº UNDS]]</f>
        <v>0.9375</v>
      </c>
      <c r="BJ102" s="22" t="s">
        <v>212</v>
      </c>
      <c r="BK102" s="25">
        <f>160/Tabela13[[#This Row],[Nº UNDS]]</f>
        <v>0.5</v>
      </c>
      <c r="BL102" s="24">
        <f>IF(BH102=[1]BD_CUSTO!$M$6,[1]BD_CUSTO!$N$6)*BI102</f>
        <v>2812.5</v>
      </c>
      <c r="BM102" s="24">
        <f>IF(BJ102=[1]BD_CUSTO!$M$4,[1]BD_CUSTO!$N$4,[1]BD_CUSTO!$N$5)*BK102</f>
        <v>3000</v>
      </c>
      <c r="BN102" s="22" t="s">
        <v>114</v>
      </c>
      <c r="BO102" s="22">
        <f>372-24</f>
        <v>348</v>
      </c>
      <c r="BP102" s="25">
        <f>Tabela13[[#This Row],[QTD ]]/Tabela13[[#This Row],[Nº UNDS]]</f>
        <v>1.0874999999999999</v>
      </c>
      <c r="BQ102" s="22" t="s">
        <v>123</v>
      </c>
      <c r="BR102" s="22">
        <v>24</v>
      </c>
      <c r="BS102" s="22" t="s">
        <v>116</v>
      </c>
      <c r="BT102" s="22">
        <v>0</v>
      </c>
      <c r="BU102" s="22" t="s">
        <v>16</v>
      </c>
      <c r="BV102" s="22">
        <v>0</v>
      </c>
      <c r="BW102" s="24">
        <f>Tabela13[[#This Row],[QTD ]]*CUSTO!R7/Tabela13[[#This Row],[Nº UNDS]]</f>
        <v>2175</v>
      </c>
      <c r="BX102" s="24">
        <f>IF(BQ102=[1]BD_CUSTO!$Q$4,[1]BD_CUSTO!$R$4,[1]BD_CUSTO!$R$5)*BR102/E102</f>
        <v>75</v>
      </c>
      <c r="BY102" s="22">
        <f>IF(BS102=[1]BD_CUSTO!$Q$13,[1]BD_CUSTO!$R$13,[1]BD_CUSTO!$R$14)*BT102/E102</f>
        <v>0</v>
      </c>
      <c r="BZ102" s="24">
        <f>BV102*CUSTO!$R$10/E102</f>
        <v>0</v>
      </c>
      <c r="CA102" s="26">
        <f>SUM(Tabela13[[#This Row],[SOMA_PISO SALA E QUARTO]],Tabela13[[#This Row],[SOMA_PAREDE HIDR]],Tabela13[[#This Row],[SOMA_TETO]],Tabela13[[#This Row],[SOMA_BANCADA]],Tabela13[[#This Row],[SOMA_PEDRAS]])</f>
        <v>5435</v>
      </c>
      <c r="CB102" s="27" t="str">
        <f>IF(CA102&lt;=RÉGUAS!$D$4,"ACAB 01",IF(CA102&lt;=RÉGUAS!$F$4,"ACAB 02",IF(CA102&gt;RÉGUAS!$F$4,"ACAB 03",)))</f>
        <v>ACAB 03</v>
      </c>
      <c r="CC102" s="26">
        <f>SUM(Tabela13[[#This Row],[SOMA_LZ 01]:[SOMA_LZ 10]])</f>
        <v>2049.1632500000001</v>
      </c>
      <c r="CD102" s="22" t="str">
        <f>IF(CC102&lt;=RÉGUAS!$D$13,"LZ 01",IF(CC102&lt;=RÉGUAS!$F$13,"LZ 02",IF(CC102&lt;=RÉGUAS!$H$13,"LZ 03",IF(CC102&gt;RÉGUAS!$H$13,"LZ 04",))))</f>
        <v>LZ 03</v>
      </c>
      <c r="CE102" s="28">
        <f t="shared" si="8"/>
        <v>5812.5</v>
      </c>
      <c r="CF102" s="22" t="str">
        <f>IF(CE102&lt;=RÉGUAS!$D$22,"TIP 01",IF(CE102&lt;=RÉGUAS!$F$22,"TIP 02",IF(CE102&gt;RÉGUAS!$F$22,"TIP 03",)))</f>
        <v>TIP 03</v>
      </c>
      <c r="CG102" s="28">
        <f t="shared" si="9"/>
        <v>2250</v>
      </c>
      <c r="CH102" s="22" t="str">
        <f>IF(CG102&lt;=RÉGUAS!$D$32,"VAGA 01",IF(CG102&lt;=RÉGUAS!$F$32,"VAGA 02",IF(CG102&gt;RÉGUAS!$F$32,"VAGA 03",)))</f>
        <v>VAGA 02</v>
      </c>
      <c r="CI102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2468.125</v>
      </c>
      <c r="CJ102" s="85" t="str">
        <f>IF(AND(G102="BLOCO",CI102&lt;=RÉGUAS!$D$40),"ELEV 01",IF(AND(G102="BLOCO",CI102&gt;RÉGUAS!$D$40),"ELEV 02",IF(AND(G102="TORRE",CI102&lt;=RÉGUAS!$K$40),"ELEV 01",IF(AND(G102="TORRE",CI102&lt;=RÉGUAS!$M$40),"ELEV 02",IF(AND(G102="TORRE",CI102&gt;RÉGUAS!$M$40),"ELEV 03",)))))</f>
        <v>ELEV 01</v>
      </c>
      <c r="CK102" s="85">
        <f>SUM(Tabela13[[#This Row],[TOTAL  ACAB]],Tabela13[[#This Row],[TOTAL LAZER ]],Tabela13[[#This Row],[TOTAL TIPOLOGIA]],Tabela13[[#This Row],[TOTAL VAGA]],Tabela13[[#This Row],[TOTAL ELEVADOR]])</f>
        <v>18014.788249999998</v>
      </c>
      <c r="CL102" s="72" t="str">
        <f>IF(AND(G102="BLOCO",CK102&lt;=RÉGUAS!$D$50),"ESSENCIAL",IF(AND(G102="BLOCO",CK102&lt;=RÉGUAS!$F$50),"ECO",IF(AND(G102="BLOCO",CK102&gt;RÉGUAS!$F$50),"BIO",IF(AND(G102="TORRE",CK102&lt;=RÉGUAS!$K$50),"ESSENCIAL",IF(AND(G102="TORRE",CK102&lt;=RÉGUAS!$M$50),"ECO",IF(AND(G102="TORRE",CK102&gt;RÉGUAS!$M$50),"BIO",))))))</f>
        <v>BIO</v>
      </c>
      <c r="CM102" s="28" t="str">
        <f>IF(AND(G102="BLOCO",CK102&gt;=RÉGUAS!$D$51,CK102&lt;=RÉGUAS!$D$50),"ESSENCIAL-10%",IF(AND(G102="BLOCO",CK102&gt;RÉGUAS!$D$50,CK102&lt;=RÉGUAS!$E$51),"ECO+10%",IF(AND(G102="BLOCO",CK102&gt;=RÉGUAS!$F$51,CK102&lt;=RÉGUAS!$F$50),"ECO-10%",IF(AND(G102="BLOCO",CK102&gt;RÉGUAS!$F$50,CK102&lt;=RÉGUAS!$G$51),"BIO+10%",IF(AND(G102="TORRE",CK102&gt;=RÉGUAS!$K$51,CK102&lt;=RÉGUAS!$K$50),"ESSENCIAL-10%",IF(AND(G102="TORRE",CK102&gt;RÉGUAS!$K$50,CK102&lt;=RÉGUAS!$L$51),"ECO+10%",IF(AND(G102="TORRE",CK102&gt;=RÉGUAS!$M$51,CK102&lt;=RÉGUAS!$M$50),"ECO-10%",IF(AND(G102="TORRE",CK102&gt;RÉGUAS!$M$50,CK102&lt;=RÉGUAS!$N$51),"BIO+10%","-"))))))))</f>
        <v>-</v>
      </c>
      <c r="CN102" s="73">
        <f t="shared" si="10"/>
        <v>15546.66325</v>
      </c>
      <c r="CO102" s="72" t="str">
        <f>IF(CN102&lt;=RÉGUAS!$D$58,"ESSENCIAL",IF(CN102&lt;=RÉGUAS!$F$58,"ECO",IF(CN102&gt;RÉGUAS!$F$58,"BIO",)))</f>
        <v>BIO</v>
      </c>
      <c r="CP102" s="72" t="str">
        <f>IF(Tabela13[[#This Row],[INTERVALO DE INTERSEÇÃO 5D]]="-",Tabela13[[#This Row],[CLASSIFICAÇÃO 
5D ]],Tabela13[[#This Row],[CLASSIFICAÇÃO 
4D]])</f>
        <v>BIO</v>
      </c>
      <c r="CQ102" s="72" t="str">
        <f t="shared" si="11"/>
        <v>-</v>
      </c>
      <c r="CR102" s="72" t="str">
        <f t="shared" si="12"/>
        <v>BIO</v>
      </c>
      <c r="CS102" s="22" t="str">
        <f>IF(Tabela13[[#This Row],[PRODUTO ATUAL ]]=Tabela13[[#This Row],[CLASSIFICAÇÃO FINAL 5D]],"ADERÊNTE","NÃO ADERÊNTE")</f>
        <v>ADERÊNTE</v>
      </c>
      <c r="CT102" s="24">
        <f>SUM(Tabela13[[#This Row],[TOTAL  ACAB]],Tabela13[[#This Row],[TOTAL LAZER ]],Tabela13[[#This Row],[TOTAL TIPOLOGIA]],Tabela13[[#This Row],[TOTAL VAGA]])</f>
        <v>15546.66325</v>
      </c>
      <c r="CU102" s="22" t="str">
        <f>IF(CT102&lt;=RÉGUAS!$D$58,"ESSENCIAL",IF(CT102&lt;=RÉGUAS!$F$58,"ECO",IF(CT102&gt;RÉGUAS!$F$58,"BIO",)))</f>
        <v>BIO</v>
      </c>
      <c r="CV102" s="22" t="str">
        <f>IF(AND(CT102&gt;=RÉGUAS!$D$59,CT102&lt;=RÉGUAS!$E$59),"ESSENCIAL/ECO",IF(AND(CT102&gt;=RÉGUAS!$F$59,CT102&lt;=RÉGUAS!$G$59),"ECO/BIO","-"))</f>
        <v>-</v>
      </c>
      <c r="CW102" s="85">
        <f>SUM(Tabela13[[#This Row],[TOTAL LAZER ]],Tabela13[[#This Row],[TOTAL TIPOLOGIA]])</f>
        <v>7861.6632499999996</v>
      </c>
      <c r="CX102" s="22" t="str">
        <f>IF(CW102&lt;=RÉGUAS!$D$72,"ESSENCIAL",IF(CW102&lt;=RÉGUAS!$F$72,"ECO",IF(CN102&gt;RÉGUAS!$F$72,"BIO",)))</f>
        <v>BIO</v>
      </c>
      <c r="CY102" s="22" t="str">
        <f t="shared" si="13"/>
        <v>BIO</v>
      </c>
      <c r="CZ102" s="22" t="str">
        <f>IF(Tabela13[[#This Row],[PRODUTO ATUAL ]]=CY102,"ADERENTE","NÃO ADERENTE")</f>
        <v>ADERENTE</v>
      </c>
      <c r="DA102" s="22" t="str">
        <f>IF(Tabela13[[#This Row],[PRODUTO ATUAL ]]=Tabela13[[#This Row],[CLASSIFICAÇÃO 
4D2]],"ADERENTE","NÃO ADERENTE")</f>
        <v>ADERENTE</v>
      </c>
    </row>
    <row r="103" spans="2:105" hidden="1" x14ac:dyDescent="0.35">
      <c r="B103" s="27">
        <v>96</v>
      </c>
      <c r="C103" s="30" t="s">
        <v>242</v>
      </c>
      <c r="D103" s="30" t="s">
        <v>100</v>
      </c>
      <c r="E103" s="31">
        <v>392</v>
      </c>
      <c r="F103" s="30" t="str">
        <f t="shared" si="7"/>
        <v>De 200 a 400 und</v>
      </c>
      <c r="G103" s="30" t="s">
        <v>14</v>
      </c>
      <c r="H103" s="37">
        <v>4</v>
      </c>
      <c r="I103" s="37">
        <v>13</v>
      </c>
      <c r="J103" s="37"/>
      <c r="K103" s="37"/>
      <c r="L103" s="37">
        <f>SUM(Tabela13[[#This Row],[QTD DE B/T 2]],Tabela13[[#This Row],[QTD DE B/T]])</f>
        <v>4</v>
      </c>
      <c r="M103" s="30">
        <v>8</v>
      </c>
      <c r="N103" s="22">
        <f>Tabela13[[#This Row],[ELEVADOR]]/Tabela13[[#This Row],[BLOCO TOTAL]]</f>
        <v>2</v>
      </c>
      <c r="O103" s="30" t="s">
        <v>4</v>
      </c>
      <c r="P103" s="30" t="s">
        <v>101</v>
      </c>
      <c r="Q103" s="30" t="s">
        <v>101</v>
      </c>
      <c r="R103" s="30" t="s">
        <v>142</v>
      </c>
      <c r="S103" s="30" t="s">
        <v>159</v>
      </c>
      <c r="T103" s="30" t="s">
        <v>173</v>
      </c>
      <c r="U103" s="30" t="s">
        <v>174</v>
      </c>
      <c r="V103" s="30" t="s">
        <v>106</v>
      </c>
      <c r="W103" s="32">
        <f>IF(P103=[1]BD_CUSTO!$E$4,[1]BD_CUSTO!$F$4,[1]BD_CUSTO!$F$5)</f>
        <v>2430</v>
      </c>
      <c r="X103" s="32">
        <f>IF(Q103=[1]BD_CUSTO!$E$6,[1]BD_CUSTO!$F$6,[1]BD_CUSTO!$F$7)</f>
        <v>260</v>
      </c>
      <c r="Y103" s="32">
        <f>IF(R103=[1]BD_CUSTO!$E$8,[1]BD_CUSTO!$F$8,[1]BD_CUSTO!$F$9)</f>
        <v>900</v>
      </c>
      <c r="Z103" s="32">
        <f>IF(S103=[1]BD_CUSTO!$E$10,[1]BD_CUSTO!$F$10,[1]BD_CUSTO!$F$11)</f>
        <v>935</v>
      </c>
      <c r="AA103" s="32">
        <f>IF(T103=[1]BD_CUSTO!$E$12,[1]BD_CUSTO!$F$12,[1]BD_CUSTO!$F$13)</f>
        <v>930</v>
      </c>
      <c r="AB103" s="32">
        <f>IF(U103=[1]BD_CUSTO!$E$14,[1]BD_CUSTO!$F$14,[1]BD_CUSTO!$F$15)</f>
        <v>240</v>
      </c>
      <c r="AC103" s="32">
        <f>IF(V103=[1]BD_CUSTO!$E$16,[1]BD_CUSTO!$F$16,[1]BD_CUSTO!$F$17)</f>
        <v>720</v>
      </c>
      <c r="AD103" s="30" t="s">
        <v>110</v>
      </c>
      <c r="AE103" s="30">
        <v>2</v>
      </c>
      <c r="AF103" s="30" t="s">
        <v>129</v>
      </c>
      <c r="AG103" s="30">
        <v>1</v>
      </c>
      <c r="AH103" s="30" t="s">
        <v>108</v>
      </c>
      <c r="AI103" s="30">
        <v>1</v>
      </c>
      <c r="AJ103" s="30" t="s">
        <v>109</v>
      </c>
      <c r="AK103" s="30">
        <v>1</v>
      </c>
      <c r="AL103" s="30" t="s">
        <v>107</v>
      </c>
      <c r="AM103" s="30">
        <v>1</v>
      </c>
      <c r="AN103" s="30" t="s">
        <v>121</v>
      </c>
      <c r="AO103" s="30">
        <v>1</v>
      </c>
      <c r="AP103" s="30"/>
      <c r="AQ103" s="30"/>
      <c r="AR103" s="30"/>
      <c r="AS103" s="30"/>
      <c r="AT103" s="30"/>
      <c r="AU103" s="30"/>
      <c r="AV103" s="30"/>
      <c r="AW103" s="30"/>
      <c r="AX103" s="24">
        <f>IF(AD103="",0,VLOOKUP(AD103,[1]BD_CUSTO!I:J,2,0)*AE103/E103)</f>
        <v>27.040816326530614</v>
      </c>
      <c r="AY103" s="24">
        <f>IF(AF103="",0,VLOOKUP(AF103,[1]BD_CUSTO!I:J,2,0)*AG103/E103)</f>
        <v>701.95811224489796</v>
      </c>
      <c r="AZ103" s="24">
        <f>IF(AH103="",0,VLOOKUP(AH103,[1]BD_CUSTO!I:J,2,0)*AI103/E103)</f>
        <v>59.056122448979593</v>
      </c>
      <c r="BA103" s="24">
        <f>IF(AJ103="",0,VLOOKUP(AJ103,[1]BD_CUSTO!I:J,2,0)*AK103/E103)</f>
        <v>17.729591836734695</v>
      </c>
      <c r="BB103" s="24">
        <f>IF(AL103="",0,VLOOKUP(AL103,[1]BD_CUSTO!I:J,2,0)*AM103/E103)</f>
        <v>217.21714285714285</v>
      </c>
      <c r="BC103" s="24">
        <f>IF(AN103="",0,VLOOKUP(AN103,[1]BD_CUSTO!I:J,2,0)*AO103/E103)</f>
        <v>314.17576530612246</v>
      </c>
      <c r="BD103" s="24">
        <f>IF(AP103="",0,VLOOKUP(AP103,[1]BD_CUSTO!I:J,2,0)*AQ103/E103)</f>
        <v>0</v>
      </c>
      <c r="BE103" s="24">
        <f>IF(AR103="",0,VLOOKUP(AR103,CUSTO!I:J,2,0)*AS103/E103)</f>
        <v>0</v>
      </c>
      <c r="BF103" s="24">
        <f>IF(AT103="",0,VLOOKUP(AT103,[1]BD_CUSTO!I:J,2,0)*AU103/E103)</f>
        <v>0</v>
      </c>
      <c r="BG103" s="24">
        <f>IF(Tabela13[[#This Row],[LZ 10]]="",0,VLOOKUP(Tabela13[[#This Row],[LZ 10]],[1]BD_CUSTO!I:J,2,0)*Tabela13[[#This Row],[QTD922]]/E103)</f>
        <v>0</v>
      </c>
      <c r="BH103" s="30" t="s">
        <v>112</v>
      </c>
      <c r="BI103" s="33">
        <v>0.97</v>
      </c>
      <c r="BJ103" s="30" t="s">
        <v>212</v>
      </c>
      <c r="BK103" s="33">
        <v>0.53</v>
      </c>
      <c r="BL103" s="24">
        <f>IF(BH103=[1]BD_CUSTO!$M$6,[1]BD_CUSTO!$N$6)*BI103</f>
        <v>2910</v>
      </c>
      <c r="BM103" s="32">
        <f>IF(BJ103=[1]BD_CUSTO!$M$4,[1]BD_CUSTO!$N$4,[1]BD_CUSTO!$N$5)*BK103</f>
        <v>3180</v>
      </c>
      <c r="BN103" s="30" t="s">
        <v>114</v>
      </c>
      <c r="BO103" s="30">
        <v>445</v>
      </c>
      <c r="BP103" s="25">
        <f>Tabela13[[#This Row],[QTD ]]/Tabela13[[#This Row],[Nº UNDS]]</f>
        <v>1.135204081632653</v>
      </c>
      <c r="BQ103" s="30" t="s">
        <v>115</v>
      </c>
      <c r="BR103" s="30">
        <v>0</v>
      </c>
      <c r="BS103" s="22" t="s">
        <v>116</v>
      </c>
      <c r="BT103" s="30">
        <v>0</v>
      </c>
      <c r="BU103" s="30" t="s">
        <v>16</v>
      </c>
      <c r="BV103" s="30">
        <v>0</v>
      </c>
      <c r="BW103" s="32">
        <f>IF(BN103=[1]BD_CUSTO!$Q$7,[1]BD_CUSTO!$R$7,[1]BD_CUSTO!$R$8)*BO103/E103</f>
        <v>2270.408163265306</v>
      </c>
      <c r="BX103" s="32">
        <f>IF(BQ103=[1]BD_CUSTO!$Q$4,[1]BD_CUSTO!$R$4,[1]BD_CUSTO!$R$5)*BR103/E103</f>
        <v>0</v>
      </c>
      <c r="BY103" s="30">
        <f>IF(BS103=[1]BD_CUSTO!$Q$13,[1]BD_CUSTO!$R$13,[1]BD_CUSTO!$R$14)*BT103/E103</f>
        <v>0</v>
      </c>
      <c r="BZ103" s="24">
        <f>BV103*CUSTO!$R$10/E103</f>
        <v>0</v>
      </c>
      <c r="CA103" s="26">
        <f>SUM(Tabela13[[#This Row],[SOMA_PISO SALA E QUARTO]],Tabela13[[#This Row],[SOMA_PAREDE HIDR]],Tabela13[[#This Row],[SOMA_TETO]],Tabela13[[#This Row],[SOMA_BANCADA]],Tabela13[[#This Row],[SOMA_PEDRAS]])</f>
        <v>5435</v>
      </c>
      <c r="CB103" s="27" t="str">
        <f>IF(CA103&lt;=RÉGUAS!$D$4,"ACAB 01",IF(CA103&lt;=RÉGUAS!$F$4,"ACAB 02",IF(CA103&gt;RÉGUAS!$F$4,"ACAB 03",)))</f>
        <v>ACAB 03</v>
      </c>
      <c r="CC103" s="26">
        <f>SUM(Tabela13[[#This Row],[SOMA_LZ 01]:[SOMA_LZ 10]])</f>
        <v>1337.1775510204081</v>
      </c>
      <c r="CD103" s="22" t="str">
        <f>IF(CC103&lt;=RÉGUAS!$D$13,"LZ 01",IF(CC103&lt;=RÉGUAS!$F$13,"LZ 02",IF(CC103&lt;=RÉGUAS!$H$13,"LZ 03",IF(CC103&gt;RÉGUAS!$H$13,"LZ 04",))))</f>
        <v>LZ 02</v>
      </c>
      <c r="CE103" s="28">
        <f t="shared" si="8"/>
        <v>6090</v>
      </c>
      <c r="CF103" s="22" t="str">
        <f>IF(CE103&lt;=RÉGUAS!$D$22,"TIP 01",IF(CE103&lt;=RÉGUAS!$F$22,"TIP 02",IF(CE103&gt;RÉGUAS!$F$22,"TIP 03",)))</f>
        <v>TIP 03</v>
      </c>
      <c r="CG103" s="28">
        <f t="shared" si="9"/>
        <v>2270.408163265306</v>
      </c>
      <c r="CH103" s="22" t="str">
        <f>IF(CG103&lt;=RÉGUAS!$D$32,"VAGA 01",IF(CG103&lt;=RÉGUAS!$F$32,"VAGA 02",IF(CG103&gt;RÉGUAS!$F$32,"VAGA 03",)))</f>
        <v>VAGA 02</v>
      </c>
      <c r="CI103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4451.5714285714284</v>
      </c>
      <c r="CJ103" s="85" t="str">
        <f>IF(AND(G103="BLOCO",CI103&lt;=RÉGUAS!$D$40),"ELEV 01",IF(AND(G103="BLOCO",CI103&gt;RÉGUAS!$D$40),"ELEV 02",IF(AND(G103="TORRE",CI103&lt;=RÉGUAS!$K$40),"ELEV 01",IF(AND(G103="TORRE",CI103&lt;=RÉGUAS!$M$40),"ELEV 02",IF(AND(G103="TORRE",CI103&gt;RÉGUAS!$M$40),"ELEV 03",)))))</f>
        <v>ELEV 03</v>
      </c>
      <c r="CK103" s="85">
        <f>SUM(Tabela13[[#This Row],[TOTAL  ACAB]],Tabela13[[#This Row],[TOTAL LAZER ]],Tabela13[[#This Row],[TOTAL TIPOLOGIA]],Tabela13[[#This Row],[TOTAL VAGA]],Tabela13[[#This Row],[TOTAL ELEVADOR]])</f>
        <v>19584.157142857141</v>
      </c>
      <c r="CL103" s="72" t="str">
        <f>IF(AND(G103="BLOCO",CK103&lt;=RÉGUAS!$D$50),"ESSENCIAL",IF(AND(G103="BLOCO",CK103&lt;=RÉGUAS!$F$50),"ECO",IF(AND(G103="BLOCO",CK103&gt;RÉGUAS!$F$50),"BIO",IF(AND(G103="TORRE",CK103&lt;=RÉGUAS!$K$50),"ESSENCIAL",IF(AND(G103="TORRE",CK103&lt;=RÉGUAS!$M$50),"ECO",IF(AND(G103="TORRE",CK103&gt;RÉGUAS!$M$50),"BIO",))))))</f>
        <v>BIO</v>
      </c>
      <c r="CM103" s="28" t="str">
        <f>IF(AND(G103="BLOCO",CK103&gt;=RÉGUAS!$D$51,CK103&lt;=RÉGUAS!$D$50),"ESSENCIAL-10%",IF(AND(G103="BLOCO",CK103&gt;RÉGUAS!$D$50,CK103&lt;=RÉGUAS!$E$51),"ECO+10%",IF(AND(G103="BLOCO",CK103&gt;=RÉGUAS!$F$51,CK103&lt;=RÉGUAS!$F$50),"ECO-10%",IF(AND(G103="BLOCO",CK103&gt;RÉGUAS!$F$50,CK103&lt;=RÉGUAS!$G$51),"BIO+10%",IF(AND(G103="TORRE",CK103&gt;=RÉGUAS!$K$51,CK103&lt;=RÉGUAS!$K$50),"ESSENCIAL-10%",IF(AND(G103="TORRE",CK103&gt;RÉGUAS!$K$50,CK103&lt;=RÉGUAS!$L$51),"ECO+10%",IF(AND(G103="TORRE",CK103&gt;=RÉGUAS!$M$51,CK103&lt;=RÉGUAS!$M$50),"ECO-10%",IF(AND(G103="TORRE",CK103&gt;RÉGUAS!$M$50,CK103&lt;=RÉGUAS!$N$51),"BIO+10%","-"))))))))</f>
        <v>-</v>
      </c>
      <c r="CN103" s="73">
        <f t="shared" si="10"/>
        <v>15132.585714285713</v>
      </c>
      <c r="CO103" s="72" t="str">
        <f>IF(CN103&lt;=RÉGUAS!$D$58,"ESSENCIAL",IF(CN103&lt;=RÉGUAS!$F$58,"ECO",IF(CN103&gt;RÉGUAS!$F$58,"BIO",)))</f>
        <v>BIO</v>
      </c>
      <c r="CP103" s="72" t="str">
        <f>IF(Tabela13[[#This Row],[INTERVALO DE INTERSEÇÃO 5D]]="-",Tabela13[[#This Row],[CLASSIFICAÇÃO 
5D ]],Tabela13[[#This Row],[CLASSIFICAÇÃO 
4D]])</f>
        <v>BIO</v>
      </c>
      <c r="CQ103" s="72" t="str">
        <f t="shared" si="11"/>
        <v>-</v>
      </c>
      <c r="CR103" s="72" t="str">
        <f t="shared" si="12"/>
        <v>BIO</v>
      </c>
      <c r="CS103" s="22" t="str">
        <f>IF(Tabela13[[#This Row],[PRODUTO ATUAL ]]=Tabela13[[#This Row],[CLASSIFICAÇÃO FINAL 5D]],"ADERÊNTE","NÃO ADERÊNTE")</f>
        <v>ADERÊNTE</v>
      </c>
      <c r="CT103" s="24">
        <f>SUM(Tabela13[[#This Row],[TOTAL  ACAB]],Tabela13[[#This Row],[TOTAL LAZER ]],Tabela13[[#This Row],[TOTAL TIPOLOGIA]],Tabela13[[#This Row],[TOTAL VAGA]])</f>
        <v>15132.585714285713</v>
      </c>
      <c r="CU103" s="22" t="str">
        <f>IF(CT103&lt;=RÉGUAS!$D$58,"ESSENCIAL",IF(CT103&lt;=RÉGUAS!$F$58,"ECO",IF(CT103&gt;RÉGUAS!$F$58,"BIO",)))</f>
        <v>BIO</v>
      </c>
      <c r="CV103" s="22" t="str">
        <f>IF(AND(CT103&gt;=RÉGUAS!$D$59,CT103&lt;=RÉGUAS!$E$59),"ESSENCIAL/ECO",IF(AND(CT103&gt;=RÉGUAS!$F$59,CT103&lt;=RÉGUAS!$G$59),"ECO/BIO","-"))</f>
        <v>-</v>
      </c>
      <c r="CW103" s="85">
        <f>SUM(Tabela13[[#This Row],[TOTAL LAZER ]],Tabela13[[#This Row],[TOTAL TIPOLOGIA]])</f>
        <v>7427.1775510204079</v>
      </c>
      <c r="CX103" s="22" t="str">
        <f>IF(CW103&lt;=RÉGUAS!$D$72,"ESSENCIAL",IF(CW103&lt;=RÉGUAS!$F$72,"ECO",IF(CN103&gt;RÉGUAS!$F$72,"BIO",)))</f>
        <v>BIO</v>
      </c>
      <c r="CY103" s="22" t="str">
        <f t="shared" si="13"/>
        <v>BIO</v>
      </c>
      <c r="CZ103" s="22" t="str">
        <f>IF(Tabela13[[#This Row],[PRODUTO ATUAL ]]=CY103,"ADERENTE","NÃO ADERENTE")</f>
        <v>ADERENTE</v>
      </c>
      <c r="DA103" s="22" t="str">
        <f>IF(Tabela13[[#This Row],[PRODUTO ATUAL ]]=Tabela13[[#This Row],[CLASSIFICAÇÃO 
4D2]],"ADERENTE","NÃO ADERENTE")</f>
        <v>ADERENTE</v>
      </c>
    </row>
    <row r="104" spans="2:105" hidden="1" x14ac:dyDescent="0.35">
      <c r="B104" s="27">
        <v>101</v>
      </c>
      <c r="C104" s="30" t="s">
        <v>244</v>
      </c>
      <c r="D104" s="30" t="s">
        <v>128</v>
      </c>
      <c r="E104" s="31">
        <v>216</v>
      </c>
      <c r="F104" s="30" t="str">
        <f t="shared" si="7"/>
        <v>De 200 a 400 und</v>
      </c>
      <c r="G104" s="30" t="s">
        <v>14</v>
      </c>
      <c r="H104" s="37">
        <v>2</v>
      </c>
      <c r="I104" s="37">
        <v>9</v>
      </c>
      <c r="J104" s="37"/>
      <c r="K104" s="37"/>
      <c r="L104" s="37">
        <f>SUM(Tabela13[[#This Row],[QTD DE B/T 2]],Tabela13[[#This Row],[QTD DE B/T]])</f>
        <v>2</v>
      </c>
      <c r="M104" s="30">
        <v>4</v>
      </c>
      <c r="N104" s="22">
        <f>Tabela13[[#This Row],[ELEVADOR]]/Tabela13[[#This Row],[BLOCO TOTAL]]</f>
        <v>2</v>
      </c>
      <c r="O104" s="30" t="s">
        <v>4</v>
      </c>
      <c r="P104" s="30" t="s">
        <v>101</v>
      </c>
      <c r="Q104" s="30" t="s">
        <v>101</v>
      </c>
      <c r="R104" s="30" t="s">
        <v>102</v>
      </c>
      <c r="S104" s="30" t="s">
        <v>159</v>
      </c>
      <c r="T104" s="30" t="s">
        <v>173</v>
      </c>
      <c r="U104" s="30" t="s">
        <v>174</v>
      </c>
      <c r="V104" s="30" t="s">
        <v>106</v>
      </c>
      <c r="W104" s="24">
        <f>IF(P104=[1]BD_CUSTO!$E$4,[1]BD_CUSTO!$F$4,[1]BD_CUSTO!$F$5)</f>
        <v>2430</v>
      </c>
      <c r="X104" s="24">
        <f>IF(Q104=[1]BD_CUSTO!$E$6,[1]BD_CUSTO!$F$6,[1]BD_CUSTO!$F$7)</f>
        <v>260</v>
      </c>
      <c r="Y104" s="24">
        <f>IF(R104=[1]BD_CUSTO!$E$8,[1]BD_CUSTO!$F$8,[1]BD_CUSTO!$F$9)</f>
        <v>600</v>
      </c>
      <c r="Z104" s="24">
        <f>IF(S104=[1]BD_CUSTO!$E$10,[1]BD_CUSTO!$F$10,[1]BD_CUSTO!$F$11)</f>
        <v>935</v>
      </c>
      <c r="AA104" s="24">
        <f>IF(T104=[1]BD_CUSTO!$E$12,[1]BD_CUSTO!$F$12,[1]BD_CUSTO!$F$13)</f>
        <v>930</v>
      </c>
      <c r="AB104" s="24">
        <f>IF(U104=[1]BD_CUSTO!$E$14,[1]BD_CUSTO!$F$14,[1]BD_CUSTO!$F$15)</f>
        <v>240</v>
      </c>
      <c r="AC104" s="24">
        <f>IF(V104=[1]BD_CUSTO!$E$16,[1]BD_CUSTO!$F$16,[1]BD_CUSTO!$F$17)</f>
        <v>720</v>
      </c>
      <c r="AD104" s="30" t="s">
        <v>108</v>
      </c>
      <c r="AE104" s="30">
        <v>1</v>
      </c>
      <c r="AF104" s="30" t="s">
        <v>110</v>
      </c>
      <c r="AG104" s="30">
        <v>6</v>
      </c>
      <c r="AH104" s="30" t="s">
        <v>121</v>
      </c>
      <c r="AI104" s="30">
        <v>1</v>
      </c>
      <c r="AJ104" s="30" t="s">
        <v>175</v>
      </c>
      <c r="AK104" s="30">
        <v>1</v>
      </c>
      <c r="AL104" s="30" t="s">
        <v>109</v>
      </c>
      <c r="AM104" s="30">
        <v>1</v>
      </c>
      <c r="AN104" s="30" t="s">
        <v>129</v>
      </c>
      <c r="AO104" s="30">
        <v>1</v>
      </c>
      <c r="AP104" s="30" t="s">
        <v>139</v>
      </c>
      <c r="AQ104" s="30">
        <v>1</v>
      </c>
      <c r="AR104" s="30" t="s">
        <v>135</v>
      </c>
      <c r="AS104" s="30">
        <v>1</v>
      </c>
      <c r="AT104" s="30" t="s">
        <v>111</v>
      </c>
      <c r="AU104" s="30">
        <v>1</v>
      </c>
      <c r="AV104" s="30" t="s">
        <v>107</v>
      </c>
      <c r="AW104" s="30">
        <v>2</v>
      </c>
      <c r="AX104" s="32">
        <f>IF(AD104="",0,VLOOKUP(AD104,[1]BD_CUSTO!I:J,2,0)*AE104/E104)</f>
        <v>107.17592592592592</v>
      </c>
      <c r="AY104" s="32">
        <f>IF(AF104="",0,VLOOKUP(AF104,[1]BD_CUSTO!I:J,2,0)*AG104/E104)</f>
        <v>147.22222222222223</v>
      </c>
      <c r="AZ104" s="32">
        <f>IF(AH104="",0,VLOOKUP(AH104,[1]BD_CUSTO!I:J,2,0)*AI104/E104)</f>
        <v>570.17083333333335</v>
      </c>
      <c r="BA104" s="32">
        <f>IF(AJ104="",0,VLOOKUP(AJ104,[1]BD_CUSTO!I:J,2,0)*AK104/E104)</f>
        <v>49.953703703703702</v>
      </c>
      <c r="BB104" s="32">
        <f>IF(AL104="",0,VLOOKUP(AL104,[1]BD_CUSTO!I:J,2,0)*AM104/E104)</f>
        <v>32.175925925925924</v>
      </c>
      <c r="BC104" s="32">
        <f>IF(AN104="",0,VLOOKUP(AN104,[1]BD_CUSTO!I:J,2,0)*AO104/E104)</f>
        <v>1273.9239814814816</v>
      </c>
      <c r="BD104" s="32">
        <f>IF(AP104="",0,VLOOKUP(AP104,[1]BD_CUSTO!I:J,2,0)*AQ104/E104)</f>
        <v>287.76074074074074</v>
      </c>
      <c r="BE104" s="32">
        <f>IF(AR104="",0,VLOOKUP(AR104,CUSTO!I:J,2,0)*AS104/E104)</f>
        <v>583.65111111111116</v>
      </c>
      <c r="BF104" s="24">
        <f>IF(AT104="",0,VLOOKUP(AT104,[1]BD_CUSTO!I:J,2,0)*AU104/E104)</f>
        <v>75</v>
      </c>
      <c r="BG104" s="24">
        <f>IF(Tabela13[[#This Row],[LZ 10]]="",0,VLOOKUP(Tabela13[[#This Row],[LZ 10]],[1]BD_CUSTO!I:J,2,0)*Tabela13[[#This Row],[QTD922]]/E104)</f>
        <v>788.4177777777777</v>
      </c>
      <c r="BH104" s="30" t="s">
        <v>112</v>
      </c>
      <c r="BI104" s="33">
        <v>0.89</v>
      </c>
      <c r="BJ104" s="30" t="s">
        <v>212</v>
      </c>
      <c r="BK104" s="33">
        <v>0.33</v>
      </c>
      <c r="BL104" s="32">
        <f>IF(BH104=[1]BD_CUSTO!$M$6,[1]BD_CUSTO!$N$6)*BI104</f>
        <v>2670</v>
      </c>
      <c r="BM104" s="32">
        <f>IF(BJ104=[1]BD_CUSTO!$M$4,[1]BD_CUSTO!$N$4,[1]BD_CUSTO!$N$5)*BK104</f>
        <v>1980</v>
      </c>
      <c r="BN104" s="30" t="s">
        <v>114</v>
      </c>
      <c r="BO104" s="30">
        <v>253</v>
      </c>
      <c r="BP104" s="25">
        <f>Tabela13[[#This Row],[QTD ]]/Tabela13[[#This Row],[Nº UNDS]]</f>
        <v>1.1712962962962963</v>
      </c>
      <c r="BQ104" s="30" t="s">
        <v>123</v>
      </c>
      <c r="BR104" s="30">
        <v>6</v>
      </c>
      <c r="BS104" s="22" t="s">
        <v>116</v>
      </c>
      <c r="BT104" s="30">
        <v>0</v>
      </c>
      <c r="BU104" s="30" t="s">
        <v>16</v>
      </c>
      <c r="BV104" s="30">
        <v>0</v>
      </c>
      <c r="BW104" s="32">
        <f>IF(BN104=[1]BD_CUSTO!$Q$7,[1]BD_CUSTO!$R$7,[1]BD_CUSTO!$R$8)*BO104/E104</f>
        <v>2342.5925925925926</v>
      </c>
      <c r="BX104" s="32">
        <f>IF(BQ104=[1]BD_CUSTO!$Q$4,[1]BD_CUSTO!$R$4,[1]BD_CUSTO!$R$5)*BR104/E104</f>
        <v>27.777777777777779</v>
      </c>
      <c r="BY104" s="30">
        <f>IF(BS104=[1]BD_CUSTO!$Q$13,[1]BD_CUSTO!$R$13,[1]BD_CUSTO!$R$14)*BT104/E104</f>
        <v>0</v>
      </c>
      <c r="BZ104" s="24">
        <f>BV104*CUSTO!$R$10/E104</f>
        <v>0</v>
      </c>
      <c r="CA104" s="26">
        <f>SUM(Tabela13[[#This Row],[SOMA_PISO SALA E QUARTO]],Tabela13[[#This Row],[SOMA_PAREDE HIDR]],Tabela13[[#This Row],[SOMA_TETO]],Tabela13[[#This Row],[SOMA_BANCADA]],Tabela13[[#This Row],[SOMA_PEDRAS]])</f>
        <v>5135</v>
      </c>
      <c r="CB104" s="27" t="str">
        <f>IF(CA104&lt;=RÉGUAS!$D$4,"ACAB 01",IF(CA104&lt;=RÉGUAS!$F$4,"ACAB 02",IF(CA104&gt;RÉGUAS!$F$4,"ACAB 03",)))</f>
        <v>ACAB 03</v>
      </c>
      <c r="CC104" s="26">
        <f>SUM(Tabela13[[#This Row],[SOMA_LZ 01]:[SOMA_LZ 10]])</f>
        <v>3915.4522222222226</v>
      </c>
      <c r="CD104" s="22" t="str">
        <f>IF(CC104&lt;=RÉGUAS!$D$13,"LZ 01",IF(CC104&lt;=RÉGUAS!$F$13,"LZ 02",IF(CC104&lt;=RÉGUAS!$H$13,"LZ 03",IF(CC104&gt;RÉGUAS!$H$13,"LZ 04",))))</f>
        <v>LZ 04</v>
      </c>
      <c r="CE104" s="34">
        <f t="shared" si="8"/>
        <v>4650</v>
      </c>
      <c r="CF104" s="22" t="str">
        <f>IF(CE104&lt;=RÉGUAS!$D$22,"TIP 01",IF(CE104&lt;=RÉGUAS!$F$22,"TIP 02",IF(CE104&gt;RÉGUAS!$F$22,"TIP 03",)))</f>
        <v>TIP 03</v>
      </c>
      <c r="CG104" s="34">
        <f t="shared" si="9"/>
        <v>2370.3703703703704</v>
      </c>
      <c r="CH104" s="30" t="str">
        <f>IF(CG104&lt;=RÉGUAS!$D$32,"VAGA 01",IF(CG104&lt;=RÉGUAS!$F$32,"VAGA 02",IF(CG104&gt;RÉGUAS!$F$32,"VAGA 03",)))</f>
        <v>VAGA 02</v>
      </c>
      <c r="CI104" s="85">
        <f>IF(Tabela13[[#This Row],[TIPO]]="BLOCO",((((CUSTO!$V$23*Tabela13[[#This Row],[Nº PAV1]])+(CUSTO!$V$23*Tabela13[[#This Row],[Nº PAV2]]))*Tabela13[[#This Row],[ELEVADOR]])/Tabela13[[#This Row],[Nº UNDS]]),
IF(Tabela13[[#This Row],[Nº PAV1]]&lt;=11,((((CUSTO!$V$24*Tabela13[[#This Row],[Nº PAV1]])+(CUSTO!$V$24*Tabela13[[#This Row],[Nº PAV2]]))*Tabela13[[#This Row],[ELEVADOR]])/Tabela13[[#This Row],[Nº UNDS]]),
IF(Tabela13[[#This Row],[Nº PAV1]]&gt;11,((((CUSTO!$V$25*Tabela13[[#This Row],[Nº PAV1]])+(CUSTO!$V$25*Tabela13[[#This Row],[Nº PAV2]]))*Tabela13[[#This Row],[ELEVADOR]])/Tabela13[[#This Row],[Nº UNDS]]),"0")))</f>
        <v>3290.8333333333335</v>
      </c>
      <c r="CJ104" s="85" t="str">
        <f>IF(AND(G104="BLOCO",CI104&lt;=RÉGUAS!$D$40),"ELEV 01",IF(AND(G104="BLOCO",CI104&gt;RÉGUAS!$D$40),"ELEV 02",IF(AND(G104="TORRE",CI104&lt;=RÉGUAS!$K$40),"ELEV 01",IF(AND(G104="TORRE",CI104&lt;=RÉGUAS!$M$40),"ELEV 02",IF(AND(G104="TORRE",CI104&gt;RÉGUAS!$M$40),"ELEV 03",)))))</f>
        <v>ELEV 03</v>
      </c>
      <c r="CK104" s="85">
        <f>SUM(Tabela13[[#This Row],[TOTAL  ACAB]],Tabela13[[#This Row],[TOTAL LAZER ]],Tabela13[[#This Row],[TOTAL TIPOLOGIA]],Tabela13[[#This Row],[TOTAL VAGA]],Tabela13[[#This Row],[TOTAL ELEVADOR]])</f>
        <v>19361.655925925927</v>
      </c>
      <c r="CL104" s="72" t="str">
        <f>IF(AND(G104="BLOCO",CK104&lt;=RÉGUAS!$D$50),"ESSENCIAL",IF(AND(G104="BLOCO",CK104&lt;=RÉGUAS!$F$50),"ECO",IF(AND(G104="BLOCO",CK104&gt;RÉGUAS!$F$50),"BIO",IF(AND(G104="TORRE",CK104&lt;=RÉGUAS!$K$50),"ESSENCIAL",IF(AND(G104="TORRE",CK104&lt;=RÉGUAS!$M$50),"ECO",IF(AND(G104="TORRE",CK104&gt;RÉGUAS!$M$50),"BIO",))))))</f>
        <v>BIO</v>
      </c>
      <c r="CM104" s="28" t="str">
        <f>IF(AND(G104="BLOCO",CK104&gt;=RÉGUAS!$D$51,CK104&lt;=RÉGUAS!$D$50),"ESSENCIAL-10%",IF(AND(G104="BLOCO",CK104&gt;RÉGUAS!$D$50,CK104&lt;=RÉGUAS!$E$51),"ECO+10%",IF(AND(G104="BLOCO",CK104&gt;=RÉGUAS!$F$51,CK104&lt;=RÉGUAS!$F$50),"ECO-10%",IF(AND(G104="BLOCO",CK104&gt;RÉGUAS!$F$50,CK104&lt;=RÉGUAS!$G$51),"BIO+10%",IF(AND(G104="TORRE",CK104&gt;=RÉGUAS!$K$51,CK104&lt;=RÉGUAS!$K$50),"ESSENCIAL-10%",IF(AND(G104="TORRE",CK104&gt;RÉGUAS!$K$50,CK104&lt;=RÉGUAS!$L$51),"ECO+10%",IF(AND(G104="TORRE",CK104&gt;=RÉGUAS!$M$51,CK104&lt;=RÉGUAS!$M$50),"ECO-10%",IF(AND(G104="TORRE",CK104&gt;RÉGUAS!$M$50,CK104&lt;=RÉGUAS!$N$51),"BIO+10%","-"))))))))</f>
        <v>-</v>
      </c>
      <c r="CN104" s="73">
        <f t="shared" si="10"/>
        <v>16070.822592592593</v>
      </c>
      <c r="CO104" s="72" t="str">
        <f>IF(CN104&lt;=RÉGUAS!$D$58,"ESSENCIAL",IF(CN104&lt;=RÉGUAS!$F$58,"ECO",IF(CN104&gt;RÉGUAS!$F$58,"BIO",)))</f>
        <v>BIO</v>
      </c>
      <c r="CP104" s="72" t="str">
        <f>IF(Tabela13[[#This Row],[INTERVALO DE INTERSEÇÃO 5D]]="-",Tabela13[[#This Row],[CLASSIFICAÇÃO 
5D ]],Tabela13[[#This Row],[CLASSIFICAÇÃO 
4D]])</f>
        <v>BIO</v>
      </c>
      <c r="CQ104" s="72" t="str">
        <f t="shared" si="11"/>
        <v>-</v>
      </c>
      <c r="CR104" s="72" t="str">
        <f t="shared" si="12"/>
        <v>BIO</v>
      </c>
      <c r="CS104" s="22" t="str">
        <f>IF(Tabela13[[#This Row],[PRODUTO ATUAL ]]=Tabela13[[#This Row],[CLASSIFICAÇÃO FINAL 5D]],"ADERÊNTE","NÃO ADERÊNTE")</f>
        <v>ADERÊNTE</v>
      </c>
      <c r="CT104" s="32">
        <f>SUM(Tabela13[[#This Row],[TOTAL  ACAB]],Tabela13[[#This Row],[TOTAL LAZER ]],Tabela13[[#This Row],[TOTAL TIPOLOGIA]],Tabela13[[#This Row],[TOTAL VAGA]])</f>
        <v>16070.822592592593</v>
      </c>
      <c r="CU104" s="30" t="str">
        <f>IF(CT104&lt;=RÉGUAS!$D$58,"ESSENCIAL",IF(CT104&lt;=RÉGUAS!$F$58,"ECO",IF(CT104&gt;RÉGUAS!$F$58,"BIO",)))</f>
        <v>BIO</v>
      </c>
      <c r="CV104" s="30" t="str">
        <f>IF(AND(CT104&gt;=RÉGUAS!$D$59,CT104&lt;=RÉGUAS!$E$59),"ESSENCIAL/ECO",IF(AND(CT104&gt;=RÉGUAS!$F$59,CT104&lt;=RÉGUAS!$G$59),"ECO/BIO","-"))</f>
        <v>-</v>
      </c>
      <c r="CW104" s="85">
        <f>SUM(Tabela13[[#This Row],[TOTAL LAZER ]],Tabela13[[#This Row],[TOTAL TIPOLOGIA]])</f>
        <v>8565.4522222222222</v>
      </c>
      <c r="CX104" s="30" t="str">
        <f>IF(CW104&lt;=RÉGUAS!$D$72,"ESSENCIAL",IF(CW104&lt;=RÉGUAS!$F$72,"ECO",IF(CN104&gt;RÉGUAS!$F$72,"BIO",)))</f>
        <v>BIO</v>
      </c>
      <c r="CY104" s="30" t="str">
        <f t="shared" si="13"/>
        <v>BIO</v>
      </c>
      <c r="CZ104" s="30" t="str">
        <f>IF(Tabela13[[#This Row],[PRODUTO ATUAL ]]=CY104,"ADERENTE","NÃO ADERENTE")</f>
        <v>ADERENTE</v>
      </c>
      <c r="DA104" s="30" t="str">
        <f>IF(Tabela13[[#This Row],[PRODUTO ATUAL ]]=Tabela13[[#This Row],[CLASSIFICAÇÃO 
4D2]],"ADERENTE","NÃO ADERENTE")</f>
        <v>ADERENTE</v>
      </c>
    </row>
    <row r="105" spans="2:105" customFormat="1" x14ac:dyDescent="0.35">
      <c r="CL105" s="51"/>
      <c r="CM105" s="51"/>
      <c r="CO105" s="51"/>
      <c r="CP105" s="51"/>
      <c r="CQ105" s="51"/>
      <c r="CR105" s="51"/>
      <c r="CT105" s="142"/>
      <c r="CU105" s="51"/>
      <c r="CV105" s="51"/>
      <c r="CW105" s="103"/>
      <c r="CX105" s="51"/>
      <c r="CY105" s="51"/>
      <c r="CZ105" s="51"/>
    </row>
    <row r="107" spans="2:105" x14ac:dyDescent="0.35">
      <c r="J107" s="264"/>
      <c r="K107" s="264"/>
      <c r="L107" s="141"/>
      <c r="M107" s="87"/>
      <c r="BH107" s="35">
        <v>288</v>
      </c>
      <c r="BI107" s="35">
        <v>100</v>
      </c>
    </row>
    <row r="108" spans="2:105" x14ac:dyDescent="0.35">
      <c r="G108" s="87"/>
      <c r="H108" s="87"/>
      <c r="I108" s="87"/>
      <c r="J108" s="87"/>
      <c r="BH108" s="35">
        <f>136+8</f>
        <v>144</v>
      </c>
      <c r="BI108" s="91">
        <f>BH108/BH107</f>
        <v>0.5</v>
      </c>
      <c r="CQ108"/>
      <c r="CR108"/>
    </row>
    <row r="109" spans="2:105" x14ac:dyDescent="0.35">
      <c r="G109" s="140"/>
      <c r="H109" s="87"/>
      <c r="K109" s="91"/>
      <c r="BI109" s="91"/>
      <c r="BJ109" s="176">
        <v>102</v>
      </c>
      <c r="BK109" s="35">
        <v>100</v>
      </c>
      <c r="BQ109" s="175"/>
      <c r="CN109" s="87"/>
      <c r="CQ109"/>
      <c r="CR109" s="90"/>
    </row>
    <row r="110" spans="2:105" x14ac:dyDescent="0.35">
      <c r="K110" s="91"/>
      <c r="BJ110" s="35">
        <v>3</v>
      </c>
      <c r="BK110" s="91">
        <f>BJ110/BJ109</f>
        <v>2.9411764705882353E-2</v>
      </c>
    </row>
    <row r="111" spans="2:105" x14ac:dyDescent="0.35">
      <c r="H111" s="91"/>
      <c r="BH111" s="35">
        <f>8*15</f>
        <v>120</v>
      </c>
      <c r="BT111" s="91"/>
    </row>
    <row r="112" spans="2:105" x14ac:dyDescent="0.35">
      <c r="BH112" s="35">
        <f>BH111*4</f>
        <v>480</v>
      </c>
    </row>
    <row r="113" spans="6:62" x14ac:dyDescent="0.35">
      <c r="F113" s="91"/>
    </row>
    <row r="114" spans="6:62" x14ac:dyDescent="0.35">
      <c r="BJ114" s="35">
        <f>271+9</f>
        <v>280</v>
      </c>
    </row>
    <row r="115" spans="6:62" x14ac:dyDescent="0.35">
      <c r="H115" s="91"/>
      <c r="I115" s="91"/>
      <c r="J115" s="91"/>
      <c r="K115" s="91"/>
      <c r="L115" s="91"/>
      <c r="M115" s="91"/>
      <c r="N115" s="91"/>
    </row>
    <row r="116" spans="6:62" x14ac:dyDescent="0.35">
      <c r="H116" s="91"/>
      <c r="I116" s="91"/>
      <c r="J116" s="91"/>
      <c r="K116" s="91"/>
      <c r="L116" s="91"/>
      <c r="M116" s="91"/>
      <c r="N116" s="91"/>
    </row>
    <row r="117" spans="6:62" x14ac:dyDescent="0.35">
      <c r="H117" s="91"/>
      <c r="I117" s="91"/>
      <c r="J117" s="91"/>
      <c r="K117" s="91"/>
      <c r="L117" s="91"/>
      <c r="M117" s="91"/>
      <c r="N117" s="91"/>
    </row>
    <row r="118" spans="6:62" x14ac:dyDescent="0.35">
      <c r="H118" s="91"/>
      <c r="I118" s="191">
        <v>102</v>
      </c>
      <c r="J118" s="91">
        <v>1</v>
      </c>
      <c r="K118" s="91"/>
      <c r="L118" s="91"/>
      <c r="M118" s="91"/>
      <c r="N118" s="91"/>
    </row>
    <row r="119" spans="6:62" x14ac:dyDescent="0.35">
      <c r="H119" s="91"/>
      <c r="I119" s="191">
        <v>9</v>
      </c>
      <c r="J119" s="91">
        <f>I119/I118</f>
        <v>8.8235294117647065E-2</v>
      </c>
      <c r="K119" s="91"/>
      <c r="L119" s="91"/>
      <c r="M119" s="91"/>
      <c r="N119" s="91"/>
    </row>
    <row r="120" spans="6:62" x14ac:dyDescent="0.35">
      <c r="M120" s="87"/>
    </row>
  </sheetData>
  <mergeCells count="2">
    <mergeCell ref="CT1:CV1"/>
    <mergeCell ref="J107:K107"/>
  </mergeCells>
  <conditionalFormatting sqref="O1:O1048576">
    <cfRule type="containsText" dxfId="51" priority="7" operator="containsText" text="BIO">
      <formula>NOT(ISERROR(SEARCH("BIO",O1)))</formula>
    </cfRule>
    <cfRule type="containsText" dxfId="50" priority="8" operator="containsText" text="ECO">
      <formula>NOT(ISERROR(SEARCH("ECO",O1)))</formula>
    </cfRule>
    <cfRule type="containsText" dxfId="49" priority="9" operator="containsText" text="ESSENCIAL">
      <formula>NOT(ISERROR(SEARCH("ESSENCIAL",O1)))</formula>
    </cfRule>
  </conditionalFormatting>
  <conditionalFormatting sqref="CB1:CB1048576">
    <cfRule type="containsText" dxfId="48" priority="21" operator="containsText" text="ACAB 03">
      <formula>NOT(ISERROR(SEARCH("ACAB 03",CB1)))</formula>
    </cfRule>
    <cfRule type="containsText" dxfId="47" priority="22" operator="containsText" text="ACAB 02">
      <formula>NOT(ISERROR(SEARCH("ACAB 02",CB1)))</formula>
    </cfRule>
    <cfRule type="containsText" dxfId="46" priority="23" operator="containsText" text="ACAB 01">
      <formula>NOT(ISERROR(SEARCH("ACAB 01",CB1)))</formula>
    </cfRule>
  </conditionalFormatting>
  <conditionalFormatting sqref="CD1:CD1048576">
    <cfRule type="containsText" dxfId="45" priority="17" operator="containsText" text="LZ 04">
      <formula>NOT(ISERROR(SEARCH("LZ 04",CD1)))</formula>
    </cfRule>
    <cfRule type="containsText" dxfId="44" priority="18" operator="containsText" text="LZ 03">
      <formula>NOT(ISERROR(SEARCH("LZ 03",CD1)))</formula>
    </cfRule>
    <cfRule type="containsText" dxfId="43" priority="19" operator="containsText" text="LZ 02">
      <formula>NOT(ISERROR(SEARCH("LZ 02",CD1)))</formula>
    </cfRule>
    <cfRule type="containsText" dxfId="42" priority="20" operator="containsText" text="LZ 01">
      <formula>NOT(ISERROR(SEARCH("LZ 01",CD1)))</formula>
    </cfRule>
  </conditionalFormatting>
  <conditionalFormatting sqref="CF1:CF1048576">
    <cfRule type="containsText" dxfId="41" priority="13" operator="containsText" text="TIP 04">
      <formula>NOT(ISERROR(SEARCH("TIP 04",CF1)))</formula>
    </cfRule>
    <cfRule type="containsText" dxfId="40" priority="14" operator="containsText" text="TIP 03">
      <formula>NOT(ISERROR(SEARCH("TIP 03",CF1)))</formula>
    </cfRule>
    <cfRule type="containsText" dxfId="39" priority="15" operator="containsText" text="TIP 02">
      <formula>NOT(ISERROR(SEARCH("TIP 02",CF1)))</formula>
    </cfRule>
    <cfRule type="containsText" dxfId="38" priority="16" operator="containsText" text="TIP 01">
      <formula>NOT(ISERROR(SEARCH("TIP 01",CF1)))</formula>
    </cfRule>
  </conditionalFormatting>
  <conditionalFormatting sqref="CH1:CH1048576">
    <cfRule type="containsText" dxfId="37" priority="10" operator="containsText" text="VAGA 03">
      <formula>NOT(ISERROR(SEARCH("VAGA 03",CH1)))</formula>
    </cfRule>
    <cfRule type="containsText" dxfId="36" priority="11" operator="containsText" text="VAGA 02">
      <formula>NOT(ISERROR(SEARCH("VAGA 02",CH1)))</formula>
    </cfRule>
    <cfRule type="containsText" dxfId="35" priority="12" operator="containsText" text="VAGA 01">
      <formula>NOT(ISERROR(SEARCH("VAGA 01",CH1)))</formula>
    </cfRule>
  </conditionalFormatting>
  <conditionalFormatting sqref="CI1:CK1048576">
    <cfRule type="containsText" dxfId="34" priority="4" operator="containsText" text="ELEV 03">
      <formula>NOT(ISERROR(SEARCH("ELEV 03",CI1)))</formula>
    </cfRule>
    <cfRule type="containsText" dxfId="33" priority="5" operator="containsText" text="ELEV 02">
      <formula>NOT(ISERROR(SEARCH("ELEV 02",CI1)))</formula>
    </cfRule>
    <cfRule type="containsText" dxfId="32" priority="6" operator="containsText" text="ELEV 01">
      <formula>NOT(ISERROR(SEARCH("ELEV 01",CI1)))</formula>
    </cfRule>
  </conditionalFormatting>
  <conditionalFormatting sqref="CL2:CO104 CP2:CR1048576 CT2:CY1048576 CN105:CO105 CL105:CL106 CM106:CO106 CL107:CO1048576">
    <cfRule type="containsText" dxfId="31" priority="1" operator="containsText" text="BIO">
      <formula>NOT(ISERROR(SEARCH("BIO",CL2)))</formula>
    </cfRule>
    <cfRule type="containsText" dxfId="30" priority="2" operator="containsText" text="ECO">
      <formula>NOT(ISERROR(SEARCH("ECO",CL2)))</formula>
    </cfRule>
    <cfRule type="containsText" dxfId="29" priority="3" operator="containsText" text="ESSENCIAL">
      <formula>NOT(ISERROR(SEARCH("ESSENCIAL",CL2)))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2ACAD-5309-4A57-92CD-85892852B1E8}">
  <dimension ref="A2:C104"/>
  <sheetViews>
    <sheetView topLeftCell="A67" zoomScale="70" zoomScaleNormal="70" workbookViewId="0">
      <selection activeCell="K97" sqref="K96:K97"/>
    </sheetView>
  </sheetViews>
  <sheetFormatPr defaultRowHeight="14.5" x14ac:dyDescent="0.35"/>
  <cols>
    <col min="1" max="1" width="43" bestFit="1" customWidth="1"/>
    <col min="2" max="2" width="15.90625" customWidth="1"/>
  </cols>
  <sheetData>
    <row r="2" spans="1:3" x14ac:dyDescent="0.35">
      <c r="A2" t="s">
        <v>19</v>
      </c>
      <c r="B2" t="s">
        <v>89</v>
      </c>
      <c r="C2" t="s">
        <v>346</v>
      </c>
    </row>
    <row r="3" spans="1:3" x14ac:dyDescent="0.35">
      <c r="A3" t="s">
        <v>127</v>
      </c>
      <c r="B3" s="28">
        <v>984.61538461538453</v>
      </c>
      <c r="C3" t="s">
        <v>9</v>
      </c>
    </row>
    <row r="4" spans="1:3" x14ac:dyDescent="0.35">
      <c r="A4" t="s">
        <v>117</v>
      </c>
      <c r="B4" s="28">
        <v>761.57407407407402</v>
      </c>
      <c r="C4" t="s">
        <v>9</v>
      </c>
    </row>
    <row r="5" spans="1:3" x14ac:dyDescent="0.35">
      <c r="A5" t="s">
        <v>130</v>
      </c>
      <c r="B5" s="28">
        <v>792.85714285714289</v>
      </c>
      <c r="C5" t="s">
        <v>9</v>
      </c>
    </row>
    <row r="6" spans="1:3" x14ac:dyDescent="0.35">
      <c r="A6" t="s">
        <v>144</v>
      </c>
      <c r="B6" s="28">
        <v>1581.4606741573034</v>
      </c>
      <c r="C6" t="s">
        <v>9</v>
      </c>
    </row>
    <row r="7" spans="1:3" x14ac:dyDescent="0.35">
      <c r="A7" t="s">
        <v>165</v>
      </c>
      <c r="B7" s="28">
        <v>392.15686274509807</v>
      </c>
      <c r="C7" t="s">
        <v>9</v>
      </c>
    </row>
    <row r="8" spans="1:3" x14ac:dyDescent="0.35">
      <c r="A8" t="s">
        <v>136</v>
      </c>
      <c r="B8" s="171">
        <v>1439.3939393939395</v>
      </c>
      <c r="C8" t="s">
        <v>9</v>
      </c>
    </row>
    <row r="9" spans="1:3" x14ac:dyDescent="0.35">
      <c r="A9" t="s">
        <v>138</v>
      </c>
      <c r="B9" s="28">
        <v>1729.1666666666667</v>
      </c>
      <c r="C9" t="s">
        <v>9</v>
      </c>
    </row>
    <row r="10" spans="1:3" x14ac:dyDescent="0.35">
      <c r="A10" t="s">
        <v>134</v>
      </c>
      <c r="B10" s="28">
        <v>1822.9166666666667</v>
      </c>
      <c r="C10" t="s">
        <v>9</v>
      </c>
    </row>
    <row r="11" spans="1:3" x14ac:dyDescent="0.35">
      <c r="A11" t="s">
        <v>188</v>
      </c>
      <c r="B11" s="28">
        <v>2138.8888888888887</v>
      </c>
      <c r="C11" t="s">
        <v>9</v>
      </c>
    </row>
    <row r="12" spans="1:3" x14ac:dyDescent="0.35">
      <c r="A12" t="s">
        <v>132</v>
      </c>
      <c r="B12" s="28">
        <v>2044.4444444444443</v>
      </c>
      <c r="C12" t="s">
        <v>9</v>
      </c>
    </row>
    <row r="13" spans="1:3" x14ac:dyDescent="0.35">
      <c r="A13" t="s">
        <v>140</v>
      </c>
      <c r="B13" s="28">
        <v>2144.5783132530123</v>
      </c>
      <c r="C13" t="s">
        <v>9</v>
      </c>
    </row>
    <row r="14" spans="1:3" x14ac:dyDescent="0.35">
      <c r="A14" t="s">
        <v>124</v>
      </c>
      <c r="B14" s="28">
        <v>2101.5625</v>
      </c>
      <c r="C14" t="s">
        <v>9</v>
      </c>
    </row>
    <row r="15" spans="1:3" x14ac:dyDescent="0.35">
      <c r="A15" t="s">
        <v>141</v>
      </c>
      <c r="B15" s="28">
        <v>0</v>
      </c>
      <c r="C15" t="s">
        <v>9</v>
      </c>
    </row>
    <row r="16" spans="1:3" x14ac:dyDescent="0.35">
      <c r="A16" t="s">
        <v>195</v>
      </c>
      <c r="B16" s="28">
        <v>1413.0434782608697</v>
      </c>
      <c r="C16" t="s">
        <v>9</v>
      </c>
    </row>
    <row r="17" spans="1:3" x14ac:dyDescent="0.35">
      <c r="A17" t="s">
        <v>162</v>
      </c>
      <c r="B17" s="28">
        <v>217.94871794871796</v>
      </c>
      <c r="C17" t="s">
        <v>9</v>
      </c>
    </row>
    <row r="18" spans="1:3" x14ac:dyDescent="0.35">
      <c r="A18" t="s">
        <v>171</v>
      </c>
      <c r="B18" s="28">
        <v>298.8721804511278</v>
      </c>
      <c r="C18" t="s">
        <v>9</v>
      </c>
    </row>
    <row r="19" spans="1:3" x14ac:dyDescent="0.35">
      <c r="A19" t="s">
        <v>166</v>
      </c>
      <c r="B19" s="28">
        <v>332.8631875881523</v>
      </c>
      <c r="C19" t="s">
        <v>9</v>
      </c>
    </row>
    <row r="20" spans="1:3" x14ac:dyDescent="0.35">
      <c r="A20" t="s">
        <v>163</v>
      </c>
      <c r="B20" s="28">
        <v>800</v>
      </c>
      <c r="C20" t="s">
        <v>9</v>
      </c>
    </row>
    <row r="21" spans="1:3" x14ac:dyDescent="0.35">
      <c r="A21" t="s">
        <v>150</v>
      </c>
      <c r="B21" s="28">
        <v>846.77419354838707</v>
      </c>
      <c r="C21" t="s">
        <v>9</v>
      </c>
    </row>
    <row r="22" spans="1:3" x14ac:dyDescent="0.35">
      <c r="A22" t="s">
        <v>146</v>
      </c>
      <c r="B22" s="28">
        <v>1221.4285714285716</v>
      </c>
      <c r="C22" t="s">
        <v>9</v>
      </c>
    </row>
    <row r="23" spans="1:3" x14ac:dyDescent="0.35">
      <c r="A23" t="s">
        <v>180</v>
      </c>
      <c r="B23" s="28">
        <v>2115.3846153846152</v>
      </c>
      <c r="C23" t="s">
        <v>9</v>
      </c>
    </row>
    <row r="24" spans="1:3" x14ac:dyDescent="0.35">
      <c r="A24" t="s">
        <v>184</v>
      </c>
      <c r="B24" s="28">
        <v>2069.6721311475412</v>
      </c>
      <c r="C24" t="s">
        <v>9</v>
      </c>
    </row>
    <row r="25" spans="1:3" x14ac:dyDescent="0.35">
      <c r="A25" t="s">
        <v>149</v>
      </c>
      <c r="B25" s="28">
        <v>1233.695652173913</v>
      </c>
      <c r="C25" t="s">
        <v>9</v>
      </c>
    </row>
    <row r="26" spans="1:3" x14ac:dyDescent="0.35">
      <c r="A26" t="s">
        <v>164</v>
      </c>
      <c r="B26" s="28">
        <v>1091.9220055710307</v>
      </c>
      <c r="C26" t="s">
        <v>9</v>
      </c>
    </row>
    <row r="27" spans="1:3" x14ac:dyDescent="0.35">
      <c r="A27" t="s">
        <v>153</v>
      </c>
      <c r="B27" s="28">
        <v>2000</v>
      </c>
      <c r="C27" t="s">
        <v>9</v>
      </c>
    </row>
    <row r="28" spans="1:3" x14ac:dyDescent="0.35">
      <c r="A28" t="s">
        <v>169</v>
      </c>
      <c r="B28" s="28">
        <v>2000</v>
      </c>
      <c r="C28" t="s">
        <v>9</v>
      </c>
    </row>
    <row r="29" spans="1:3" x14ac:dyDescent="0.35">
      <c r="A29" t="s">
        <v>152</v>
      </c>
      <c r="B29" s="28">
        <v>2091.666666666667</v>
      </c>
      <c r="C29" t="s">
        <v>9</v>
      </c>
    </row>
    <row r="30" spans="1:3" x14ac:dyDescent="0.35">
      <c r="A30" t="s">
        <v>160</v>
      </c>
      <c r="B30" s="28">
        <v>2060.483870967742</v>
      </c>
      <c r="C30" t="s">
        <v>9</v>
      </c>
    </row>
    <row r="31" spans="1:3" x14ac:dyDescent="0.35">
      <c r="A31" t="s">
        <v>155</v>
      </c>
      <c r="B31" s="28">
        <v>2068.181818181818</v>
      </c>
      <c r="C31" t="s">
        <v>9</v>
      </c>
    </row>
    <row r="32" spans="1:3" x14ac:dyDescent="0.35">
      <c r="A32" t="s">
        <v>157</v>
      </c>
      <c r="B32" s="28">
        <v>2126.7123287671229</v>
      </c>
      <c r="C32" t="s">
        <v>9</v>
      </c>
    </row>
    <row r="33" spans="1:3" x14ac:dyDescent="0.35">
      <c r="A33" t="s">
        <v>161</v>
      </c>
      <c r="B33" s="28">
        <v>2116.6666666666665</v>
      </c>
      <c r="C33" t="s">
        <v>9</v>
      </c>
    </row>
    <row r="34" spans="1:3" x14ac:dyDescent="0.35">
      <c r="A34" t="s">
        <v>179</v>
      </c>
      <c r="B34" s="28">
        <v>2142.8571428571427</v>
      </c>
      <c r="C34" t="s">
        <v>9</v>
      </c>
    </row>
    <row r="35" spans="1:3" x14ac:dyDescent="0.35">
      <c r="A35" t="s">
        <v>170</v>
      </c>
      <c r="B35" s="28">
        <v>2286.4583333333335</v>
      </c>
      <c r="C35" t="s">
        <v>9</v>
      </c>
    </row>
    <row r="36" spans="1:3" x14ac:dyDescent="0.35">
      <c r="A36" t="s">
        <v>148</v>
      </c>
      <c r="B36" s="28">
        <v>1375</v>
      </c>
      <c r="C36" t="s">
        <v>9</v>
      </c>
    </row>
    <row r="37" spans="1:3" x14ac:dyDescent="0.35">
      <c r="A37" t="s">
        <v>168</v>
      </c>
      <c r="B37" s="28">
        <v>421.875</v>
      </c>
      <c r="C37" t="s">
        <v>8</v>
      </c>
    </row>
    <row r="38" spans="1:3" x14ac:dyDescent="0.35">
      <c r="A38" t="s">
        <v>189</v>
      </c>
      <c r="B38" s="28">
        <v>2416.6666666666665</v>
      </c>
      <c r="C38" t="s">
        <v>8</v>
      </c>
    </row>
    <row r="39" spans="1:3" x14ac:dyDescent="0.35">
      <c r="A39" t="s">
        <v>178</v>
      </c>
      <c r="B39" s="28">
        <v>2239.1304347826085</v>
      </c>
      <c r="C39" t="s">
        <v>8</v>
      </c>
    </row>
    <row r="40" spans="1:3" x14ac:dyDescent="0.35">
      <c r="A40" t="s">
        <v>225</v>
      </c>
      <c r="B40" s="28">
        <v>2000</v>
      </c>
      <c r="C40" t="s">
        <v>8</v>
      </c>
    </row>
    <row r="41" spans="1:3" x14ac:dyDescent="0.35">
      <c r="A41" t="s">
        <v>209</v>
      </c>
      <c r="B41" s="28">
        <v>2241.830065359477</v>
      </c>
      <c r="C41" t="s">
        <v>8</v>
      </c>
    </row>
    <row r="42" spans="1:3" x14ac:dyDescent="0.35">
      <c r="A42" t="s">
        <v>182</v>
      </c>
      <c r="B42" s="28">
        <v>157.14285714285714</v>
      </c>
      <c r="C42" t="s">
        <v>8</v>
      </c>
    </row>
    <row r="43" spans="1:3" x14ac:dyDescent="0.35">
      <c r="A43" t="s">
        <v>203</v>
      </c>
      <c r="B43" s="28">
        <v>231.06060606060606</v>
      </c>
      <c r="C43" t="s">
        <v>8</v>
      </c>
    </row>
    <row r="44" spans="1:3" x14ac:dyDescent="0.35">
      <c r="A44" t="s">
        <v>235</v>
      </c>
      <c r="B44" s="28">
        <v>1302.7777777777778</v>
      </c>
      <c r="C44" t="s">
        <v>8</v>
      </c>
    </row>
    <row r="45" spans="1:3" x14ac:dyDescent="0.35">
      <c r="A45" t="s">
        <v>239</v>
      </c>
      <c r="B45" s="28">
        <v>1337.9310344827586</v>
      </c>
      <c r="C45" t="s">
        <v>8</v>
      </c>
    </row>
    <row r="46" spans="1:3" x14ac:dyDescent="0.35">
      <c r="A46" t="s">
        <v>185</v>
      </c>
      <c r="B46" s="28">
        <v>2000</v>
      </c>
      <c r="C46" t="s">
        <v>8</v>
      </c>
    </row>
    <row r="47" spans="1:3" x14ac:dyDescent="0.35">
      <c r="A47" t="s">
        <v>197</v>
      </c>
      <c r="B47" s="28">
        <v>2000</v>
      </c>
      <c r="C47" t="s">
        <v>8</v>
      </c>
    </row>
    <row r="48" spans="1:3" x14ac:dyDescent="0.35">
      <c r="A48" t="s">
        <v>217</v>
      </c>
      <c r="B48" s="28">
        <v>2021.4285714285713</v>
      </c>
      <c r="C48" t="s">
        <v>8</v>
      </c>
    </row>
    <row r="49" spans="1:3" x14ac:dyDescent="0.35">
      <c r="A49" t="s">
        <v>216</v>
      </c>
      <c r="B49" s="28">
        <v>2045.4545454545455</v>
      </c>
      <c r="C49" t="s">
        <v>8</v>
      </c>
    </row>
    <row r="50" spans="1:3" x14ac:dyDescent="0.35">
      <c r="A50" t="s">
        <v>204</v>
      </c>
      <c r="B50" s="28">
        <v>2103.5714285714284</v>
      </c>
      <c r="C50" t="s">
        <v>8</v>
      </c>
    </row>
    <row r="51" spans="1:3" x14ac:dyDescent="0.35">
      <c r="A51" t="s">
        <v>229</v>
      </c>
      <c r="B51" s="28">
        <v>2222.9166666666665</v>
      </c>
      <c r="C51" t="s">
        <v>8</v>
      </c>
    </row>
    <row r="52" spans="1:3" x14ac:dyDescent="0.35">
      <c r="A52" t="s">
        <v>205</v>
      </c>
      <c r="B52" s="28">
        <v>2227.5</v>
      </c>
      <c r="C52" t="s">
        <v>8</v>
      </c>
    </row>
    <row r="53" spans="1:3" x14ac:dyDescent="0.35">
      <c r="A53" t="s">
        <v>213</v>
      </c>
      <c r="B53" s="28">
        <v>2197.9166666666665</v>
      </c>
      <c r="C53" t="s">
        <v>8</v>
      </c>
    </row>
    <row r="54" spans="1:3" x14ac:dyDescent="0.35">
      <c r="A54" t="s">
        <v>201</v>
      </c>
      <c r="B54" s="28">
        <v>2270.833333333333</v>
      </c>
      <c r="C54" t="s">
        <v>8</v>
      </c>
    </row>
    <row r="55" spans="1:3" x14ac:dyDescent="0.35">
      <c r="A55" t="s">
        <v>196</v>
      </c>
      <c r="B55" s="28">
        <v>2243.0555555555557</v>
      </c>
      <c r="C55" t="s">
        <v>8</v>
      </c>
    </row>
    <row r="56" spans="1:3" x14ac:dyDescent="0.35">
      <c r="A56" t="s">
        <v>99</v>
      </c>
      <c r="B56" s="167">
        <v>2265.625</v>
      </c>
      <c r="C56" t="s">
        <v>8</v>
      </c>
    </row>
    <row r="57" spans="1:3" x14ac:dyDescent="0.35">
      <c r="A57" t="s">
        <v>226</v>
      </c>
      <c r="B57" s="28">
        <v>540.74074074074076</v>
      </c>
      <c r="C57" t="s">
        <v>8</v>
      </c>
    </row>
    <row r="58" spans="1:3" x14ac:dyDescent="0.35">
      <c r="A58" t="s">
        <v>230</v>
      </c>
      <c r="B58" s="119">
        <v>1500</v>
      </c>
      <c r="C58" t="s">
        <v>8</v>
      </c>
    </row>
    <row r="59" spans="1:3" x14ac:dyDescent="0.35">
      <c r="A59" t="s">
        <v>232</v>
      </c>
      <c r="B59" s="28">
        <v>527.77777777777783</v>
      </c>
      <c r="C59" t="s">
        <v>8</v>
      </c>
    </row>
    <row r="60" spans="1:3" x14ac:dyDescent="0.35">
      <c r="A60" t="s">
        <v>192</v>
      </c>
      <c r="B60" s="28">
        <v>1448.8636363636363</v>
      </c>
      <c r="C60" t="s">
        <v>8</v>
      </c>
    </row>
    <row r="61" spans="1:3" x14ac:dyDescent="0.35">
      <c r="A61" t="s">
        <v>219</v>
      </c>
      <c r="B61" s="28">
        <v>1728.5714285714287</v>
      </c>
      <c r="C61" t="s">
        <v>8</v>
      </c>
    </row>
    <row r="62" spans="1:3" x14ac:dyDescent="0.35">
      <c r="A62" t="s">
        <v>181</v>
      </c>
      <c r="B62" s="28">
        <v>1531.25</v>
      </c>
      <c r="C62" t="s">
        <v>8</v>
      </c>
    </row>
    <row r="63" spans="1:3" x14ac:dyDescent="0.35">
      <c r="A63" t="s">
        <v>187</v>
      </c>
      <c r="B63" s="28">
        <v>1647.7272727272727</v>
      </c>
      <c r="C63" t="s">
        <v>8</v>
      </c>
    </row>
    <row r="64" spans="1:3" x14ac:dyDescent="0.35">
      <c r="A64" t="s">
        <v>191</v>
      </c>
      <c r="B64" s="28">
        <v>1916.6666666666667</v>
      </c>
      <c r="C64" t="s">
        <v>8</v>
      </c>
    </row>
    <row r="65" spans="1:3" x14ac:dyDescent="0.35">
      <c r="A65" t="s">
        <v>233</v>
      </c>
      <c r="B65" s="28">
        <v>1981.1827956989248</v>
      </c>
      <c r="C65" t="s">
        <v>8</v>
      </c>
    </row>
    <row r="66" spans="1:3" x14ac:dyDescent="0.35">
      <c r="A66" t="s">
        <v>223</v>
      </c>
      <c r="B66" s="28">
        <v>2140.625</v>
      </c>
      <c r="C66" t="s">
        <v>8</v>
      </c>
    </row>
    <row r="67" spans="1:3" x14ac:dyDescent="0.35">
      <c r="A67" t="s">
        <v>224</v>
      </c>
      <c r="B67" s="28">
        <v>2172.6190476190477</v>
      </c>
      <c r="C67" t="s">
        <v>8</v>
      </c>
    </row>
    <row r="68" spans="1:3" x14ac:dyDescent="0.35">
      <c r="A68" t="s">
        <v>193</v>
      </c>
      <c r="B68" s="28">
        <v>2140</v>
      </c>
      <c r="C68" t="s">
        <v>8</v>
      </c>
    </row>
    <row r="69" spans="1:3" x14ac:dyDescent="0.35">
      <c r="A69" t="s">
        <v>218</v>
      </c>
      <c r="B69" s="28">
        <v>2100.8064516129034</v>
      </c>
      <c r="C69" t="s">
        <v>8</v>
      </c>
    </row>
    <row r="70" spans="1:3" x14ac:dyDescent="0.35">
      <c r="A70" t="s">
        <v>202</v>
      </c>
      <c r="B70" s="28">
        <v>2120</v>
      </c>
      <c r="C70" t="s">
        <v>8</v>
      </c>
    </row>
    <row r="71" spans="1:3" x14ac:dyDescent="0.35">
      <c r="A71" t="s">
        <v>220</v>
      </c>
      <c r="B71" s="28">
        <v>2137.5</v>
      </c>
      <c r="C71" t="s">
        <v>8</v>
      </c>
    </row>
    <row r="72" spans="1:3" x14ac:dyDescent="0.35">
      <c r="A72" t="s">
        <v>231</v>
      </c>
      <c r="B72" s="28">
        <v>2146.2264150943397</v>
      </c>
      <c r="C72" t="s">
        <v>8</v>
      </c>
    </row>
    <row r="73" spans="1:3" x14ac:dyDescent="0.35">
      <c r="A73" t="s">
        <v>208</v>
      </c>
      <c r="B73" s="28">
        <v>2201.086956521739</v>
      </c>
      <c r="C73" t="s">
        <v>8</v>
      </c>
    </row>
    <row r="74" spans="1:3" x14ac:dyDescent="0.35">
      <c r="A74" t="s">
        <v>246</v>
      </c>
      <c r="B74" s="28">
        <v>2208.3333333333335</v>
      </c>
      <c r="C74" t="s">
        <v>8</v>
      </c>
    </row>
    <row r="75" spans="1:3" x14ac:dyDescent="0.35">
      <c r="A75" t="s">
        <v>199</v>
      </c>
      <c r="B75" s="28">
        <v>2320.833333333333</v>
      </c>
      <c r="C75" t="s">
        <v>8</v>
      </c>
    </row>
    <row r="76" spans="1:3" x14ac:dyDescent="0.35">
      <c r="A76" t="s">
        <v>198</v>
      </c>
      <c r="B76" s="28">
        <v>2354.1666666666665</v>
      </c>
      <c r="C76" t="s">
        <v>8</v>
      </c>
    </row>
    <row r="77" spans="1:3" x14ac:dyDescent="0.35">
      <c r="A77" t="s">
        <v>177</v>
      </c>
      <c r="B77" s="28">
        <v>2458.3333333333335</v>
      </c>
      <c r="C77" t="s">
        <v>8</v>
      </c>
    </row>
    <row r="78" spans="1:3" x14ac:dyDescent="0.35">
      <c r="A78" t="s">
        <v>158</v>
      </c>
      <c r="B78" s="28">
        <v>4177.9411764705883</v>
      </c>
      <c r="C78" t="s">
        <v>8</v>
      </c>
    </row>
    <row r="79" spans="1:3" x14ac:dyDescent="0.35">
      <c r="A79" t="s">
        <v>234</v>
      </c>
      <c r="B79" s="28">
        <v>578.125</v>
      </c>
      <c r="C79" t="s">
        <v>8</v>
      </c>
    </row>
    <row r="80" spans="1:3" x14ac:dyDescent="0.35">
      <c r="A80" t="s">
        <v>176</v>
      </c>
      <c r="B80" s="28">
        <v>549.01960784313724</v>
      </c>
      <c r="C80" t="s">
        <v>8</v>
      </c>
    </row>
    <row r="81" spans="1:3" x14ac:dyDescent="0.35">
      <c r="A81" t="s">
        <v>238</v>
      </c>
      <c r="B81" s="28">
        <v>2005</v>
      </c>
      <c r="C81" t="s">
        <v>8</v>
      </c>
    </row>
    <row r="82" spans="1:3" x14ac:dyDescent="0.35">
      <c r="A82" t="s">
        <v>200</v>
      </c>
      <c r="B82" s="28">
        <v>2090.6862745098038</v>
      </c>
      <c r="C82" t="s">
        <v>8</v>
      </c>
    </row>
    <row r="83" spans="1:3" x14ac:dyDescent="0.35">
      <c r="A83" t="s">
        <v>194</v>
      </c>
      <c r="B83" s="28">
        <v>2179.166666666667</v>
      </c>
      <c r="C83" t="s">
        <v>8</v>
      </c>
    </row>
    <row r="84" spans="1:3" x14ac:dyDescent="0.35">
      <c r="A84" t="s">
        <v>172</v>
      </c>
      <c r="B84" s="28">
        <v>688.88888888888891</v>
      </c>
      <c r="C84" t="s">
        <v>8</v>
      </c>
    </row>
    <row r="85" spans="1:3" x14ac:dyDescent="0.35">
      <c r="A85" t="s">
        <v>210</v>
      </c>
      <c r="B85" s="28">
        <v>2000</v>
      </c>
      <c r="C85" t="s">
        <v>8</v>
      </c>
    </row>
    <row r="86" spans="1:3" x14ac:dyDescent="0.35">
      <c r="A86" t="s">
        <v>206</v>
      </c>
      <c r="B86" s="28">
        <v>2029.7619047619048</v>
      </c>
      <c r="C86" t="s">
        <v>8</v>
      </c>
    </row>
    <row r="87" spans="1:3" x14ac:dyDescent="0.35">
      <c r="A87" t="s">
        <v>221</v>
      </c>
      <c r="B87" s="28">
        <v>18828.125</v>
      </c>
      <c r="C87" t="s">
        <v>17</v>
      </c>
    </row>
    <row r="88" spans="1:3" x14ac:dyDescent="0.35">
      <c r="A88" t="s">
        <v>227</v>
      </c>
      <c r="B88" s="28">
        <v>1121.875</v>
      </c>
      <c r="C88" t="s">
        <v>17</v>
      </c>
    </row>
    <row r="89" spans="1:3" x14ac:dyDescent="0.35">
      <c r="A89" t="s">
        <v>243</v>
      </c>
      <c r="B89" s="28">
        <v>9196.6019417475727</v>
      </c>
      <c r="C89" t="s">
        <v>17</v>
      </c>
    </row>
    <row r="90" spans="1:3" x14ac:dyDescent="0.35">
      <c r="A90" t="s">
        <v>236</v>
      </c>
      <c r="B90" s="28">
        <v>1119.4444444444443</v>
      </c>
      <c r="C90" t="s">
        <v>17</v>
      </c>
    </row>
    <row r="91" spans="1:3" x14ac:dyDescent="0.35">
      <c r="A91" t="s">
        <v>245</v>
      </c>
      <c r="B91" s="28">
        <v>1194.4444444444443</v>
      </c>
      <c r="C91" t="s">
        <v>17</v>
      </c>
    </row>
    <row r="92" spans="1:3" x14ac:dyDescent="0.35">
      <c r="A92" t="s">
        <v>207</v>
      </c>
      <c r="B92" s="28">
        <v>2000</v>
      </c>
      <c r="C92" t="s">
        <v>17</v>
      </c>
    </row>
    <row r="93" spans="1:3" x14ac:dyDescent="0.35">
      <c r="A93" t="s">
        <v>228</v>
      </c>
      <c r="B93" s="28">
        <v>2029.4117647058824</v>
      </c>
      <c r="C93" t="s">
        <v>17</v>
      </c>
    </row>
    <row r="94" spans="1:3" x14ac:dyDescent="0.35">
      <c r="A94" t="s">
        <v>186</v>
      </c>
      <c r="B94" s="28">
        <v>2044.4444444444443</v>
      </c>
      <c r="C94" t="s">
        <v>17</v>
      </c>
    </row>
    <row r="95" spans="1:3" x14ac:dyDescent="0.35">
      <c r="A95" t="s">
        <v>190</v>
      </c>
      <c r="B95" s="28">
        <v>2044.4444444444443</v>
      </c>
      <c r="C95" t="s">
        <v>17</v>
      </c>
    </row>
    <row r="96" spans="1:3" x14ac:dyDescent="0.35">
      <c r="A96" t="s">
        <v>183</v>
      </c>
      <c r="B96" s="28">
        <v>2078.125</v>
      </c>
      <c r="C96" t="s">
        <v>17</v>
      </c>
    </row>
    <row r="97" spans="1:3" x14ac:dyDescent="0.35">
      <c r="A97" t="s">
        <v>214</v>
      </c>
      <c r="B97" s="185">
        <v>2170.4545454545455</v>
      </c>
      <c r="C97" t="s">
        <v>17</v>
      </c>
    </row>
    <row r="98" spans="1:3" x14ac:dyDescent="0.35">
      <c r="A98" t="s">
        <v>237</v>
      </c>
      <c r="B98" s="28">
        <v>2081.521739130435</v>
      </c>
      <c r="C98" t="s">
        <v>17</v>
      </c>
    </row>
    <row r="99" spans="1:3" x14ac:dyDescent="0.35">
      <c r="A99" t="s">
        <v>241</v>
      </c>
      <c r="B99" s="28">
        <v>2244.791666666667</v>
      </c>
      <c r="C99" t="s">
        <v>17</v>
      </c>
    </row>
    <row r="100" spans="1:3" x14ac:dyDescent="0.35">
      <c r="A100" t="s">
        <v>215</v>
      </c>
      <c r="B100" s="28">
        <v>2156.25</v>
      </c>
      <c r="C100" t="s">
        <v>17</v>
      </c>
    </row>
    <row r="101" spans="1:3" x14ac:dyDescent="0.35">
      <c r="A101" t="s">
        <v>211</v>
      </c>
      <c r="B101" s="28">
        <v>2175</v>
      </c>
      <c r="C101" t="s">
        <v>17</v>
      </c>
    </row>
    <row r="102" spans="1:3" x14ac:dyDescent="0.35">
      <c r="A102" t="s">
        <v>240</v>
      </c>
      <c r="B102" s="28">
        <v>2250</v>
      </c>
      <c r="C102" t="s">
        <v>17</v>
      </c>
    </row>
    <row r="103" spans="1:3" x14ac:dyDescent="0.35">
      <c r="A103" t="s">
        <v>242</v>
      </c>
      <c r="B103" s="28">
        <v>2270.408163265306</v>
      </c>
      <c r="C103" t="s">
        <v>17</v>
      </c>
    </row>
    <row r="104" spans="1:3" x14ac:dyDescent="0.35">
      <c r="A104" t="s">
        <v>244</v>
      </c>
      <c r="B104" s="186">
        <v>2370.3703703703704</v>
      </c>
      <c r="C104" t="s">
        <v>17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D2C30-00B4-4DA7-859F-77C2AF3208A2}">
  <dimension ref="B2:Y82"/>
  <sheetViews>
    <sheetView showGridLines="0" topLeftCell="B60" zoomScaleNormal="100" workbookViewId="0">
      <selection activeCell="F81" sqref="F81"/>
    </sheetView>
  </sheetViews>
  <sheetFormatPr defaultRowHeight="14.5" x14ac:dyDescent="0.35"/>
  <cols>
    <col min="1" max="25" width="20.36328125" customWidth="1"/>
  </cols>
  <sheetData>
    <row r="2" spans="3:25" x14ac:dyDescent="0.35">
      <c r="C2" s="276" t="s">
        <v>259</v>
      </c>
      <c r="D2" s="276"/>
      <c r="E2" s="276"/>
      <c r="F2" s="276"/>
      <c r="G2" s="276"/>
      <c r="H2" s="276"/>
      <c r="J2" s="276" t="s">
        <v>259</v>
      </c>
      <c r="K2" s="276"/>
      <c r="L2" s="276"/>
      <c r="M2" s="276"/>
      <c r="N2" s="276"/>
      <c r="O2" s="276"/>
    </row>
    <row r="3" spans="3:25" x14ac:dyDescent="0.35">
      <c r="C3" s="273" t="s">
        <v>260</v>
      </c>
      <c r="D3" s="273"/>
      <c r="E3" s="274" t="s">
        <v>261</v>
      </c>
      <c r="F3" s="274"/>
      <c r="G3" s="275" t="s">
        <v>262</v>
      </c>
      <c r="H3" s="275"/>
      <c r="J3" s="273" t="s">
        <v>260</v>
      </c>
      <c r="K3" s="273"/>
      <c r="L3" s="274" t="s">
        <v>261</v>
      </c>
      <c r="M3" s="274"/>
      <c r="N3" s="275" t="s">
        <v>262</v>
      </c>
      <c r="O3" s="275"/>
    </row>
    <row r="4" spans="3:25" x14ac:dyDescent="0.35">
      <c r="C4" s="38">
        <v>2090</v>
      </c>
      <c r="D4" s="267">
        <f>C4+H5</f>
        <v>3205</v>
      </c>
      <c r="E4" s="267"/>
      <c r="F4" s="267">
        <f>D4+H5</f>
        <v>4320</v>
      </c>
      <c r="G4" s="267"/>
      <c r="H4" s="38">
        <v>5435</v>
      </c>
      <c r="J4" s="38">
        <v>2880</v>
      </c>
      <c r="K4" s="267">
        <v>4258</v>
      </c>
      <c r="L4" s="267"/>
      <c r="M4" s="267">
        <v>5636</v>
      </c>
      <c r="N4" s="267"/>
      <c r="O4" s="38">
        <v>7015</v>
      </c>
    </row>
    <row r="5" spans="3:25" x14ac:dyDescent="0.35">
      <c r="G5">
        <f>H4-C4</f>
        <v>3345</v>
      </c>
      <c r="H5">
        <f>G5/3</f>
        <v>1115</v>
      </c>
    </row>
    <row r="6" spans="3:25" s="40" customFormat="1" ht="30" customHeight="1" x14ac:dyDescent="0.35">
      <c r="C6" s="39" t="s">
        <v>260</v>
      </c>
      <c r="D6" s="283" t="s">
        <v>263</v>
      </c>
      <c r="E6" s="283"/>
      <c r="F6" s="283"/>
      <c r="G6" s="283"/>
      <c r="H6" s="283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3:25" s="40" customFormat="1" ht="30" customHeight="1" x14ac:dyDescent="0.35">
      <c r="C7" s="41" t="s">
        <v>261</v>
      </c>
      <c r="D7" s="283" t="s">
        <v>264</v>
      </c>
      <c r="E7" s="283"/>
      <c r="F7" s="283"/>
      <c r="G7" s="283"/>
      <c r="H7" s="283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3:25" s="40" customFormat="1" ht="30" customHeight="1" x14ac:dyDescent="0.35">
      <c r="C8" s="42" t="s">
        <v>262</v>
      </c>
      <c r="D8" s="283" t="s">
        <v>265</v>
      </c>
      <c r="E8" s="283"/>
      <c r="F8" s="283"/>
      <c r="G8" s="283"/>
      <c r="H8" s="283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11" spans="3:25" x14ac:dyDescent="0.35">
      <c r="C11" s="276" t="s">
        <v>266</v>
      </c>
      <c r="D11" s="276"/>
      <c r="E11" s="276"/>
      <c r="F11" s="276"/>
      <c r="G11" s="276"/>
      <c r="H11" s="276"/>
      <c r="I11" s="276"/>
      <c r="J11" s="276"/>
    </row>
    <row r="12" spans="3:25" x14ac:dyDescent="0.35">
      <c r="C12" s="273" t="s">
        <v>42</v>
      </c>
      <c r="D12" s="273"/>
      <c r="E12" s="274" t="s">
        <v>44</v>
      </c>
      <c r="F12" s="274"/>
      <c r="G12" s="275" t="s">
        <v>46</v>
      </c>
      <c r="H12" s="275"/>
      <c r="I12" s="285" t="s">
        <v>48</v>
      </c>
      <c r="J12" s="285"/>
    </row>
    <row r="13" spans="3:25" x14ac:dyDescent="0.35">
      <c r="C13" s="38">
        <v>230</v>
      </c>
      <c r="D13" s="271">
        <v>813</v>
      </c>
      <c r="E13" s="271"/>
      <c r="F13" s="271">
        <v>1627</v>
      </c>
      <c r="G13" s="271"/>
      <c r="H13" s="271">
        <v>2440</v>
      </c>
      <c r="I13" s="271"/>
      <c r="J13" s="43" t="s">
        <v>267</v>
      </c>
    </row>
    <row r="15" spans="3:25" ht="30" customHeight="1" x14ac:dyDescent="0.35">
      <c r="C15" s="39" t="s">
        <v>42</v>
      </c>
      <c r="D15" s="282" t="s">
        <v>268</v>
      </c>
      <c r="E15" s="282"/>
      <c r="F15" s="282"/>
      <c r="G15" s="282"/>
      <c r="H15" s="282"/>
      <c r="I15" s="282"/>
      <c r="J15" s="282"/>
    </row>
    <row r="16" spans="3:25" ht="30" customHeight="1" x14ac:dyDescent="0.35">
      <c r="C16" s="41" t="s">
        <v>44</v>
      </c>
      <c r="D16" s="282" t="s">
        <v>269</v>
      </c>
      <c r="E16" s="282"/>
      <c r="F16" s="282"/>
      <c r="G16" s="282"/>
      <c r="H16" s="282"/>
      <c r="I16" s="282"/>
      <c r="J16" s="282"/>
    </row>
    <row r="17" spans="2:10" ht="30" customHeight="1" x14ac:dyDescent="0.35">
      <c r="C17" s="42" t="s">
        <v>46</v>
      </c>
      <c r="D17" s="282" t="s">
        <v>270</v>
      </c>
      <c r="E17" s="282"/>
      <c r="F17" s="282"/>
      <c r="G17" s="282"/>
      <c r="H17" s="282"/>
      <c r="I17" s="282"/>
      <c r="J17" s="282"/>
    </row>
    <row r="18" spans="2:10" ht="30" customHeight="1" x14ac:dyDescent="0.35">
      <c r="C18" s="44" t="s">
        <v>48</v>
      </c>
      <c r="D18" s="282" t="s">
        <v>271</v>
      </c>
      <c r="E18" s="282"/>
      <c r="F18" s="282"/>
      <c r="G18" s="282"/>
      <c r="H18" s="282"/>
      <c r="I18" s="282"/>
      <c r="J18" s="282"/>
    </row>
    <row r="20" spans="2:10" x14ac:dyDescent="0.35">
      <c r="C20" s="276" t="s">
        <v>272</v>
      </c>
      <c r="D20" s="276"/>
      <c r="E20" s="276"/>
      <c r="F20" s="276"/>
      <c r="G20" s="276"/>
      <c r="H20" s="276"/>
    </row>
    <row r="21" spans="2:10" x14ac:dyDescent="0.35">
      <c r="C21" s="273" t="s">
        <v>273</v>
      </c>
      <c r="D21" s="273"/>
      <c r="E21" s="274" t="s">
        <v>274</v>
      </c>
      <c r="F21" s="274"/>
      <c r="G21" s="275" t="s">
        <v>275</v>
      </c>
      <c r="H21" s="275"/>
      <c r="I21" s="284"/>
      <c r="J21" s="284"/>
    </row>
    <row r="22" spans="2:10" x14ac:dyDescent="0.35">
      <c r="C22" s="50">
        <v>0</v>
      </c>
      <c r="D22" s="267">
        <v>1500</v>
      </c>
      <c r="E22" s="267"/>
      <c r="F22" s="280">
        <v>3000</v>
      </c>
      <c r="G22" s="281"/>
      <c r="H22" s="46">
        <v>9000</v>
      </c>
    </row>
    <row r="23" spans="2:10" x14ac:dyDescent="0.35">
      <c r="C23" s="74"/>
      <c r="D23" s="51"/>
      <c r="E23" s="51"/>
      <c r="F23" s="51"/>
      <c r="G23" s="51"/>
      <c r="I23" s="77"/>
    </row>
    <row r="25" spans="2:10" ht="30" customHeight="1" x14ac:dyDescent="0.35">
      <c r="C25" s="39" t="s">
        <v>273</v>
      </c>
      <c r="D25" s="47" t="s">
        <v>276</v>
      </c>
      <c r="E25" s="48"/>
      <c r="F25" s="48"/>
      <c r="G25" s="48"/>
      <c r="H25" s="49"/>
    </row>
    <row r="26" spans="2:10" ht="30" customHeight="1" x14ac:dyDescent="0.35">
      <c r="C26" s="41" t="s">
        <v>274</v>
      </c>
      <c r="D26" s="47" t="s">
        <v>277</v>
      </c>
      <c r="E26" s="48"/>
      <c r="F26" s="48"/>
      <c r="G26" s="48"/>
      <c r="H26" s="49"/>
    </row>
    <row r="27" spans="2:10" ht="30" customHeight="1" x14ac:dyDescent="0.35">
      <c r="C27" s="42" t="s">
        <v>275</v>
      </c>
      <c r="D27" s="277" t="s">
        <v>278</v>
      </c>
      <c r="E27" s="278"/>
      <c r="F27" s="278"/>
      <c r="G27" s="278"/>
      <c r="H27" s="279"/>
    </row>
    <row r="30" spans="2:10" x14ac:dyDescent="0.35">
      <c r="B30" s="89"/>
      <c r="C30" s="272" t="s">
        <v>279</v>
      </c>
      <c r="D30" s="272"/>
      <c r="E30" s="272"/>
      <c r="F30" s="272"/>
      <c r="G30" s="272"/>
      <c r="H30" s="272"/>
    </row>
    <row r="31" spans="2:10" x14ac:dyDescent="0.35">
      <c r="B31" s="90"/>
      <c r="C31" s="273" t="s">
        <v>280</v>
      </c>
      <c r="D31" s="273"/>
      <c r="E31" s="274" t="s">
        <v>281</v>
      </c>
      <c r="F31" s="274"/>
      <c r="G31" s="275" t="s">
        <v>282</v>
      </c>
      <c r="H31" s="275"/>
    </row>
    <row r="32" spans="2:10" x14ac:dyDescent="0.35">
      <c r="C32" s="50">
        <v>0</v>
      </c>
      <c r="D32" s="280">
        <v>1300</v>
      </c>
      <c r="E32" s="281"/>
      <c r="F32" s="267">
        <v>2500</v>
      </c>
      <c r="G32" s="267"/>
      <c r="H32" s="43">
        <v>15000</v>
      </c>
    </row>
    <row r="34" spans="3:22" ht="30" customHeight="1" x14ac:dyDescent="0.35">
      <c r="C34" s="39" t="s">
        <v>280</v>
      </c>
      <c r="D34" s="277" t="s">
        <v>283</v>
      </c>
      <c r="E34" s="278"/>
      <c r="F34" s="278"/>
      <c r="G34" s="278"/>
      <c r="H34" s="279"/>
    </row>
    <row r="35" spans="3:22" ht="30" customHeight="1" x14ac:dyDescent="0.35">
      <c r="C35" s="41" t="s">
        <v>281</v>
      </c>
      <c r="D35" s="277" t="s">
        <v>284</v>
      </c>
      <c r="E35" s="278"/>
      <c r="F35" s="278"/>
      <c r="G35" s="278"/>
      <c r="H35" s="279"/>
    </row>
    <row r="36" spans="3:22" ht="30" customHeight="1" x14ac:dyDescent="0.35">
      <c r="C36" s="42" t="s">
        <v>282</v>
      </c>
      <c r="D36" s="277" t="s">
        <v>285</v>
      </c>
      <c r="E36" s="278"/>
      <c r="F36" s="278"/>
      <c r="G36" s="278"/>
      <c r="H36" s="279"/>
    </row>
    <row r="38" spans="3:22" x14ac:dyDescent="0.35">
      <c r="C38" s="276" t="s">
        <v>286</v>
      </c>
      <c r="D38" s="276"/>
      <c r="E38" s="276"/>
      <c r="F38" s="276"/>
      <c r="J38" s="276" t="s">
        <v>287</v>
      </c>
      <c r="K38" s="276"/>
      <c r="L38" s="276"/>
      <c r="M38" s="276"/>
      <c r="N38" s="276"/>
      <c r="O38" s="276"/>
      <c r="Q38" s="88"/>
      <c r="R38" s="75"/>
      <c r="S38" s="75"/>
      <c r="T38" s="75"/>
      <c r="U38" s="75"/>
      <c r="V38" s="75"/>
    </row>
    <row r="39" spans="3:22" x14ac:dyDescent="0.35">
      <c r="C39" s="273" t="s">
        <v>288</v>
      </c>
      <c r="D39" s="273"/>
      <c r="E39" s="274" t="s">
        <v>289</v>
      </c>
      <c r="F39" s="274"/>
      <c r="J39" s="273" t="s">
        <v>288</v>
      </c>
      <c r="K39" s="273"/>
      <c r="L39" s="274" t="s">
        <v>289</v>
      </c>
      <c r="M39" s="274"/>
      <c r="N39" s="275" t="s">
        <v>290</v>
      </c>
      <c r="O39" s="275"/>
      <c r="Q39" s="88"/>
      <c r="R39" s="75"/>
      <c r="S39" s="75"/>
      <c r="T39" s="75"/>
      <c r="U39" s="75"/>
      <c r="V39" s="75"/>
    </row>
    <row r="40" spans="3:22" x14ac:dyDescent="0.35">
      <c r="C40" s="38">
        <v>0</v>
      </c>
      <c r="D40" s="267">
        <v>0</v>
      </c>
      <c r="E40" s="267"/>
      <c r="F40" s="46">
        <v>7500</v>
      </c>
      <c r="J40" s="45">
        <v>2000</v>
      </c>
      <c r="K40" s="281">
        <v>2500</v>
      </c>
      <c r="L40" s="267"/>
      <c r="M40" s="291">
        <v>2500</v>
      </c>
      <c r="N40" s="291"/>
      <c r="O40" s="82">
        <v>8500</v>
      </c>
      <c r="Q40" s="88"/>
      <c r="R40" s="75"/>
      <c r="S40" s="75"/>
      <c r="T40" s="75"/>
      <c r="U40" s="75"/>
      <c r="V40" s="75"/>
    </row>
    <row r="41" spans="3:22" ht="30" customHeight="1" x14ac:dyDescent="0.35">
      <c r="C41" s="51"/>
      <c r="D41" s="51"/>
      <c r="E41" s="51"/>
      <c r="F41" s="51"/>
      <c r="G41" s="51"/>
      <c r="J41" s="88"/>
      <c r="K41" s="75"/>
      <c r="L41" s="75"/>
      <c r="M41" s="75"/>
      <c r="N41" s="75"/>
      <c r="O41" s="75"/>
      <c r="Q41" s="88"/>
      <c r="R41" s="75"/>
      <c r="S41" s="75"/>
      <c r="T41" s="75"/>
      <c r="U41" s="75"/>
      <c r="V41" s="75"/>
    </row>
    <row r="42" spans="3:22" ht="30" customHeight="1" x14ac:dyDescent="0.35">
      <c r="C42" s="76" t="s">
        <v>288</v>
      </c>
      <c r="D42" s="287" t="s">
        <v>291</v>
      </c>
      <c r="E42" s="287"/>
      <c r="F42" s="287"/>
      <c r="G42" s="287"/>
      <c r="H42" s="287"/>
      <c r="J42" s="39" t="s">
        <v>288</v>
      </c>
      <c r="K42" s="277" t="s">
        <v>292</v>
      </c>
      <c r="L42" s="278"/>
      <c r="M42" s="278"/>
      <c r="N42" s="278"/>
      <c r="O42" s="279"/>
      <c r="Q42" s="88"/>
      <c r="R42" s="75"/>
      <c r="S42" s="75"/>
      <c r="T42" s="75"/>
      <c r="U42" s="75"/>
      <c r="V42" s="75"/>
    </row>
    <row r="43" spans="3:22" ht="30" customHeight="1" x14ac:dyDescent="0.35">
      <c r="C43" s="102" t="s">
        <v>289</v>
      </c>
      <c r="D43" s="287" t="s">
        <v>293</v>
      </c>
      <c r="E43" s="287"/>
      <c r="F43" s="287"/>
      <c r="G43" s="287"/>
      <c r="H43" s="287"/>
      <c r="J43" s="41" t="s">
        <v>289</v>
      </c>
      <c r="K43" s="277" t="s">
        <v>294</v>
      </c>
      <c r="L43" s="278"/>
      <c r="M43" s="278"/>
      <c r="N43" s="278"/>
      <c r="O43" s="279"/>
      <c r="Q43" s="88"/>
      <c r="S43" s="75"/>
      <c r="T43" s="75"/>
      <c r="U43" s="75"/>
      <c r="V43" s="75"/>
    </row>
    <row r="44" spans="3:22" ht="30" customHeight="1" x14ac:dyDescent="0.35">
      <c r="J44" s="42" t="s">
        <v>290</v>
      </c>
      <c r="K44" s="277" t="s">
        <v>295</v>
      </c>
      <c r="L44" s="278"/>
      <c r="M44" s="278"/>
      <c r="N44" s="278"/>
      <c r="O44" s="279"/>
      <c r="Q44" s="75"/>
    </row>
    <row r="45" spans="3:22" ht="30" customHeight="1" x14ac:dyDescent="0.35">
      <c r="C45" s="88"/>
      <c r="D45" s="75"/>
      <c r="E45" s="75"/>
      <c r="F45" s="75"/>
      <c r="G45" s="75"/>
      <c r="H45" s="75"/>
      <c r="J45" s="88"/>
      <c r="K45" s="75"/>
      <c r="L45" s="75"/>
      <c r="M45" s="75"/>
      <c r="N45" s="75"/>
      <c r="O45" s="75"/>
      <c r="Q45" s="75"/>
    </row>
    <row r="46" spans="3:22" s="93" customFormat="1" hidden="1" x14ac:dyDescent="0.35"/>
    <row r="47" spans="3:22" hidden="1" x14ac:dyDescent="0.35">
      <c r="C47" s="74"/>
      <c r="D47" s="74"/>
    </row>
    <row r="48" spans="3:22" hidden="1" x14ac:dyDescent="0.35">
      <c r="C48" s="276" t="s">
        <v>296</v>
      </c>
      <c r="D48" s="276"/>
      <c r="E48" s="276"/>
      <c r="F48" s="276"/>
      <c r="G48" s="276"/>
      <c r="H48" s="276"/>
      <c r="J48" s="290" t="s">
        <v>297</v>
      </c>
      <c r="K48" s="290"/>
      <c r="L48" s="290"/>
      <c r="M48" s="290"/>
      <c r="N48" s="290"/>
      <c r="O48" s="290"/>
    </row>
    <row r="49" spans="2:21" hidden="1" x14ac:dyDescent="0.35">
      <c r="C49" s="268" t="s">
        <v>9</v>
      </c>
      <c r="D49" s="268"/>
      <c r="E49" s="269" t="s">
        <v>8</v>
      </c>
      <c r="F49" s="269"/>
      <c r="G49" s="270" t="s">
        <v>17</v>
      </c>
      <c r="H49" s="270"/>
      <c r="J49" s="294" t="s">
        <v>9</v>
      </c>
      <c r="K49" s="295"/>
      <c r="L49" s="292" t="s">
        <v>8</v>
      </c>
      <c r="M49" s="293"/>
      <c r="N49" s="296" t="s">
        <v>17</v>
      </c>
      <c r="O49" s="297"/>
    </row>
    <row r="50" spans="2:21" hidden="1" x14ac:dyDescent="0.35">
      <c r="C50" s="50">
        <f>SUM(C4,C13,C22,C32,C40)</f>
        <v>2320</v>
      </c>
      <c r="D50" s="267">
        <f>SUM(D4,D13,D22,F32,D40)</f>
        <v>8018</v>
      </c>
      <c r="E50" s="267"/>
      <c r="F50" s="267">
        <f>SUM(F4,F13,F22,F32,D40)</f>
        <v>11447</v>
      </c>
      <c r="G50" s="267"/>
      <c r="H50" s="46">
        <f>SUM(H4,H13,H22,H32,F40)</f>
        <v>39375</v>
      </c>
      <c r="J50" s="83">
        <f>SUM(C4,C13,C22,C32,J40)</f>
        <v>4320</v>
      </c>
      <c r="K50" s="288">
        <f>SUM(D4,D13,D22,F32,K40)</f>
        <v>10518</v>
      </c>
      <c r="L50" s="289"/>
      <c r="M50" s="288">
        <f>SUM(F4,F13,F22,F32,M40)</f>
        <v>13947</v>
      </c>
      <c r="N50" s="289"/>
      <c r="O50" s="84">
        <f>SUM(H4,H13,H22,H32,O40)</f>
        <v>40375</v>
      </c>
    </row>
    <row r="51" spans="2:21" hidden="1" x14ac:dyDescent="0.35">
      <c r="B51" s="95">
        <v>0.1</v>
      </c>
      <c r="C51" s="74"/>
      <c r="D51" s="38">
        <f>D50*0.9</f>
        <v>7216.2</v>
      </c>
      <c r="E51" s="38">
        <f>D50*1.1</f>
        <v>8819.8000000000011</v>
      </c>
      <c r="F51" s="38">
        <f>F50*0.9</f>
        <v>10302.300000000001</v>
      </c>
      <c r="G51" s="38">
        <f>F50*1.1</f>
        <v>12591.7</v>
      </c>
      <c r="K51" s="38">
        <f>K50*0.9</f>
        <v>9466.2000000000007</v>
      </c>
      <c r="L51" s="92">
        <f>K50*1.1</f>
        <v>11569.800000000001</v>
      </c>
      <c r="M51" s="38">
        <f>M50*0.9</f>
        <v>12552.300000000001</v>
      </c>
      <c r="N51" s="38">
        <f>M50*1.1</f>
        <v>15341.7</v>
      </c>
    </row>
    <row r="52" spans="2:21" hidden="1" x14ac:dyDescent="0.35">
      <c r="C52" s="51"/>
      <c r="D52" s="96" t="s">
        <v>298</v>
      </c>
      <c r="E52" s="97" t="s">
        <v>299</v>
      </c>
      <c r="F52" s="97" t="s">
        <v>300</v>
      </c>
      <c r="G52" s="98" t="s">
        <v>301</v>
      </c>
      <c r="K52" s="96" t="s">
        <v>298</v>
      </c>
      <c r="L52" s="97" t="s">
        <v>299</v>
      </c>
      <c r="M52" s="97" t="s">
        <v>300</v>
      </c>
      <c r="N52" s="98" t="s">
        <v>301</v>
      </c>
    </row>
    <row r="53" spans="2:21" hidden="1" x14ac:dyDescent="0.35">
      <c r="C53" s="51"/>
      <c r="D53" s="99"/>
      <c r="E53" s="100"/>
      <c r="F53" s="100"/>
      <c r="G53" s="101"/>
      <c r="K53" s="99"/>
      <c r="L53" s="100"/>
      <c r="M53" s="100"/>
      <c r="N53" s="101"/>
    </row>
    <row r="54" spans="2:21" s="93" customFormat="1" x14ac:dyDescent="0.35">
      <c r="C54" s="94"/>
      <c r="D54" s="94"/>
    </row>
    <row r="55" spans="2:21" x14ac:dyDescent="0.35">
      <c r="C55" s="74"/>
      <c r="D55" s="74"/>
    </row>
    <row r="56" spans="2:21" x14ac:dyDescent="0.35">
      <c r="C56" s="286" t="s">
        <v>302</v>
      </c>
      <c r="D56" s="286"/>
      <c r="E56" s="286"/>
      <c r="F56" s="286"/>
      <c r="G56" s="286"/>
      <c r="H56" s="286"/>
    </row>
    <row r="57" spans="2:21" x14ac:dyDescent="0.35">
      <c r="C57" s="268" t="s">
        <v>9</v>
      </c>
      <c r="D57" s="268"/>
      <c r="E57" s="269" t="s">
        <v>8</v>
      </c>
      <c r="F57" s="269"/>
      <c r="G57" s="270" t="s">
        <v>17</v>
      </c>
      <c r="H57" s="270"/>
    </row>
    <row r="58" spans="2:21" x14ac:dyDescent="0.35">
      <c r="C58" s="50">
        <f>SUM(C4,C13,C22,C32)</f>
        <v>2320</v>
      </c>
      <c r="D58" s="267">
        <f>SUM(D4,D13,D22,D32)</f>
        <v>6818</v>
      </c>
      <c r="E58" s="267"/>
      <c r="F58" s="267">
        <f>SUM(F4,F13,F22,F32)</f>
        <v>11447</v>
      </c>
      <c r="G58" s="267"/>
      <c r="H58" s="46">
        <f>SUM(H4,H13,H22,H32)</f>
        <v>31875</v>
      </c>
    </row>
    <row r="59" spans="2:21" x14ac:dyDescent="0.35">
      <c r="C59" s="74"/>
      <c r="D59" s="38">
        <f>D58*0.9</f>
        <v>6136.2</v>
      </c>
      <c r="E59" s="38">
        <f>D58*1.1</f>
        <v>7499.8</v>
      </c>
      <c r="F59" s="38">
        <f>F58*0.9</f>
        <v>10302.300000000001</v>
      </c>
      <c r="G59" s="38">
        <f>F58*1.1</f>
        <v>12591.7</v>
      </c>
      <c r="J59" s="74"/>
      <c r="K59" s="51"/>
      <c r="L59" s="51"/>
      <c r="M59" s="51"/>
      <c r="N59" s="51"/>
      <c r="Q59" s="74"/>
      <c r="R59" s="51"/>
      <c r="S59" s="51"/>
      <c r="T59" s="51"/>
      <c r="U59" s="51"/>
    </row>
    <row r="60" spans="2:21" x14ac:dyDescent="0.35">
      <c r="D60" s="96" t="s">
        <v>298</v>
      </c>
      <c r="E60" s="97" t="s">
        <v>299</v>
      </c>
      <c r="F60" s="97" t="s">
        <v>300</v>
      </c>
      <c r="G60" s="98" t="s">
        <v>301</v>
      </c>
    </row>
    <row r="61" spans="2:21" x14ac:dyDescent="0.35">
      <c r="C61" s="74"/>
      <c r="D61" s="51"/>
      <c r="E61" s="51"/>
      <c r="F61" s="51"/>
      <c r="G61" s="51"/>
      <c r="J61" s="74"/>
      <c r="K61" s="51"/>
      <c r="L61" s="51"/>
      <c r="M61" s="51"/>
      <c r="N61" s="51"/>
      <c r="Q61" s="74"/>
      <c r="R61" s="51"/>
      <c r="S61" s="51"/>
      <c r="T61" s="51"/>
      <c r="U61" s="51"/>
    </row>
    <row r="62" spans="2:21" s="93" customFormat="1" hidden="1" x14ac:dyDescent="0.35">
      <c r="C62" s="94"/>
      <c r="D62" s="94"/>
    </row>
    <row r="63" spans="2:21" hidden="1" x14ac:dyDescent="0.35">
      <c r="C63" s="74"/>
      <c r="D63" s="74"/>
    </row>
    <row r="64" spans="2:21" hidden="1" x14ac:dyDescent="0.35">
      <c r="C64" s="267" t="s">
        <v>303</v>
      </c>
      <c r="D64" s="267"/>
      <c r="E64" s="267"/>
      <c r="F64" s="267"/>
      <c r="G64" s="267"/>
      <c r="H64" s="267"/>
    </row>
    <row r="65" spans="3:21" hidden="1" x14ac:dyDescent="0.35">
      <c r="C65" s="268" t="s">
        <v>9</v>
      </c>
      <c r="D65" s="268"/>
      <c r="E65" s="269" t="s">
        <v>8</v>
      </c>
      <c r="F65" s="269"/>
      <c r="G65" s="270" t="s">
        <v>17</v>
      </c>
      <c r="H65" s="270"/>
    </row>
    <row r="66" spans="3:21" hidden="1" x14ac:dyDescent="0.35">
      <c r="C66" s="50">
        <f>SUM(C4,C13,C22)</f>
        <v>2320</v>
      </c>
      <c r="D66" s="267">
        <f>SUM(D4,D13,D22)</f>
        <v>5518</v>
      </c>
      <c r="E66" s="267"/>
      <c r="F66" s="267">
        <f>SUM(F4,F13,F22)</f>
        <v>8947</v>
      </c>
      <c r="G66" s="267"/>
      <c r="H66" s="46">
        <f>SUM(H4,H13,H22)</f>
        <v>16875</v>
      </c>
    </row>
    <row r="67" spans="3:21" hidden="1" x14ac:dyDescent="0.35">
      <c r="C67" s="74"/>
      <c r="D67" s="51"/>
      <c r="E67" s="51"/>
      <c r="F67" s="51"/>
      <c r="G67" s="51"/>
      <c r="J67" s="74"/>
      <c r="K67" s="51"/>
      <c r="L67" s="51"/>
      <c r="M67" s="51"/>
      <c r="N67" s="51"/>
      <c r="Q67" s="74"/>
      <c r="R67" s="51"/>
      <c r="S67" s="51"/>
      <c r="T67" s="51"/>
      <c r="U67" s="51"/>
    </row>
    <row r="68" spans="3:21" s="93" customFormat="1" x14ac:dyDescent="0.35">
      <c r="C68" s="94"/>
      <c r="D68" s="94"/>
    </row>
    <row r="69" spans="3:21" x14ac:dyDescent="0.35">
      <c r="C69" s="74"/>
      <c r="D69" s="74"/>
    </row>
    <row r="70" spans="3:21" x14ac:dyDescent="0.35">
      <c r="C70" s="267" t="s">
        <v>341</v>
      </c>
      <c r="D70" s="267"/>
      <c r="E70" s="267"/>
      <c r="F70" s="267"/>
      <c r="G70" s="267"/>
      <c r="H70" s="267"/>
    </row>
    <row r="71" spans="3:21" x14ac:dyDescent="0.35">
      <c r="C71" s="268" t="s">
        <v>9</v>
      </c>
      <c r="D71" s="268"/>
      <c r="E71" s="269" t="s">
        <v>8</v>
      </c>
      <c r="F71" s="269"/>
      <c r="G71" s="270" t="s">
        <v>17</v>
      </c>
      <c r="H71" s="270"/>
    </row>
    <row r="72" spans="3:21" x14ac:dyDescent="0.35">
      <c r="C72" s="192">
        <f>SUM(C13,C22)</f>
        <v>230</v>
      </c>
      <c r="D72" s="271">
        <f>SUM(D13,D22)</f>
        <v>2313</v>
      </c>
      <c r="E72" s="271"/>
      <c r="F72" s="271">
        <f>SUM(F13,F22)</f>
        <v>4627</v>
      </c>
      <c r="G72" s="271"/>
      <c r="H72" s="193">
        <f>SUM(H13,H22)</f>
        <v>11440</v>
      </c>
    </row>
    <row r="73" spans="3:21" x14ac:dyDescent="0.35">
      <c r="C73" s="266" t="s">
        <v>359</v>
      </c>
      <c r="D73" s="266"/>
      <c r="E73" s="266"/>
      <c r="F73" s="266"/>
      <c r="G73" s="266"/>
      <c r="H73" s="266"/>
    </row>
    <row r="77" spans="3:21" x14ac:dyDescent="0.35">
      <c r="C77" s="194" t="s">
        <v>360</v>
      </c>
      <c r="E77" s="195" t="s">
        <v>362</v>
      </c>
    </row>
    <row r="78" spans="3:21" x14ac:dyDescent="0.35">
      <c r="C78" t="s">
        <v>369</v>
      </c>
      <c r="E78" t="s">
        <v>363</v>
      </c>
    </row>
    <row r="79" spans="3:21" x14ac:dyDescent="0.35">
      <c r="C79" t="s">
        <v>364</v>
      </c>
      <c r="E79" t="s">
        <v>365</v>
      </c>
    </row>
    <row r="80" spans="3:21" x14ac:dyDescent="0.35">
      <c r="C80" t="s">
        <v>361</v>
      </c>
      <c r="E80" t="s">
        <v>366</v>
      </c>
    </row>
    <row r="81" spans="3:5" x14ac:dyDescent="0.35">
      <c r="C81" s="196" t="s">
        <v>370</v>
      </c>
      <c r="E81" t="s">
        <v>367</v>
      </c>
    </row>
    <row r="82" spans="3:5" x14ac:dyDescent="0.35">
      <c r="E82" s="196" t="s">
        <v>368</v>
      </c>
    </row>
  </sheetData>
  <mergeCells count="90">
    <mergeCell ref="M50:N50"/>
    <mergeCell ref="L49:M49"/>
    <mergeCell ref="J49:K49"/>
    <mergeCell ref="N49:O49"/>
    <mergeCell ref="J2:O2"/>
    <mergeCell ref="J3:K3"/>
    <mergeCell ref="L3:M3"/>
    <mergeCell ref="N3:O3"/>
    <mergeCell ref="K4:L4"/>
    <mergeCell ref="M4:N4"/>
    <mergeCell ref="J38:O38"/>
    <mergeCell ref="K42:O42"/>
    <mergeCell ref="K43:O43"/>
    <mergeCell ref="K44:O44"/>
    <mergeCell ref="D42:H42"/>
    <mergeCell ref="C39:D39"/>
    <mergeCell ref="E39:F39"/>
    <mergeCell ref="D40:E40"/>
    <mergeCell ref="K50:L50"/>
    <mergeCell ref="C48:H48"/>
    <mergeCell ref="C49:D49"/>
    <mergeCell ref="E49:F49"/>
    <mergeCell ref="G49:H49"/>
    <mergeCell ref="D43:H43"/>
    <mergeCell ref="J48:O48"/>
    <mergeCell ref="J39:K39"/>
    <mergeCell ref="L39:M39"/>
    <mergeCell ref="N39:O39"/>
    <mergeCell ref="K40:L40"/>
    <mergeCell ref="M40:N40"/>
    <mergeCell ref="D50:E50"/>
    <mergeCell ref="F50:G50"/>
    <mergeCell ref="D58:E58"/>
    <mergeCell ref="F58:G58"/>
    <mergeCell ref="C56:H56"/>
    <mergeCell ref="C57:D57"/>
    <mergeCell ref="E57:F57"/>
    <mergeCell ref="G57:H57"/>
    <mergeCell ref="D7:H7"/>
    <mergeCell ref="C21:D21"/>
    <mergeCell ref="E21:F21"/>
    <mergeCell ref="G21:H21"/>
    <mergeCell ref="I21:J21"/>
    <mergeCell ref="G12:H12"/>
    <mergeCell ref="I12:J12"/>
    <mergeCell ref="D8:H8"/>
    <mergeCell ref="D27:H27"/>
    <mergeCell ref="D22:E22"/>
    <mergeCell ref="F22:G22"/>
    <mergeCell ref="C20:H20"/>
    <mergeCell ref="C11:J11"/>
    <mergeCell ref="C2:H2"/>
    <mergeCell ref="C3:D3"/>
    <mergeCell ref="E3:F3"/>
    <mergeCell ref="G3:H3"/>
    <mergeCell ref="D18:J18"/>
    <mergeCell ref="D16:J16"/>
    <mergeCell ref="D17:J17"/>
    <mergeCell ref="D15:J15"/>
    <mergeCell ref="D13:E13"/>
    <mergeCell ref="F13:G13"/>
    <mergeCell ref="H13:I13"/>
    <mergeCell ref="C12:D12"/>
    <mergeCell ref="E12:F12"/>
    <mergeCell ref="D4:E4"/>
    <mergeCell ref="F4:G4"/>
    <mergeCell ref="D6:H6"/>
    <mergeCell ref="C30:H30"/>
    <mergeCell ref="C31:D31"/>
    <mergeCell ref="E31:F31"/>
    <mergeCell ref="G31:H31"/>
    <mergeCell ref="C38:F38"/>
    <mergeCell ref="D36:H36"/>
    <mergeCell ref="D34:H34"/>
    <mergeCell ref="D35:H35"/>
    <mergeCell ref="D32:E32"/>
    <mergeCell ref="F32:G32"/>
    <mergeCell ref="C64:H64"/>
    <mergeCell ref="C65:D65"/>
    <mergeCell ref="E65:F65"/>
    <mergeCell ref="G65:H65"/>
    <mergeCell ref="D66:E66"/>
    <mergeCell ref="F66:G66"/>
    <mergeCell ref="C73:H73"/>
    <mergeCell ref="C70:H70"/>
    <mergeCell ref="C71:D71"/>
    <mergeCell ref="E71:F71"/>
    <mergeCell ref="G71:H71"/>
    <mergeCell ref="D72:E72"/>
    <mergeCell ref="F72:G7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4A60-5065-4BF0-B29B-F071AAB87FFE}">
  <dimension ref="D3:AA25"/>
  <sheetViews>
    <sheetView zoomScaleNormal="100" workbookViewId="0">
      <selection activeCell="M3" sqref="M3:N7"/>
    </sheetView>
  </sheetViews>
  <sheetFormatPr defaultRowHeight="14.5" x14ac:dyDescent="0.35"/>
  <cols>
    <col min="1" max="3" width="4.08984375" customWidth="1"/>
    <col min="5" max="5" width="21.08984375" bestFit="1" customWidth="1"/>
    <col min="6" max="6" width="11.90625" bestFit="1" customWidth="1"/>
    <col min="7" max="8" width="4.90625" customWidth="1"/>
    <col min="9" max="9" width="17.6328125" bestFit="1" customWidth="1"/>
    <col min="10" max="10" width="14" bestFit="1" customWidth="1"/>
    <col min="11" max="11" width="11.36328125" customWidth="1"/>
    <col min="12" max="12" width="4.54296875" customWidth="1"/>
    <col min="13" max="13" width="11.36328125" bestFit="1" customWidth="1"/>
    <col min="14" max="14" width="10" bestFit="1" customWidth="1"/>
    <col min="15" max="16" width="4" customWidth="1"/>
    <col min="17" max="17" width="21" bestFit="1" customWidth="1"/>
    <col min="18" max="18" width="15.54296875" bestFit="1" customWidth="1"/>
    <col min="19" max="20" width="4.453125" customWidth="1"/>
    <col min="21" max="21" width="17.90625" customWidth="1"/>
    <col min="22" max="22" width="22.36328125" customWidth="1"/>
    <col min="23" max="24" width="17.90625" customWidth="1"/>
  </cols>
  <sheetData>
    <row r="3" spans="4:27" x14ac:dyDescent="0.35">
      <c r="D3" s="300" t="s">
        <v>304</v>
      </c>
      <c r="E3" s="300"/>
      <c r="F3" s="300"/>
      <c r="G3" s="51"/>
      <c r="I3" s="300" t="s">
        <v>305</v>
      </c>
      <c r="J3" s="300"/>
      <c r="M3" s="300" t="s">
        <v>306</v>
      </c>
      <c r="N3" s="300"/>
      <c r="O3" s="51"/>
      <c r="Q3" s="300" t="s">
        <v>307</v>
      </c>
      <c r="R3" s="300"/>
      <c r="U3" s="300" t="s">
        <v>25</v>
      </c>
      <c r="V3" s="300"/>
    </row>
    <row r="4" spans="4:27" x14ac:dyDescent="0.35">
      <c r="D4" s="301" t="s">
        <v>308</v>
      </c>
      <c r="E4" s="52" t="s">
        <v>119</v>
      </c>
      <c r="F4" s="53">
        <v>530</v>
      </c>
      <c r="G4" s="54"/>
      <c r="I4" s="55" t="s">
        <v>108</v>
      </c>
      <c r="J4" s="53">
        <v>23150</v>
      </c>
      <c r="K4" s="54"/>
      <c r="M4" s="56" t="s">
        <v>212</v>
      </c>
      <c r="N4" s="57">
        <v>6000</v>
      </c>
      <c r="O4" s="58"/>
      <c r="P4" s="59"/>
      <c r="Q4" s="60" t="s">
        <v>123</v>
      </c>
      <c r="R4" s="61">
        <v>1000</v>
      </c>
      <c r="U4" s="62" t="s">
        <v>309</v>
      </c>
      <c r="V4" s="63">
        <v>28000</v>
      </c>
    </row>
    <row r="5" spans="4:27" x14ac:dyDescent="0.35">
      <c r="D5" s="301"/>
      <c r="E5" s="52" t="s">
        <v>101</v>
      </c>
      <c r="F5" s="53">
        <v>2430</v>
      </c>
      <c r="G5" s="54"/>
      <c r="I5" s="55" t="s">
        <v>109</v>
      </c>
      <c r="J5" s="53">
        <v>6950</v>
      </c>
      <c r="K5" s="54"/>
      <c r="M5" s="56" t="s">
        <v>113</v>
      </c>
      <c r="N5" s="57">
        <v>0</v>
      </c>
      <c r="O5" s="58"/>
      <c r="Q5" s="60" t="s">
        <v>115</v>
      </c>
      <c r="R5" s="61">
        <v>0</v>
      </c>
      <c r="U5" s="62" t="s">
        <v>310</v>
      </c>
      <c r="V5" s="63">
        <v>14000</v>
      </c>
      <c r="X5" t="s">
        <v>311</v>
      </c>
      <c r="Y5">
        <v>32000</v>
      </c>
      <c r="Z5">
        <f>4*Y5/16</f>
        <v>8000</v>
      </c>
      <c r="AA5">
        <f>Y5*5/20</f>
        <v>8000</v>
      </c>
    </row>
    <row r="6" spans="4:27" x14ac:dyDescent="0.35">
      <c r="D6" s="304" t="s">
        <v>312</v>
      </c>
      <c r="E6" s="104" t="s">
        <v>119</v>
      </c>
      <c r="F6" s="105">
        <v>70</v>
      </c>
      <c r="G6" s="54"/>
      <c r="I6" s="55" t="s">
        <v>133</v>
      </c>
      <c r="J6" s="53">
        <v>6960</v>
      </c>
      <c r="K6" s="54"/>
      <c r="M6" s="56" t="s">
        <v>112</v>
      </c>
      <c r="N6" s="57">
        <v>3000</v>
      </c>
      <c r="O6" s="58"/>
      <c r="P6" s="59"/>
    </row>
    <row r="7" spans="4:27" x14ac:dyDescent="0.35">
      <c r="D7" s="304"/>
      <c r="E7" s="104" t="s">
        <v>101</v>
      </c>
      <c r="F7" s="105">
        <v>260</v>
      </c>
      <c r="G7" s="54"/>
      <c r="I7" s="55" t="s">
        <v>175</v>
      </c>
      <c r="J7" s="53">
        <v>10790</v>
      </c>
      <c r="K7" s="54"/>
      <c r="M7" s="56" t="s">
        <v>122</v>
      </c>
      <c r="N7" s="57">
        <v>0</v>
      </c>
      <c r="O7" s="58"/>
      <c r="Q7" s="60" t="s">
        <v>114</v>
      </c>
      <c r="R7" s="61">
        <v>2000</v>
      </c>
      <c r="U7" s="303" t="s">
        <v>313</v>
      </c>
      <c r="V7" s="303"/>
    </row>
    <row r="8" spans="4:27" x14ac:dyDescent="0.35">
      <c r="D8" s="302" t="s">
        <v>314</v>
      </c>
      <c r="E8" s="52" t="s">
        <v>102</v>
      </c>
      <c r="F8" s="64">
        <v>600</v>
      </c>
      <c r="G8" s="65"/>
      <c r="I8" s="55" t="s">
        <v>126</v>
      </c>
      <c r="J8" s="53">
        <v>7560</v>
      </c>
      <c r="K8" s="54"/>
      <c r="Q8" s="60" t="s">
        <v>143</v>
      </c>
      <c r="R8" s="61">
        <v>0</v>
      </c>
      <c r="U8" s="46" t="s">
        <v>6</v>
      </c>
      <c r="V8" s="79">
        <v>3543.11</v>
      </c>
    </row>
    <row r="9" spans="4:27" x14ac:dyDescent="0.35">
      <c r="D9" s="302"/>
      <c r="E9" s="52" t="s">
        <v>142</v>
      </c>
      <c r="F9" s="64">
        <v>900</v>
      </c>
      <c r="G9" s="65"/>
      <c r="I9" s="55" t="s">
        <v>315</v>
      </c>
      <c r="J9" s="53">
        <v>12900</v>
      </c>
      <c r="K9" s="54"/>
      <c r="U9" s="46" t="s">
        <v>5</v>
      </c>
      <c r="V9" s="79">
        <v>3491.36</v>
      </c>
    </row>
    <row r="10" spans="4:27" x14ac:dyDescent="0.35">
      <c r="D10" s="302" t="s">
        <v>31</v>
      </c>
      <c r="E10" s="55" t="s">
        <v>103</v>
      </c>
      <c r="F10" s="64">
        <v>500</v>
      </c>
      <c r="G10" s="65"/>
      <c r="I10" s="55" t="s">
        <v>110</v>
      </c>
      <c r="J10" s="53">
        <v>5300</v>
      </c>
      <c r="K10" s="54"/>
      <c r="Q10" s="60" t="s">
        <v>222</v>
      </c>
      <c r="R10" s="61">
        <v>15000</v>
      </c>
      <c r="U10" s="46" t="s">
        <v>4</v>
      </c>
      <c r="V10" s="79">
        <v>3292.59</v>
      </c>
    </row>
    <row r="11" spans="4:27" x14ac:dyDescent="0.35">
      <c r="D11" s="302"/>
      <c r="E11" s="55" t="s">
        <v>159</v>
      </c>
      <c r="F11" s="64">
        <v>935</v>
      </c>
      <c r="G11" s="65"/>
      <c r="I11" s="55" t="s">
        <v>111</v>
      </c>
      <c r="J11" s="53">
        <v>16200</v>
      </c>
      <c r="K11" s="54"/>
      <c r="Q11" s="60" t="s">
        <v>16</v>
      </c>
      <c r="R11" s="66">
        <v>0</v>
      </c>
      <c r="V11" s="59">
        <f>SUM(V8:V10)/3</f>
        <v>3442.3533333333339</v>
      </c>
    </row>
    <row r="12" spans="4:27" x14ac:dyDescent="0.35">
      <c r="D12" s="302" t="s">
        <v>32</v>
      </c>
      <c r="E12" s="67" t="s">
        <v>104</v>
      </c>
      <c r="F12" s="64">
        <v>370</v>
      </c>
      <c r="G12" s="65"/>
      <c r="I12" s="55" t="s">
        <v>129</v>
      </c>
      <c r="J12" s="53">
        <v>275167.58</v>
      </c>
      <c r="K12" s="54"/>
      <c r="U12" s="298" t="s">
        <v>316</v>
      </c>
      <c r="V12" s="299"/>
      <c r="W12" s="299"/>
      <c r="X12" s="299"/>
    </row>
    <row r="13" spans="4:27" x14ac:dyDescent="0.35">
      <c r="D13" s="302"/>
      <c r="E13" s="67" t="s">
        <v>173</v>
      </c>
      <c r="F13" s="64">
        <v>930</v>
      </c>
      <c r="G13" s="65"/>
      <c r="I13" s="55" t="s">
        <v>156</v>
      </c>
      <c r="J13" s="53">
        <v>98050</v>
      </c>
      <c r="K13" s="54"/>
      <c r="Q13" s="68"/>
      <c r="R13" s="69"/>
      <c r="T13" s="77"/>
      <c r="U13" s="80" t="s">
        <v>317</v>
      </c>
      <c r="V13" s="80" t="s">
        <v>318</v>
      </c>
      <c r="W13" s="78" t="s">
        <v>319</v>
      </c>
      <c r="X13" s="78" t="s">
        <v>320</v>
      </c>
    </row>
    <row r="14" spans="4:27" x14ac:dyDescent="0.35">
      <c r="D14" s="302" t="s">
        <v>33</v>
      </c>
      <c r="E14" s="55" t="s">
        <v>105</v>
      </c>
      <c r="F14" s="64">
        <v>90</v>
      </c>
      <c r="G14" s="65"/>
      <c r="I14" s="55" t="s">
        <v>135</v>
      </c>
      <c r="J14" s="53">
        <v>126068.64</v>
      </c>
      <c r="K14" s="54"/>
      <c r="Q14" s="68"/>
      <c r="R14" s="70"/>
      <c r="U14" s="46" t="s">
        <v>321</v>
      </c>
      <c r="V14" s="81">
        <v>133148</v>
      </c>
      <c r="W14" s="79">
        <v>1764</v>
      </c>
      <c r="X14" s="46">
        <v>441.1</v>
      </c>
      <c r="Y14" t="s">
        <v>322</v>
      </c>
    </row>
    <row r="15" spans="4:27" x14ac:dyDescent="0.35">
      <c r="D15" s="302"/>
      <c r="E15" s="55" t="s">
        <v>174</v>
      </c>
      <c r="F15" s="64">
        <v>240</v>
      </c>
      <c r="G15" s="65"/>
      <c r="I15" s="55" t="s">
        <v>120</v>
      </c>
      <c r="J15" s="53">
        <v>56908.88</v>
      </c>
      <c r="K15" s="54"/>
      <c r="U15" s="46" t="s">
        <v>323</v>
      </c>
      <c r="V15" s="81">
        <v>188562</v>
      </c>
      <c r="W15" s="79">
        <v>2751</v>
      </c>
      <c r="X15" s="46">
        <v>717.16</v>
      </c>
      <c r="Y15" s="46">
        <v>717.16</v>
      </c>
    </row>
    <row r="16" spans="4:27" x14ac:dyDescent="0.35">
      <c r="D16" s="304" t="s">
        <v>34</v>
      </c>
      <c r="E16" s="106" t="s">
        <v>106</v>
      </c>
      <c r="F16" s="107">
        <v>720</v>
      </c>
      <c r="G16" s="65"/>
      <c r="I16" s="55" t="s">
        <v>107</v>
      </c>
      <c r="J16" s="53">
        <v>85149.119999999995</v>
      </c>
      <c r="K16" s="54"/>
      <c r="U16" s="46" t="s">
        <v>324</v>
      </c>
      <c r="V16" s="81">
        <v>204072</v>
      </c>
      <c r="W16" s="79">
        <v>2924</v>
      </c>
      <c r="X16" s="46">
        <v>717.16</v>
      </c>
      <c r="Y16" s="46">
        <v>697.38</v>
      </c>
    </row>
    <row r="17" spans="4:25" x14ac:dyDescent="0.35">
      <c r="D17" s="304"/>
      <c r="E17" s="106" t="s">
        <v>137</v>
      </c>
      <c r="F17" s="107">
        <v>1320</v>
      </c>
      <c r="G17" s="65"/>
      <c r="I17" s="55" t="s">
        <v>139</v>
      </c>
      <c r="J17" s="53">
        <v>62156.32</v>
      </c>
      <c r="K17" s="54"/>
      <c r="R17" s="59"/>
      <c r="U17" s="46" t="s">
        <v>325</v>
      </c>
      <c r="V17" s="79">
        <v>253693</v>
      </c>
      <c r="W17" s="79">
        <v>3754</v>
      </c>
      <c r="X17" s="46">
        <v>717.16</v>
      </c>
      <c r="Y17" s="46">
        <v>738.19</v>
      </c>
    </row>
    <row r="18" spans="4:25" x14ac:dyDescent="0.35">
      <c r="I18" s="55" t="s">
        <v>151</v>
      </c>
      <c r="J18" s="53">
        <v>79733.19</v>
      </c>
      <c r="K18" s="54"/>
      <c r="U18" s="46" t="s">
        <v>326</v>
      </c>
      <c r="V18" s="79">
        <v>456644</v>
      </c>
      <c r="W18" s="79">
        <v>5827</v>
      </c>
      <c r="X18" s="46">
        <v>1269.9100000000001</v>
      </c>
    </row>
    <row r="19" spans="4:25" x14ac:dyDescent="0.35">
      <c r="D19" s="300" t="s">
        <v>327</v>
      </c>
      <c r="E19" s="300"/>
      <c r="F19" s="300"/>
      <c r="I19" s="55" t="s">
        <v>121</v>
      </c>
      <c r="J19" s="53">
        <v>208306</v>
      </c>
      <c r="K19" s="54"/>
    </row>
    <row r="20" spans="4:25" x14ac:dyDescent="0.35">
      <c r="D20" s="302" t="s">
        <v>34</v>
      </c>
      <c r="E20" s="55" t="s">
        <v>106</v>
      </c>
      <c r="F20" s="64">
        <v>720</v>
      </c>
      <c r="I20" s="55" t="s">
        <v>167</v>
      </c>
      <c r="J20" s="53">
        <v>82055.11</v>
      </c>
      <c r="K20" s="54"/>
    </row>
    <row r="21" spans="4:25" x14ac:dyDescent="0.35">
      <c r="D21" s="302"/>
      <c r="E21" s="55" t="s">
        <v>137</v>
      </c>
      <c r="F21" s="64">
        <v>1320</v>
      </c>
      <c r="K21" s="54"/>
    </row>
    <row r="22" spans="4:25" x14ac:dyDescent="0.35">
      <c r="D22" s="302" t="s">
        <v>312</v>
      </c>
      <c r="E22" s="52" t="s">
        <v>119</v>
      </c>
      <c r="F22" s="53">
        <v>70</v>
      </c>
      <c r="U22" s="80" t="s">
        <v>317</v>
      </c>
      <c r="V22" s="110" t="s">
        <v>328</v>
      </c>
      <c r="W22" s="46"/>
      <c r="X22" s="46"/>
      <c r="Y22" s="46"/>
    </row>
    <row r="23" spans="4:25" x14ac:dyDescent="0.35">
      <c r="D23" s="302"/>
      <c r="E23" s="52" t="s">
        <v>101</v>
      </c>
      <c r="F23" s="53">
        <v>260</v>
      </c>
      <c r="U23" s="46" t="s">
        <v>329</v>
      </c>
      <c r="V23" s="79">
        <v>30028</v>
      </c>
      <c r="W23" s="46"/>
      <c r="X23" s="46"/>
      <c r="Y23" s="46"/>
    </row>
    <row r="24" spans="4:25" x14ac:dyDescent="0.35">
      <c r="U24" s="46" t="s">
        <v>323</v>
      </c>
      <c r="V24" s="79">
        <v>19745</v>
      </c>
      <c r="W24" s="46"/>
      <c r="X24" s="46"/>
      <c r="Y24" s="46"/>
    </row>
    <row r="25" spans="4:25" x14ac:dyDescent="0.35">
      <c r="U25" s="46" t="s">
        <v>330</v>
      </c>
      <c r="V25" s="79">
        <v>16779</v>
      </c>
      <c r="W25" s="46"/>
      <c r="X25" s="46"/>
      <c r="Y25" s="46"/>
    </row>
  </sheetData>
  <mergeCells count="17">
    <mergeCell ref="D19:F19"/>
    <mergeCell ref="D20:D21"/>
    <mergeCell ref="D22:D23"/>
    <mergeCell ref="D16:D17"/>
    <mergeCell ref="D3:F3"/>
    <mergeCell ref="D10:D11"/>
    <mergeCell ref="D12:D13"/>
    <mergeCell ref="U12:X12"/>
    <mergeCell ref="Q3:R3"/>
    <mergeCell ref="U3:V3"/>
    <mergeCell ref="D4:D5"/>
    <mergeCell ref="D14:D15"/>
    <mergeCell ref="I3:J3"/>
    <mergeCell ref="M3:N3"/>
    <mergeCell ref="U7:V7"/>
    <mergeCell ref="D6:D7"/>
    <mergeCell ref="D8:D9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7F72-FB23-439F-9AC2-D367E968A149}">
  <sheetPr>
    <tabColor rgb="FFFF9933"/>
  </sheetPr>
  <dimension ref="B2:F22"/>
  <sheetViews>
    <sheetView tabSelected="1" zoomScaleNormal="100" workbookViewId="0">
      <selection activeCell="E4" sqref="E4:E22"/>
    </sheetView>
  </sheetViews>
  <sheetFormatPr defaultRowHeight="14.5" x14ac:dyDescent="0.35"/>
  <cols>
    <col min="1" max="1" width="7.08984375" customWidth="1"/>
    <col min="2" max="2" width="22.453125" bestFit="1" customWidth="1"/>
    <col min="3" max="3" width="18.36328125" bestFit="1" customWidth="1"/>
    <col min="4" max="4" width="52" bestFit="1" customWidth="1"/>
    <col min="5" max="5" width="13.90625" customWidth="1"/>
    <col min="6" max="6" width="15.54296875" customWidth="1"/>
  </cols>
  <sheetData>
    <row r="2" spans="2:6" x14ac:dyDescent="0.35">
      <c r="B2" s="303" t="s">
        <v>371</v>
      </c>
      <c r="C2" s="303"/>
      <c r="D2" s="303"/>
      <c r="E2" s="303"/>
      <c r="F2" s="235"/>
    </row>
    <row r="3" spans="2:6" x14ac:dyDescent="0.35">
      <c r="B3" s="261" t="s">
        <v>373</v>
      </c>
      <c r="C3" s="261" t="s">
        <v>374</v>
      </c>
      <c r="D3" s="235" t="s">
        <v>391</v>
      </c>
      <c r="E3" s="235" t="s">
        <v>392</v>
      </c>
      <c r="F3" s="235" t="s">
        <v>655</v>
      </c>
    </row>
    <row r="4" spans="2:6" s="238" customFormat="1" x14ac:dyDescent="0.35">
      <c r="B4" s="305" t="s">
        <v>308</v>
      </c>
      <c r="C4" s="306" t="s">
        <v>375</v>
      </c>
      <c r="D4" s="237" t="s">
        <v>119</v>
      </c>
      <c r="E4" s="250"/>
      <c r="F4" s="255"/>
    </row>
    <row r="5" spans="2:6" s="238" customFormat="1" x14ac:dyDescent="0.35">
      <c r="B5" s="305"/>
      <c r="C5" s="306"/>
      <c r="D5" s="237" t="s">
        <v>372</v>
      </c>
      <c r="E5" s="250"/>
      <c r="F5" s="255"/>
    </row>
    <row r="6" spans="2:6" s="238" customFormat="1" x14ac:dyDescent="0.35">
      <c r="B6" s="305" t="s">
        <v>312</v>
      </c>
      <c r="C6" s="305" t="s">
        <v>375</v>
      </c>
      <c r="D6" s="237" t="s">
        <v>119</v>
      </c>
      <c r="E6" s="250"/>
      <c r="F6" s="242"/>
    </row>
    <row r="7" spans="2:6" s="238" customFormat="1" x14ac:dyDescent="0.35">
      <c r="B7" s="305"/>
      <c r="C7" s="305"/>
      <c r="D7" s="237" t="s">
        <v>101</v>
      </c>
      <c r="E7" s="250"/>
      <c r="F7" s="242"/>
    </row>
    <row r="8" spans="2:6" s="238" customFormat="1" x14ac:dyDescent="0.35">
      <c r="B8" s="306" t="s">
        <v>376</v>
      </c>
      <c r="C8" s="306" t="s">
        <v>377</v>
      </c>
      <c r="D8" s="237" t="s">
        <v>102</v>
      </c>
      <c r="E8" s="250"/>
      <c r="F8" s="242"/>
    </row>
    <row r="9" spans="2:6" s="238" customFormat="1" x14ac:dyDescent="0.35">
      <c r="B9" s="306"/>
      <c r="C9" s="305"/>
      <c r="D9" s="237" t="s">
        <v>142</v>
      </c>
      <c r="E9" s="250"/>
      <c r="F9" s="255"/>
    </row>
    <row r="10" spans="2:6" s="238" customFormat="1" x14ac:dyDescent="0.35">
      <c r="B10" s="305" t="s">
        <v>378</v>
      </c>
      <c r="C10" s="305" t="s">
        <v>31</v>
      </c>
      <c r="D10" s="237" t="s">
        <v>103</v>
      </c>
      <c r="E10" s="250"/>
      <c r="F10" s="255"/>
    </row>
    <row r="11" spans="2:6" s="238" customFormat="1" x14ac:dyDescent="0.35">
      <c r="B11" s="305"/>
      <c r="C11" s="305"/>
      <c r="D11" s="237" t="s">
        <v>159</v>
      </c>
      <c r="E11" s="250"/>
      <c r="F11" s="255"/>
    </row>
    <row r="12" spans="2:6" s="238" customFormat="1" x14ac:dyDescent="0.35">
      <c r="B12" s="306" t="s">
        <v>376</v>
      </c>
      <c r="C12" s="305" t="s">
        <v>32</v>
      </c>
      <c r="D12" s="237" t="s">
        <v>381</v>
      </c>
      <c r="E12" s="250"/>
      <c r="F12" s="255"/>
    </row>
    <row r="13" spans="2:6" s="238" customFormat="1" x14ac:dyDescent="0.35">
      <c r="B13" s="306"/>
      <c r="C13" s="305"/>
      <c r="D13" s="237" t="s">
        <v>382</v>
      </c>
      <c r="E13" s="250"/>
      <c r="F13" s="255"/>
    </row>
    <row r="14" spans="2:6" s="238" customFormat="1" x14ac:dyDescent="0.35">
      <c r="B14" s="305" t="s">
        <v>378</v>
      </c>
      <c r="C14" s="306" t="s">
        <v>379</v>
      </c>
      <c r="D14" s="237" t="s">
        <v>105</v>
      </c>
      <c r="E14" s="250"/>
      <c r="F14" s="255"/>
    </row>
    <row r="15" spans="2:6" s="238" customFormat="1" x14ac:dyDescent="0.35">
      <c r="B15" s="305"/>
      <c r="C15" s="305"/>
      <c r="D15" s="237" t="s">
        <v>174</v>
      </c>
      <c r="E15" s="250"/>
      <c r="F15" s="255"/>
    </row>
    <row r="16" spans="2:6" s="238" customFormat="1" x14ac:dyDescent="0.35">
      <c r="B16" s="305" t="s">
        <v>380</v>
      </c>
      <c r="C16" s="305" t="s">
        <v>34</v>
      </c>
      <c r="D16" s="237" t="s">
        <v>106</v>
      </c>
      <c r="E16" s="250"/>
      <c r="F16" s="255"/>
    </row>
    <row r="17" spans="2:6" s="238" customFormat="1" x14ac:dyDescent="0.35">
      <c r="B17" s="305"/>
      <c r="C17" s="305"/>
      <c r="D17" s="237" t="s">
        <v>137</v>
      </c>
      <c r="E17" s="250"/>
      <c r="F17" s="255"/>
    </row>
    <row r="18" spans="2:6" s="238" customFormat="1" x14ac:dyDescent="0.35">
      <c r="B18" s="305" t="s">
        <v>380</v>
      </c>
      <c r="C18" s="305" t="s">
        <v>383</v>
      </c>
      <c r="D18" s="237" t="s">
        <v>384</v>
      </c>
      <c r="E18" s="237"/>
      <c r="F18" s="92"/>
    </row>
    <row r="19" spans="2:6" s="238" customFormat="1" ht="14.4" x14ac:dyDescent="0.3">
      <c r="B19" s="305"/>
      <c r="C19" s="305"/>
      <c r="D19" s="237" t="s">
        <v>385</v>
      </c>
      <c r="E19" s="55"/>
      <c r="F19" s="92"/>
    </row>
    <row r="20" spans="2:6" s="238" customFormat="1" ht="14.4" x14ac:dyDescent="0.3">
      <c r="B20" s="237" t="s">
        <v>72</v>
      </c>
      <c r="C20" s="237" t="s">
        <v>107</v>
      </c>
      <c r="D20" s="237" t="s">
        <v>386</v>
      </c>
      <c r="E20" s="55"/>
      <c r="F20" s="92"/>
    </row>
    <row r="21" spans="2:6" s="238" customFormat="1" x14ac:dyDescent="0.3">
      <c r="B21" s="305" t="s">
        <v>387</v>
      </c>
      <c r="C21" s="305" t="s">
        <v>388</v>
      </c>
      <c r="D21" s="237" t="s">
        <v>389</v>
      </c>
      <c r="E21" s="55"/>
      <c r="F21" s="92"/>
    </row>
    <row r="22" spans="2:6" s="238" customFormat="1" x14ac:dyDescent="0.3">
      <c r="B22" s="305"/>
      <c r="C22" s="305"/>
      <c r="D22" s="237" t="s">
        <v>390</v>
      </c>
      <c r="E22" s="55"/>
      <c r="F22" s="92"/>
    </row>
  </sheetData>
  <mergeCells count="19">
    <mergeCell ref="B14:B15"/>
    <mergeCell ref="B16:B17"/>
    <mergeCell ref="B18:B19"/>
    <mergeCell ref="C18:C19"/>
    <mergeCell ref="B21:B22"/>
    <mergeCell ref="C21:C22"/>
    <mergeCell ref="C14:C15"/>
    <mergeCell ref="C16:C17"/>
    <mergeCell ref="B2:E2"/>
    <mergeCell ref="C6:C7"/>
    <mergeCell ref="C8:C9"/>
    <mergeCell ref="C10:C11"/>
    <mergeCell ref="C12:C13"/>
    <mergeCell ref="C4:C5"/>
    <mergeCell ref="B4:B5"/>
    <mergeCell ref="B6:B7"/>
    <mergeCell ref="B8:B9"/>
    <mergeCell ref="B10:B11"/>
    <mergeCell ref="B12:B13"/>
  </mergeCells>
  <phoneticPr fontId="15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D4173-5850-49D0-9DBE-78538D0342A4}">
  <sheetPr>
    <tabColor rgb="FFFF9933"/>
  </sheetPr>
  <dimension ref="A2:E94"/>
  <sheetViews>
    <sheetView zoomScaleNormal="100" workbookViewId="0">
      <selection activeCell="C78" sqref="C78:D94"/>
    </sheetView>
  </sheetViews>
  <sheetFormatPr defaultRowHeight="14.5" x14ac:dyDescent="0.35"/>
  <cols>
    <col min="1" max="1" width="4.90625" customWidth="1"/>
    <col min="2" max="2" width="17.90625" bestFit="1" customWidth="1"/>
    <col min="3" max="3" width="31.90625" style="74" customWidth="1"/>
    <col min="4" max="4" width="19.6328125" customWidth="1"/>
    <col min="5" max="5" width="15" customWidth="1"/>
  </cols>
  <sheetData>
    <row r="2" spans="1:5" x14ac:dyDescent="0.35">
      <c r="A2" s="51"/>
      <c r="B2" s="235"/>
      <c r="C2" s="303" t="s">
        <v>393</v>
      </c>
      <c r="D2" s="303"/>
      <c r="E2" s="303"/>
    </row>
    <row r="3" spans="1:5" x14ac:dyDescent="0.35">
      <c r="A3" s="51"/>
      <c r="B3" s="235" t="s">
        <v>455</v>
      </c>
      <c r="C3" s="235" t="s">
        <v>454</v>
      </c>
      <c r="D3" s="235" t="s">
        <v>392</v>
      </c>
      <c r="E3" s="235" t="s">
        <v>655</v>
      </c>
    </row>
    <row r="4" spans="1:5" s="238" customFormat="1" x14ac:dyDescent="0.35">
      <c r="A4" s="54"/>
      <c r="B4" s="307" t="s">
        <v>456</v>
      </c>
      <c r="C4" s="92" t="s">
        <v>394</v>
      </c>
      <c r="D4" s="92"/>
      <c r="E4" s="255"/>
    </row>
    <row r="5" spans="1:5" s="238" customFormat="1" x14ac:dyDescent="0.35">
      <c r="A5" s="54"/>
      <c r="B5" s="307"/>
      <c r="C5" s="92" t="s">
        <v>395</v>
      </c>
      <c r="D5" s="92"/>
      <c r="E5" s="255"/>
    </row>
    <row r="6" spans="1:5" s="238" customFormat="1" x14ac:dyDescent="0.35">
      <c r="A6" s="247"/>
      <c r="B6" s="307"/>
      <c r="C6" s="92" t="s">
        <v>396</v>
      </c>
      <c r="D6" s="92"/>
      <c r="E6" s="242"/>
    </row>
    <row r="7" spans="1:5" s="238" customFormat="1" x14ac:dyDescent="0.35">
      <c r="A7" s="247"/>
      <c r="B7" s="307"/>
      <c r="C7" s="92" t="s">
        <v>397</v>
      </c>
      <c r="D7" s="92"/>
      <c r="E7" s="242"/>
    </row>
    <row r="8" spans="1:5" s="238" customFormat="1" x14ac:dyDescent="0.35">
      <c r="A8" s="247"/>
      <c r="B8" s="307"/>
      <c r="C8" s="92" t="s">
        <v>398</v>
      </c>
      <c r="D8" s="92"/>
      <c r="E8" s="242"/>
    </row>
    <row r="9" spans="1:5" s="238" customFormat="1" x14ac:dyDescent="0.35">
      <c r="A9" s="54"/>
      <c r="B9" s="307"/>
      <c r="C9" s="92" t="s">
        <v>399</v>
      </c>
      <c r="D9" s="92"/>
      <c r="E9" s="255"/>
    </row>
    <row r="10" spans="1:5" s="238" customFormat="1" x14ac:dyDescent="0.35">
      <c r="A10" s="54"/>
      <c r="B10" s="307"/>
      <c r="C10" s="92" t="s">
        <v>400</v>
      </c>
      <c r="D10" s="92"/>
      <c r="E10" s="255"/>
    </row>
    <row r="11" spans="1:5" s="238" customFormat="1" x14ac:dyDescent="0.35">
      <c r="A11" s="54"/>
      <c r="B11" s="307"/>
      <c r="C11" s="92" t="s">
        <v>401</v>
      </c>
      <c r="D11" s="92"/>
      <c r="E11" s="255"/>
    </row>
    <row r="12" spans="1:5" s="238" customFormat="1" x14ac:dyDescent="0.35">
      <c r="A12" s="54"/>
      <c r="B12" s="307"/>
      <c r="C12" s="92" t="s">
        <v>402</v>
      </c>
      <c r="D12" s="92"/>
      <c r="E12" s="255"/>
    </row>
    <row r="13" spans="1:5" s="238" customFormat="1" x14ac:dyDescent="0.35">
      <c r="A13" s="54"/>
      <c r="B13" s="307"/>
      <c r="C13" s="92" t="s">
        <v>403</v>
      </c>
      <c r="D13" s="92"/>
      <c r="E13" s="255"/>
    </row>
    <row r="14" spans="1:5" s="238" customFormat="1" x14ac:dyDescent="0.35">
      <c r="A14" s="54"/>
      <c r="B14" s="307"/>
      <c r="C14" s="92" t="s">
        <v>404</v>
      </c>
      <c r="D14" s="92"/>
      <c r="E14" s="255"/>
    </row>
    <row r="15" spans="1:5" s="238" customFormat="1" x14ac:dyDescent="0.35">
      <c r="A15" s="54"/>
      <c r="B15" s="307"/>
      <c r="C15" s="92" t="s">
        <v>405</v>
      </c>
      <c r="D15" s="92"/>
      <c r="E15" s="255"/>
    </row>
    <row r="16" spans="1:5" s="238" customFormat="1" x14ac:dyDescent="0.35">
      <c r="A16" s="54"/>
      <c r="B16" s="307"/>
      <c r="C16" s="92" t="s">
        <v>406</v>
      </c>
      <c r="D16" s="92"/>
      <c r="E16" s="255"/>
    </row>
    <row r="17" spans="1:5" s="238" customFormat="1" x14ac:dyDescent="0.35">
      <c r="A17" s="54"/>
      <c r="B17" s="307"/>
      <c r="C17" s="92" t="s">
        <v>407</v>
      </c>
      <c r="D17" s="92"/>
      <c r="E17" s="255"/>
    </row>
    <row r="18" spans="1:5" s="238" customFormat="1" x14ac:dyDescent="0.35">
      <c r="B18" s="307"/>
      <c r="C18" s="92" t="s">
        <v>408</v>
      </c>
      <c r="D18" s="92"/>
      <c r="E18" s="255"/>
    </row>
    <row r="19" spans="1:5" s="238" customFormat="1" x14ac:dyDescent="0.35">
      <c r="B19" s="307"/>
      <c r="C19" s="92" t="s">
        <v>409</v>
      </c>
      <c r="D19" s="92"/>
      <c r="E19" s="255"/>
    </row>
    <row r="20" spans="1:5" s="238" customFormat="1" x14ac:dyDescent="0.35">
      <c r="B20" s="307"/>
      <c r="C20" s="92" t="s">
        <v>410</v>
      </c>
      <c r="D20" s="92"/>
      <c r="E20" s="255"/>
    </row>
    <row r="21" spans="1:5" s="238" customFormat="1" x14ac:dyDescent="0.35">
      <c r="B21" s="307"/>
      <c r="C21" s="92" t="s">
        <v>411</v>
      </c>
      <c r="D21" s="92"/>
      <c r="E21" s="92"/>
    </row>
    <row r="22" spans="1:5" s="238" customFormat="1" x14ac:dyDescent="0.35">
      <c r="B22" s="307"/>
      <c r="C22" s="92" t="s">
        <v>412</v>
      </c>
      <c r="D22" s="92"/>
      <c r="E22" s="92"/>
    </row>
    <row r="23" spans="1:5" x14ac:dyDescent="0.35">
      <c r="B23" s="307"/>
      <c r="C23" s="92" t="s">
        <v>413</v>
      </c>
      <c r="D23" s="92"/>
      <c r="E23" s="46"/>
    </row>
    <row r="24" spans="1:5" x14ac:dyDescent="0.35">
      <c r="B24" s="307"/>
      <c r="C24" s="92" t="s">
        <v>414</v>
      </c>
      <c r="D24" s="92"/>
      <c r="E24" s="46"/>
    </row>
    <row r="25" spans="1:5" x14ac:dyDescent="0.35">
      <c r="B25" s="307"/>
      <c r="C25" s="92" t="s">
        <v>415</v>
      </c>
      <c r="D25" s="92"/>
      <c r="E25" s="46"/>
    </row>
    <row r="26" spans="1:5" x14ac:dyDescent="0.35">
      <c r="B26" s="307"/>
      <c r="C26" s="92" t="s">
        <v>416</v>
      </c>
      <c r="D26" s="92"/>
      <c r="E26" s="46"/>
    </row>
    <row r="27" spans="1:5" x14ac:dyDescent="0.35">
      <c r="B27" s="307"/>
      <c r="C27" s="92" t="s">
        <v>167</v>
      </c>
      <c r="D27" s="92"/>
      <c r="E27" s="46"/>
    </row>
    <row r="28" spans="1:5" x14ac:dyDescent="0.35">
      <c r="B28" s="307"/>
      <c r="C28" s="92" t="s">
        <v>452</v>
      </c>
      <c r="D28" s="92"/>
      <c r="E28" s="46"/>
    </row>
    <row r="29" spans="1:5" x14ac:dyDescent="0.35">
      <c r="B29" s="307"/>
      <c r="C29" s="92" t="s">
        <v>453</v>
      </c>
      <c r="D29" s="92"/>
      <c r="E29" s="46"/>
    </row>
    <row r="30" spans="1:5" x14ac:dyDescent="0.35">
      <c r="B30" s="307"/>
      <c r="C30" s="92" t="s">
        <v>417</v>
      </c>
      <c r="D30" s="92"/>
      <c r="E30" s="46"/>
    </row>
    <row r="31" spans="1:5" x14ac:dyDescent="0.35">
      <c r="B31" s="307"/>
      <c r="C31" s="92" t="s">
        <v>418</v>
      </c>
      <c r="D31" s="92"/>
      <c r="E31" s="46"/>
    </row>
    <row r="32" spans="1:5" x14ac:dyDescent="0.35">
      <c r="B32" s="307"/>
      <c r="C32" s="92" t="s">
        <v>419</v>
      </c>
      <c r="D32" s="92"/>
      <c r="E32" s="46"/>
    </row>
    <row r="33" spans="2:5" x14ac:dyDescent="0.35">
      <c r="B33" s="307"/>
      <c r="C33" s="92" t="s">
        <v>420</v>
      </c>
      <c r="D33" s="92"/>
      <c r="E33" s="46"/>
    </row>
    <row r="34" spans="2:5" x14ac:dyDescent="0.35">
      <c r="B34" s="307"/>
      <c r="C34" s="92" t="s">
        <v>421</v>
      </c>
      <c r="D34" s="92"/>
      <c r="E34" s="46"/>
    </row>
    <row r="35" spans="2:5" x14ac:dyDescent="0.35">
      <c r="B35" s="307"/>
      <c r="C35" s="92" t="s">
        <v>422</v>
      </c>
      <c r="D35" s="92"/>
      <c r="E35" s="46"/>
    </row>
    <row r="36" spans="2:5" x14ac:dyDescent="0.35">
      <c r="B36" s="307"/>
      <c r="C36" s="92" t="s">
        <v>423</v>
      </c>
      <c r="D36" s="92"/>
      <c r="E36" s="46"/>
    </row>
    <row r="37" spans="2:5" x14ac:dyDescent="0.35">
      <c r="B37" s="307"/>
      <c r="C37" s="92" t="s">
        <v>424</v>
      </c>
      <c r="D37" s="92"/>
      <c r="E37" s="46"/>
    </row>
    <row r="38" spans="2:5" x14ac:dyDescent="0.35">
      <c r="B38" s="307"/>
      <c r="C38" s="92" t="s">
        <v>425</v>
      </c>
      <c r="D38" s="92"/>
      <c r="E38" s="46"/>
    </row>
    <row r="39" spans="2:5" x14ac:dyDescent="0.35">
      <c r="B39" s="301" t="s">
        <v>426</v>
      </c>
      <c r="C39" s="92" t="s">
        <v>427</v>
      </c>
      <c r="D39" s="92"/>
      <c r="E39" s="46"/>
    </row>
    <row r="40" spans="2:5" x14ac:dyDescent="0.35">
      <c r="B40" s="301"/>
      <c r="C40" s="92" t="s">
        <v>428</v>
      </c>
      <c r="D40" s="92"/>
      <c r="E40" s="46"/>
    </row>
    <row r="41" spans="2:5" x14ac:dyDescent="0.35">
      <c r="B41" s="301"/>
      <c r="C41" s="92" t="s">
        <v>429</v>
      </c>
      <c r="D41" s="92"/>
      <c r="E41" s="46"/>
    </row>
    <row r="42" spans="2:5" x14ac:dyDescent="0.35">
      <c r="B42" s="301"/>
      <c r="C42" s="92" t="s">
        <v>430</v>
      </c>
      <c r="D42" s="92"/>
      <c r="E42" s="46"/>
    </row>
    <row r="43" spans="2:5" x14ac:dyDescent="0.35">
      <c r="B43" s="301"/>
      <c r="C43" s="92" t="s">
        <v>431</v>
      </c>
      <c r="D43" s="92"/>
      <c r="E43" s="46"/>
    </row>
    <row r="44" spans="2:5" x14ac:dyDescent="0.35">
      <c r="B44" s="301"/>
      <c r="C44" s="92" t="s">
        <v>432</v>
      </c>
      <c r="D44" s="92"/>
      <c r="E44" s="46"/>
    </row>
    <row r="45" spans="2:5" x14ac:dyDescent="0.35">
      <c r="B45" s="301"/>
      <c r="C45" s="92" t="s">
        <v>175</v>
      </c>
      <c r="D45" s="92"/>
      <c r="E45" s="46"/>
    </row>
    <row r="46" spans="2:5" x14ac:dyDescent="0.35">
      <c r="B46" s="301"/>
      <c r="C46" s="92" t="s">
        <v>111</v>
      </c>
      <c r="D46" s="92"/>
      <c r="E46" s="46"/>
    </row>
    <row r="47" spans="2:5" x14ac:dyDescent="0.35">
      <c r="B47" s="301"/>
      <c r="C47" s="92" t="s">
        <v>433</v>
      </c>
      <c r="D47" s="92"/>
      <c r="E47" s="46"/>
    </row>
    <row r="48" spans="2:5" x14ac:dyDescent="0.35">
      <c r="B48" s="301"/>
      <c r="C48" s="92" t="s">
        <v>434</v>
      </c>
      <c r="D48" s="92"/>
      <c r="E48" s="46"/>
    </row>
    <row r="49" spans="2:5" x14ac:dyDescent="0.35">
      <c r="B49" s="301"/>
      <c r="C49" s="92" t="s">
        <v>435</v>
      </c>
      <c r="D49" s="92"/>
      <c r="E49" s="46"/>
    </row>
    <row r="50" spans="2:5" x14ac:dyDescent="0.35">
      <c r="B50" s="301"/>
      <c r="C50" s="92" t="s">
        <v>436</v>
      </c>
      <c r="D50" s="92"/>
      <c r="E50" s="46"/>
    </row>
    <row r="51" spans="2:5" x14ac:dyDescent="0.35">
      <c r="B51" s="301"/>
      <c r="C51" s="92" t="s">
        <v>437</v>
      </c>
      <c r="D51" s="92"/>
      <c r="E51" s="46"/>
    </row>
    <row r="52" spans="2:5" x14ac:dyDescent="0.35">
      <c r="B52" s="301"/>
      <c r="C52" s="92" t="s">
        <v>438</v>
      </c>
      <c r="D52" s="92"/>
      <c r="E52" s="46"/>
    </row>
    <row r="53" spans="2:5" x14ac:dyDescent="0.35">
      <c r="B53" s="301"/>
      <c r="C53" s="92" t="s">
        <v>133</v>
      </c>
      <c r="D53" s="92"/>
      <c r="E53" s="46"/>
    </row>
    <row r="54" spans="2:5" x14ac:dyDescent="0.35">
      <c r="B54" s="301"/>
      <c r="C54" s="92" t="s">
        <v>439</v>
      </c>
      <c r="D54" s="92"/>
      <c r="E54" s="46"/>
    </row>
    <row r="55" spans="2:5" x14ac:dyDescent="0.35">
      <c r="B55" s="301"/>
      <c r="C55" s="92" t="s">
        <v>440</v>
      </c>
      <c r="D55" s="92"/>
      <c r="E55" s="46"/>
    </row>
    <row r="56" spans="2:5" x14ac:dyDescent="0.35">
      <c r="B56" s="301"/>
      <c r="C56" s="92" t="s">
        <v>441</v>
      </c>
      <c r="D56" s="92"/>
      <c r="E56" s="46"/>
    </row>
    <row r="57" spans="2:5" x14ac:dyDescent="0.35">
      <c r="B57" s="301"/>
      <c r="C57" s="92" t="s">
        <v>442</v>
      </c>
      <c r="D57" s="92"/>
      <c r="E57" s="46"/>
    </row>
    <row r="58" spans="2:5" x14ac:dyDescent="0.35">
      <c r="B58" s="301"/>
      <c r="C58" s="92" t="s">
        <v>108</v>
      </c>
      <c r="D58" s="92"/>
      <c r="E58" s="46"/>
    </row>
    <row r="59" spans="2:5" x14ac:dyDescent="0.35">
      <c r="B59" s="301"/>
      <c r="C59" s="92" t="s">
        <v>443</v>
      </c>
      <c r="D59" s="92"/>
      <c r="E59" s="46"/>
    </row>
    <row r="60" spans="2:5" x14ac:dyDescent="0.35">
      <c r="B60" s="301"/>
      <c r="C60" s="92" t="s">
        <v>444</v>
      </c>
      <c r="D60" s="92"/>
      <c r="E60" s="46"/>
    </row>
    <row r="61" spans="2:5" x14ac:dyDescent="0.35">
      <c r="B61" s="301"/>
      <c r="C61" s="92" t="s">
        <v>445</v>
      </c>
      <c r="D61" s="92"/>
      <c r="E61" s="46"/>
    </row>
    <row r="62" spans="2:5" x14ac:dyDescent="0.35">
      <c r="B62" s="301"/>
      <c r="C62" s="92" t="s">
        <v>446</v>
      </c>
      <c r="D62" s="92"/>
      <c r="E62" s="46"/>
    </row>
    <row r="63" spans="2:5" x14ac:dyDescent="0.35">
      <c r="B63" s="301"/>
      <c r="C63" s="92" t="s">
        <v>447</v>
      </c>
      <c r="D63" s="92"/>
      <c r="E63" s="46"/>
    </row>
    <row r="64" spans="2:5" x14ac:dyDescent="0.35">
      <c r="B64" s="301"/>
      <c r="C64" s="92" t="s">
        <v>448</v>
      </c>
      <c r="D64" s="92"/>
      <c r="E64" s="46"/>
    </row>
    <row r="65" spans="2:5" x14ac:dyDescent="0.35">
      <c r="B65" s="301"/>
      <c r="C65" s="92" t="s">
        <v>449</v>
      </c>
      <c r="D65" s="92"/>
      <c r="E65" s="46"/>
    </row>
    <row r="66" spans="2:5" x14ac:dyDescent="0.35">
      <c r="B66" s="301"/>
      <c r="C66" s="92" t="s">
        <v>450</v>
      </c>
      <c r="D66" s="92"/>
      <c r="E66" s="46"/>
    </row>
    <row r="67" spans="2:5" x14ac:dyDescent="0.35">
      <c r="B67" s="301"/>
      <c r="C67" s="92" t="s">
        <v>451</v>
      </c>
      <c r="D67" s="92"/>
      <c r="E67" s="46"/>
    </row>
    <row r="68" spans="2:5" x14ac:dyDescent="0.35">
      <c r="B68" s="301"/>
      <c r="C68" s="92" t="s">
        <v>135</v>
      </c>
      <c r="D68" s="92"/>
      <c r="E68" s="46"/>
    </row>
    <row r="69" spans="2:5" x14ac:dyDescent="0.35">
      <c r="B69" s="301"/>
      <c r="C69" s="92" t="s">
        <v>315</v>
      </c>
      <c r="D69" s="92"/>
      <c r="E69" s="46"/>
    </row>
    <row r="78" spans="2:5" x14ac:dyDescent="0.35">
      <c r="C78" s="236" t="s">
        <v>108</v>
      </c>
      <c r="D78" s="53">
        <v>23150</v>
      </c>
    </row>
    <row r="79" spans="2:5" x14ac:dyDescent="0.35">
      <c r="C79" s="236" t="s">
        <v>109</v>
      </c>
      <c r="D79" s="53">
        <v>6950</v>
      </c>
    </row>
    <row r="80" spans="2:5" x14ac:dyDescent="0.35">
      <c r="C80" s="236" t="s">
        <v>133</v>
      </c>
      <c r="D80" s="241">
        <v>6960</v>
      </c>
    </row>
    <row r="81" spans="3:4" x14ac:dyDescent="0.35">
      <c r="C81" s="236" t="s">
        <v>175</v>
      </c>
      <c r="D81" s="241">
        <v>10790</v>
      </c>
    </row>
    <row r="82" spans="3:4" x14ac:dyDescent="0.35">
      <c r="C82" s="236" t="s">
        <v>126</v>
      </c>
      <c r="D82" s="241">
        <v>7560</v>
      </c>
    </row>
    <row r="83" spans="3:4" x14ac:dyDescent="0.35">
      <c r="C83" s="236" t="s">
        <v>315</v>
      </c>
      <c r="D83" s="53">
        <v>12900</v>
      </c>
    </row>
    <row r="84" spans="3:4" x14ac:dyDescent="0.35">
      <c r="C84" s="236" t="s">
        <v>110</v>
      </c>
      <c r="D84" s="53">
        <v>5300</v>
      </c>
    </row>
    <row r="85" spans="3:4" x14ac:dyDescent="0.35">
      <c r="C85" s="236" t="s">
        <v>111</v>
      </c>
      <c r="D85" s="53">
        <v>16200</v>
      </c>
    </row>
    <row r="86" spans="3:4" x14ac:dyDescent="0.35">
      <c r="C86" s="236" t="s">
        <v>129</v>
      </c>
      <c r="D86" s="53">
        <v>275167.58</v>
      </c>
    </row>
    <row r="87" spans="3:4" x14ac:dyDescent="0.35">
      <c r="C87" s="236" t="s">
        <v>156</v>
      </c>
      <c r="D87" s="53">
        <v>98050</v>
      </c>
    </row>
    <row r="88" spans="3:4" x14ac:dyDescent="0.35">
      <c r="C88" s="236" t="s">
        <v>135</v>
      </c>
      <c r="D88" s="53">
        <v>126068.64</v>
      </c>
    </row>
    <row r="89" spans="3:4" x14ac:dyDescent="0.35">
      <c r="C89" s="236" t="s">
        <v>120</v>
      </c>
      <c r="D89" s="53">
        <v>56908.88</v>
      </c>
    </row>
    <row r="90" spans="3:4" x14ac:dyDescent="0.35">
      <c r="C90" s="236" t="s">
        <v>107</v>
      </c>
      <c r="D90" s="53">
        <v>85149.119999999995</v>
      </c>
    </row>
    <row r="91" spans="3:4" x14ac:dyDescent="0.35">
      <c r="C91" s="236" t="s">
        <v>139</v>
      </c>
      <c r="D91" s="53">
        <v>62156.32</v>
      </c>
    </row>
    <row r="92" spans="3:4" x14ac:dyDescent="0.35">
      <c r="C92" s="236" t="s">
        <v>151</v>
      </c>
      <c r="D92" s="53">
        <v>79733.19</v>
      </c>
    </row>
    <row r="93" spans="3:4" x14ac:dyDescent="0.35">
      <c r="C93" s="236" t="s">
        <v>121</v>
      </c>
      <c r="D93" s="53">
        <v>208306</v>
      </c>
    </row>
    <row r="94" spans="3:4" x14ac:dyDescent="0.35">
      <c r="C94" s="236" t="s">
        <v>167</v>
      </c>
      <c r="D94" s="53">
        <v>82055.11</v>
      </c>
    </row>
  </sheetData>
  <mergeCells count="3">
    <mergeCell ref="B4:B38"/>
    <mergeCell ref="B39:B69"/>
    <mergeCell ref="C2:E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AD32B-1DC3-4508-9950-1A4FA08438E7}">
  <sheetPr>
    <tabColor rgb="FFFF9933"/>
  </sheetPr>
  <dimension ref="A2:M194"/>
  <sheetViews>
    <sheetView zoomScaleNormal="100" workbookViewId="0">
      <selection activeCell="F3" sqref="F3"/>
    </sheetView>
  </sheetViews>
  <sheetFormatPr defaultRowHeight="14.5" x14ac:dyDescent="0.35"/>
  <cols>
    <col min="1" max="1" width="4.90625" customWidth="1"/>
    <col min="2" max="2" width="5" customWidth="1"/>
    <col min="3" max="3" width="9.453125" style="51" customWidth="1"/>
    <col min="4" max="4" width="39.08984375" bestFit="1" customWidth="1"/>
    <col min="5" max="5" width="14.36328125" customWidth="1"/>
    <col min="6" max="6" width="16.08984375" customWidth="1"/>
    <col min="7" max="8" width="14" customWidth="1"/>
    <col min="9" max="9" width="5.1796875" customWidth="1"/>
    <col min="10" max="10" width="12.6328125" customWidth="1"/>
    <col min="11" max="11" width="11.81640625" customWidth="1"/>
    <col min="12" max="14" width="9.1796875" customWidth="1"/>
  </cols>
  <sheetData>
    <row r="2" spans="1:13" x14ac:dyDescent="0.35">
      <c r="C2" s="251" t="s">
        <v>0</v>
      </c>
      <c r="D2" s="252" t="s">
        <v>306</v>
      </c>
      <c r="E2" s="252" t="s">
        <v>650</v>
      </c>
      <c r="F2" s="253" t="s">
        <v>647</v>
      </c>
      <c r="G2" s="253" t="s">
        <v>648</v>
      </c>
      <c r="H2" s="235" t="s">
        <v>655</v>
      </c>
      <c r="J2" s="300" t="s">
        <v>306</v>
      </c>
      <c r="K2" s="300"/>
    </row>
    <row r="3" spans="1:13" x14ac:dyDescent="0.35">
      <c r="A3" s="51"/>
      <c r="C3" s="38" t="s">
        <v>1</v>
      </c>
      <c r="D3" s="254" t="s">
        <v>457</v>
      </c>
      <c r="E3" s="254" t="s">
        <v>651</v>
      </c>
      <c r="F3" s="46"/>
      <c r="G3" s="46"/>
      <c r="H3" s="46"/>
      <c r="J3" s="56" t="s">
        <v>212</v>
      </c>
      <c r="K3" s="57">
        <v>6000</v>
      </c>
      <c r="L3" s="51"/>
    </row>
    <row r="4" spans="1:13" x14ac:dyDescent="0.35">
      <c r="A4" s="51"/>
      <c r="C4" s="38" t="s">
        <v>1</v>
      </c>
      <c r="D4" s="254" t="s">
        <v>458</v>
      </c>
      <c r="E4" s="254" t="s">
        <v>651</v>
      </c>
      <c r="F4" s="46"/>
      <c r="G4" s="46"/>
      <c r="H4" s="46"/>
      <c r="J4" s="56" t="s">
        <v>113</v>
      </c>
      <c r="K4" s="57">
        <v>0</v>
      </c>
      <c r="L4" s="51"/>
    </row>
    <row r="5" spans="1:13" s="238" customFormat="1" x14ac:dyDescent="0.35">
      <c r="A5" s="54"/>
      <c r="B5" s="54"/>
      <c r="C5" s="38" t="s">
        <v>1</v>
      </c>
      <c r="D5" s="254" t="s">
        <v>459</v>
      </c>
      <c r="E5" s="254" t="s">
        <v>651</v>
      </c>
      <c r="F5" s="255"/>
      <c r="G5" s="92"/>
      <c r="H5" s="92"/>
      <c r="J5" s="56" t="s">
        <v>112</v>
      </c>
      <c r="K5" s="57">
        <v>3000</v>
      </c>
      <c r="L5" s="58"/>
      <c r="M5" s="239"/>
    </row>
    <row r="6" spans="1:13" s="238" customFormat="1" x14ac:dyDescent="0.35">
      <c r="A6" s="54"/>
      <c r="B6" s="54"/>
      <c r="C6" s="38" t="s">
        <v>1</v>
      </c>
      <c r="D6" s="254" t="s">
        <v>460</v>
      </c>
      <c r="E6" s="254" t="s">
        <v>651</v>
      </c>
      <c r="F6" s="255"/>
      <c r="G6" s="92"/>
      <c r="H6" s="92"/>
      <c r="J6" s="56" t="s">
        <v>122</v>
      </c>
      <c r="K6" s="57">
        <v>0</v>
      </c>
      <c r="L6" s="58"/>
    </row>
    <row r="7" spans="1:13" s="238" customFormat="1" x14ac:dyDescent="0.35">
      <c r="A7" s="247"/>
      <c r="B7" s="247"/>
      <c r="C7" s="38" t="s">
        <v>1</v>
      </c>
      <c r="D7" s="254" t="s">
        <v>461</v>
      </c>
      <c r="E7" s="254" t="s">
        <v>651</v>
      </c>
      <c r="F7" s="242"/>
      <c r="G7" s="92"/>
      <c r="H7" s="92"/>
      <c r="L7" s="249"/>
      <c r="M7" s="239"/>
    </row>
    <row r="8" spans="1:13" s="238" customFormat="1" x14ac:dyDescent="0.35">
      <c r="A8" s="247"/>
      <c r="B8" s="247"/>
      <c r="C8" s="38" t="s">
        <v>1</v>
      </c>
      <c r="D8" s="254" t="s">
        <v>462</v>
      </c>
      <c r="E8" s="254" t="s">
        <v>651</v>
      </c>
      <c r="F8" s="242"/>
      <c r="G8" s="92"/>
      <c r="H8" s="92"/>
      <c r="L8" s="249"/>
    </row>
    <row r="9" spans="1:13" s="238" customFormat="1" x14ac:dyDescent="0.35">
      <c r="A9" s="247"/>
      <c r="B9" s="247"/>
      <c r="C9" s="38" t="s">
        <v>1</v>
      </c>
      <c r="D9" s="254" t="s">
        <v>463</v>
      </c>
      <c r="E9" s="254" t="s">
        <v>651</v>
      </c>
      <c r="F9" s="242"/>
      <c r="G9" s="92"/>
      <c r="H9" s="92"/>
    </row>
    <row r="10" spans="1:13" s="238" customFormat="1" x14ac:dyDescent="0.35">
      <c r="A10" s="54"/>
      <c r="B10" s="54"/>
      <c r="C10" s="38" t="s">
        <v>1</v>
      </c>
      <c r="D10" s="254" t="s">
        <v>464</v>
      </c>
      <c r="E10" s="254" t="s">
        <v>651</v>
      </c>
      <c r="F10" s="255"/>
      <c r="G10" s="92"/>
      <c r="H10" s="92"/>
    </row>
    <row r="11" spans="1:13" s="238" customFormat="1" x14ac:dyDescent="0.35">
      <c r="A11" s="54"/>
      <c r="B11" s="54"/>
      <c r="C11" s="38" t="s">
        <v>1</v>
      </c>
      <c r="D11" s="254" t="s">
        <v>465</v>
      </c>
      <c r="E11" s="254" t="s">
        <v>651</v>
      </c>
      <c r="F11" s="255"/>
      <c r="G11" s="92"/>
      <c r="H11" s="92"/>
    </row>
    <row r="12" spans="1:13" s="238" customFormat="1" x14ac:dyDescent="0.35">
      <c r="A12" s="54"/>
      <c r="B12" s="54"/>
      <c r="C12" s="38" t="s">
        <v>1</v>
      </c>
      <c r="D12" s="254" t="s">
        <v>466</v>
      </c>
      <c r="E12" s="254" t="s">
        <v>651</v>
      </c>
      <c r="F12" s="255"/>
      <c r="G12" s="92"/>
      <c r="H12" s="92"/>
    </row>
    <row r="13" spans="1:13" s="238" customFormat="1" x14ac:dyDescent="0.35">
      <c r="A13" s="54"/>
      <c r="B13" s="54"/>
      <c r="C13" s="38" t="s">
        <v>1</v>
      </c>
      <c r="D13" s="254" t="s">
        <v>467</v>
      </c>
      <c r="E13" s="254" t="s">
        <v>651</v>
      </c>
      <c r="F13" s="255"/>
      <c r="G13" s="92"/>
      <c r="H13" s="92"/>
    </row>
    <row r="14" spans="1:13" s="238" customFormat="1" x14ac:dyDescent="0.35">
      <c r="A14" s="54"/>
      <c r="B14" s="54"/>
      <c r="C14" s="38" t="s">
        <v>1</v>
      </c>
      <c r="D14" s="254" t="s">
        <v>468</v>
      </c>
      <c r="E14" s="254" t="s">
        <v>651</v>
      </c>
      <c r="F14" s="255"/>
      <c r="G14" s="92"/>
      <c r="H14" s="92"/>
    </row>
    <row r="15" spans="1:13" s="238" customFormat="1" x14ac:dyDescent="0.35">
      <c r="A15" s="54"/>
      <c r="B15" s="54"/>
      <c r="C15" s="38" t="s">
        <v>1</v>
      </c>
      <c r="D15" s="254" t="s">
        <v>469</v>
      </c>
      <c r="E15" s="254" t="s">
        <v>651</v>
      </c>
      <c r="F15" s="255"/>
      <c r="G15" s="92"/>
      <c r="H15" s="92"/>
    </row>
    <row r="16" spans="1:13" s="238" customFormat="1" x14ac:dyDescent="0.35">
      <c r="A16" s="54"/>
      <c r="B16" s="54"/>
      <c r="C16" s="38" t="s">
        <v>1</v>
      </c>
      <c r="D16" s="254" t="s">
        <v>470</v>
      </c>
      <c r="E16" s="254" t="s">
        <v>651</v>
      </c>
      <c r="F16" s="255"/>
      <c r="G16" s="92"/>
      <c r="H16" s="92"/>
    </row>
    <row r="17" spans="1:8" s="238" customFormat="1" x14ac:dyDescent="0.35">
      <c r="A17" s="54"/>
      <c r="B17" s="54"/>
      <c r="C17" s="38" t="s">
        <v>1</v>
      </c>
      <c r="D17" s="254" t="s">
        <v>471</v>
      </c>
      <c r="E17" s="254" t="s">
        <v>651</v>
      </c>
      <c r="F17" s="255"/>
      <c r="G17" s="92"/>
      <c r="H17" s="92"/>
    </row>
    <row r="18" spans="1:8" s="238" customFormat="1" x14ac:dyDescent="0.35">
      <c r="A18" s="54"/>
      <c r="B18" s="54"/>
      <c r="C18" s="38" t="s">
        <v>1</v>
      </c>
      <c r="D18" s="254" t="s">
        <v>472</v>
      </c>
      <c r="E18" s="254" t="s">
        <v>651</v>
      </c>
      <c r="F18" s="255"/>
      <c r="G18" s="92"/>
      <c r="H18" s="92"/>
    </row>
    <row r="19" spans="1:8" s="238" customFormat="1" x14ac:dyDescent="0.35">
      <c r="B19" s="54"/>
      <c r="C19" s="38" t="s">
        <v>1</v>
      </c>
      <c r="D19" s="254" t="s">
        <v>473</v>
      </c>
      <c r="E19" s="254" t="s">
        <v>651</v>
      </c>
      <c r="F19" s="255"/>
      <c r="G19" s="92"/>
      <c r="H19" s="92"/>
    </row>
    <row r="20" spans="1:8" s="238" customFormat="1" x14ac:dyDescent="0.35">
      <c r="B20" s="54"/>
      <c r="C20" s="38" t="s">
        <v>1</v>
      </c>
      <c r="D20" s="254" t="s">
        <v>474</v>
      </c>
      <c r="E20" s="254" t="s">
        <v>651</v>
      </c>
      <c r="F20" s="255"/>
      <c r="G20" s="92"/>
      <c r="H20" s="92"/>
    </row>
    <row r="21" spans="1:8" s="238" customFormat="1" x14ac:dyDescent="0.35">
      <c r="B21" s="54"/>
      <c r="C21" s="38" t="s">
        <v>1</v>
      </c>
      <c r="D21" s="254" t="s">
        <v>475</v>
      </c>
      <c r="E21" s="254" t="s">
        <v>651</v>
      </c>
      <c r="F21" s="255"/>
      <c r="G21" s="92"/>
      <c r="H21" s="92"/>
    </row>
    <row r="22" spans="1:8" s="238" customFormat="1" x14ac:dyDescent="0.35">
      <c r="C22" s="38" t="s">
        <v>1</v>
      </c>
      <c r="D22" s="254" t="s">
        <v>476</v>
      </c>
      <c r="E22" s="254" t="s">
        <v>651</v>
      </c>
      <c r="F22" s="92"/>
      <c r="G22" s="92"/>
      <c r="H22" s="92"/>
    </row>
    <row r="23" spans="1:8" s="238" customFormat="1" x14ac:dyDescent="0.35">
      <c r="C23" s="38" t="s">
        <v>1</v>
      </c>
      <c r="D23" s="254" t="s">
        <v>477</v>
      </c>
      <c r="E23" s="254" t="s">
        <v>651</v>
      </c>
      <c r="F23" s="92"/>
      <c r="G23" s="92"/>
      <c r="H23" s="92"/>
    </row>
    <row r="24" spans="1:8" x14ac:dyDescent="0.35">
      <c r="C24" s="38" t="s">
        <v>1</v>
      </c>
      <c r="D24" s="254" t="s">
        <v>478</v>
      </c>
      <c r="E24" s="254" t="s">
        <v>651</v>
      </c>
      <c r="F24" s="46"/>
      <c r="G24" s="46"/>
      <c r="H24" s="46"/>
    </row>
    <row r="25" spans="1:8" x14ac:dyDescent="0.35">
      <c r="C25" s="38" t="s">
        <v>1</v>
      </c>
      <c r="D25" s="254" t="s">
        <v>479</v>
      </c>
      <c r="E25" s="254" t="s">
        <v>651</v>
      </c>
      <c r="F25" s="46"/>
      <c r="G25" s="46"/>
      <c r="H25" s="46"/>
    </row>
    <row r="26" spans="1:8" x14ac:dyDescent="0.35">
      <c r="C26" s="38" t="s">
        <v>1</v>
      </c>
      <c r="D26" s="256" t="s">
        <v>480</v>
      </c>
      <c r="E26" s="254" t="s">
        <v>651</v>
      </c>
      <c r="F26" s="46"/>
      <c r="G26" s="46"/>
      <c r="H26" s="46"/>
    </row>
    <row r="27" spans="1:8" x14ac:dyDescent="0.35">
      <c r="C27" s="38" t="s">
        <v>1</v>
      </c>
      <c r="D27" s="254" t="s">
        <v>481</v>
      </c>
      <c r="E27" s="254" t="s">
        <v>651</v>
      </c>
      <c r="F27" s="46"/>
      <c r="G27" s="46"/>
      <c r="H27" s="46"/>
    </row>
    <row r="28" spans="1:8" ht="16.25" customHeight="1" x14ac:dyDescent="0.35">
      <c r="C28" s="38" t="s">
        <v>1</v>
      </c>
      <c r="D28" s="254" t="s">
        <v>482</v>
      </c>
      <c r="E28" s="254" t="s">
        <v>651</v>
      </c>
      <c r="F28" s="46"/>
      <c r="G28" s="46"/>
      <c r="H28" s="46"/>
    </row>
    <row r="29" spans="1:8" x14ac:dyDescent="0.35">
      <c r="C29" s="38" t="s">
        <v>1</v>
      </c>
      <c r="D29" s="254" t="s">
        <v>483</v>
      </c>
      <c r="E29" s="254" t="s">
        <v>651</v>
      </c>
      <c r="F29" s="46"/>
      <c r="G29" s="46"/>
      <c r="H29" s="46"/>
    </row>
    <row r="30" spans="1:8" x14ac:dyDescent="0.35">
      <c r="C30" s="38" t="s">
        <v>1</v>
      </c>
      <c r="D30" s="254" t="s">
        <v>484</v>
      </c>
      <c r="E30" s="254" t="s">
        <v>651</v>
      </c>
      <c r="F30" s="46"/>
      <c r="G30" s="46"/>
      <c r="H30" s="46"/>
    </row>
    <row r="31" spans="1:8" x14ac:dyDescent="0.35">
      <c r="C31" s="38" t="s">
        <v>1</v>
      </c>
      <c r="D31" s="254" t="s">
        <v>485</v>
      </c>
      <c r="E31" s="254" t="s">
        <v>651</v>
      </c>
      <c r="F31" s="46"/>
      <c r="G31" s="46"/>
      <c r="H31" s="46"/>
    </row>
    <row r="32" spans="1:8" x14ac:dyDescent="0.35">
      <c r="C32" s="38" t="s">
        <v>1</v>
      </c>
      <c r="D32" s="254" t="s">
        <v>486</v>
      </c>
      <c r="E32" s="254" t="s">
        <v>651</v>
      </c>
      <c r="F32" s="46"/>
      <c r="G32" s="46"/>
      <c r="H32" s="46"/>
    </row>
    <row r="33" spans="3:8" x14ac:dyDescent="0.35">
      <c r="C33" s="38" t="s">
        <v>1</v>
      </c>
      <c r="D33" s="254" t="s">
        <v>487</v>
      </c>
      <c r="E33" s="254" t="s">
        <v>651</v>
      </c>
      <c r="F33" s="46"/>
      <c r="G33" s="46"/>
      <c r="H33" s="46"/>
    </row>
    <row r="34" spans="3:8" x14ac:dyDescent="0.35">
      <c r="C34" s="38" t="s">
        <v>1</v>
      </c>
      <c r="D34" s="254" t="s">
        <v>488</v>
      </c>
      <c r="E34" s="254" t="s">
        <v>651</v>
      </c>
      <c r="F34" s="46"/>
      <c r="G34" s="46"/>
      <c r="H34" s="46"/>
    </row>
    <row r="35" spans="3:8" x14ac:dyDescent="0.35">
      <c r="C35" s="38" t="s">
        <v>1</v>
      </c>
      <c r="D35" s="254" t="s">
        <v>489</v>
      </c>
      <c r="E35" s="254" t="s">
        <v>651</v>
      </c>
      <c r="F35" s="46"/>
      <c r="G35" s="46"/>
      <c r="H35" s="46"/>
    </row>
    <row r="36" spans="3:8" x14ac:dyDescent="0.35">
      <c r="C36" s="38" t="s">
        <v>1</v>
      </c>
      <c r="D36" s="254" t="s">
        <v>490</v>
      </c>
      <c r="E36" s="254" t="s">
        <v>651</v>
      </c>
      <c r="F36" s="46"/>
      <c r="G36" s="46"/>
      <c r="H36" s="46"/>
    </row>
    <row r="37" spans="3:8" x14ac:dyDescent="0.35">
      <c r="C37" s="38" t="s">
        <v>1</v>
      </c>
      <c r="D37" s="254" t="s">
        <v>491</v>
      </c>
      <c r="E37" s="254" t="s">
        <v>651</v>
      </c>
      <c r="F37" s="46"/>
      <c r="G37" s="46"/>
      <c r="H37" s="46"/>
    </row>
    <row r="38" spans="3:8" x14ac:dyDescent="0.35">
      <c r="C38" s="38" t="s">
        <v>1</v>
      </c>
      <c r="D38" s="254" t="s">
        <v>492</v>
      </c>
      <c r="E38" s="254" t="s">
        <v>651</v>
      </c>
      <c r="F38" s="46"/>
      <c r="G38" s="46"/>
      <c r="H38" s="46"/>
    </row>
    <row r="39" spans="3:8" x14ac:dyDescent="0.35">
      <c r="C39" s="38" t="s">
        <v>1</v>
      </c>
      <c r="D39" s="254" t="s">
        <v>493</v>
      </c>
      <c r="E39" s="254" t="s">
        <v>651</v>
      </c>
      <c r="F39" s="46"/>
      <c r="G39" s="46"/>
      <c r="H39" s="46"/>
    </row>
    <row r="40" spans="3:8" x14ac:dyDescent="0.35">
      <c r="C40" s="38" t="s">
        <v>1</v>
      </c>
      <c r="D40" s="254" t="s">
        <v>494</v>
      </c>
      <c r="E40" s="254" t="s">
        <v>651</v>
      </c>
      <c r="F40" s="46"/>
      <c r="G40" s="46"/>
      <c r="H40" s="46"/>
    </row>
    <row r="41" spans="3:8" x14ac:dyDescent="0.35">
      <c r="C41" s="38" t="s">
        <v>1</v>
      </c>
      <c r="D41" s="254" t="s">
        <v>495</v>
      </c>
      <c r="E41" s="254" t="s">
        <v>651</v>
      </c>
      <c r="F41" s="46"/>
      <c r="G41" s="46"/>
      <c r="H41" s="46"/>
    </row>
    <row r="42" spans="3:8" x14ac:dyDescent="0.35">
      <c r="C42" s="38" t="s">
        <v>1</v>
      </c>
      <c r="D42" s="254" t="s">
        <v>496</v>
      </c>
      <c r="E42" s="254" t="s">
        <v>651</v>
      </c>
      <c r="F42" s="46"/>
      <c r="G42" s="46"/>
      <c r="H42" s="46"/>
    </row>
    <row r="43" spans="3:8" x14ac:dyDescent="0.35">
      <c r="C43" s="38" t="s">
        <v>1</v>
      </c>
      <c r="D43" s="254" t="s">
        <v>497</v>
      </c>
      <c r="E43" s="254" t="s">
        <v>651</v>
      </c>
      <c r="F43" s="46"/>
      <c r="G43" s="46"/>
      <c r="H43" s="46"/>
    </row>
    <row r="44" spans="3:8" x14ac:dyDescent="0.35">
      <c r="C44" s="38" t="s">
        <v>1</v>
      </c>
      <c r="D44" s="254" t="s">
        <v>498</v>
      </c>
      <c r="E44" s="254" t="s">
        <v>651</v>
      </c>
      <c r="F44" s="46"/>
      <c r="G44" s="46"/>
      <c r="H44" s="46"/>
    </row>
    <row r="45" spans="3:8" x14ac:dyDescent="0.35">
      <c r="C45" s="38" t="s">
        <v>1</v>
      </c>
      <c r="D45" s="254" t="s">
        <v>499</v>
      </c>
      <c r="E45" s="254" t="s">
        <v>651</v>
      </c>
      <c r="F45" s="46"/>
      <c r="G45" s="46"/>
      <c r="H45" s="46"/>
    </row>
    <row r="46" spans="3:8" x14ac:dyDescent="0.35">
      <c r="C46" s="38" t="s">
        <v>1</v>
      </c>
      <c r="D46" s="254" t="s">
        <v>500</v>
      </c>
      <c r="E46" s="254" t="s">
        <v>651</v>
      </c>
      <c r="F46" s="46"/>
      <c r="G46" s="46"/>
      <c r="H46" s="46"/>
    </row>
    <row r="47" spans="3:8" x14ac:dyDescent="0.35">
      <c r="C47" s="38" t="s">
        <v>1</v>
      </c>
      <c r="D47" s="254" t="s">
        <v>501</v>
      </c>
      <c r="E47" s="254" t="s">
        <v>651</v>
      </c>
      <c r="F47" s="46"/>
      <c r="G47" s="46"/>
      <c r="H47" s="46"/>
    </row>
    <row r="48" spans="3:8" x14ac:dyDescent="0.35">
      <c r="C48" s="38" t="s">
        <v>1</v>
      </c>
      <c r="D48" s="254" t="s">
        <v>502</v>
      </c>
      <c r="E48" s="254" t="s">
        <v>651</v>
      </c>
      <c r="F48" s="46"/>
      <c r="G48" s="46"/>
      <c r="H48" s="46"/>
    </row>
    <row r="49" spans="3:8" x14ac:dyDescent="0.35">
      <c r="C49" s="38" t="s">
        <v>1</v>
      </c>
      <c r="D49" s="254" t="s">
        <v>503</v>
      </c>
      <c r="E49" s="254" t="s">
        <v>651</v>
      </c>
      <c r="F49" s="46"/>
      <c r="G49" s="46"/>
      <c r="H49" s="46"/>
    </row>
    <row r="50" spans="3:8" x14ac:dyDescent="0.35">
      <c r="C50" s="38" t="s">
        <v>1</v>
      </c>
      <c r="D50" s="254" t="s">
        <v>504</v>
      </c>
      <c r="E50" s="254" t="s">
        <v>651</v>
      </c>
      <c r="F50" s="46"/>
      <c r="G50" s="46"/>
      <c r="H50" s="46"/>
    </row>
    <row r="51" spans="3:8" x14ac:dyDescent="0.35">
      <c r="C51" s="38" t="s">
        <v>1</v>
      </c>
      <c r="D51" s="254" t="s">
        <v>505</v>
      </c>
      <c r="E51" s="254" t="s">
        <v>651</v>
      </c>
      <c r="F51" s="46"/>
      <c r="G51" s="46"/>
      <c r="H51" s="46"/>
    </row>
    <row r="52" spans="3:8" x14ac:dyDescent="0.35">
      <c r="C52" s="38" t="s">
        <v>1</v>
      </c>
      <c r="D52" s="254" t="s">
        <v>506</v>
      </c>
      <c r="E52" s="254" t="s">
        <v>651</v>
      </c>
      <c r="F52" s="46"/>
      <c r="G52" s="46"/>
      <c r="H52" s="46"/>
    </row>
    <row r="53" spans="3:8" x14ac:dyDescent="0.35">
      <c r="C53" s="38" t="s">
        <v>1</v>
      </c>
      <c r="D53" s="254" t="s">
        <v>507</v>
      </c>
      <c r="E53" s="254" t="s">
        <v>651</v>
      </c>
      <c r="F53" s="46"/>
      <c r="G53" s="46"/>
      <c r="H53" s="46"/>
    </row>
    <row r="54" spans="3:8" x14ac:dyDescent="0.35">
      <c r="C54" s="38" t="s">
        <v>1</v>
      </c>
      <c r="D54" s="254" t="s">
        <v>508</v>
      </c>
      <c r="E54" s="254" t="s">
        <v>651</v>
      </c>
      <c r="F54" s="46"/>
      <c r="G54" s="46"/>
      <c r="H54" s="46"/>
    </row>
    <row r="55" spans="3:8" x14ac:dyDescent="0.35">
      <c r="C55" s="38" t="s">
        <v>1</v>
      </c>
      <c r="D55" s="256" t="s">
        <v>509</v>
      </c>
      <c r="E55" s="254" t="s">
        <v>651</v>
      </c>
      <c r="F55" s="46"/>
      <c r="G55" s="46"/>
      <c r="H55" s="46"/>
    </row>
    <row r="56" spans="3:8" x14ac:dyDescent="0.35">
      <c r="C56" s="38" t="s">
        <v>1</v>
      </c>
      <c r="D56" s="254" t="s">
        <v>510</v>
      </c>
      <c r="E56" s="254" t="s">
        <v>651</v>
      </c>
      <c r="F56" s="46"/>
      <c r="G56" s="46"/>
      <c r="H56" s="46"/>
    </row>
    <row r="57" spans="3:8" x14ac:dyDescent="0.35">
      <c r="C57" s="38" t="s">
        <v>1</v>
      </c>
      <c r="D57" s="254" t="s">
        <v>511</v>
      </c>
      <c r="E57" s="254" t="s">
        <v>651</v>
      </c>
      <c r="F57" s="46"/>
      <c r="G57" s="46"/>
      <c r="H57" s="46"/>
    </row>
    <row r="58" spans="3:8" x14ac:dyDescent="0.35">
      <c r="C58" s="38" t="s">
        <v>1</v>
      </c>
      <c r="D58" s="254" t="s">
        <v>512</v>
      </c>
      <c r="E58" s="254" t="s">
        <v>651</v>
      </c>
      <c r="F58" s="46"/>
      <c r="G58" s="46"/>
      <c r="H58" s="46"/>
    </row>
    <row r="59" spans="3:8" x14ac:dyDescent="0.35">
      <c r="C59" s="38" t="s">
        <v>1</v>
      </c>
      <c r="D59" s="254" t="s">
        <v>513</v>
      </c>
      <c r="E59" s="254" t="s">
        <v>651</v>
      </c>
      <c r="F59" s="46"/>
      <c r="G59" s="46"/>
      <c r="H59" s="46"/>
    </row>
    <row r="60" spans="3:8" x14ac:dyDescent="0.35">
      <c r="C60" s="38" t="s">
        <v>14</v>
      </c>
      <c r="D60" s="254" t="s">
        <v>514</v>
      </c>
      <c r="E60" s="254" t="s">
        <v>652</v>
      </c>
      <c r="F60" s="46"/>
      <c r="G60" s="46"/>
      <c r="H60" s="46"/>
    </row>
    <row r="61" spans="3:8" x14ac:dyDescent="0.35">
      <c r="C61" s="38" t="s">
        <v>14</v>
      </c>
      <c r="D61" s="256" t="s">
        <v>515</v>
      </c>
      <c r="E61" s="254" t="s">
        <v>652</v>
      </c>
      <c r="F61" s="46"/>
      <c r="G61" s="46"/>
      <c r="H61" s="46"/>
    </row>
    <row r="62" spans="3:8" x14ac:dyDescent="0.35">
      <c r="C62" s="38" t="s">
        <v>14</v>
      </c>
      <c r="D62" s="254" t="s">
        <v>516</v>
      </c>
      <c r="E62" s="254" t="s">
        <v>652</v>
      </c>
      <c r="F62" s="46"/>
      <c r="G62" s="46"/>
      <c r="H62" s="46"/>
    </row>
    <row r="63" spans="3:8" x14ac:dyDescent="0.35">
      <c r="C63" s="38" t="s">
        <v>14</v>
      </c>
      <c r="D63" s="254" t="s">
        <v>517</v>
      </c>
      <c r="E63" s="254" t="s">
        <v>651</v>
      </c>
      <c r="F63" s="46"/>
      <c r="G63" s="46"/>
      <c r="H63" s="46"/>
    </row>
    <row r="64" spans="3:8" x14ac:dyDescent="0.35">
      <c r="C64" s="38" t="s">
        <v>14</v>
      </c>
      <c r="D64" s="254" t="s">
        <v>518</v>
      </c>
      <c r="E64" s="254" t="s">
        <v>651</v>
      </c>
      <c r="F64" s="46"/>
      <c r="G64" s="46"/>
      <c r="H64" s="46"/>
    </row>
    <row r="65" spans="3:8" x14ac:dyDescent="0.35">
      <c r="C65" s="38" t="s">
        <v>14</v>
      </c>
      <c r="D65" s="254" t="s">
        <v>519</v>
      </c>
      <c r="E65" s="254" t="s">
        <v>651</v>
      </c>
      <c r="F65" s="46"/>
      <c r="G65" s="46"/>
      <c r="H65" s="46"/>
    </row>
    <row r="66" spans="3:8" x14ac:dyDescent="0.35">
      <c r="C66" s="38" t="s">
        <v>14</v>
      </c>
      <c r="D66" s="254" t="s">
        <v>520</v>
      </c>
      <c r="E66" s="254" t="s">
        <v>651</v>
      </c>
      <c r="F66" s="46"/>
      <c r="G66" s="46"/>
      <c r="H66" s="46"/>
    </row>
    <row r="67" spans="3:8" x14ac:dyDescent="0.35">
      <c r="C67" s="38" t="s">
        <v>14</v>
      </c>
      <c r="D67" s="254" t="s">
        <v>521</v>
      </c>
      <c r="E67" s="254" t="s">
        <v>651</v>
      </c>
      <c r="F67" s="46"/>
      <c r="G67" s="46"/>
      <c r="H67" s="46"/>
    </row>
    <row r="68" spans="3:8" x14ac:dyDescent="0.35">
      <c r="C68" s="38" t="s">
        <v>14</v>
      </c>
      <c r="D68" s="254" t="s">
        <v>522</v>
      </c>
      <c r="E68" s="254" t="s">
        <v>651</v>
      </c>
      <c r="F68" s="46"/>
      <c r="G68" s="46"/>
      <c r="H68" s="46"/>
    </row>
    <row r="69" spans="3:8" x14ac:dyDescent="0.35">
      <c r="C69" s="38" t="s">
        <v>14</v>
      </c>
      <c r="D69" s="254" t="s">
        <v>523</v>
      </c>
      <c r="E69" s="254" t="s">
        <v>651</v>
      </c>
      <c r="F69" s="46"/>
      <c r="G69" s="46"/>
      <c r="H69" s="46"/>
    </row>
    <row r="70" spans="3:8" x14ac:dyDescent="0.35">
      <c r="C70" s="38" t="s">
        <v>14</v>
      </c>
      <c r="D70" s="254" t="s">
        <v>524</v>
      </c>
      <c r="E70" s="254" t="s">
        <v>651</v>
      </c>
      <c r="F70" s="46"/>
      <c r="G70" s="46"/>
      <c r="H70" s="46"/>
    </row>
    <row r="71" spans="3:8" x14ac:dyDescent="0.35">
      <c r="C71" s="38" t="s">
        <v>14</v>
      </c>
      <c r="D71" s="254" t="s">
        <v>525</v>
      </c>
      <c r="E71" s="254" t="s">
        <v>651</v>
      </c>
      <c r="F71" s="46"/>
      <c r="G71" s="46"/>
      <c r="H71" s="46"/>
    </row>
    <row r="72" spans="3:8" x14ac:dyDescent="0.35">
      <c r="C72" s="38" t="s">
        <v>14</v>
      </c>
      <c r="D72" s="254" t="s">
        <v>526</v>
      </c>
      <c r="E72" s="254" t="s">
        <v>651</v>
      </c>
      <c r="F72" s="46"/>
      <c r="G72" s="46"/>
      <c r="H72" s="46"/>
    </row>
    <row r="73" spans="3:8" x14ac:dyDescent="0.35">
      <c r="C73" s="38" t="s">
        <v>14</v>
      </c>
      <c r="D73" s="254" t="s">
        <v>527</v>
      </c>
      <c r="E73" s="254" t="s">
        <v>651</v>
      </c>
      <c r="F73" s="46"/>
      <c r="G73" s="46"/>
      <c r="H73" s="46"/>
    </row>
    <row r="74" spans="3:8" x14ac:dyDescent="0.35">
      <c r="C74" s="38" t="s">
        <v>14</v>
      </c>
      <c r="D74" s="254" t="s">
        <v>528</v>
      </c>
      <c r="E74" s="254" t="s">
        <v>651</v>
      </c>
      <c r="F74" s="46"/>
      <c r="G74" s="46"/>
      <c r="H74" s="46"/>
    </row>
    <row r="75" spans="3:8" x14ac:dyDescent="0.35">
      <c r="C75" s="38" t="s">
        <v>14</v>
      </c>
      <c r="D75" s="254" t="s">
        <v>529</v>
      </c>
      <c r="E75" s="254" t="s">
        <v>651</v>
      </c>
      <c r="F75" s="46"/>
      <c r="G75" s="46"/>
      <c r="H75" s="46"/>
    </row>
    <row r="76" spans="3:8" x14ac:dyDescent="0.35">
      <c r="C76" s="38" t="s">
        <v>14</v>
      </c>
      <c r="D76" s="254" t="s">
        <v>530</v>
      </c>
      <c r="E76" s="254" t="s">
        <v>651</v>
      </c>
      <c r="F76" s="46"/>
      <c r="G76" s="46"/>
      <c r="H76" s="46"/>
    </row>
    <row r="77" spans="3:8" x14ac:dyDescent="0.35">
      <c r="C77" s="38" t="s">
        <v>14</v>
      </c>
      <c r="D77" s="254" t="s">
        <v>531</v>
      </c>
      <c r="E77" s="254" t="s">
        <v>651</v>
      </c>
      <c r="F77" s="46"/>
      <c r="G77" s="46"/>
      <c r="H77" s="46"/>
    </row>
    <row r="78" spans="3:8" x14ac:dyDescent="0.35">
      <c r="C78" s="38" t="s">
        <v>14</v>
      </c>
      <c r="D78" s="254" t="s">
        <v>532</v>
      </c>
      <c r="E78" s="254" t="s">
        <v>651</v>
      </c>
      <c r="F78" s="46"/>
      <c r="G78" s="46"/>
      <c r="H78" s="46"/>
    </row>
    <row r="79" spans="3:8" x14ac:dyDescent="0.35">
      <c r="C79" s="38" t="s">
        <v>14</v>
      </c>
      <c r="D79" s="254" t="s">
        <v>533</v>
      </c>
      <c r="E79" s="254" t="s">
        <v>651</v>
      </c>
      <c r="F79" s="46"/>
      <c r="G79" s="46"/>
      <c r="H79" s="46"/>
    </row>
    <row r="80" spans="3:8" x14ac:dyDescent="0.35">
      <c r="C80" s="38" t="s">
        <v>14</v>
      </c>
      <c r="D80" s="254" t="s">
        <v>534</v>
      </c>
      <c r="E80" s="254" t="s">
        <v>651</v>
      </c>
      <c r="F80" s="46"/>
      <c r="G80" s="46"/>
      <c r="H80" s="46"/>
    </row>
    <row r="81" spans="3:8" x14ac:dyDescent="0.35">
      <c r="C81" s="38" t="s">
        <v>14</v>
      </c>
      <c r="D81" s="254" t="s">
        <v>535</v>
      </c>
      <c r="E81" s="254" t="s">
        <v>651</v>
      </c>
      <c r="F81" s="46"/>
      <c r="G81" s="46"/>
      <c r="H81" s="46"/>
    </row>
    <row r="82" spans="3:8" x14ac:dyDescent="0.35">
      <c r="C82" s="38" t="s">
        <v>14</v>
      </c>
      <c r="D82" s="254" t="s">
        <v>536</v>
      </c>
      <c r="E82" s="254" t="s">
        <v>651</v>
      </c>
      <c r="F82" s="46"/>
      <c r="G82" s="46"/>
      <c r="H82" s="46"/>
    </row>
    <row r="83" spans="3:8" x14ac:dyDescent="0.35">
      <c r="C83" s="38" t="s">
        <v>14</v>
      </c>
      <c r="D83" s="254" t="s">
        <v>537</v>
      </c>
      <c r="E83" s="254" t="s">
        <v>651</v>
      </c>
      <c r="F83" s="46"/>
      <c r="G83" s="46"/>
      <c r="H83" s="46"/>
    </row>
    <row r="84" spans="3:8" x14ac:dyDescent="0.35">
      <c r="C84" s="38" t="s">
        <v>14</v>
      </c>
      <c r="D84" s="254" t="s">
        <v>538</v>
      </c>
      <c r="E84" s="254" t="s">
        <v>651</v>
      </c>
      <c r="F84" s="46"/>
      <c r="G84" s="46"/>
      <c r="H84" s="46"/>
    </row>
    <row r="85" spans="3:8" x14ac:dyDescent="0.35">
      <c r="C85" s="38" t="s">
        <v>14</v>
      </c>
      <c r="D85" s="254" t="s">
        <v>539</v>
      </c>
      <c r="E85" s="254" t="s">
        <v>652</v>
      </c>
      <c r="F85" s="46"/>
      <c r="G85" s="46"/>
      <c r="H85" s="46"/>
    </row>
    <row r="86" spans="3:8" x14ac:dyDescent="0.35">
      <c r="C86" s="38" t="s">
        <v>14</v>
      </c>
      <c r="D86" s="257" t="s">
        <v>540</v>
      </c>
      <c r="E86" s="254" t="s">
        <v>652</v>
      </c>
      <c r="F86" s="46"/>
      <c r="G86" s="46"/>
      <c r="H86" s="46"/>
    </row>
    <row r="87" spans="3:8" x14ac:dyDescent="0.35">
      <c r="C87" s="38" t="s">
        <v>14</v>
      </c>
      <c r="D87" s="254" t="s">
        <v>541</v>
      </c>
      <c r="E87" s="254" t="s">
        <v>652</v>
      </c>
      <c r="F87" s="46"/>
      <c r="G87" s="46"/>
      <c r="H87" s="46"/>
    </row>
    <row r="88" spans="3:8" x14ac:dyDescent="0.35">
      <c r="C88" s="38" t="s">
        <v>14</v>
      </c>
      <c r="D88" s="254" t="s">
        <v>542</v>
      </c>
      <c r="E88" s="254" t="s">
        <v>651</v>
      </c>
      <c r="F88" s="46"/>
      <c r="G88" s="46"/>
      <c r="H88" s="46"/>
    </row>
    <row r="89" spans="3:8" x14ac:dyDescent="0.35">
      <c r="C89" s="38" t="s">
        <v>14</v>
      </c>
      <c r="D89" s="254" t="s">
        <v>543</v>
      </c>
      <c r="E89" s="254" t="s">
        <v>651</v>
      </c>
      <c r="F89" s="46"/>
      <c r="G89" s="46"/>
      <c r="H89" s="46"/>
    </row>
    <row r="90" spans="3:8" x14ac:dyDescent="0.35">
      <c r="C90" s="38" t="s">
        <v>14</v>
      </c>
      <c r="D90" s="254" t="s">
        <v>544</v>
      </c>
      <c r="E90" s="254" t="s">
        <v>651</v>
      </c>
      <c r="F90" s="46"/>
      <c r="G90" s="46"/>
      <c r="H90" s="46"/>
    </row>
    <row r="91" spans="3:8" x14ac:dyDescent="0.35">
      <c r="C91" s="38" t="s">
        <v>14</v>
      </c>
      <c r="D91" s="254" t="s">
        <v>545</v>
      </c>
      <c r="E91" s="254" t="s">
        <v>651</v>
      </c>
      <c r="F91" s="46"/>
      <c r="G91" s="46"/>
      <c r="H91" s="46"/>
    </row>
    <row r="92" spans="3:8" x14ac:dyDescent="0.35">
      <c r="C92" s="38" t="s">
        <v>14</v>
      </c>
      <c r="D92" s="254" t="s">
        <v>546</v>
      </c>
      <c r="E92" s="254" t="s">
        <v>651</v>
      </c>
      <c r="F92" s="46"/>
      <c r="G92" s="46"/>
      <c r="H92" s="46"/>
    </row>
    <row r="93" spans="3:8" x14ac:dyDescent="0.35">
      <c r="C93" s="38" t="s">
        <v>14</v>
      </c>
      <c r="D93" s="256" t="s">
        <v>547</v>
      </c>
      <c r="E93" s="254" t="s">
        <v>652</v>
      </c>
      <c r="F93" s="46"/>
      <c r="G93" s="46"/>
      <c r="H93" s="46"/>
    </row>
    <row r="94" spans="3:8" x14ac:dyDescent="0.35">
      <c r="C94" s="38" t="s">
        <v>14</v>
      </c>
      <c r="D94" s="256" t="s">
        <v>548</v>
      </c>
      <c r="E94" s="254" t="s">
        <v>652</v>
      </c>
      <c r="F94" s="46"/>
      <c r="G94" s="46"/>
      <c r="H94" s="46"/>
    </row>
    <row r="95" spans="3:8" x14ac:dyDescent="0.35">
      <c r="C95" s="38" t="s">
        <v>14</v>
      </c>
      <c r="D95" s="256" t="s">
        <v>549</v>
      </c>
      <c r="E95" s="254" t="s">
        <v>652</v>
      </c>
      <c r="F95" s="46"/>
      <c r="G95" s="46"/>
      <c r="H95" s="46"/>
    </row>
    <row r="96" spans="3:8" x14ac:dyDescent="0.35">
      <c r="C96" s="38" t="s">
        <v>14</v>
      </c>
      <c r="D96" s="254" t="s">
        <v>550</v>
      </c>
      <c r="E96" s="254" t="s">
        <v>652</v>
      </c>
      <c r="F96" s="46"/>
      <c r="G96" s="46"/>
      <c r="H96" s="46"/>
    </row>
    <row r="97" spans="3:8" x14ac:dyDescent="0.35">
      <c r="C97" s="38" t="s">
        <v>14</v>
      </c>
      <c r="D97" s="254" t="s">
        <v>551</v>
      </c>
      <c r="E97" s="254" t="s">
        <v>651</v>
      </c>
      <c r="F97" s="46"/>
      <c r="G97" s="46"/>
      <c r="H97" s="46"/>
    </row>
    <row r="98" spans="3:8" x14ac:dyDescent="0.35">
      <c r="C98" s="38" t="s">
        <v>14</v>
      </c>
      <c r="D98" s="254" t="s">
        <v>552</v>
      </c>
      <c r="E98" s="254" t="s">
        <v>651</v>
      </c>
      <c r="F98" s="46"/>
      <c r="G98" s="46"/>
      <c r="H98" s="46"/>
    </row>
    <row r="99" spans="3:8" x14ac:dyDescent="0.35">
      <c r="C99" s="38" t="s">
        <v>14</v>
      </c>
      <c r="D99" s="254" t="s">
        <v>553</v>
      </c>
      <c r="E99" s="254" t="s">
        <v>651</v>
      </c>
      <c r="F99" s="46"/>
      <c r="G99" s="46"/>
      <c r="H99" s="46"/>
    </row>
    <row r="100" spans="3:8" x14ac:dyDescent="0.35">
      <c r="C100" s="38" t="s">
        <v>14</v>
      </c>
      <c r="D100" s="254" t="s">
        <v>554</v>
      </c>
      <c r="E100" s="254" t="s">
        <v>651</v>
      </c>
      <c r="F100" s="46"/>
      <c r="G100" s="46"/>
      <c r="H100" s="46"/>
    </row>
    <row r="101" spans="3:8" x14ac:dyDescent="0.35">
      <c r="C101" s="38" t="s">
        <v>14</v>
      </c>
      <c r="D101" s="254" t="s">
        <v>555</v>
      </c>
      <c r="E101" s="254" t="s">
        <v>651</v>
      </c>
      <c r="F101" s="46"/>
      <c r="G101" s="46"/>
      <c r="H101" s="46"/>
    </row>
    <row r="102" spans="3:8" x14ac:dyDescent="0.35">
      <c r="C102" s="38" t="s">
        <v>14</v>
      </c>
      <c r="D102" s="254" t="s">
        <v>556</v>
      </c>
      <c r="E102" s="254" t="s">
        <v>651</v>
      </c>
      <c r="F102" s="46"/>
      <c r="G102" s="46"/>
      <c r="H102" s="46"/>
    </row>
    <row r="103" spans="3:8" x14ac:dyDescent="0.35">
      <c r="C103" s="38" t="s">
        <v>14</v>
      </c>
      <c r="D103" s="254" t="s">
        <v>557</v>
      </c>
      <c r="E103" s="254" t="s">
        <v>651</v>
      </c>
      <c r="F103" s="46"/>
      <c r="G103" s="46"/>
      <c r="H103" s="46"/>
    </row>
    <row r="104" spans="3:8" x14ac:dyDescent="0.35">
      <c r="C104" s="38" t="s">
        <v>14</v>
      </c>
      <c r="D104" s="254" t="s">
        <v>558</v>
      </c>
      <c r="E104" s="254" t="s">
        <v>651</v>
      </c>
      <c r="F104" s="46"/>
      <c r="G104" s="46"/>
      <c r="H104" s="46"/>
    </row>
    <row r="105" spans="3:8" x14ac:dyDescent="0.35">
      <c r="C105" s="38" t="s">
        <v>14</v>
      </c>
      <c r="D105" s="256" t="s">
        <v>559</v>
      </c>
      <c r="E105" s="254" t="s">
        <v>651</v>
      </c>
      <c r="F105" s="46"/>
      <c r="G105" s="46"/>
      <c r="H105" s="46"/>
    </row>
    <row r="106" spans="3:8" x14ac:dyDescent="0.35">
      <c r="C106" s="38" t="s">
        <v>14</v>
      </c>
      <c r="D106" s="254" t="s">
        <v>560</v>
      </c>
      <c r="E106" s="254" t="s">
        <v>651</v>
      </c>
      <c r="F106" s="46"/>
      <c r="G106" s="46"/>
      <c r="H106" s="46"/>
    </row>
    <row r="107" spans="3:8" x14ac:dyDescent="0.35">
      <c r="C107" s="38" t="s">
        <v>14</v>
      </c>
      <c r="D107" s="254" t="s">
        <v>336</v>
      </c>
      <c r="E107" s="254" t="s">
        <v>651</v>
      </c>
      <c r="F107" s="46"/>
      <c r="G107" s="46"/>
      <c r="H107" s="46"/>
    </row>
    <row r="108" spans="3:8" x14ac:dyDescent="0.35">
      <c r="C108" s="38" t="s">
        <v>14</v>
      </c>
      <c r="D108" s="254" t="s">
        <v>561</v>
      </c>
      <c r="E108" s="254" t="s">
        <v>651</v>
      </c>
      <c r="F108" s="46"/>
      <c r="G108" s="46"/>
      <c r="H108" s="46"/>
    </row>
    <row r="109" spans="3:8" x14ac:dyDescent="0.35">
      <c r="C109" s="38" t="s">
        <v>14</v>
      </c>
      <c r="D109" s="254" t="s">
        <v>562</v>
      </c>
      <c r="E109" s="254" t="s">
        <v>651</v>
      </c>
      <c r="F109" s="46"/>
      <c r="G109" s="46"/>
      <c r="H109" s="46"/>
    </row>
    <row r="110" spans="3:8" x14ac:dyDescent="0.35">
      <c r="C110" s="38" t="s">
        <v>14</v>
      </c>
      <c r="D110" s="254" t="s">
        <v>563</v>
      </c>
      <c r="E110" s="254" t="s">
        <v>651</v>
      </c>
      <c r="F110" s="46"/>
      <c r="G110" s="46"/>
      <c r="H110" s="46"/>
    </row>
    <row r="111" spans="3:8" x14ac:dyDescent="0.35">
      <c r="C111" s="38" t="s">
        <v>14</v>
      </c>
      <c r="D111" s="254" t="s">
        <v>564</v>
      </c>
      <c r="E111" s="254" t="s">
        <v>651</v>
      </c>
      <c r="F111" s="46"/>
      <c r="G111" s="46"/>
      <c r="H111" s="46"/>
    </row>
    <row r="112" spans="3:8" x14ac:dyDescent="0.35">
      <c r="C112" s="38" t="s">
        <v>14</v>
      </c>
      <c r="D112" s="254" t="s">
        <v>565</v>
      </c>
      <c r="E112" s="254" t="s">
        <v>651</v>
      </c>
      <c r="F112" s="46"/>
      <c r="G112" s="46"/>
      <c r="H112" s="46"/>
    </row>
    <row r="113" spans="3:8" x14ac:dyDescent="0.35">
      <c r="C113" s="38" t="s">
        <v>14</v>
      </c>
      <c r="D113" s="254" t="s">
        <v>566</v>
      </c>
      <c r="E113" s="254" t="s">
        <v>651</v>
      </c>
      <c r="F113" s="46"/>
      <c r="G113" s="46"/>
      <c r="H113" s="46"/>
    </row>
    <row r="114" spans="3:8" x14ac:dyDescent="0.35">
      <c r="C114" s="38" t="s">
        <v>14</v>
      </c>
      <c r="D114" s="254" t="s">
        <v>567</v>
      </c>
      <c r="E114" s="254" t="s">
        <v>651</v>
      </c>
      <c r="F114" s="46"/>
      <c r="G114" s="46"/>
      <c r="H114" s="46"/>
    </row>
    <row r="115" spans="3:8" x14ac:dyDescent="0.35">
      <c r="C115" s="38" t="s">
        <v>14</v>
      </c>
      <c r="D115" s="254" t="s">
        <v>568</v>
      </c>
      <c r="E115" s="254" t="s">
        <v>651</v>
      </c>
      <c r="F115" s="46"/>
      <c r="G115" s="46"/>
      <c r="H115" s="46"/>
    </row>
    <row r="116" spans="3:8" x14ac:dyDescent="0.35">
      <c r="C116" s="38" t="s">
        <v>14</v>
      </c>
      <c r="D116" s="254" t="s">
        <v>569</v>
      </c>
      <c r="E116" s="254" t="s">
        <v>651</v>
      </c>
      <c r="F116" s="46"/>
      <c r="G116" s="46"/>
      <c r="H116" s="46"/>
    </row>
    <row r="117" spans="3:8" x14ac:dyDescent="0.35">
      <c r="C117" s="38" t="s">
        <v>14</v>
      </c>
      <c r="D117" s="254" t="s">
        <v>570</v>
      </c>
      <c r="E117" s="254" t="s">
        <v>651</v>
      </c>
      <c r="F117" s="46"/>
      <c r="G117" s="46"/>
      <c r="H117" s="46"/>
    </row>
    <row r="118" spans="3:8" x14ac:dyDescent="0.35">
      <c r="C118" s="38" t="s">
        <v>14</v>
      </c>
      <c r="D118" s="254" t="s">
        <v>571</v>
      </c>
      <c r="E118" s="254" t="s">
        <v>651</v>
      </c>
      <c r="F118" s="46"/>
      <c r="G118" s="46"/>
      <c r="H118" s="46"/>
    </row>
    <row r="119" spans="3:8" x14ac:dyDescent="0.35">
      <c r="C119" s="38" t="s">
        <v>14</v>
      </c>
      <c r="D119" s="254" t="s">
        <v>572</v>
      </c>
      <c r="E119" s="254" t="s">
        <v>651</v>
      </c>
      <c r="F119" s="46"/>
      <c r="G119" s="46"/>
      <c r="H119" s="46"/>
    </row>
    <row r="120" spans="3:8" x14ac:dyDescent="0.35">
      <c r="C120" s="38" t="s">
        <v>14</v>
      </c>
      <c r="D120" s="254" t="s">
        <v>573</v>
      </c>
      <c r="E120" s="254" t="s">
        <v>651</v>
      </c>
      <c r="F120" s="46"/>
      <c r="G120" s="46"/>
      <c r="H120" s="46"/>
    </row>
    <row r="121" spans="3:8" x14ac:dyDescent="0.35">
      <c r="C121" s="38" t="s">
        <v>14</v>
      </c>
      <c r="D121" s="257" t="s">
        <v>574</v>
      </c>
      <c r="E121" s="254" t="s">
        <v>651</v>
      </c>
      <c r="F121" s="46"/>
      <c r="G121" s="46"/>
      <c r="H121" s="46"/>
    </row>
    <row r="122" spans="3:8" x14ac:dyDescent="0.35">
      <c r="C122" s="38" t="s">
        <v>14</v>
      </c>
      <c r="D122" s="254" t="s">
        <v>575</v>
      </c>
      <c r="E122" s="254" t="s">
        <v>651</v>
      </c>
      <c r="F122" s="46"/>
      <c r="G122" s="46"/>
      <c r="H122" s="46"/>
    </row>
    <row r="123" spans="3:8" x14ac:dyDescent="0.35">
      <c r="C123" s="38" t="s">
        <v>14</v>
      </c>
      <c r="D123" s="254" t="s">
        <v>576</v>
      </c>
      <c r="E123" s="254" t="s">
        <v>651</v>
      </c>
      <c r="F123" s="46"/>
      <c r="G123" s="46"/>
      <c r="H123" s="46"/>
    </row>
    <row r="124" spans="3:8" x14ac:dyDescent="0.35">
      <c r="C124" s="38" t="s">
        <v>14</v>
      </c>
      <c r="D124" s="257" t="s">
        <v>577</v>
      </c>
      <c r="E124" s="254" t="s">
        <v>651</v>
      </c>
      <c r="F124" s="46"/>
      <c r="G124" s="46"/>
      <c r="H124" s="46"/>
    </row>
    <row r="125" spans="3:8" x14ac:dyDescent="0.35">
      <c r="C125" s="38" t="s">
        <v>14</v>
      </c>
      <c r="D125" s="254" t="s">
        <v>578</v>
      </c>
      <c r="E125" s="254" t="s">
        <v>651</v>
      </c>
      <c r="F125" s="46"/>
      <c r="G125" s="46"/>
      <c r="H125" s="46"/>
    </row>
    <row r="126" spans="3:8" x14ac:dyDescent="0.35">
      <c r="C126" s="38" t="s">
        <v>14</v>
      </c>
      <c r="D126" s="254" t="s">
        <v>579</v>
      </c>
      <c r="E126" s="254" t="s">
        <v>651</v>
      </c>
      <c r="F126" s="46"/>
      <c r="G126" s="46"/>
      <c r="H126" s="46"/>
    </row>
    <row r="127" spans="3:8" x14ac:dyDescent="0.35">
      <c r="C127" s="38" t="s">
        <v>14</v>
      </c>
      <c r="D127" s="254" t="s">
        <v>580</v>
      </c>
      <c r="E127" s="254" t="s">
        <v>651</v>
      </c>
      <c r="F127" s="46"/>
      <c r="G127" s="46"/>
      <c r="H127" s="46"/>
    </row>
    <row r="128" spans="3:8" x14ac:dyDescent="0.35">
      <c r="C128" s="38" t="s">
        <v>14</v>
      </c>
      <c r="D128" s="254" t="s">
        <v>581</v>
      </c>
      <c r="E128" s="254" t="s">
        <v>651</v>
      </c>
      <c r="F128" s="46"/>
      <c r="G128" s="46"/>
      <c r="H128" s="46"/>
    </row>
    <row r="129" spans="3:8" x14ac:dyDescent="0.35">
      <c r="C129" s="38" t="s">
        <v>14</v>
      </c>
      <c r="D129" s="254" t="s">
        <v>582</v>
      </c>
      <c r="E129" s="254" t="s">
        <v>651</v>
      </c>
      <c r="F129" s="46"/>
      <c r="G129" s="46"/>
      <c r="H129" s="46"/>
    </row>
    <row r="130" spans="3:8" x14ac:dyDescent="0.35">
      <c r="C130" s="38" t="s">
        <v>14</v>
      </c>
      <c r="D130" s="254" t="s">
        <v>583</v>
      </c>
      <c r="E130" s="254" t="s">
        <v>651</v>
      </c>
      <c r="F130" s="46"/>
      <c r="G130" s="46"/>
      <c r="H130" s="46"/>
    </row>
    <row r="131" spans="3:8" x14ac:dyDescent="0.35">
      <c r="C131" s="38" t="s">
        <v>14</v>
      </c>
      <c r="D131" s="254" t="s">
        <v>584</v>
      </c>
      <c r="E131" s="254" t="s">
        <v>651</v>
      </c>
      <c r="F131" s="46"/>
      <c r="G131" s="46"/>
      <c r="H131" s="46"/>
    </row>
    <row r="132" spans="3:8" x14ac:dyDescent="0.35">
      <c r="C132" s="38" t="s">
        <v>14</v>
      </c>
      <c r="D132" s="254" t="s">
        <v>585</v>
      </c>
      <c r="E132" s="254" t="s">
        <v>651</v>
      </c>
      <c r="F132" s="46"/>
      <c r="G132" s="46"/>
      <c r="H132" s="46"/>
    </row>
    <row r="133" spans="3:8" x14ac:dyDescent="0.35">
      <c r="C133" s="38" t="s">
        <v>14</v>
      </c>
      <c r="D133" s="254" t="s">
        <v>586</v>
      </c>
      <c r="E133" s="254" t="s">
        <v>651</v>
      </c>
      <c r="F133" s="46"/>
      <c r="G133" s="46"/>
      <c r="H133" s="46"/>
    </row>
    <row r="134" spans="3:8" x14ac:dyDescent="0.35">
      <c r="C134" s="38" t="s">
        <v>14</v>
      </c>
      <c r="D134" s="254" t="s">
        <v>587</v>
      </c>
      <c r="E134" s="254" t="s">
        <v>651</v>
      </c>
      <c r="F134" s="46"/>
      <c r="G134" s="46"/>
      <c r="H134" s="46"/>
    </row>
    <row r="135" spans="3:8" x14ac:dyDescent="0.35">
      <c r="C135" s="38" t="s">
        <v>14</v>
      </c>
      <c r="D135" s="254" t="s">
        <v>588</v>
      </c>
      <c r="E135" s="254" t="s">
        <v>651</v>
      </c>
      <c r="F135" s="46"/>
      <c r="G135" s="46"/>
      <c r="H135" s="46"/>
    </row>
    <row r="136" spans="3:8" x14ac:dyDescent="0.35">
      <c r="C136" s="38" t="s">
        <v>14</v>
      </c>
      <c r="D136" s="254" t="s">
        <v>589</v>
      </c>
      <c r="E136" s="254" t="s">
        <v>651</v>
      </c>
      <c r="F136" s="46"/>
      <c r="G136" s="46"/>
      <c r="H136" s="46"/>
    </row>
    <row r="137" spans="3:8" x14ac:dyDescent="0.35">
      <c r="C137" s="38" t="s">
        <v>14</v>
      </c>
      <c r="D137" s="254" t="s">
        <v>590</v>
      </c>
      <c r="E137" s="254" t="s">
        <v>651</v>
      </c>
      <c r="F137" s="46"/>
      <c r="G137" s="46"/>
      <c r="H137" s="46"/>
    </row>
    <row r="138" spans="3:8" x14ac:dyDescent="0.35">
      <c r="C138" s="38" t="s">
        <v>14</v>
      </c>
      <c r="D138" s="254" t="s">
        <v>591</v>
      </c>
      <c r="E138" s="254" t="s">
        <v>651</v>
      </c>
      <c r="F138" s="46"/>
      <c r="G138" s="46"/>
      <c r="H138" s="46"/>
    </row>
    <row r="139" spans="3:8" x14ac:dyDescent="0.35">
      <c r="C139" s="38" t="s">
        <v>14</v>
      </c>
      <c r="D139" s="254" t="s">
        <v>592</v>
      </c>
      <c r="E139" s="254" t="s">
        <v>651</v>
      </c>
      <c r="F139" s="46"/>
      <c r="G139" s="46"/>
      <c r="H139" s="46"/>
    </row>
    <row r="140" spans="3:8" x14ac:dyDescent="0.35">
      <c r="C140" s="38" t="s">
        <v>14</v>
      </c>
      <c r="D140" s="254" t="s">
        <v>593</v>
      </c>
      <c r="E140" s="254" t="s">
        <v>651</v>
      </c>
      <c r="F140" s="46"/>
      <c r="G140" s="46"/>
      <c r="H140" s="46"/>
    </row>
    <row r="141" spans="3:8" x14ac:dyDescent="0.35">
      <c r="C141" s="38" t="s">
        <v>14</v>
      </c>
      <c r="D141" s="254" t="s">
        <v>594</v>
      </c>
      <c r="E141" s="254" t="s">
        <v>651</v>
      </c>
      <c r="F141" s="46"/>
      <c r="G141" s="46"/>
      <c r="H141" s="46"/>
    </row>
    <row r="142" spans="3:8" x14ac:dyDescent="0.35">
      <c r="C142" s="38" t="s">
        <v>14</v>
      </c>
      <c r="D142" s="254" t="s">
        <v>595</v>
      </c>
      <c r="E142" s="254" t="s">
        <v>651</v>
      </c>
      <c r="F142" s="46"/>
      <c r="G142" s="46"/>
      <c r="H142" s="46"/>
    </row>
    <row r="143" spans="3:8" x14ac:dyDescent="0.35">
      <c r="C143" s="38" t="s">
        <v>14</v>
      </c>
      <c r="D143" s="254" t="s">
        <v>596</v>
      </c>
      <c r="E143" s="254" t="s">
        <v>651</v>
      </c>
      <c r="F143" s="46"/>
      <c r="G143" s="46"/>
      <c r="H143" s="46"/>
    </row>
    <row r="144" spans="3:8" x14ac:dyDescent="0.35">
      <c r="C144" s="38" t="s">
        <v>14</v>
      </c>
      <c r="D144" s="254" t="s">
        <v>597</v>
      </c>
      <c r="E144" s="254" t="s">
        <v>651</v>
      </c>
      <c r="F144" s="46"/>
      <c r="G144" s="46"/>
      <c r="H144" s="46"/>
    </row>
    <row r="145" spans="3:8" x14ac:dyDescent="0.35">
      <c r="C145" s="38" t="s">
        <v>14</v>
      </c>
      <c r="D145" s="254" t="s">
        <v>598</v>
      </c>
      <c r="E145" s="254" t="s">
        <v>651</v>
      </c>
      <c r="F145" s="46"/>
      <c r="G145" s="46"/>
      <c r="H145" s="46"/>
    </row>
    <row r="146" spans="3:8" x14ac:dyDescent="0.35">
      <c r="C146" s="38" t="s">
        <v>14</v>
      </c>
      <c r="D146" s="254" t="s">
        <v>599</v>
      </c>
      <c r="E146" s="254" t="s">
        <v>651</v>
      </c>
      <c r="F146" s="46"/>
      <c r="G146" s="46"/>
      <c r="H146" s="46"/>
    </row>
    <row r="147" spans="3:8" x14ac:dyDescent="0.35">
      <c r="C147" s="38" t="s">
        <v>14</v>
      </c>
      <c r="D147" s="254" t="s">
        <v>600</v>
      </c>
      <c r="E147" s="254" t="s">
        <v>651</v>
      </c>
      <c r="F147" s="46"/>
      <c r="G147" s="46"/>
      <c r="H147" s="46"/>
    </row>
    <row r="148" spans="3:8" x14ac:dyDescent="0.35">
      <c r="C148" s="38" t="s">
        <v>14</v>
      </c>
      <c r="D148" s="254" t="s">
        <v>601</v>
      </c>
      <c r="E148" s="254" t="s">
        <v>651</v>
      </c>
      <c r="F148" s="46"/>
      <c r="G148" s="46"/>
      <c r="H148" s="46"/>
    </row>
    <row r="149" spans="3:8" x14ac:dyDescent="0.35">
      <c r="C149" s="38" t="s">
        <v>14</v>
      </c>
      <c r="D149" s="254" t="s">
        <v>602</v>
      </c>
      <c r="E149" s="254" t="s">
        <v>651</v>
      </c>
      <c r="F149" s="46"/>
      <c r="G149" s="46"/>
      <c r="H149" s="46"/>
    </row>
    <row r="150" spans="3:8" x14ac:dyDescent="0.35">
      <c r="C150" s="38" t="s">
        <v>14</v>
      </c>
      <c r="D150" s="254" t="s">
        <v>603</v>
      </c>
      <c r="E150" s="254" t="s">
        <v>651</v>
      </c>
      <c r="F150" s="46"/>
      <c r="G150" s="46"/>
      <c r="H150" s="46"/>
    </row>
    <row r="151" spans="3:8" x14ac:dyDescent="0.35">
      <c r="C151" s="38" t="s">
        <v>14</v>
      </c>
      <c r="D151" s="254" t="s">
        <v>604</v>
      </c>
      <c r="E151" s="254" t="s">
        <v>651</v>
      </c>
      <c r="F151" s="46"/>
      <c r="G151" s="46"/>
      <c r="H151" s="46"/>
    </row>
    <row r="152" spans="3:8" x14ac:dyDescent="0.35">
      <c r="C152" s="38" t="s">
        <v>14</v>
      </c>
      <c r="D152" s="254" t="s">
        <v>605</v>
      </c>
      <c r="E152" s="254" t="s">
        <v>651</v>
      </c>
      <c r="F152" s="46"/>
      <c r="G152" s="46"/>
      <c r="H152" s="46"/>
    </row>
    <row r="153" spans="3:8" x14ac:dyDescent="0.35">
      <c r="C153" s="38" t="s">
        <v>14</v>
      </c>
      <c r="D153" s="254" t="s">
        <v>606</v>
      </c>
      <c r="E153" s="254" t="s">
        <v>651</v>
      </c>
      <c r="F153" s="46"/>
      <c r="G153" s="46"/>
      <c r="H153" s="46"/>
    </row>
    <row r="154" spans="3:8" x14ac:dyDescent="0.35">
      <c r="C154" s="38" t="s">
        <v>14</v>
      </c>
      <c r="D154" s="254" t="s">
        <v>607</v>
      </c>
      <c r="E154" s="254" t="s">
        <v>651</v>
      </c>
      <c r="F154" s="46"/>
      <c r="G154" s="46"/>
      <c r="H154" s="46"/>
    </row>
    <row r="155" spans="3:8" x14ac:dyDescent="0.35">
      <c r="C155" s="38" t="s">
        <v>14</v>
      </c>
      <c r="D155" s="254" t="s">
        <v>608</v>
      </c>
      <c r="E155" s="254" t="s">
        <v>651</v>
      </c>
      <c r="F155" s="46"/>
      <c r="G155" s="46"/>
      <c r="H155" s="46"/>
    </row>
    <row r="156" spans="3:8" x14ac:dyDescent="0.35">
      <c r="C156" s="38" t="s">
        <v>14</v>
      </c>
      <c r="D156" s="254" t="s">
        <v>609</v>
      </c>
      <c r="E156" s="254" t="s">
        <v>651</v>
      </c>
      <c r="F156" s="46"/>
      <c r="G156" s="46"/>
      <c r="H156" s="46"/>
    </row>
    <row r="157" spans="3:8" x14ac:dyDescent="0.35">
      <c r="C157" s="38" t="s">
        <v>14</v>
      </c>
      <c r="D157" s="254" t="s">
        <v>610</v>
      </c>
      <c r="E157" s="254" t="s">
        <v>651</v>
      </c>
      <c r="F157" s="46"/>
      <c r="G157" s="46"/>
      <c r="H157" s="46"/>
    </row>
    <row r="158" spans="3:8" x14ac:dyDescent="0.35">
      <c r="C158" s="38" t="s">
        <v>14</v>
      </c>
      <c r="D158" s="254" t="s">
        <v>611</v>
      </c>
      <c r="E158" s="254" t="s">
        <v>651</v>
      </c>
      <c r="F158" s="46"/>
      <c r="G158" s="46"/>
      <c r="H158" s="46"/>
    </row>
    <row r="159" spans="3:8" x14ac:dyDescent="0.35">
      <c r="C159" s="38" t="s">
        <v>14</v>
      </c>
      <c r="D159" s="254" t="s">
        <v>612</v>
      </c>
      <c r="E159" s="254" t="s">
        <v>651</v>
      </c>
      <c r="F159" s="46"/>
      <c r="G159" s="46"/>
      <c r="H159" s="46"/>
    </row>
    <row r="160" spans="3:8" x14ac:dyDescent="0.35">
      <c r="C160" s="38" t="s">
        <v>14</v>
      </c>
      <c r="D160" s="254" t="s">
        <v>613</v>
      </c>
      <c r="E160" s="254" t="s">
        <v>651</v>
      </c>
      <c r="F160" s="46"/>
      <c r="G160" s="46"/>
      <c r="H160" s="46"/>
    </row>
    <row r="161" spans="3:8" x14ac:dyDescent="0.35">
      <c r="C161" s="38" t="s">
        <v>14</v>
      </c>
      <c r="D161" s="254" t="s">
        <v>614</v>
      </c>
      <c r="E161" s="254" t="s">
        <v>651</v>
      </c>
      <c r="F161" s="46"/>
      <c r="G161" s="46"/>
      <c r="H161" s="46"/>
    </row>
    <row r="162" spans="3:8" x14ac:dyDescent="0.35">
      <c r="C162" s="38" t="s">
        <v>14</v>
      </c>
      <c r="D162" s="254" t="s">
        <v>615</v>
      </c>
      <c r="E162" s="254" t="s">
        <v>651</v>
      </c>
      <c r="F162" s="46"/>
      <c r="G162" s="46"/>
      <c r="H162" s="46"/>
    </row>
    <row r="163" spans="3:8" x14ac:dyDescent="0.35">
      <c r="C163" s="38" t="s">
        <v>649</v>
      </c>
      <c r="D163" s="254" t="s">
        <v>616</v>
      </c>
      <c r="E163" s="254" t="s">
        <v>651</v>
      </c>
      <c r="F163" s="46"/>
      <c r="G163" s="46"/>
      <c r="H163" s="46"/>
    </row>
    <row r="164" spans="3:8" x14ac:dyDescent="0.35">
      <c r="C164" s="38" t="s">
        <v>649</v>
      </c>
      <c r="D164" s="254" t="s">
        <v>617</v>
      </c>
      <c r="E164" s="254" t="s">
        <v>651</v>
      </c>
      <c r="F164" s="46"/>
      <c r="G164" s="46"/>
      <c r="H164" s="46"/>
    </row>
    <row r="165" spans="3:8" x14ac:dyDescent="0.35">
      <c r="C165" s="38" t="s">
        <v>649</v>
      </c>
      <c r="D165" s="254" t="s">
        <v>618</v>
      </c>
      <c r="E165" s="254" t="s">
        <v>651</v>
      </c>
      <c r="F165" s="46"/>
      <c r="G165" s="46"/>
      <c r="H165" s="46"/>
    </row>
    <row r="166" spans="3:8" x14ac:dyDescent="0.35">
      <c r="C166" s="38" t="s">
        <v>649</v>
      </c>
      <c r="D166" s="254" t="s">
        <v>619</v>
      </c>
      <c r="E166" s="254" t="s">
        <v>651</v>
      </c>
      <c r="F166" s="46"/>
      <c r="G166" s="46"/>
      <c r="H166" s="46"/>
    </row>
    <row r="167" spans="3:8" x14ac:dyDescent="0.35">
      <c r="C167" s="38" t="s">
        <v>649</v>
      </c>
      <c r="D167" s="254" t="s">
        <v>620</v>
      </c>
      <c r="E167" s="254" t="s">
        <v>651</v>
      </c>
      <c r="F167" s="46"/>
      <c r="G167" s="46"/>
      <c r="H167" s="46"/>
    </row>
    <row r="168" spans="3:8" x14ac:dyDescent="0.35">
      <c r="C168" s="38" t="s">
        <v>649</v>
      </c>
      <c r="D168" s="254" t="s">
        <v>621</v>
      </c>
      <c r="E168" s="254" t="s">
        <v>651</v>
      </c>
      <c r="F168" s="46"/>
      <c r="G168" s="46"/>
      <c r="H168" s="46"/>
    </row>
    <row r="169" spans="3:8" x14ac:dyDescent="0.35">
      <c r="C169" s="38" t="s">
        <v>649</v>
      </c>
      <c r="D169" s="254" t="s">
        <v>622</v>
      </c>
      <c r="E169" s="254" t="s">
        <v>651</v>
      </c>
      <c r="F169" s="46"/>
      <c r="G169" s="46"/>
      <c r="H169" s="46"/>
    </row>
    <row r="170" spans="3:8" x14ac:dyDescent="0.35">
      <c r="C170" s="38" t="s">
        <v>649</v>
      </c>
      <c r="D170" s="254" t="s">
        <v>623</v>
      </c>
      <c r="E170" s="254" t="s">
        <v>651</v>
      </c>
      <c r="F170" s="46"/>
      <c r="G170" s="46"/>
      <c r="H170" s="46"/>
    </row>
    <row r="171" spans="3:8" x14ac:dyDescent="0.35">
      <c r="C171" s="38" t="s">
        <v>649</v>
      </c>
      <c r="D171" s="254" t="s">
        <v>624</v>
      </c>
      <c r="E171" s="254" t="s">
        <v>651</v>
      </c>
      <c r="F171" s="46"/>
      <c r="G171" s="46"/>
      <c r="H171" s="46"/>
    </row>
    <row r="172" spans="3:8" x14ac:dyDescent="0.35">
      <c r="C172" s="38" t="s">
        <v>649</v>
      </c>
      <c r="D172" s="254" t="s">
        <v>625</v>
      </c>
      <c r="E172" s="254" t="s">
        <v>651</v>
      </c>
      <c r="F172" s="46"/>
      <c r="G172" s="46"/>
      <c r="H172" s="46"/>
    </row>
    <row r="173" spans="3:8" x14ac:dyDescent="0.35">
      <c r="C173" s="38" t="s">
        <v>649</v>
      </c>
      <c r="D173" s="254" t="s">
        <v>626</v>
      </c>
      <c r="E173" s="254" t="s">
        <v>651</v>
      </c>
      <c r="F173" s="46"/>
      <c r="G173" s="46"/>
      <c r="H173" s="46"/>
    </row>
    <row r="174" spans="3:8" x14ac:dyDescent="0.35">
      <c r="C174" s="38" t="s">
        <v>649</v>
      </c>
      <c r="D174" s="254" t="s">
        <v>627</v>
      </c>
      <c r="E174" s="254" t="s">
        <v>651</v>
      </c>
      <c r="F174" s="46"/>
      <c r="G174" s="46"/>
      <c r="H174" s="46"/>
    </row>
    <row r="175" spans="3:8" x14ac:dyDescent="0.35">
      <c r="C175" s="38" t="s">
        <v>649</v>
      </c>
      <c r="D175" s="254" t="s">
        <v>628</v>
      </c>
      <c r="E175" s="254" t="s">
        <v>651</v>
      </c>
      <c r="F175" s="46"/>
      <c r="G175" s="46"/>
      <c r="H175" s="46"/>
    </row>
    <row r="176" spans="3:8" x14ac:dyDescent="0.35">
      <c r="C176" s="38" t="s">
        <v>649</v>
      </c>
      <c r="D176" s="254" t="s">
        <v>629</v>
      </c>
      <c r="E176" s="254" t="s">
        <v>651</v>
      </c>
      <c r="F176" s="46"/>
      <c r="G176" s="46"/>
      <c r="H176" s="46"/>
    </row>
    <row r="177" spans="3:8" x14ac:dyDescent="0.35">
      <c r="C177" s="38" t="s">
        <v>649</v>
      </c>
      <c r="D177" s="254" t="s">
        <v>630</v>
      </c>
      <c r="E177" s="254" t="s">
        <v>651</v>
      </c>
      <c r="F177" s="46"/>
      <c r="G177" s="46"/>
      <c r="H177" s="46"/>
    </row>
    <row r="178" spans="3:8" x14ac:dyDescent="0.35">
      <c r="C178" s="38" t="s">
        <v>649</v>
      </c>
      <c r="D178" s="254" t="s">
        <v>631</v>
      </c>
      <c r="E178" s="254" t="s">
        <v>651</v>
      </c>
      <c r="F178" s="46"/>
      <c r="G178" s="46"/>
      <c r="H178" s="46"/>
    </row>
    <row r="179" spans="3:8" x14ac:dyDescent="0.35">
      <c r="C179" s="38" t="s">
        <v>649</v>
      </c>
      <c r="D179" s="254" t="s">
        <v>537</v>
      </c>
      <c r="E179" s="254" t="s">
        <v>651</v>
      </c>
      <c r="F179" s="46"/>
      <c r="G179" s="46"/>
      <c r="H179" s="46"/>
    </row>
    <row r="180" spans="3:8" x14ac:dyDescent="0.35">
      <c r="C180" s="38" t="s">
        <v>649</v>
      </c>
      <c r="D180" s="257" t="s">
        <v>632</v>
      </c>
      <c r="E180" s="254" t="s">
        <v>651</v>
      </c>
      <c r="F180" s="46"/>
      <c r="G180" s="46"/>
      <c r="H180" s="46"/>
    </row>
    <row r="181" spans="3:8" x14ac:dyDescent="0.35">
      <c r="C181" s="38" t="s">
        <v>649</v>
      </c>
      <c r="D181" s="254" t="s">
        <v>633</v>
      </c>
      <c r="E181" s="254" t="s">
        <v>651</v>
      </c>
      <c r="F181" s="46"/>
      <c r="G181" s="46"/>
      <c r="H181" s="46"/>
    </row>
    <row r="182" spans="3:8" x14ac:dyDescent="0.35">
      <c r="C182" s="38" t="s">
        <v>649</v>
      </c>
      <c r="D182" s="256" t="s">
        <v>634</v>
      </c>
      <c r="E182" s="254" t="s">
        <v>652</v>
      </c>
      <c r="F182" s="46"/>
      <c r="G182" s="46"/>
      <c r="H182" s="46"/>
    </row>
    <row r="183" spans="3:8" x14ac:dyDescent="0.35">
      <c r="C183" s="38" t="s">
        <v>649</v>
      </c>
      <c r="D183" s="254" t="s">
        <v>635</v>
      </c>
      <c r="E183" s="254" t="s">
        <v>651</v>
      </c>
      <c r="F183" s="46"/>
      <c r="G183" s="46"/>
      <c r="H183" s="46"/>
    </row>
    <row r="184" spans="3:8" x14ac:dyDescent="0.35">
      <c r="C184" s="38" t="s">
        <v>649</v>
      </c>
      <c r="D184" s="254" t="s">
        <v>636</v>
      </c>
      <c r="E184" s="254" t="s">
        <v>651</v>
      </c>
      <c r="F184" s="46"/>
      <c r="G184" s="46"/>
      <c r="H184" s="46"/>
    </row>
    <row r="185" spans="3:8" x14ac:dyDescent="0.35">
      <c r="C185" s="38" t="s">
        <v>649</v>
      </c>
      <c r="D185" s="254" t="s">
        <v>637</v>
      </c>
      <c r="E185" s="254" t="s">
        <v>651</v>
      </c>
      <c r="F185" s="46"/>
      <c r="G185" s="46"/>
      <c r="H185" s="46"/>
    </row>
    <row r="186" spans="3:8" x14ac:dyDescent="0.35">
      <c r="C186" s="38" t="s">
        <v>649</v>
      </c>
      <c r="D186" s="254" t="s">
        <v>638</v>
      </c>
      <c r="E186" s="254" t="s">
        <v>651</v>
      </c>
      <c r="F186" s="46"/>
      <c r="G186" s="46"/>
      <c r="H186" s="46"/>
    </row>
    <row r="187" spans="3:8" x14ac:dyDescent="0.35">
      <c r="C187" s="38" t="s">
        <v>649</v>
      </c>
      <c r="D187" s="254" t="s">
        <v>639</v>
      </c>
      <c r="E187" s="254" t="s">
        <v>651</v>
      </c>
      <c r="F187" s="46"/>
      <c r="G187" s="46"/>
      <c r="H187" s="46"/>
    </row>
    <row r="188" spans="3:8" x14ac:dyDescent="0.35">
      <c r="C188" s="38" t="s">
        <v>649</v>
      </c>
      <c r="D188" s="254" t="s">
        <v>640</v>
      </c>
      <c r="E188" s="254" t="s">
        <v>651</v>
      </c>
      <c r="F188" s="46"/>
      <c r="G188" s="46"/>
      <c r="H188" s="46"/>
    </row>
    <row r="189" spans="3:8" x14ac:dyDescent="0.35">
      <c r="C189" s="38" t="s">
        <v>649</v>
      </c>
      <c r="D189" s="254" t="s">
        <v>641</v>
      </c>
      <c r="E189" s="254" t="s">
        <v>651</v>
      </c>
      <c r="F189" s="46"/>
      <c r="G189" s="46"/>
      <c r="H189" s="46"/>
    </row>
    <row r="190" spans="3:8" x14ac:dyDescent="0.35">
      <c r="C190" s="38" t="s">
        <v>649</v>
      </c>
      <c r="D190" s="254" t="s">
        <v>642</v>
      </c>
      <c r="E190" s="254" t="s">
        <v>651</v>
      </c>
      <c r="F190" s="46"/>
      <c r="G190" s="46"/>
      <c r="H190" s="46"/>
    </row>
    <row r="191" spans="3:8" x14ac:dyDescent="0.35">
      <c r="C191" s="38" t="s">
        <v>649</v>
      </c>
      <c r="D191" s="254" t="s">
        <v>643</v>
      </c>
      <c r="E191" s="254" t="s">
        <v>651</v>
      </c>
      <c r="F191" s="46"/>
      <c r="G191" s="46"/>
      <c r="H191" s="46"/>
    </row>
    <row r="192" spans="3:8" x14ac:dyDescent="0.35">
      <c r="C192" s="38" t="s">
        <v>649</v>
      </c>
      <c r="D192" s="254" t="s">
        <v>644</v>
      </c>
      <c r="E192" s="254" t="s">
        <v>651</v>
      </c>
      <c r="F192" s="46"/>
      <c r="G192" s="46"/>
      <c r="H192" s="46"/>
    </row>
    <row r="193" spans="3:8" x14ac:dyDescent="0.35">
      <c r="C193" s="38" t="s">
        <v>649</v>
      </c>
      <c r="D193" s="254" t="s">
        <v>645</v>
      </c>
      <c r="E193" s="254" t="s">
        <v>651</v>
      </c>
      <c r="F193" s="46"/>
      <c r="G193" s="46"/>
      <c r="H193" s="46"/>
    </row>
    <row r="194" spans="3:8" x14ac:dyDescent="0.35">
      <c r="C194" s="38" t="s">
        <v>649</v>
      </c>
      <c r="D194" s="254" t="s">
        <v>646</v>
      </c>
      <c r="E194" s="254" t="s">
        <v>651</v>
      </c>
      <c r="F194" s="46"/>
      <c r="G194" s="46"/>
      <c r="H194" s="46"/>
    </row>
  </sheetData>
  <autoFilter ref="C2:G194" xr:uid="{496AD32B-1DC3-4508-9950-1A4FA08438E7}"/>
  <mergeCells count="1">
    <mergeCell ref="J2:K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C181-0564-4E03-B6DC-641FCBF30879}">
  <sheetPr>
    <tabColor rgb="FFFF9933"/>
  </sheetPr>
  <dimension ref="A3:F27"/>
  <sheetViews>
    <sheetView zoomScaleNormal="100" workbookViewId="0">
      <selection activeCell="E11" sqref="E11"/>
    </sheetView>
  </sheetViews>
  <sheetFormatPr defaultRowHeight="14.5" x14ac:dyDescent="0.35"/>
  <cols>
    <col min="1" max="1" width="4.90625" customWidth="1"/>
    <col min="2" max="2" width="9.453125" customWidth="1"/>
    <col min="3" max="3" width="28.36328125" customWidth="1"/>
    <col min="4" max="4" width="15.54296875" bestFit="1" customWidth="1"/>
    <col min="5" max="5" width="15.08984375" customWidth="1"/>
    <col min="6" max="6" width="4.453125" customWidth="1"/>
  </cols>
  <sheetData>
    <row r="3" spans="1:6" x14ac:dyDescent="0.35">
      <c r="A3" s="51"/>
      <c r="C3" s="303" t="s">
        <v>307</v>
      </c>
      <c r="D3" s="303"/>
      <c r="E3" s="253"/>
    </row>
    <row r="4" spans="1:6" x14ac:dyDescent="0.35">
      <c r="A4" s="51"/>
      <c r="C4" s="235" t="s">
        <v>0</v>
      </c>
      <c r="D4" s="235" t="s">
        <v>392</v>
      </c>
      <c r="E4" s="235" t="s">
        <v>655</v>
      </c>
    </row>
    <row r="5" spans="1:6" s="238" customFormat="1" x14ac:dyDescent="0.35">
      <c r="A5" s="54"/>
      <c r="B5" s="54"/>
      <c r="C5" s="258" t="s">
        <v>123</v>
      </c>
      <c r="D5" s="259">
        <v>1000</v>
      </c>
      <c r="E5" s="92"/>
    </row>
    <row r="6" spans="1:6" s="238" customFormat="1" x14ac:dyDescent="0.35">
      <c r="A6" s="54"/>
      <c r="B6" s="54"/>
      <c r="C6" s="240" t="s">
        <v>115</v>
      </c>
      <c r="D6" s="248">
        <v>0</v>
      </c>
      <c r="E6" s="92"/>
    </row>
    <row r="7" spans="1:6" s="238" customFormat="1" x14ac:dyDescent="0.35">
      <c r="A7" s="247"/>
      <c r="B7" s="247"/>
      <c r="C7" s="240" t="s">
        <v>653</v>
      </c>
      <c r="D7" s="241">
        <v>2769.87</v>
      </c>
      <c r="E7" s="260">
        <v>45771</v>
      </c>
    </row>
    <row r="8" spans="1:6" s="238" customFormat="1" x14ac:dyDescent="0.35">
      <c r="A8" s="247"/>
      <c r="B8" s="247"/>
      <c r="C8" s="240" t="s">
        <v>654</v>
      </c>
      <c r="D8" s="241">
        <v>5080.12</v>
      </c>
      <c r="E8" s="260">
        <v>45771</v>
      </c>
    </row>
    <row r="9" spans="1:6" s="238" customFormat="1" x14ac:dyDescent="0.35">
      <c r="A9" s="247"/>
      <c r="B9" s="247"/>
      <c r="C9" s="240" t="s">
        <v>143</v>
      </c>
      <c r="D9" s="241">
        <v>0</v>
      </c>
      <c r="E9" s="240"/>
    </row>
    <row r="10" spans="1:6" s="238" customFormat="1" x14ac:dyDescent="0.35">
      <c r="A10" s="54"/>
      <c r="B10" s="54"/>
      <c r="C10" s="240" t="s">
        <v>222</v>
      </c>
      <c r="D10" s="241">
        <v>21529.439999999999</v>
      </c>
      <c r="E10" s="260">
        <v>45771</v>
      </c>
    </row>
    <row r="11" spans="1:6" s="238" customFormat="1" x14ac:dyDescent="0.35">
      <c r="A11" s="54"/>
      <c r="B11" s="54"/>
      <c r="C11" s="240" t="s">
        <v>16</v>
      </c>
      <c r="D11" s="248">
        <v>0</v>
      </c>
      <c r="E11" s="240"/>
    </row>
    <row r="12" spans="1:6" s="238" customFormat="1" x14ac:dyDescent="0.35">
      <c r="A12" s="54"/>
      <c r="B12" s="54"/>
    </row>
    <row r="13" spans="1:6" s="238" customFormat="1" x14ac:dyDescent="0.35">
      <c r="A13" s="54"/>
      <c r="B13" s="54"/>
      <c r="C13" s="243"/>
      <c r="D13" s="244"/>
      <c r="F13" s="245"/>
    </row>
    <row r="14" spans="1:6" s="238" customFormat="1" x14ac:dyDescent="0.35">
      <c r="A14" s="54"/>
      <c r="B14" s="54"/>
      <c r="C14" s="243"/>
      <c r="D14" s="246"/>
    </row>
    <row r="15" spans="1:6" s="238" customFormat="1" x14ac:dyDescent="0.35">
      <c r="A15" s="54"/>
      <c r="B15" s="54"/>
    </row>
    <row r="16" spans="1:6" s="238" customFormat="1" x14ac:dyDescent="0.35">
      <c r="A16" s="54"/>
      <c r="B16" s="54"/>
    </row>
    <row r="17" spans="1:4" s="238" customFormat="1" x14ac:dyDescent="0.35">
      <c r="A17" s="54"/>
      <c r="B17" s="54"/>
      <c r="D17" s="239"/>
    </row>
    <row r="18" spans="1:4" s="238" customFormat="1" x14ac:dyDescent="0.35">
      <c r="B18" s="54"/>
    </row>
    <row r="19" spans="1:4" s="238" customFormat="1" x14ac:dyDescent="0.35">
      <c r="B19" s="54"/>
    </row>
    <row r="20" spans="1:4" s="238" customFormat="1" x14ac:dyDescent="0.35">
      <c r="B20" s="54"/>
    </row>
    <row r="21" spans="1:4" s="238" customFormat="1" x14ac:dyDescent="0.35"/>
    <row r="22" spans="1:4" s="238" customFormat="1" x14ac:dyDescent="0.35"/>
    <row r="27" spans="1:4" ht="16.25" customHeight="1" x14ac:dyDescent="0.35"/>
  </sheetData>
  <mergeCells count="1">
    <mergeCell ref="C3:D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78F6B-367F-48BF-852E-5AA61A8C8F9F}">
  <dimension ref="I2:AA24"/>
  <sheetViews>
    <sheetView topLeftCell="F4" zoomScale="130" zoomScaleNormal="130" workbookViewId="0">
      <selection activeCell="L5" sqref="L5:L10"/>
    </sheetView>
  </sheetViews>
  <sheetFormatPr defaultRowHeight="14.5" x14ac:dyDescent="0.35"/>
  <cols>
    <col min="14" max="14" width="17.54296875" bestFit="1" customWidth="1"/>
    <col min="15" max="15" width="13.6328125" customWidth="1"/>
    <col min="16" max="16" width="13" customWidth="1"/>
    <col min="17" max="17" width="11.54296875" bestFit="1" customWidth="1"/>
    <col min="21" max="21" width="17.453125" bestFit="1" customWidth="1"/>
    <col min="22" max="22" width="12.453125" bestFit="1" customWidth="1"/>
    <col min="23" max="23" width="14.90625" customWidth="1"/>
    <col min="24" max="24" width="10.54296875" bestFit="1" customWidth="1"/>
    <col min="25" max="25" width="9.6328125" customWidth="1"/>
  </cols>
  <sheetData>
    <row r="2" spans="9:24" x14ac:dyDescent="0.35">
      <c r="I2">
        <v>30028</v>
      </c>
      <c r="L2" s="112" t="s">
        <v>331</v>
      </c>
      <c r="M2">
        <v>8</v>
      </c>
      <c r="N2" t="s">
        <v>332</v>
      </c>
      <c r="O2" t="s">
        <v>333</v>
      </c>
      <c r="Q2" s="126">
        <v>0.1</v>
      </c>
    </row>
    <row r="3" spans="9:24" x14ac:dyDescent="0.35">
      <c r="I3">
        <v>19745</v>
      </c>
      <c r="L3">
        <v>4</v>
      </c>
      <c r="M3">
        <f>L3*4</f>
        <v>16</v>
      </c>
      <c r="N3">
        <f>L3*I2</f>
        <v>120112</v>
      </c>
      <c r="O3">
        <f>N3</f>
        <v>120112</v>
      </c>
      <c r="P3" s="121">
        <f>O3/M3</f>
        <v>7507</v>
      </c>
      <c r="Q3" s="121">
        <f>P3*1.1</f>
        <v>8257.7000000000007</v>
      </c>
    </row>
    <row r="4" spans="9:24" x14ac:dyDescent="0.35">
      <c r="I4">
        <v>16779</v>
      </c>
      <c r="L4">
        <f>L3+1</f>
        <v>5</v>
      </c>
      <c r="M4">
        <f>L4*4</f>
        <v>20</v>
      </c>
      <c r="N4">
        <f>L4*I2</f>
        <v>150140</v>
      </c>
      <c r="O4">
        <f t="shared" ref="O4:O10" si="0">N4</f>
        <v>150140</v>
      </c>
      <c r="P4" s="121">
        <f t="shared" ref="P4:P23" si="1">O4/M4</f>
        <v>7507</v>
      </c>
      <c r="Q4" s="121">
        <f t="shared" ref="Q4:Q23" si="2">P4*1.1</f>
        <v>8257.7000000000007</v>
      </c>
    </row>
    <row r="5" spans="9:24" x14ac:dyDescent="0.35">
      <c r="L5">
        <f t="shared" ref="L5:L23" si="3">L4+1</f>
        <v>6</v>
      </c>
      <c r="M5">
        <f>L5*8</f>
        <v>48</v>
      </c>
      <c r="N5">
        <f>L5*$I$3</f>
        <v>118470</v>
      </c>
      <c r="O5">
        <f t="shared" si="0"/>
        <v>118470</v>
      </c>
      <c r="P5" s="122">
        <f t="shared" si="1"/>
        <v>2468.125</v>
      </c>
      <c r="Q5" s="121">
        <f t="shared" si="2"/>
        <v>2714.9375</v>
      </c>
    </row>
    <row r="6" spans="9:24" x14ac:dyDescent="0.35">
      <c r="L6">
        <f t="shared" si="3"/>
        <v>7</v>
      </c>
      <c r="M6">
        <f t="shared" ref="M6:M23" si="4">L6*8</f>
        <v>56</v>
      </c>
      <c r="N6">
        <f t="shared" ref="N6:N10" si="5">L6*$I$3</f>
        <v>138215</v>
      </c>
      <c r="O6">
        <f t="shared" si="0"/>
        <v>138215</v>
      </c>
      <c r="P6" s="122">
        <f t="shared" si="1"/>
        <v>2468.125</v>
      </c>
      <c r="Q6" s="121">
        <f t="shared" si="2"/>
        <v>2714.9375</v>
      </c>
    </row>
    <row r="7" spans="9:24" x14ac:dyDescent="0.35">
      <c r="L7">
        <f t="shared" si="3"/>
        <v>8</v>
      </c>
      <c r="M7">
        <f t="shared" si="4"/>
        <v>64</v>
      </c>
      <c r="N7">
        <f t="shared" si="5"/>
        <v>157960</v>
      </c>
      <c r="O7">
        <f t="shared" si="0"/>
        <v>157960</v>
      </c>
      <c r="P7" s="122">
        <f t="shared" si="1"/>
        <v>2468.125</v>
      </c>
      <c r="Q7" s="121">
        <f t="shared" si="2"/>
        <v>2714.9375</v>
      </c>
    </row>
    <row r="8" spans="9:24" x14ac:dyDescent="0.35">
      <c r="L8">
        <f t="shared" si="3"/>
        <v>9</v>
      </c>
      <c r="M8">
        <f t="shared" si="4"/>
        <v>72</v>
      </c>
      <c r="N8">
        <f t="shared" si="5"/>
        <v>177705</v>
      </c>
      <c r="O8">
        <f t="shared" si="0"/>
        <v>177705</v>
      </c>
      <c r="P8" s="122">
        <f t="shared" si="1"/>
        <v>2468.125</v>
      </c>
      <c r="Q8" s="121">
        <f t="shared" si="2"/>
        <v>2714.9375</v>
      </c>
    </row>
    <row r="9" spans="9:24" x14ac:dyDescent="0.35">
      <c r="L9">
        <f t="shared" si="3"/>
        <v>10</v>
      </c>
      <c r="M9">
        <f t="shared" si="4"/>
        <v>80</v>
      </c>
      <c r="N9">
        <f t="shared" si="5"/>
        <v>197450</v>
      </c>
      <c r="O9">
        <f t="shared" si="0"/>
        <v>197450</v>
      </c>
      <c r="P9" s="122">
        <f t="shared" si="1"/>
        <v>2468.125</v>
      </c>
      <c r="Q9" s="121">
        <f t="shared" si="2"/>
        <v>2714.9375</v>
      </c>
    </row>
    <row r="10" spans="9:24" x14ac:dyDescent="0.35">
      <c r="L10">
        <f t="shared" si="3"/>
        <v>11</v>
      </c>
      <c r="M10">
        <f t="shared" si="4"/>
        <v>88</v>
      </c>
      <c r="N10">
        <f t="shared" si="5"/>
        <v>217195</v>
      </c>
      <c r="O10">
        <f t="shared" si="0"/>
        <v>217195</v>
      </c>
      <c r="P10" s="122">
        <f t="shared" si="1"/>
        <v>2468.125</v>
      </c>
      <c r="Q10" s="121">
        <f t="shared" si="2"/>
        <v>2714.9375</v>
      </c>
    </row>
    <row r="11" spans="9:24" x14ac:dyDescent="0.35">
      <c r="L11">
        <f t="shared" si="3"/>
        <v>12</v>
      </c>
      <c r="M11">
        <f t="shared" si="4"/>
        <v>96</v>
      </c>
      <c r="N11">
        <f>L11*$I$4</f>
        <v>201348</v>
      </c>
      <c r="O11">
        <f>N11*2</f>
        <v>402696</v>
      </c>
      <c r="P11" s="123">
        <f t="shared" si="1"/>
        <v>4194.75</v>
      </c>
      <c r="Q11" s="121">
        <f t="shared" si="2"/>
        <v>4614.2250000000004</v>
      </c>
    </row>
    <row r="12" spans="9:24" x14ac:dyDescent="0.35">
      <c r="L12">
        <f t="shared" si="3"/>
        <v>13</v>
      </c>
      <c r="M12">
        <f t="shared" si="4"/>
        <v>104</v>
      </c>
      <c r="N12">
        <f t="shared" ref="N12:N23" si="6">L12*$I$4</f>
        <v>218127</v>
      </c>
      <c r="O12">
        <f t="shared" ref="O12:O17" si="7">N12*2</f>
        <v>436254</v>
      </c>
      <c r="P12" s="123">
        <f t="shared" si="1"/>
        <v>4194.75</v>
      </c>
      <c r="Q12" s="121">
        <f t="shared" si="2"/>
        <v>4614.2250000000004</v>
      </c>
    </row>
    <row r="13" spans="9:24" x14ac:dyDescent="0.35">
      <c r="L13">
        <f t="shared" si="3"/>
        <v>14</v>
      </c>
      <c r="M13">
        <f t="shared" si="4"/>
        <v>112</v>
      </c>
      <c r="N13">
        <f t="shared" si="6"/>
        <v>234906</v>
      </c>
      <c r="O13">
        <f t="shared" si="7"/>
        <v>469812</v>
      </c>
      <c r="P13" s="123">
        <f t="shared" si="1"/>
        <v>4194.75</v>
      </c>
      <c r="Q13" s="121">
        <f t="shared" si="2"/>
        <v>4614.2250000000004</v>
      </c>
    </row>
    <row r="14" spans="9:24" x14ac:dyDescent="0.35">
      <c r="L14">
        <f t="shared" si="3"/>
        <v>15</v>
      </c>
      <c r="M14">
        <f t="shared" si="4"/>
        <v>120</v>
      </c>
      <c r="N14">
        <f t="shared" si="6"/>
        <v>251685</v>
      </c>
      <c r="O14">
        <f t="shared" si="7"/>
        <v>503370</v>
      </c>
      <c r="P14" s="123">
        <f t="shared" si="1"/>
        <v>4194.75</v>
      </c>
      <c r="Q14" s="121">
        <f t="shared" si="2"/>
        <v>4614.2250000000004</v>
      </c>
    </row>
    <row r="15" spans="9:24" x14ac:dyDescent="0.35">
      <c r="L15">
        <f t="shared" si="3"/>
        <v>16</v>
      </c>
      <c r="M15">
        <f t="shared" si="4"/>
        <v>128</v>
      </c>
      <c r="N15">
        <f>L15*$I$4</f>
        <v>268464</v>
      </c>
      <c r="O15">
        <f t="shared" si="7"/>
        <v>536928</v>
      </c>
      <c r="P15" s="123">
        <f t="shared" si="1"/>
        <v>4194.75</v>
      </c>
      <c r="Q15" s="121">
        <f t="shared" si="2"/>
        <v>4614.2250000000004</v>
      </c>
      <c r="W15" s="131"/>
    </row>
    <row r="16" spans="9:24" x14ac:dyDescent="0.35">
      <c r="L16">
        <f t="shared" si="3"/>
        <v>17</v>
      </c>
      <c r="M16">
        <f>L16*8</f>
        <v>136</v>
      </c>
      <c r="N16">
        <f>L16*$I$4</f>
        <v>285243</v>
      </c>
      <c r="O16">
        <f>N16*2</f>
        <v>570486</v>
      </c>
      <c r="P16" s="123">
        <f>O16/M16</f>
        <v>4194.75</v>
      </c>
      <c r="Q16" s="121">
        <f t="shared" si="2"/>
        <v>4614.2250000000004</v>
      </c>
      <c r="W16" s="131"/>
      <c r="X16" s="121"/>
    </row>
    <row r="17" spans="12:27" x14ac:dyDescent="0.35">
      <c r="L17">
        <f t="shared" si="3"/>
        <v>18</v>
      </c>
      <c r="M17">
        <f t="shared" si="4"/>
        <v>144</v>
      </c>
      <c r="N17">
        <f t="shared" si="6"/>
        <v>302022</v>
      </c>
      <c r="O17">
        <f t="shared" si="7"/>
        <v>604044</v>
      </c>
      <c r="P17" s="123">
        <f t="shared" si="1"/>
        <v>4194.75</v>
      </c>
      <c r="Q17" s="121">
        <f t="shared" si="2"/>
        <v>4614.2250000000004</v>
      </c>
      <c r="W17" s="131"/>
    </row>
    <row r="18" spans="12:27" x14ac:dyDescent="0.35">
      <c r="L18">
        <f t="shared" si="3"/>
        <v>19</v>
      </c>
      <c r="M18">
        <f t="shared" si="4"/>
        <v>152</v>
      </c>
      <c r="N18">
        <f t="shared" si="6"/>
        <v>318801</v>
      </c>
      <c r="O18">
        <f>N18*3</f>
        <v>956403</v>
      </c>
      <c r="P18" s="124">
        <f>O18/M18</f>
        <v>6292.125</v>
      </c>
      <c r="Q18" s="121">
        <f t="shared" si="2"/>
        <v>6921.3375000000005</v>
      </c>
    </row>
    <row r="19" spans="12:27" x14ac:dyDescent="0.35">
      <c r="L19">
        <f t="shared" si="3"/>
        <v>20</v>
      </c>
      <c r="M19">
        <f t="shared" si="4"/>
        <v>160</v>
      </c>
      <c r="N19">
        <f t="shared" si="6"/>
        <v>335580</v>
      </c>
      <c r="O19">
        <f t="shared" ref="O19:O21" si="8">N19*3</f>
        <v>1006740</v>
      </c>
      <c r="P19" s="124">
        <f t="shared" si="1"/>
        <v>6292.125</v>
      </c>
      <c r="Q19" s="121">
        <f t="shared" si="2"/>
        <v>6921.3375000000005</v>
      </c>
      <c r="W19" t="s">
        <v>334</v>
      </c>
    </row>
    <row r="20" spans="12:27" x14ac:dyDescent="0.35">
      <c r="L20">
        <f t="shared" si="3"/>
        <v>21</v>
      </c>
      <c r="M20">
        <f t="shared" si="4"/>
        <v>168</v>
      </c>
      <c r="N20">
        <f t="shared" si="6"/>
        <v>352359</v>
      </c>
      <c r="O20">
        <f t="shared" si="8"/>
        <v>1057077</v>
      </c>
      <c r="P20" s="124">
        <f t="shared" si="1"/>
        <v>6292.125</v>
      </c>
      <c r="Q20" s="121">
        <f t="shared" si="2"/>
        <v>6921.3375000000005</v>
      </c>
      <c r="U20" s="51" t="s">
        <v>335</v>
      </c>
      <c r="V20" s="51">
        <v>15</v>
      </c>
      <c r="W20" s="51">
        <f>$I$4*V20</f>
        <v>251685</v>
      </c>
      <c r="X20" s="51">
        <f>W20*3</f>
        <v>755055</v>
      </c>
      <c r="Y20" s="40">
        <f>X20/396</f>
        <v>1906.7045454545455</v>
      </c>
      <c r="Z20" s="40">
        <f>Y20/396</f>
        <v>4.8149104683195594</v>
      </c>
      <c r="AA20" s="51"/>
    </row>
    <row r="21" spans="12:27" x14ac:dyDescent="0.35">
      <c r="L21">
        <f t="shared" si="3"/>
        <v>22</v>
      </c>
      <c r="M21">
        <f t="shared" si="4"/>
        <v>176</v>
      </c>
      <c r="N21">
        <f t="shared" si="6"/>
        <v>369138</v>
      </c>
      <c r="O21">
        <f t="shared" si="8"/>
        <v>1107414</v>
      </c>
      <c r="P21" s="124">
        <f t="shared" si="1"/>
        <v>6292.125</v>
      </c>
      <c r="Q21" s="121">
        <f t="shared" si="2"/>
        <v>6921.3375000000005</v>
      </c>
      <c r="U21" s="51" t="s">
        <v>336</v>
      </c>
      <c r="V21" s="51">
        <v>16</v>
      </c>
      <c r="W21" s="51">
        <f>$I$4*V21</f>
        <v>268464</v>
      </c>
      <c r="X21" s="51">
        <f>W21*3</f>
        <v>805392</v>
      </c>
      <c r="Y21" s="40">
        <f>X21/396</f>
        <v>2033.8181818181818</v>
      </c>
      <c r="Z21" s="40"/>
      <c r="AA21" s="51"/>
    </row>
    <row r="22" spans="12:27" x14ac:dyDescent="0.35">
      <c r="L22">
        <f t="shared" si="3"/>
        <v>23</v>
      </c>
      <c r="M22">
        <f t="shared" si="4"/>
        <v>184</v>
      </c>
      <c r="N22">
        <f t="shared" si="6"/>
        <v>385917</v>
      </c>
      <c r="O22">
        <f>N22*4</f>
        <v>1543668</v>
      </c>
      <c r="P22" s="125">
        <f t="shared" si="1"/>
        <v>8389.5</v>
      </c>
      <c r="Q22" s="121">
        <f t="shared" si="2"/>
        <v>9228.4500000000007</v>
      </c>
    </row>
    <row r="23" spans="12:27" x14ac:dyDescent="0.35">
      <c r="L23">
        <f t="shared" si="3"/>
        <v>24</v>
      </c>
      <c r="M23">
        <f t="shared" si="4"/>
        <v>192</v>
      </c>
      <c r="N23">
        <f t="shared" si="6"/>
        <v>402696</v>
      </c>
      <c r="O23">
        <f>N23*4</f>
        <v>1610784</v>
      </c>
      <c r="P23" s="125">
        <f t="shared" si="1"/>
        <v>8389.5</v>
      </c>
      <c r="Q23" s="121">
        <f t="shared" si="2"/>
        <v>9228.4500000000007</v>
      </c>
    </row>
    <row r="24" spans="12:27" x14ac:dyDescent="0.35">
      <c r="U24" s="51" t="s">
        <v>336</v>
      </c>
      <c r="V24" s="51">
        <v>16</v>
      </c>
      <c r="W24" s="51">
        <f>$I$4*V24</f>
        <v>268464</v>
      </c>
      <c r="X24" s="51">
        <f>W24*6</f>
        <v>1610784</v>
      </c>
      <c r="Y24">
        <f>X24/386</f>
        <v>4173.015544041451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BD9F-2B45-4C37-96A7-1DB6BACC3607}">
  <dimension ref="B1:DA120"/>
  <sheetViews>
    <sheetView topLeftCell="BZ13" zoomScaleNormal="100" workbookViewId="0">
      <selection activeCell="CC107" sqref="CC107"/>
    </sheetView>
  </sheetViews>
  <sheetFormatPr defaultColWidth="8.90625" defaultRowHeight="14.5" outlineLevelCol="1" x14ac:dyDescent="0.35"/>
  <cols>
    <col min="1" max="1" width="8.90625" style="35"/>
    <col min="2" max="2" width="7.6328125" style="35" customWidth="1"/>
    <col min="3" max="3" width="39.6328125" style="35" bestFit="1" customWidth="1"/>
    <col min="4" max="4" width="8.36328125" style="35" bestFit="1" customWidth="1"/>
    <col min="5" max="5" width="11.453125" style="35" bestFit="1" customWidth="1"/>
    <col min="6" max="6" width="15.36328125" style="35" bestFit="1" customWidth="1"/>
    <col min="7" max="8" width="14" style="35" bestFit="1" customWidth="1"/>
    <col min="9" max="9" width="15.54296875" style="35" bestFit="1" customWidth="1"/>
    <col min="10" max="10" width="14.36328125" style="35" bestFit="1" customWidth="1"/>
    <col min="11" max="11" width="14" style="35" bestFit="1" customWidth="1"/>
    <col min="12" max="12" width="15.54296875" style="35" bestFit="1" customWidth="1"/>
    <col min="13" max="13" width="12.6328125" style="35" bestFit="1" customWidth="1"/>
    <col min="14" max="14" width="13" style="35" bestFit="1" customWidth="1"/>
    <col min="15" max="15" width="12.36328125" style="35" bestFit="1" customWidth="1"/>
    <col min="16" max="16" width="12.36328125" style="35" customWidth="1"/>
    <col min="17" max="18" width="11.6328125" style="35" customWidth="1"/>
    <col min="19" max="19" width="8.6328125" style="35" customWidth="1"/>
    <col min="20" max="20" width="12.08984375" style="35" customWidth="1"/>
    <col min="21" max="21" width="10.90625" style="35" customWidth="1"/>
    <col min="22" max="22" width="12.54296875" style="35" customWidth="1"/>
    <col min="23" max="24" width="13.36328125" style="35" customWidth="1"/>
    <col min="25" max="25" width="12.6328125" style="35" customWidth="1"/>
    <col min="26" max="26" width="12.453125" style="35" customWidth="1"/>
    <col min="27" max="29" width="12.90625" style="35" customWidth="1"/>
    <col min="30" max="30" width="8.90625" style="35" customWidth="1"/>
    <col min="31" max="31" width="8.36328125" style="35" customWidth="1"/>
    <col min="32" max="32" width="8.90625" style="35" customWidth="1"/>
    <col min="33" max="33" width="9" style="35" customWidth="1"/>
    <col min="34" max="34" width="8.90625" style="35" customWidth="1"/>
    <col min="35" max="35" width="9" style="35" customWidth="1"/>
    <col min="36" max="36" width="8.90625" style="35" customWidth="1"/>
    <col min="37" max="37" width="9" style="35" customWidth="1"/>
    <col min="38" max="38" width="8.90625" style="35" customWidth="1"/>
    <col min="39" max="39" width="9" style="35" customWidth="1"/>
    <col min="40" max="40" width="8.90625" style="35" customWidth="1"/>
    <col min="41" max="41" width="9" style="35" customWidth="1"/>
    <col min="42" max="42" width="8.90625" style="35" customWidth="1"/>
    <col min="43" max="43" width="9" style="35" customWidth="1"/>
    <col min="44" max="44" width="8.90625" style="35" customWidth="1"/>
    <col min="45" max="45" width="9" style="35" customWidth="1"/>
    <col min="46" max="46" width="8.90625" style="35" customWidth="1"/>
    <col min="47" max="47" width="9.6328125" style="35" customWidth="1"/>
    <col min="48" max="48" width="18.6328125" style="35" customWidth="1"/>
    <col min="49" max="49" width="10.54296875" style="35" customWidth="1"/>
    <col min="50" max="50" width="11.54296875" style="35" customWidth="1"/>
    <col min="51" max="51" width="11.90625" style="35" customWidth="1"/>
    <col min="52" max="52" width="11.54296875" style="35" customWidth="1"/>
    <col min="53" max="53" width="11.90625" style="35" customWidth="1"/>
    <col min="54" max="59" width="11.54296875" style="35" customWidth="1"/>
    <col min="60" max="60" width="13.54296875" style="35" customWidth="1"/>
    <col min="61" max="61" width="9.6328125" style="35" customWidth="1"/>
    <col min="62" max="62" width="9.90625" style="35" customWidth="1"/>
    <col min="63" max="63" width="9.6328125" style="35" customWidth="1"/>
    <col min="64" max="64" width="12.6328125" style="35" customWidth="1"/>
    <col min="65" max="65" width="13.08984375" style="35" customWidth="1"/>
    <col min="66" max="66" width="11.453125" style="35" customWidth="1"/>
    <col min="67" max="68" width="8.36328125" style="35" customWidth="1"/>
    <col min="69" max="70" width="11.36328125" style="35" customWidth="1"/>
    <col min="71" max="71" width="10.54296875" style="35" customWidth="1"/>
    <col min="72" max="72" width="11.36328125" style="35" customWidth="1"/>
    <col min="73" max="73" width="12.36328125" style="35" customWidth="1"/>
    <col min="74" max="74" width="11.36328125" style="35" customWidth="1"/>
    <col min="75" max="77" width="12.90625" style="35" customWidth="1"/>
    <col min="78" max="78" width="16.453125" style="35" bestFit="1" customWidth="1"/>
    <col min="79" max="84" width="12.453125" style="35" customWidth="1"/>
    <col min="85" max="85" width="13.6328125" style="35" bestFit="1" customWidth="1"/>
    <col min="86" max="86" width="12.453125" style="35" customWidth="1"/>
    <col min="87" max="88" width="14.6328125" style="35" customWidth="1"/>
    <col min="89" max="89" width="14.36328125" style="35" hidden="1" customWidth="1" outlineLevel="1"/>
    <col min="90" max="90" width="15" style="71" hidden="1" customWidth="1" outlineLevel="1"/>
    <col min="91" max="91" width="14.36328125" style="71" hidden="1" customWidth="1" outlineLevel="1"/>
    <col min="92" max="92" width="14.36328125" style="35" hidden="1" customWidth="1" outlineLevel="1"/>
    <col min="93" max="93" width="15" style="71" hidden="1" customWidth="1" outlineLevel="1"/>
    <col min="94" max="94" width="17.36328125" style="71" hidden="1" customWidth="1" outlineLevel="1"/>
    <col min="95" max="95" width="10.453125" style="71" hidden="1" customWidth="1" outlineLevel="1"/>
    <col min="96" max="96" width="15" style="71" hidden="1" customWidth="1" outlineLevel="1"/>
    <col min="97" max="97" width="14.36328125" style="35" hidden="1" customWidth="1" outlineLevel="1"/>
    <col min="98" max="98" width="13.08984375" style="140" customWidth="1" collapsed="1"/>
    <col min="99" max="100" width="12.6328125" style="71" customWidth="1"/>
    <col min="101" max="101" width="13.08984375" style="103" customWidth="1"/>
    <col min="102" max="103" width="15" style="71" customWidth="1"/>
    <col min="104" max="104" width="15.36328125" style="71" customWidth="1"/>
    <col min="105" max="105" width="12.08984375" style="35" customWidth="1"/>
    <col min="106" max="16384" width="8.90625" style="35"/>
  </cols>
  <sheetData>
    <row r="1" spans="2:105" x14ac:dyDescent="0.35">
      <c r="CK1" s="145" t="s">
        <v>342</v>
      </c>
      <c r="CL1" s="146"/>
      <c r="CM1" s="146"/>
      <c r="CN1" s="146"/>
      <c r="CO1" s="146"/>
      <c r="CP1" s="146"/>
      <c r="CQ1" s="146"/>
      <c r="CR1" s="146"/>
      <c r="CT1" s="262" t="s">
        <v>343</v>
      </c>
      <c r="CU1" s="263"/>
      <c r="CV1" s="263"/>
      <c r="CW1" s="161"/>
      <c r="CX1" s="157"/>
      <c r="CY1" s="157"/>
    </row>
    <row r="2" spans="2:105" s="153" customFormat="1" ht="38.4" customHeight="1" x14ac:dyDescent="0.3">
      <c r="B2" s="1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0</v>
      </c>
      <c r="H2" s="138" t="s">
        <v>23</v>
      </c>
      <c r="I2" s="138" t="s">
        <v>251</v>
      </c>
      <c r="J2" s="139" t="s">
        <v>252</v>
      </c>
      <c r="K2" s="139" t="s">
        <v>24</v>
      </c>
      <c r="L2" s="2" t="s">
        <v>253</v>
      </c>
      <c r="M2" s="2" t="s">
        <v>25</v>
      </c>
      <c r="N2" s="2" t="s">
        <v>26</v>
      </c>
      <c r="O2" s="2" t="s">
        <v>27</v>
      </c>
      <c r="P2" s="3" t="s">
        <v>28</v>
      </c>
      <c r="Q2" s="108" t="s">
        <v>29</v>
      </c>
      <c r="R2" s="3" t="s">
        <v>30</v>
      </c>
      <c r="S2" s="3" t="s">
        <v>31</v>
      </c>
      <c r="T2" s="3" t="s">
        <v>32</v>
      </c>
      <c r="U2" s="3" t="s">
        <v>33</v>
      </c>
      <c r="V2" s="108" t="s">
        <v>34</v>
      </c>
      <c r="W2" s="4" t="s">
        <v>35</v>
      </c>
      <c r="X2" s="108" t="s">
        <v>36</v>
      </c>
      <c r="Y2" s="5" t="s">
        <v>37</v>
      </c>
      <c r="Z2" s="5" t="s">
        <v>38</v>
      </c>
      <c r="AA2" s="5" t="s">
        <v>39</v>
      </c>
      <c r="AB2" s="5" t="s">
        <v>40</v>
      </c>
      <c r="AC2" s="108" t="s">
        <v>41</v>
      </c>
      <c r="AD2" s="6" t="s">
        <v>42</v>
      </c>
      <c r="AE2" s="7" t="s">
        <v>43</v>
      </c>
      <c r="AF2" s="6" t="s">
        <v>44</v>
      </c>
      <c r="AG2" s="7" t="s">
        <v>45</v>
      </c>
      <c r="AH2" s="6" t="s">
        <v>46</v>
      </c>
      <c r="AI2" s="7" t="s">
        <v>47</v>
      </c>
      <c r="AJ2" s="6" t="s">
        <v>48</v>
      </c>
      <c r="AK2" s="7" t="s">
        <v>49</v>
      </c>
      <c r="AL2" s="6" t="s">
        <v>50</v>
      </c>
      <c r="AM2" s="7" t="s">
        <v>51</v>
      </c>
      <c r="AN2" s="6" t="s">
        <v>52</v>
      </c>
      <c r="AO2" s="7" t="s">
        <v>53</v>
      </c>
      <c r="AP2" s="6" t="s">
        <v>54</v>
      </c>
      <c r="AQ2" s="7" t="s">
        <v>55</v>
      </c>
      <c r="AR2" s="6" t="s">
        <v>56</v>
      </c>
      <c r="AS2" s="7" t="s">
        <v>57</v>
      </c>
      <c r="AT2" s="6" t="s">
        <v>58</v>
      </c>
      <c r="AU2" s="7" t="s">
        <v>59</v>
      </c>
      <c r="AV2" s="6" t="s">
        <v>60</v>
      </c>
      <c r="AW2" s="7" t="s">
        <v>61</v>
      </c>
      <c r="AX2" s="8" t="s">
        <v>62</v>
      </c>
      <c r="AY2" s="8" t="s">
        <v>63</v>
      </c>
      <c r="AZ2" s="8" t="s">
        <v>64</v>
      </c>
      <c r="BA2" s="8" t="s">
        <v>65</v>
      </c>
      <c r="BB2" s="8" t="s">
        <v>66</v>
      </c>
      <c r="BC2" s="8" t="s">
        <v>67</v>
      </c>
      <c r="BD2" s="8" t="s">
        <v>68</v>
      </c>
      <c r="BE2" s="8" t="s">
        <v>69</v>
      </c>
      <c r="BF2" s="8" t="s">
        <v>70</v>
      </c>
      <c r="BG2" s="8" t="s">
        <v>71</v>
      </c>
      <c r="BH2" s="9" t="s">
        <v>72</v>
      </c>
      <c r="BI2" s="9" t="s">
        <v>73</v>
      </c>
      <c r="BJ2" s="9" t="s">
        <v>74</v>
      </c>
      <c r="BK2" s="10" t="s">
        <v>75</v>
      </c>
      <c r="BL2" s="11" t="s">
        <v>76</v>
      </c>
      <c r="BM2" s="12" t="s">
        <v>77</v>
      </c>
      <c r="BN2" s="13" t="s">
        <v>78</v>
      </c>
      <c r="BO2" s="14" t="s">
        <v>79</v>
      </c>
      <c r="BP2" s="14" t="s">
        <v>350</v>
      </c>
      <c r="BQ2" s="13" t="s">
        <v>80</v>
      </c>
      <c r="BR2" s="14" t="s">
        <v>81</v>
      </c>
      <c r="BS2" s="13" t="s">
        <v>82</v>
      </c>
      <c r="BT2" s="14" t="s">
        <v>83</v>
      </c>
      <c r="BU2" s="13" t="s">
        <v>15</v>
      </c>
      <c r="BV2" s="14" t="s">
        <v>84</v>
      </c>
      <c r="BW2" s="15" t="s">
        <v>85</v>
      </c>
      <c r="BX2" s="16" t="s">
        <v>86</v>
      </c>
      <c r="BY2" s="15" t="s">
        <v>87</v>
      </c>
      <c r="BZ2" s="17" t="s">
        <v>88</v>
      </c>
      <c r="CA2" s="18" t="s">
        <v>89</v>
      </c>
      <c r="CB2" s="18" t="s">
        <v>254</v>
      </c>
      <c r="CC2" s="19" t="s">
        <v>90</v>
      </c>
      <c r="CD2" s="19" t="s">
        <v>91</v>
      </c>
      <c r="CE2" s="20" t="s">
        <v>92</v>
      </c>
      <c r="CF2" s="20" t="s">
        <v>93</v>
      </c>
      <c r="CG2" s="21" t="s">
        <v>94</v>
      </c>
      <c r="CH2" s="21" t="s">
        <v>255</v>
      </c>
      <c r="CI2" s="111" t="s">
        <v>95</v>
      </c>
      <c r="CJ2" s="111" t="s">
        <v>256</v>
      </c>
      <c r="CK2" s="147" t="s">
        <v>257</v>
      </c>
      <c r="CL2" s="148" t="s">
        <v>96</v>
      </c>
      <c r="CM2" s="148" t="s">
        <v>337</v>
      </c>
      <c r="CN2" s="149" t="s">
        <v>258</v>
      </c>
      <c r="CO2" s="149" t="s">
        <v>97</v>
      </c>
      <c r="CP2" s="150" t="s">
        <v>344</v>
      </c>
      <c r="CQ2" s="151" t="s">
        <v>98</v>
      </c>
      <c r="CR2" s="152" t="s">
        <v>345</v>
      </c>
      <c r="CS2" s="158" t="s">
        <v>348</v>
      </c>
      <c r="CT2" s="160" t="s">
        <v>347</v>
      </c>
      <c r="CU2" s="154" t="s">
        <v>349</v>
      </c>
      <c r="CV2" s="154" t="s">
        <v>338</v>
      </c>
      <c r="CW2" s="162" t="s">
        <v>340</v>
      </c>
      <c r="CX2" s="155" t="s">
        <v>339</v>
      </c>
      <c r="CY2" s="156" t="s">
        <v>346</v>
      </c>
      <c r="CZ2" s="159" t="s">
        <v>354</v>
      </c>
      <c r="DA2" s="174" t="s">
        <v>355</v>
      </c>
    </row>
    <row r="3" spans="2:105" hidden="1" x14ac:dyDescent="0.35">
      <c r="B3" s="27">
        <v>10</v>
      </c>
      <c r="C3" s="22" t="s">
        <v>127</v>
      </c>
      <c r="D3" s="22" t="s">
        <v>128</v>
      </c>
      <c r="E3" s="23">
        <v>260</v>
      </c>
      <c r="F3" s="22" t="str">
        <f t="shared" ref="F3:F34" si="0">IF(E3&lt;=200,"Até 200 und",IF(E3&lt;=400,"De 200 a 400 und",IF(E3&gt;=401,"Acima de 400 und")))</f>
        <v>De 200 a 400 und</v>
      </c>
      <c r="G3" s="22" t="s">
        <v>1</v>
      </c>
      <c r="H3" s="36">
        <v>13</v>
      </c>
      <c r="I3" s="36">
        <v>5</v>
      </c>
      <c r="J3" s="36"/>
      <c r="K3" s="36"/>
      <c r="L3" s="36">
        <f>SUM(Tabela1[[#This Row],[QTD DE B/T 2]],Tabela1[[#This Row],[QTD DE B/T]])</f>
        <v>13</v>
      </c>
      <c r="M3" s="22">
        <v>1</v>
      </c>
      <c r="N3" s="22">
        <f>Tabela1[[#This Row],[ELEVADOR]]/Tabela1[[#This Row],[BLOCO TOTAL]]</f>
        <v>7.6923076923076927E-2</v>
      </c>
      <c r="O3" s="22" t="s">
        <v>6</v>
      </c>
      <c r="P3" s="22" t="s">
        <v>119</v>
      </c>
      <c r="Q3" s="22" t="s">
        <v>101</v>
      </c>
      <c r="R3" s="22" t="s">
        <v>102</v>
      </c>
      <c r="S3" s="22" t="s">
        <v>103</v>
      </c>
      <c r="T3" s="22" t="s">
        <v>104</v>
      </c>
      <c r="U3" s="22" t="s">
        <v>105</v>
      </c>
      <c r="V3" s="22" t="s">
        <v>106</v>
      </c>
      <c r="W3" s="24">
        <f>IF(P3=[1]BD_CUSTO!$E$4,[1]BD_CUSTO!$F$4,[1]BD_CUSTO!$F$5)</f>
        <v>530</v>
      </c>
      <c r="X3" s="24">
        <f>IF(Q3=[1]BD_CUSTO!$E$6,[1]BD_CUSTO!$F$6,[1]BD_CUSTO!$F$7)</f>
        <v>260</v>
      </c>
      <c r="Y3" s="24">
        <f>IF(R3=[1]BD_CUSTO!$E$8,[1]BD_CUSTO!$F$8,[1]BD_CUSTO!$F$9)</f>
        <v>600</v>
      </c>
      <c r="Z3" s="24">
        <f>IF(S3=[1]BD_CUSTO!$E$10,[1]BD_CUSTO!$F$10,[1]BD_CUSTO!$F$11)</f>
        <v>500</v>
      </c>
      <c r="AA3" s="24">
        <f>IF(T3=[1]BD_CUSTO!$E$12,[1]BD_CUSTO!$F$12,[1]BD_CUSTO!$F$13)</f>
        <v>370</v>
      </c>
      <c r="AB3" s="24">
        <f>IF(U3=[1]BD_CUSTO!$E$14,[1]BD_CUSTO!$F$14,[1]BD_CUSTO!$F$15)</f>
        <v>90</v>
      </c>
      <c r="AC3" s="24">
        <f>IF(V3=[1]BD_CUSTO!$E$16,[1]BD_CUSTO!$F$16,[1]BD_CUSTO!$F$17)</f>
        <v>720</v>
      </c>
      <c r="AD3" s="22" t="s">
        <v>110</v>
      </c>
      <c r="AE3" s="22">
        <v>1</v>
      </c>
      <c r="AF3" s="22" t="s">
        <v>107</v>
      </c>
      <c r="AG3" s="22">
        <v>2</v>
      </c>
      <c r="AH3" s="22" t="s">
        <v>111</v>
      </c>
      <c r="AI3" s="22">
        <v>1</v>
      </c>
      <c r="AJ3" s="22" t="s">
        <v>129</v>
      </c>
      <c r="AK3" s="22">
        <v>1</v>
      </c>
      <c r="AL3" s="22" t="s">
        <v>108</v>
      </c>
      <c r="AM3" s="22">
        <v>1</v>
      </c>
      <c r="AN3" s="22" t="s">
        <v>126</v>
      </c>
      <c r="AO3" s="22">
        <v>1</v>
      </c>
      <c r="AP3" s="22"/>
      <c r="AQ3" s="22"/>
      <c r="AR3" s="22"/>
      <c r="AS3" s="22"/>
      <c r="AT3" s="22"/>
      <c r="AU3" s="22"/>
      <c r="AV3" s="22"/>
      <c r="AW3" s="22"/>
      <c r="AX3" s="24">
        <f>IF(AD3="",0,VLOOKUP(AD3,[1]BD_CUSTO!I:J,2,0)*AE3/E3)</f>
        <v>20.384615384615383</v>
      </c>
      <c r="AY3" s="24">
        <f>IF(AF3="",0,VLOOKUP(AF3,[1]BD_CUSTO!I:J,2,0)*AG3/E3)</f>
        <v>654.99323076923076</v>
      </c>
      <c r="AZ3" s="24">
        <f>IF(AH3="",0,VLOOKUP(AH3,[1]BD_CUSTO!I:J,2,0)*AI3/E3)</f>
        <v>62.307692307692307</v>
      </c>
      <c r="BA3" s="24">
        <f>IF(AJ3="",0,VLOOKUP(AJ3,[1]BD_CUSTO!I:J,2,0)*AK3/E3)</f>
        <v>1058.3368461538462</v>
      </c>
      <c r="BB3" s="24">
        <f>IF(AL3="",0,VLOOKUP(AL3,[1]BD_CUSTO!I:J,2,0)*AM3/E3)</f>
        <v>89.038461538461533</v>
      </c>
      <c r="BC3" s="24">
        <f>IF(AN3="",0,VLOOKUP(AN3,[1]BD_CUSTO!I:J,2,0)*AO3/E3)</f>
        <v>29.076923076923077</v>
      </c>
      <c r="BD3" s="24">
        <f>IF(AP3="",0,VLOOKUP(AP3,[1]BD_CUSTO!I:J,2,0)*AQ3/E3)</f>
        <v>0</v>
      </c>
      <c r="BE3" s="24">
        <f>IF(AR3="",0,VLOOKUP(AR3,CUSTO!I:J,2,0)*AS3/E3)</f>
        <v>0</v>
      </c>
      <c r="BF3" s="24">
        <f>IF(AT3="",0,VLOOKUP(AT3,[1]BD_CUSTO!I:J,2,0)*AU3/E3)</f>
        <v>0</v>
      </c>
      <c r="BG3" s="24">
        <f>IF(Tabela1[[#This Row],[LZ 10]]="",0,VLOOKUP(Tabela1[[#This Row],[LZ 10]],[1]BD_CUSTO!I:J,2,0)*Tabela1[[#This Row],[QTD922]]/E3)</f>
        <v>0</v>
      </c>
      <c r="BH3" s="22" t="s">
        <v>122</v>
      </c>
      <c r="BI3" s="25">
        <v>0</v>
      </c>
      <c r="BJ3" s="22" t="s">
        <v>113</v>
      </c>
      <c r="BK3" s="25">
        <v>0</v>
      </c>
      <c r="BL3" s="24">
        <f>IF(BH3=[1]BD_CUSTO!$M$6,[1]BD_CUSTO!$N$6)*BI3</f>
        <v>0</v>
      </c>
      <c r="BM3" s="24">
        <f>IF(BJ3=[1]BD_CUSTO!$M$4,[1]BD_CUSTO!$N$4,[1]BD_CUSTO!$N$5)*BK3</f>
        <v>0</v>
      </c>
      <c r="BN3" s="22" t="s">
        <v>114</v>
      </c>
      <c r="BO3" s="22">
        <v>59</v>
      </c>
      <c r="BP3" s="25">
        <f>Tabela1[[#This Row],[QTD ]]/Tabela1[[#This Row],[Nº UNDS]]</f>
        <v>0.22692307692307692</v>
      </c>
      <c r="BQ3" s="22" t="s">
        <v>123</v>
      </c>
      <c r="BR3" s="22">
        <v>138</v>
      </c>
      <c r="BS3" s="22" t="s">
        <v>116</v>
      </c>
      <c r="BT3" s="22">
        <v>0</v>
      </c>
      <c r="BU3" s="22" t="s">
        <v>16</v>
      </c>
      <c r="BV3" s="22">
        <v>0</v>
      </c>
      <c r="BW3" s="24">
        <f>IF(BN3=[1]BD_CUSTO!$Q$7,[1]BD_CUSTO!$R$7,[1]BD_CUSTO!$R$8)*BO3/E3</f>
        <v>453.84615384615387</v>
      </c>
      <c r="BX3" s="24">
        <f>IF(BQ3=[1]BD_CUSTO!$Q$4,[1]BD_CUSTO!$R$4,[1]BD_CUSTO!$R$5)*BR3/E3</f>
        <v>530.76923076923072</v>
      </c>
      <c r="BY3" s="22">
        <f>IF(BS3=[1]BD_CUSTO!$Q$13,[1]BD_CUSTO!$R$13,[1]BD_CUSTO!$R$14)*BT3/E3</f>
        <v>0</v>
      </c>
      <c r="BZ3" s="24">
        <f>BV3*CUSTO!$R$10/E3</f>
        <v>0</v>
      </c>
      <c r="CA3" s="26">
        <f>SUM(Tabela1[[#This Row],[SOMA_PISO SALA E QUARTO]],Tabela1[[#This Row],[SOMA_PAREDE HIDR]],Tabela1[[#This Row],[SOMA_TETO]],Tabela1[[#This Row],[SOMA_BANCADA]],Tabela1[[#This Row],[SOMA_PEDRAS]])</f>
        <v>2090</v>
      </c>
      <c r="CB3" s="27" t="str">
        <f>IF(CA3&lt;=RÉGUAS!$D$4,"ACAB 01",IF(CA3&lt;=RÉGUAS!$F$4,"ACAB 02",IF(CA3&gt;RÉGUAS!$F$4,"ACAB 03",)))</f>
        <v>ACAB 01</v>
      </c>
      <c r="CC3" s="26">
        <f>SUM(Tabela1[[#This Row],[SOMA_LZ 01]:[SOMA_LZ 10]])</f>
        <v>1914.137769230769</v>
      </c>
      <c r="CD3" s="22" t="str">
        <f>IF(CC3&lt;=RÉGUAS!$D$13,"LZ 01",IF(CC3&lt;=RÉGUAS!$F$13,"LZ 02",IF(CC3&lt;=RÉGUAS!$H$13,"LZ 03",IF(CC3&gt;RÉGUAS!$H$13,"LZ 04",))))</f>
        <v>LZ 03</v>
      </c>
      <c r="CE3" s="28">
        <f t="shared" ref="CE3:CE34" si="1">SUM(BL3:BM3)</f>
        <v>0</v>
      </c>
      <c r="CF3" s="22" t="str">
        <f>IF(CE3&lt;=RÉGUAS!$D$22,"TIP 01",IF(CE3&lt;=RÉGUAS!$F$22,"TIP 02",IF(CE3&gt;RÉGUAS!$F$22,"TIP 03",)))</f>
        <v>TIP 01</v>
      </c>
      <c r="CG3" s="28">
        <f t="shared" ref="CG3:CG34" si="2">SUM(BW3:BZ3)</f>
        <v>984.61538461538453</v>
      </c>
      <c r="CH3" s="22" t="str">
        <f>IF(CG3&lt;=RÉGUAS!$D$32,"VAGA 01",IF(CG3&lt;=RÉGUAS!$F$32,"VAGA 02",IF(CG3&gt;RÉGUAS!$F$32,"VAGA 03",)))</f>
        <v>VAGA 01</v>
      </c>
      <c r="CI3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577.46153846153845</v>
      </c>
      <c r="CJ3" s="85" t="str">
        <f>IF(AND(G3="BLOCO",CI3&lt;=RÉGUAS!$D$40),"ELEV 01",IF(AND(G3="BLOCO",CI3&gt;RÉGUAS!$D$40),"ELEV 02",IF(AND(G3="TORRE",CI3&lt;=RÉGUAS!$K$40),"ELEV 01",IF(AND(G3="TORRE",CI3&lt;=RÉGUAS!$M$40),"ELEV 02",IF(AND(G3="TORRE",CI3&gt;RÉGUAS!$M$40),"ELEV 03",)))))</f>
        <v>ELEV 02</v>
      </c>
      <c r="CK3" s="85">
        <f>SUM(Tabela1[[#This Row],[TOTAL  ACAB]],Tabela1[[#This Row],[TOTAL LAZER ]],Tabela1[[#This Row],[TOTAL TIPOLOGIA]],Tabela1[[#This Row],[TOTAL VAGA]],Tabela1[[#This Row],[TOTAL ELEVADOR]])</f>
        <v>5566.2146923076916</v>
      </c>
      <c r="CL3" s="72" t="str">
        <f>IF(AND(G3="BLOCO",CK3&lt;=RÉGUAS!$D$50),"ESSENCIAL",IF(AND(G3="BLOCO",CK3&lt;=RÉGUAS!$F$50),"ECO",IF(AND(G3="BLOCO",CK3&gt;RÉGUAS!$F$50),"BIO",IF(AND(G3="TORRE",CK3&lt;=RÉGUAS!$K$50),"ESSENCIAL",IF(AND(G3="TORRE",CK3&lt;=RÉGUAS!$M$50),"ECO",IF(AND(G3="TORRE",CK3&gt;RÉGUAS!$M$50),"BIO",))))))</f>
        <v>ESSENCIAL</v>
      </c>
      <c r="CM3" s="28" t="str">
        <f>IF(AND(G3="BLOCO",CK3&gt;=RÉGUAS!$D$51,CK3&lt;=RÉGUAS!$D$50),"ESSENCIAL-10%",IF(AND(G3="BLOCO",CK3&gt;RÉGUAS!$D$50,CK3&lt;=RÉGUAS!$E$51),"ECO+10%",IF(AND(G3="BLOCO",CK3&gt;=RÉGUAS!$F$51,CK3&lt;=RÉGUAS!$F$50),"ECO-10%",IF(AND(G3="BLOCO",CK3&gt;RÉGUAS!$F$50,CK3&lt;=RÉGUAS!$G$51),"BIO+10%",IF(AND(G3="TORRE",CK3&gt;=RÉGUAS!$K$51,CK3&lt;=RÉGUAS!$K$50),"ESSENCIAL-10%",IF(AND(G3="TORRE",CK3&gt;RÉGUAS!$K$50,CK3&lt;=RÉGUAS!$L$51),"ECO+10%",IF(AND(G3="TORRE",CK3&gt;=RÉGUAS!$M$51,CK3&lt;=RÉGUAS!$M$50),"ECO-10%",IF(AND(G3="TORRE",CK3&gt;RÉGUAS!$M$50,CK3&lt;=RÉGUAS!$N$51),"BIO+10%","-"))))))))</f>
        <v>-</v>
      </c>
      <c r="CN3" s="73">
        <f t="shared" ref="CN3:CN34" si="3">SUM(CA3,CC3,CE3,CG3)</f>
        <v>4988.7531538461535</v>
      </c>
      <c r="CO3" s="72" t="str">
        <f>IF(CN3&lt;=RÉGUAS!$D$58,"ESSENCIAL",IF(CN3&lt;=RÉGUAS!$F$58,"ECO",IF(CN3&gt;RÉGUAS!$F$58,"BIO",)))</f>
        <v>ESSENCIAL</v>
      </c>
      <c r="CP3" s="72" t="str">
        <f>IF(Tabela1[[#This Row],[INTERVALO DE INTERSEÇÃO 5D]]="-",Tabela1[[#This Row],[CLASSIFICAÇÃO 
5D ]],Tabela1[[#This Row],[CLASSIFICAÇÃO 
4D]])</f>
        <v>ESSENCIAL</v>
      </c>
      <c r="CQ3" s="72" t="str">
        <f t="shared" ref="CQ3:CQ34" si="4">IF(AND(CL3="ESSENCIAL",CO3="BIO"),"OPOSTO",IF(AND(CL3="BIO",CO3="ESSENCIAL"),"OPOSTO","-"))</f>
        <v>-</v>
      </c>
      <c r="CR3" s="72" t="str">
        <f t="shared" ref="CR3:CR34" si="5">IF(AND(CL3="ESSENCIAL",CO3="BIO"),"ECO",IF(AND(CL3="BIO",CO3="ESSENCIAL"),"ECO",CP3))</f>
        <v>ESSENCIAL</v>
      </c>
      <c r="CS3" s="22" t="str">
        <f>IF(Tabela1[[#This Row],[PRODUTO ATUAL ]]=Tabela1[[#This Row],[CLASSIFICAÇÃO FINAL 5D]],"ADERÊNTE","NÃO ADERÊNTE")</f>
        <v>ADERÊNTE</v>
      </c>
      <c r="CT3" s="85">
        <f>SUM(Tabela1[[#This Row],[TOTAL  ACAB]],Tabela1[[#This Row],[TOTAL LAZER ]],Tabela1[[#This Row],[TOTAL TIPOLOGIA]],Tabela1[[#This Row],[TOTAL VAGA]])</f>
        <v>4988.7531538461535</v>
      </c>
      <c r="CU3" s="144" t="str">
        <f>IF(CT3&lt;=RÉGUAS!$D$58,"ESSENCIAL",IF(CT3&lt;=RÉGUAS!$F$58,"ECO",IF(CT3&gt;RÉGUAS!$F$58,"BIO",)))</f>
        <v>ESSENCIAL</v>
      </c>
      <c r="CV3" s="144" t="str">
        <f>IF(AND(CT3&gt;=RÉGUAS!$D$59,CT3&lt;=RÉGUAS!$E$59),"ESSENCIAL/ECO",IF(AND(CT3&gt;=RÉGUAS!$F$59,CT3&lt;=RÉGUAS!$G$59),"ECO/BIO","-"))</f>
        <v>-</v>
      </c>
      <c r="CW3" s="85">
        <f>SUM(Tabela1[[#This Row],[TOTAL LAZER ]],Tabela1[[#This Row],[TOTAL TIPOLOGIA]])</f>
        <v>1914.137769230769</v>
      </c>
      <c r="CX3" s="144" t="str">
        <f>IF(CW3&lt;=RÉGUAS!$D$72,"ESSENCIAL",IF(CW3&lt;=RÉGUAS!$F$72,"ECO",IF(CN3&gt;RÉGUAS!$F$72,"BIO",)))</f>
        <v>ESSENCIAL</v>
      </c>
      <c r="CY3" s="144" t="str">
        <f t="shared" ref="CY3:CY34" si="6">IF(CV3="-",CU3,CX3)</f>
        <v>ESSENCIAL</v>
      </c>
      <c r="CZ3" s="144" t="str">
        <f>IF(Tabela1[[#This Row],[PRODUTO ATUAL ]]=CY3,"ADERENTE","NÃO ADERENTE")</f>
        <v>ADERENTE</v>
      </c>
      <c r="DA3" s="144" t="str">
        <f>IF(Tabela1[[#This Row],[PRODUTO ATUAL ]]=Tabela1[[#This Row],[CLASSIFICAÇÃO 
4D2]],"ADERENTE","NÃO ADERENTE")</f>
        <v>ADERENTE</v>
      </c>
    </row>
    <row r="4" spans="2:105" hidden="1" x14ac:dyDescent="0.35">
      <c r="B4" s="27">
        <v>3</v>
      </c>
      <c r="C4" s="22" t="s">
        <v>117</v>
      </c>
      <c r="D4" s="22" t="s">
        <v>118</v>
      </c>
      <c r="E4" s="22">
        <v>432</v>
      </c>
      <c r="F4" s="22" t="str">
        <f t="shared" si="0"/>
        <v>Acima de 400 und</v>
      </c>
      <c r="G4" s="22" t="s">
        <v>14</v>
      </c>
      <c r="H4" s="36">
        <v>2</v>
      </c>
      <c r="I4" s="36">
        <v>18</v>
      </c>
      <c r="J4" s="36"/>
      <c r="K4" s="36"/>
      <c r="L4" s="36">
        <f>SUM(Tabela1[[#This Row],[QTD DE B/T 2]],Tabela1[[#This Row],[QTD DE B/T]])</f>
        <v>2</v>
      </c>
      <c r="M4" s="22">
        <v>8</v>
      </c>
      <c r="N4" s="22">
        <f>Tabela1[[#This Row],[ELEVADOR]]/Tabela1[[#This Row],[BLOCO TOTAL]]</f>
        <v>4</v>
      </c>
      <c r="O4" s="22" t="s">
        <v>6</v>
      </c>
      <c r="P4" s="22" t="s">
        <v>119</v>
      </c>
      <c r="Q4" s="22" t="s">
        <v>101</v>
      </c>
      <c r="R4" s="22" t="s">
        <v>102</v>
      </c>
      <c r="S4" s="22" t="s">
        <v>103</v>
      </c>
      <c r="T4" s="22" t="s">
        <v>104</v>
      </c>
      <c r="U4" s="22" t="s">
        <v>105</v>
      </c>
      <c r="V4" s="22" t="s">
        <v>106</v>
      </c>
      <c r="W4" s="24">
        <f>IF(P4=[1]BD_CUSTO!$E$4,[1]BD_CUSTO!$F$4,[1]BD_CUSTO!$F$5)</f>
        <v>530</v>
      </c>
      <c r="X4" s="24">
        <f>IF(Q4=[1]BD_CUSTO!$E$6,[1]BD_CUSTO!$F$6,[1]BD_CUSTO!$F$7)</f>
        <v>260</v>
      </c>
      <c r="Y4" s="24">
        <f>IF(R4=[1]BD_CUSTO!$E$8,[1]BD_CUSTO!$F$8,[1]BD_CUSTO!$F$9)</f>
        <v>600</v>
      </c>
      <c r="Z4" s="24">
        <f>IF(S4=[1]BD_CUSTO!$E$10,[1]BD_CUSTO!$F$10,[1]BD_CUSTO!$F$11)</f>
        <v>500</v>
      </c>
      <c r="AA4" s="24">
        <f>IF(T4=[1]BD_CUSTO!$E$12,[1]BD_CUSTO!$F$12,[1]BD_CUSTO!$F$13)</f>
        <v>370</v>
      </c>
      <c r="AB4" s="24">
        <f>IF(U4=[1]BD_CUSTO!$E$14,[1]BD_CUSTO!$F$14,[1]BD_CUSTO!$F$15)</f>
        <v>90</v>
      </c>
      <c r="AC4" s="24">
        <f>IF(V4=[1]BD_CUSTO!$E$16,[1]BD_CUSTO!$F$16,[1]BD_CUSTO!$F$17)</f>
        <v>720</v>
      </c>
      <c r="AD4" s="22" t="s">
        <v>110</v>
      </c>
      <c r="AE4" s="22">
        <v>1</v>
      </c>
      <c r="AF4" s="22" t="s">
        <v>120</v>
      </c>
      <c r="AG4" s="22">
        <v>1</v>
      </c>
      <c r="AH4" s="22" t="s">
        <v>108</v>
      </c>
      <c r="AI4" s="22">
        <v>1</v>
      </c>
      <c r="AJ4" s="22" t="s">
        <v>121</v>
      </c>
      <c r="AK4" s="22">
        <v>1</v>
      </c>
      <c r="AL4" s="22" t="s">
        <v>107</v>
      </c>
      <c r="AM4" s="22">
        <v>1</v>
      </c>
      <c r="AN4" s="22" t="s">
        <v>109</v>
      </c>
      <c r="AO4" s="22">
        <v>1</v>
      </c>
      <c r="AP4" s="22"/>
      <c r="AQ4" s="22">
        <v>0</v>
      </c>
      <c r="AR4" s="22"/>
      <c r="AS4" s="22">
        <v>0</v>
      </c>
      <c r="AT4" s="22"/>
      <c r="AU4" s="22"/>
      <c r="AV4" s="22"/>
      <c r="AW4" s="22"/>
      <c r="AX4" s="24">
        <f>IF(AD4="",0,VLOOKUP(AD4,[1]BD_CUSTO!I:J,2,0)*AE4/E4)</f>
        <v>12.268518518518519</v>
      </c>
      <c r="AY4" s="24">
        <f>IF(AF4="",0,VLOOKUP(AF4,[1]BD_CUSTO!I:J,2,0)*AG4/E4)</f>
        <v>131.73351851851851</v>
      </c>
      <c r="AZ4" s="24">
        <f>IF(AH4="",0,VLOOKUP(AH4,[1]BD_CUSTO!I:J,2,0)*AI4/E4)</f>
        <v>53.587962962962962</v>
      </c>
      <c r="BA4" s="24">
        <f>IF(AJ4="",0,VLOOKUP(AJ4,[1]BD_CUSTO!I:J,2,0)*AK4/E4)</f>
        <v>285.08541666666667</v>
      </c>
      <c r="BB4" s="24">
        <f>IF(AL4="",0,VLOOKUP(AL4,[1]BD_CUSTO!I:J,2,0)*AM4/E4)</f>
        <v>197.10444444444443</v>
      </c>
      <c r="BC4" s="24">
        <f>IF(AN4="",0,VLOOKUP(AN4,[1]BD_CUSTO!I:J,2,0)*AO4/E4)</f>
        <v>16.087962962962962</v>
      </c>
      <c r="BD4" s="24">
        <f>IF(AP4="",0,VLOOKUP(AP4,[1]BD_CUSTO!I:J,2,0)*AQ4/E4)</f>
        <v>0</v>
      </c>
      <c r="BE4" s="24">
        <f>IF(AR4="",0,VLOOKUP(AR4,CUSTO!I:J,2,0)*AS4/E4)</f>
        <v>0</v>
      </c>
      <c r="BF4" s="24">
        <f>IF(AT4="",0,VLOOKUP(AT4,[1]BD_CUSTO!I:J,2,0)*AU4/E4)</f>
        <v>0</v>
      </c>
      <c r="BG4" s="24">
        <f>IF(Tabela1[[#This Row],[LZ 10]]="",0,VLOOKUP(Tabela1[[#This Row],[LZ 10]],[1]BD_CUSTO!I:J,2,0)*Tabela1[[#This Row],[QTD922]]/E4)</f>
        <v>0</v>
      </c>
      <c r="BH4" s="22" t="s">
        <v>122</v>
      </c>
      <c r="BI4" s="25">
        <v>0</v>
      </c>
      <c r="BJ4" s="29" t="s">
        <v>113</v>
      </c>
      <c r="BK4" s="25">
        <v>0</v>
      </c>
      <c r="BL4" s="24">
        <f>IF(BH4=[1]BD_CUSTO!$M$6,[1]BD_CUSTO!$N$6)*BI4</f>
        <v>0</v>
      </c>
      <c r="BM4" s="24">
        <f>IF(BJ4=[1]BD_CUSTO!$M$4,[1]BD_CUSTO!$N$4,[1]BD_CUSTO!$N$5)*BK4</f>
        <v>0</v>
      </c>
      <c r="BN4" s="22" t="s">
        <v>114</v>
      </c>
      <c r="BO4" s="22">
        <v>162</v>
      </c>
      <c r="BP4" s="25">
        <f>Tabela1[[#This Row],[QTD ]]/Tabela1[[#This Row],[Nº UNDS]]</f>
        <v>0.375</v>
      </c>
      <c r="BQ4" s="22" t="s">
        <v>123</v>
      </c>
      <c r="BR4" s="22">
        <v>5</v>
      </c>
      <c r="BS4" s="22" t="s">
        <v>116</v>
      </c>
      <c r="BT4" s="22">
        <v>0</v>
      </c>
      <c r="BU4" s="22" t="s">
        <v>16</v>
      </c>
      <c r="BV4" s="22">
        <v>0</v>
      </c>
      <c r="BW4" s="24">
        <f>IF(BN4=[1]BD_CUSTO!$Q$7,[1]BD_CUSTO!$R$7,[1]BD_CUSTO!$R$8)*BO4/E4</f>
        <v>750</v>
      </c>
      <c r="BX4" s="24">
        <f>IF(BQ4=[1]BD_CUSTO!$Q$4,[1]BD_CUSTO!$R$4,[1]BD_CUSTO!$R$5)*BR4/E4</f>
        <v>11.574074074074074</v>
      </c>
      <c r="BY4" s="22">
        <f>IF(BS4=[1]BD_CUSTO!$Q$13,[1]BD_CUSTO!$R$13,[1]BD_CUSTO!$R$14)*BT4/E4</f>
        <v>0</v>
      </c>
      <c r="BZ4" s="24">
        <f>BV4*CUSTO!$R$10/E4</f>
        <v>0</v>
      </c>
      <c r="CA4" s="26">
        <f>SUM(Tabela1[[#This Row],[SOMA_PISO SALA E QUARTO]],Tabela1[[#This Row],[SOMA_PAREDE HIDR]],Tabela1[[#This Row],[SOMA_TETO]],Tabela1[[#This Row],[SOMA_BANCADA]],Tabela1[[#This Row],[SOMA_PEDRAS]])</f>
        <v>2090</v>
      </c>
      <c r="CB4" s="27" t="str">
        <f>IF(CA4&lt;=RÉGUAS!$D$4,"ACAB 01",IF(CA4&lt;=RÉGUAS!$F$4,"ACAB 02",IF(CA4&gt;RÉGUAS!$F$4,"ACAB 03",)))</f>
        <v>ACAB 01</v>
      </c>
      <c r="CC4" s="26">
        <f>SUM(Tabela1[[#This Row],[SOMA_LZ 01]:[SOMA_LZ 10]])</f>
        <v>695.86782407407406</v>
      </c>
      <c r="CD4" s="22" t="str">
        <f>IF(CC4&lt;=RÉGUAS!$D$13,"LZ 01",IF(CC4&lt;=RÉGUAS!$F$13,"LZ 02",IF(CC4&lt;=RÉGUAS!$H$13,"LZ 03",IF(CC4&gt;RÉGUAS!$H$13,"LZ 04",))))</f>
        <v>LZ 01</v>
      </c>
      <c r="CE4" s="28">
        <f t="shared" si="1"/>
        <v>0</v>
      </c>
      <c r="CF4" s="22" t="str">
        <f>IF(CE4&lt;=RÉGUAS!$D$22,"TIP 01",IF(CE4&lt;=RÉGUAS!$F$22,"TIP 02",IF(CE4&gt;RÉGUAS!$F$22,"TIP 03",)))</f>
        <v>TIP 01</v>
      </c>
      <c r="CG4" s="28">
        <f t="shared" si="2"/>
        <v>761.57407407407402</v>
      </c>
      <c r="CH4" s="22" t="str">
        <f>IF(CG4&lt;=RÉGUAS!$D$32,"VAGA 01",IF(CG4&lt;=RÉGUAS!$F$32,"VAGA 02",IF(CG4&gt;RÉGUAS!$F$32,"VAGA 03",)))</f>
        <v>VAGA 01</v>
      </c>
      <c r="CI4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5593</v>
      </c>
      <c r="CJ4" s="85" t="str">
        <f>IF(AND(G4="BLOCO",CI4&lt;=RÉGUAS!$D$40),"ELEV 01",IF(AND(G4="BLOCO",CI4&gt;RÉGUAS!$D$40),"ELEV 02",IF(AND(G4="TORRE",CI4&lt;=RÉGUAS!$K$40),"ELEV 01",IF(AND(G4="TORRE",CI4&lt;=RÉGUAS!$M$40),"ELEV 02",IF(AND(G4="TORRE",CI4&gt;RÉGUAS!$M$40),"ELEV 03",)))))</f>
        <v>ELEV 03</v>
      </c>
      <c r="CK4" s="85">
        <f>SUM(Tabela1[[#This Row],[TOTAL  ACAB]],Tabela1[[#This Row],[TOTAL LAZER ]],Tabela1[[#This Row],[TOTAL TIPOLOGIA]],Tabela1[[#This Row],[TOTAL VAGA]],Tabela1[[#This Row],[TOTAL ELEVADOR]])</f>
        <v>9140.4418981481485</v>
      </c>
      <c r="CL4" s="72" t="str">
        <f>IF(AND(G4="BLOCO",CK4&lt;=RÉGUAS!$D$50),"ESSENCIAL",IF(AND(G4="BLOCO",CK4&lt;=RÉGUAS!$F$50),"ECO",IF(AND(G4="BLOCO",CK4&gt;RÉGUAS!$F$50),"BIO",IF(AND(G4="TORRE",CK4&lt;=RÉGUAS!$K$50),"ESSENCIAL",IF(AND(G4="TORRE",CK4&lt;=RÉGUAS!$M$50),"ECO",IF(AND(G4="TORRE",CK4&gt;RÉGUAS!$M$50),"BIO",))))))</f>
        <v>ESSENCIAL</v>
      </c>
      <c r="CM4" s="28" t="str">
        <f>IF(AND(G4="BLOCO",CK4&gt;=RÉGUAS!$D$51,CK4&lt;=RÉGUAS!$D$50),"ESSENCIAL-10%",IF(AND(G4="BLOCO",CK4&gt;RÉGUAS!$D$50,CK4&lt;=RÉGUAS!$E$51),"ECO+10%",IF(AND(G4="BLOCO",CK4&gt;=RÉGUAS!$F$51,CK4&lt;=RÉGUAS!$F$50),"ECO-10%",IF(AND(G4="BLOCO",CK4&gt;RÉGUAS!$F$50,CK4&lt;=RÉGUAS!$G$51),"BIO+10%",IF(AND(G4="TORRE",CK4&gt;=RÉGUAS!$K$51,CK4&lt;=RÉGUAS!$K$50),"ESSENCIAL-10%",IF(AND(G4="TORRE",CK4&gt;RÉGUAS!$K$50,CK4&lt;=RÉGUAS!$L$51),"ECO+10%",IF(AND(G4="TORRE",CK4&gt;=RÉGUAS!$M$51,CK4&lt;=RÉGUAS!$M$50),"ECO-10%",IF(AND(G4="TORRE",CK4&gt;RÉGUAS!$M$50,CK4&lt;=RÉGUAS!$N$51),"BIO+10%","-"))))))))</f>
        <v>-</v>
      </c>
      <c r="CN4" s="73">
        <f t="shared" si="3"/>
        <v>3547.4418981481481</v>
      </c>
      <c r="CO4" s="72" t="str">
        <f>IF(CN4&lt;=RÉGUAS!$D$58,"ESSENCIAL",IF(CN4&lt;=RÉGUAS!$F$58,"ECO",IF(CN4&gt;RÉGUAS!$F$58,"BIO",)))</f>
        <v>ESSENCIAL</v>
      </c>
      <c r="CP4" s="72" t="str">
        <f>IF(Tabela1[[#This Row],[INTERVALO DE INTERSEÇÃO 5D]]="-",Tabela1[[#This Row],[CLASSIFICAÇÃO 
5D ]],Tabela1[[#This Row],[CLASSIFICAÇÃO 
4D]])</f>
        <v>ESSENCIAL</v>
      </c>
      <c r="CQ4" s="72" t="str">
        <f t="shared" si="4"/>
        <v>-</v>
      </c>
      <c r="CR4" s="72" t="str">
        <f t="shared" si="5"/>
        <v>ESSENCIAL</v>
      </c>
      <c r="CS4" s="22" t="str">
        <f>IF(Tabela1[[#This Row],[PRODUTO ATUAL ]]=Tabela1[[#This Row],[CLASSIFICAÇÃO FINAL 5D]],"ADERÊNTE","NÃO ADERÊNTE")</f>
        <v>ADERÊNTE</v>
      </c>
      <c r="CT4" s="24">
        <f>SUM(Tabela1[[#This Row],[TOTAL  ACAB]],Tabela1[[#This Row],[TOTAL LAZER ]],Tabela1[[#This Row],[TOTAL TIPOLOGIA]],Tabela1[[#This Row],[TOTAL VAGA]])</f>
        <v>3547.4418981481481</v>
      </c>
      <c r="CU4" s="22" t="str">
        <f>IF(CT4&lt;=RÉGUAS!$D$58,"ESSENCIAL",IF(CT4&lt;=RÉGUAS!$F$58,"ECO",IF(CT4&gt;RÉGUAS!$F$58,"BIO",)))</f>
        <v>ESSENCIAL</v>
      </c>
      <c r="CV4" s="22" t="str">
        <f>IF(AND(CT4&gt;=RÉGUAS!$D$59,CT4&lt;=RÉGUAS!$E$59),"ESSENCIAL/ECO",IF(AND(CT4&gt;=RÉGUAS!$F$59,CT4&lt;=RÉGUAS!$G$59),"ECO/BIO","-"))</f>
        <v>-</v>
      </c>
      <c r="CW4" s="85">
        <f>SUM(Tabela1[[#This Row],[TOTAL LAZER ]],Tabela1[[#This Row],[TOTAL TIPOLOGIA]])</f>
        <v>695.86782407407406</v>
      </c>
      <c r="CX4" s="22" t="str">
        <f>IF(CW4&lt;=RÉGUAS!$D$72,"ESSENCIAL",IF(CW4&lt;=RÉGUAS!$F$72,"ECO",IF(CN4&gt;RÉGUAS!$F$72,"BIO",)))</f>
        <v>ESSENCIAL</v>
      </c>
      <c r="CY4" s="22" t="str">
        <f t="shared" si="6"/>
        <v>ESSENCIAL</v>
      </c>
      <c r="CZ4" s="22" t="str">
        <f>IF(Tabela1[[#This Row],[PRODUTO ATUAL ]]=CY4,"ADERENTE","NÃO ADERENTE")</f>
        <v>ADERENTE</v>
      </c>
      <c r="DA4" s="22" t="str">
        <f>IF(Tabela1[[#This Row],[PRODUTO ATUAL ]]=Tabela1[[#This Row],[CLASSIFICAÇÃO 
4D2]],"ADERENTE","NÃO ADERENTE")</f>
        <v>ADERENTE</v>
      </c>
    </row>
    <row r="5" spans="2:105" hidden="1" x14ac:dyDescent="0.35">
      <c r="B5" s="27">
        <v>11</v>
      </c>
      <c r="C5" s="22" t="s">
        <v>130</v>
      </c>
      <c r="D5" s="22" t="s">
        <v>131</v>
      </c>
      <c r="E5" s="134">
        <v>280</v>
      </c>
      <c r="F5" s="22" t="str">
        <f t="shared" si="0"/>
        <v>De 200 a 400 und</v>
      </c>
      <c r="G5" s="133" t="s">
        <v>1</v>
      </c>
      <c r="H5" s="135">
        <v>14</v>
      </c>
      <c r="I5" s="135">
        <v>5</v>
      </c>
      <c r="J5" s="36"/>
      <c r="K5" s="36"/>
      <c r="L5" s="36">
        <f>SUM(Tabela1[[#This Row],[QTD DE B/T 2]],Tabela1[[#This Row],[QTD DE B/T]])</f>
        <v>14</v>
      </c>
      <c r="M5" s="22">
        <v>0</v>
      </c>
      <c r="N5" s="22">
        <f>Tabela1[[#This Row],[ELEVADOR]]/Tabela1[[#This Row],[BLOCO TOTAL]]</f>
        <v>0</v>
      </c>
      <c r="O5" s="22" t="s">
        <v>6</v>
      </c>
      <c r="P5" s="22" t="s">
        <v>119</v>
      </c>
      <c r="Q5" s="22" t="s">
        <v>101</v>
      </c>
      <c r="R5" s="22" t="s">
        <v>102</v>
      </c>
      <c r="S5" s="22" t="s">
        <v>103</v>
      </c>
      <c r="T5" s="22" t="s">
        <v>104</v>
      </c>
      <c r="U5" s="22" t="s">
        <v>105</v>
      </c>
      <c r="V5" s="22" t="s">
        <v>106</v>
      </c>
      <c r="W5" s="24">
        <f>IF(P5=[1]BD_CUSTO!$E$4,[1]BD_CUSTO!$F$4,[1]BD_CUSTO!$F$5)</f>
        <v>530</v>
      </c>
      <c r="X5" s="24">
        <f>IF(Q5=[1]BD_CUSTO!$E$6,[1]BD_CUSTO!$F$6,[1]BD_CUSTO!$F$7)</f>
        <v>260</v>
      </c>
      <c r="Y5" s="24">
        <f>IF(R5=[1]BD_CUSTO!$E$8,[1]BD_CUSTO!$F$8,[1]BD_CUSTO!$F$9)</f>
        <v>600</v>
      </c>
      <c r="Z5" s="24">
        <f>IF(S5=[1]BD_CUSTO!$E$10,[1]BD_CUSTO!$F$10,[1]BD_CUSTO!$F$11)</f>
        <v>500</v>
      </c>
      <c r="AA5" s="24">
        <f>IF(T5=[1]BD_CUSTO!$E$12,[1]BD_CUSTO!$F$12,[1]BD_CUSTO!$F$13)</f>
        <v>370</v>
      </c>
      <c r="AB5" s="24">
        <f>IF(U5=[1]BD_CUSTO!$E$14,[1]BD_CUSTO!$F$14,[1]BD_CUSTO!$F$15)</f>
        <v>90</v>
      </c>
      <c r="AC5" s="24">
        <f>IF(V5=[1]BD_CUSTO!$E$16,[1]BD_CUSTO!$F$16,[1]BD_CUSTO!$F$17)</f>
        <v>720</v>
      </c>
      <c r="AD5" s="133" t="s">
        <v>109</v>
      </c>
      <c r="AE5" s="133">
        <v>1</v>
      </c>
      <c r="AF5" s="133" t="s">
        <v>120</v>
      </c>
      <c r="AG5" s="133">
        <v>1</v>
      </c>
      <c r="AH5" s="133" t="s">
        <v>107</v>
      </c>
      <c r="AI5" s="133">
        <v>1</v>
      </c>
      <c r="AJ5" s="133" t="s">
        <v>108</v>
      </c>
      <c r="AK5" s="133">
        <v>1</v>
      </c>
      <c r="AL5" s="133" t="s">
        <v>110</v>
      </c>
      <c r="AM5" s="133">
        <v>1</v>
      </c>
      <c r="AN5" s="133" t="s">
        <v>111</v>
      </c>
      <c r="AO5" s="133">
        <v>1</v>
      </c>
      <c r="AP5" s="133" t="s">
        <v>126</v>
      </c>
      <c r="AQ5" s="133">
        <v>1</v>
      </c>
      <c r="AR5" s="22"/>
      <c r="AS5" s="22"/>
      <c r="AT5" s="22"/>
      <c r="AU5" s="22"/>
      <c r="AV5" s="22"/>
      <c r="AW5" s="22"/>
      <c r="AX5" s="24">
        <f>IF(AD5="",0,VLOOKUP(AD5,[1]BD_CUSTO!I:J,2,0)*AE5/E5)</f>
        <v>24.821428571428573</v>
      </c>
      <c r="AY5" s="24">
        <f>IF(AF5="",0,VLOOKUP(AF5,[1]BD_CUSTO!I:J,2,0)*AG5/E5)</f>
        <v>203.24599999999998</v>
      </c>
      <c r="AZ5" s="24">
        <f>IF(AH5="",0,VLOOKUP(AH5,[1]BD_CUSTO!I:J,2,0)*AI5/E5)</f>
        <v>304.10399999999998</v>
      </c>
      <c r="BA5" s="24">
        <f>IF(AJ5="",0,VLOOKUP(AJ5,[1]BD_CUSTO!I:J,2,0)*AK5/E5)</f>
        <v>82.678571428571431</v>
      </c>
      <c r="BB5" s="24">
        <f>IF(AL5="",0,VLOOKUP(AL5,[1]BD_CUSTO!I:J,2,0)*AM5/E5)</f>
        <v>18.928571428571427</v>
      </c>
      <c r="BC5" s="24">
        <f>IF(AN5="",0,VLOOKUP(AN5,[1]BD_CUSTO!I:J,2,0)*AO5/E5)</f>
        <v>57.857142857142854</v>
      </c>
      <c r="BD5" s="24">
        <f>IF(AP5="",0,VLOOKUP(AP5,[1]BD_CUSTO!I:J,2,0)*AQ5/E5)</f>
        <v>27</v>
      </c>
      <c r="BE5" s="24">
        <f>IF(AR5="",0,VLOOKUP(AR5,CUSTO!I:J,2,0)*AS5/E5)</f>
        <v>0</v>
      </c>
      <c r="BF5" s="24">
        <f>IF(AT5="",0,VLOOKUP(AT5,[1]BD_CUSTO!I:J,2,0)*AU5/E5)</f>
        <v>0</v>
      </c>
      <c r="BG5" s="24">
        <f>IF(Tabela1[[#This Row],[LZ 10]]="",0,VLOOKUP(Tabela1[[#This Row],[LZ 10]],[1]BD_CUSTO!I:J,2,0)*Tabela1[[#This Row],[QTD922]]/E5)</f>
        <v>0</v>
      </c>
      <c r="BH5" s="22" t="s">
        <v>112</v>
      </c>
      <c r="BI5" s="177">
        <v>0.8</v>
      </c>
      <c r="BJ5" s="133" t="s">
        <v>113</v>
      </c>
      <c r="BK5" s="136">
        <v>0</v>
      </c>
      <c r="BL5" s="24">
        <f>IF(BH5=[1]BD_CUSTO!$M$6,[1]BD_CUSTO!$N$6)*BI5</f>
        <v>2400</v>
      </c>
      <c r="BM5" s="24">
        <f>IF(BJ5=[1]BD_CUSTO!$M$4,[1]BD_CUSTO!$N$4,[1]BD_CUSTO!$N$5)*BK5</f>
        <v>0</v>
      </c>
      <c r="BN5" s="133" t="s">
        <v>114</v>
      </c>
      <c r="BO5" s="133">
        <v>94</v>
      </c>
      <c r="BP5" s="25">
        <f>Tabela1[[#This Row],[QTD ]]/Tabela1[[#This Row],[Nº UNDS]]</f>
        <v>0.33571428571428569</v>
      </c>
      <c r="BQ5" s="133" t="s">
        <v>123</v>
      </c>
      <c r="BR5" s="133">
        <v>34</v>
      </c>
      <c r="BS5" s="22" t="s">
        <v>116</v>
      </c>
      <c r="BT5" s="22">
        <v>0</v>
      </c>
      <c r="BU5" s="22" t="s">
        <v>16</v>
      </c>
      <c r="BV5" s="22">
        <v>0</v>
      </c>
      <c r="BW5" s="24">
        <f>IF(BN5=[1]BD_CUSTO!$Q$7,[1]BD_CUSTO!$R$7,[1]BD_CUSTO!$R$8)*BO5/E5</f>
        <v>671.42857142857144</v>
      </c>
      <c r="BX5" s="24">
        <f>IF(BQ5=[1]BD_CUSTO!$Q$4,[1]BD_CUSTO!$R$4,[1]BD_CUSTO!$R$5)*BR5/E5</f>
        <v>121.42857142857143</v>
      </c>
      <c r="BY5" s="22">
        <f>IF(BS5=[1]BD_CUSTO!$Q$13,[1]BD_CUSTO!$R$13,[1]BD_CUSTO!$R$14)*BT5/E5</f>
        <v>0</v>
      </c>
      <c r="BZ5" s="24">
        <f>BV5*CUSTO!$R$10/E5</f>
        <v>0</v>
      </c>
      <c r="CA5" s="26">
        <f>SUM(Tabela1[[#This Row],[SOMA_PISO SALA E QUARTO]],Tabela1[[#This Row],[SOMA_PAREDE HIDR]],Tabela1[[#This Row],[SOMA_TETO]],Tabela1[[#This Row],[SOMA_BANCADA]],Tabela1[[#This Row],[SOMA_PEDRAS]])</f>
        <v>2090</v>
      </c>
      <c r="CB5" s="27" t="str">
        <f>IF(CA5&lt;=RÉGUAS!$D$4,"ACAB 01",IF(CA5&lt;=RÉGUAS!$F$4,"ACAB 02",IF(CA5&gt;RÉGUAS!$F$4,"ACAB 03",)))</f>
        <v>ACAB 01</v>
      </c>
      <c r="CC5" s="26">
        <f>SUM(Tabela1[[#This Row],[SOMA_LZ 01]:[SOMA_LZ 10]])</f>
        <v>718.63571428571436</v>
      </c>
      <c r="CD5" s="22" t="str">
        <f>IF(CC5&lt;=RÉGUAS!$D$13,"LZ 01",IF(CC5&lt;=RÉGUAS!$F$13,"LZ 02",IF(CC5&lt;=RÉGUAS!$H$13,"LZ 03",IF(CC5&gt;RÉGUAS!$H$13,"LZ 04",))))</f>
        <v>LZ 01</v>
      </c>
      <c r="CE5" s="28">
        <f t="shared" si="1"/>
        <v>2400</v>
      </c>
      <c r="CF5" s="22" t="str">
        <f>IF(CE5&lt;=RÉGUAS!$D$22,"TIP 01",IF(CE5&lt;=RÉGUAS!$F$22,"TIP 02",IF(CE5&gt;RÉGUAS!$F$22,"TIP 03",)))</f>
        <v>TIP 02</v>
      </c>
      <c r="CG5" s="28">
        <f t="shared" si="2"/>
        <v>792.85714285714289</v>
      </c>
      <c r="CH5" s="22" t="str">
        <f>IF(CG5&lt;=RÉGUAS!$D$32,"VAGA 01",IF(CG5&lt;=RÉGUAS!$F$32,"VAGA 02",IF(CG5&gt;RÉGUAS!$F$32,"VAGA 03",)))</f>
        <v>VAGA 01</v>
      </c>
      <c r="CI5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5" s="85" t="str">
        <f>IF(AND(G5="BLOCO",CI5&lt;=RÉGUAS!$D$40),"ELEV 01",IF(AND(G5="BLOCO",CI5&gt;RÉGUAS!$D$40),"ELEV 02",IF(AND(G5="TORRE",CI5&lt;=RÉGUAS!$K$40),"ELEV 01",IF(AND(G5="TORRE",CI5&lt;=RÉGUAS!$M$40),"ELEV 02",IF(AND(G5="TORRE",CI5&gt;RÉGUAS!$M$40),"ELEV 03",)))))</f>
        <v>ELEV 01</v>
      </c>
      <c r="CK5" s="85">
        <f>SUM(Tabela1[[#This Row],[TOTAL  ACAB]],Tabela1[[#This Row],[TOTAL LAZER ]],Tabela1[[#This Row],[TOTAL TIPOLOGIA]],Tabela1[[#This Row],[TOTAL VAGA]],Tabela1[[#This Row],[TOTAL ELEVADOR]])</f>
        <v>6001.4928571428572</v>
      </c>
      <c r="CL5" s="72" t="str">
        <f>IF(AND(G5="BLOCO",CK5&lt;=RÉGUAS!$D$50),"ESSENCIAL",IF(AND(G5="BLOCO",CK5&lt;=RÉGUAS!$F$50),"ECO",IF(AND(G5="BLOCO",CK5&gt;RÉGUAS!$F$50),"BIO",IF(AND(G5="TORRE",CK5&lt;=RÉGUAS!$K$50),"ESSENCIAL",IF(AND(G5="TORRE",CK5&lt;=RÉGUAS!$M$50),"ECO",IF(AND(G5="TORRE",CK5&gt;RÉGUAS!$M$50),"BIO",))))))</f>
        <v>ESSENCIAL</v>
      </c>
      <c r="CM5" s="28" t="str">
        <f>IF(AND(G5="BLOCO",CK5&gt;=RÉGUAS!$D$51,CK5&lt;=RÉGUAS!$D$50),"ESSENCIAL-10%",IF(AND(G5="BLOCO",CK5&gt;RÉGUAS!$D$50,CK5&lt;=RÉGUAS!$E$51),"ECO+10%",IF(AND(G5="BLOCO",CK5&gt;=RÉGUAS!$F$51,CK5&lt;=RÉGUAS!$F$50),"ECO-10%",IF(AND(G5="BLOCO",CK5&gt;RÉGUAS!$F$50,CK5&lt;=RÉGUAS!$G$51),"BIO+10%",IF(AND(G5="TORRE",CK5&gt;=RÉGUAS!$K$51,CK5&lt;=RÉGUAS!$K$50),"ESSENCIAL-10%",IF(AND(G5="TORRE",CK5&gt;RÉGUAS!$K$50,CK5&lt;=RÉGUAS!$L$51),"ECO+10%",IF(AND(G5="TORRE",CK5&gt;=RÉGUAS!$M$51,CK5&lt;=RÉGUAS!$M$50),"ECO-10%",IF(AND(G5="TORRE",CK5&gt;RÉGUAS!$M$50,CK5&lt;=RÉGUAS!$N$51),"BIO+10%","-"))))))))</f>
        <v>-</v>
      </c>
      <c r="CN5" s="73">
        <f t="shared" si="3"/>
        <v>6001.4928571428572</v>
      </c>
      <c r="CO5" s="72" t="str">
        <f>IF(CN5&lt;=RÉGUAS!$D$58,"ESSENCIAL",IF(CN5&lt;=RÉGUAS!$F$58,"ECO",IF(CN5&gt;RÉGUAS!$F$58,"BIO",)))</f>
        <v>ESSENCIAL</v>
      </c>
      <c r="CP5" s="72" t="str">
        <f>IF(Tabela1[[#This Row],[INTERVALO DE INTERSEÇÃO 5D]]="-",Tabela1[[#This Row],[CLASSIFICAÇÃO 
5D ]],Tabela1[[#This Row],[CLASSIFICAÇÃO 
4D]])</f>
        <v>ESSENCIAL</v>
      </c>
      <c r="CQ5" s="72" t="str">
        <f t="shared" si="4"/>
        <v>-</v>
      </c>
      <c r="CR5" s="72" t="str">
        <f t="shared" si="5"/>
        <v>ESSENCIAL</v>
      </c>
      <c r="CS5" s="22" t="str">
        <f>IF(Tabela1[[#This Row],[PRODUTO ATUAL ]]=Tabela1[[#This Row],[CLASSIFICAÇÃO FINAL 5D]],"ADERÊNTE","NÃO ADERÊNTE")</f>
        <v>ADERÊNTE</v>
      </c>
      <c r="CT5" s="24">
        <f>SUM(Tabela1[[#This Row],[TOTAL  ACAB]],Tabela1[[#This Row],[TOTAL LAZER ]],Tabela1[[#This Row],[TOTAL TIPOLOGIA]],Tabela1[[#This Row],[TOTAL VAGA]])</f>
        <v>6001.4928571428572</v>
      </c>
      <c r="CU5" s="22" t="str">
        <f>IF(CT5&lt;=RÉGUAS!$D$58,"ESSENCIAL",IF(CT5&lt;=RÉGUAS!$F$58,"ECO",IF(CT5&gt;RÉGUAS!$F$58,"BIO",)))</f>
        <v>ESSENCIAL</v>
      </c>
      <c r="CV5" s="22" t="str">
        <f>IF(AND(CT5&gt;=RÉGUAS!$D$59,CT5&lt;=RÉGUAS!$E$59),"ESSENCIAL/ECO",IF(AND(CT5&gt;=RÉGUAS!$F$59,CT5&lt;=RÉGUAS!$G$59),"ECO/BIO","-"))</f>
        <v>-</v>
      </c>
      <c r="CW5" s="85">
        <f>SUM(Tabela1[[#This Row],[TOTAL LAZER ]],Tabela1[[#This Row],[TOTAL TIPOLOGIA]])</f>
        <v>3118.6357142857141</v>
      </c>
      <c r="CX5" s="22" t="str">
        <f>IF(CW5&lt;=RÉGUAS!$D$72,"ESSENCIAL",IF(CW5&lt;=RÉGUAS!$F$72,"ECO",IF(CN5&gt;RÉGUAS!$F$72,"BIO",)))</f>
        <v>ECO</v>
      </c>
      <c r="CY5" s="22" t="str">
        <f t="shared" si="6"/>
        <v>ESSENCIAL</v>
      </c>
      <c r="CZ5" s="22" t="str">
        <f>IF(Tabela1[[#This Row],[PRODUTO ATUAL ]]=CY5,"ADERENTE","NÃO ADERENTE")</f>
        <v>ADERENTE</v>
      </c>
      <c r="DA5" s="22" t="str">
        <f>IF(Tabela1[[#This Row],[PRODUTO ATUAL ]]=Tabela1[[#This Row],[CLASSIFICAÇÃO 
4D2]],"ADERENTE","NÃO ADERENTE")</f>
        <v>ADERENTE</v>
      </c>
    </row>
    <row r="6" spans="2:105" hidden="1" x14ac:dyDescent="0.35">
      <c r="B6" s="27">
        <v>2</v>
      </c>
      <c r="C6" s="22" t="s">
        <v>144</v>
      </c>
      <c r="D6" s="22" t="s">
        <v>147</v>
      </c>
      <c r="E6" s="22">
        <v>356</v>
      </c>
      <c r="F6" s="22" t="str">
        <f t="shared" si="0"/>
        <v>De 200 a 400 und</v>
      </c>
      <c r="G6" s="22" t="s">
        <v>1</v>
      </c>
      <c r="H6" s="36">
        <v>22</v>
      </c>
      <c r="I6" s="36">
        <v>4</v>
      </c>
      <c r="J6" s="36"/>
      <c r="K6" s="36"/>
      <c r="L6" s="36">
        <f>SUM(Tabela1[[#This Row],[QTD DE B/T 2]],Tabela1[[#This Row],[QTD DE B/T]])</f>
        <v>22</v>
      </c>
      <c r="M6" s="22">
        <v>1</v>
      </c>
      <c r="N6" s="22">
        <f>Tabela1[[#This Row],[ELEVADOR]]/Tabela1[[#This Row],[BLOCO TOTAL]]</f>
        <v>4.5454545454545456E-2</v>
      </c>
      <c r="O6" s="22" t="s">
        <v>6</v>
      </c>
      <c r="P6" s="22" t="s">
        <v>119</v>
      </c>
      <c r="Q6" s="22" t="s">
        <v>101</v>
      </c>
      <c r="R6" s="22" t="s">
        <v>102</v>
      </c>
      <c r="S6" s="22" t="s">
        <v>103</v>
      </c>
      <c r="T6" s="22" t="s">
        <v>104</v>
      </c>
      <c r="U6" s="22" t="s">
        <v>105</v>
      </c>
      <c r="V6" s="22" t="s">
        <v>145</v>
      </c>
      <c r="W6" s="24">
        <f>IF(P6=[1]BD_CUSTO!$E$4,[1]BD_CUSTO!$F$4,[1]BD_CUSTO!$F$5)</f>
        <v>530</v>
      </c>
      <c r="X6" s="24">
        <f>IF(Q6=[1]BD_CUSTO!$E$6,[1]BD_CUSTO!$F$6,[1]BD_CUSTO!$F$7)</f>
        <v>260</v>
      </c>
      <c r="Y6" s="24">
        <f>IF(R6=[1]BD_CUSTO!$E$8,[1]BD_CUSTO!$F$8,[1]BD_CUSTO!$F$9)</f>
        <v>600</v>
      </c>
      <c r="Z6" s="24">
        <f>IF(S6=[1]BD_CUSTO!$E$10,[1]BD_CUSTO!$F$10,[1]BD_CUSTO!$F$11)</f>
        <v>500</v>
      </c>
      <c r="AA6" s="24">
        <f>IF(T6=[1]BD_CUSTO!$E$12,[1]BD_CUSTO!$F$12,[1]BD_CUSTO!$F$13)</f>
        <v>370</v>
      </c>
      <c r="AB6" s="24">
        <f>IF(U6=[1]BD_CUSTO!$E$14,[1]BD_CUSTO!$F$14,[1]BD_CUSTO!$F$15)</f>
        <v>90</v>
      </c>
      <c r="AC6" s="24">
        <f>IF(V6=[1]BD_CUSTO!$E$16,[1]BD_CUSTO!$F$16,[1]BD_CUSTO!$F$17)</f>
        <v>1320</v>
      </c>
      <c r="AD6" s="22" t="s">
        <v>109</v>
      </c>
      <c r="AE6" s="22">
        <v>1</v>
      </c>
      <c r="AF6" s="22" t="s">
        <v>108</v>
      </c>
      <c r="AG6" s="22">
        <v>1</v>
      </c>
      <c r="AH6" s="22" t="s">
        <v>110</v>
      </c>
      <c r="AI6" s="22">
        <v>1</v>
      </c>
      <c r="AJ6" s="22" t="s">
        <v>107</v>
      </c>
      <c r="AK6" s="22">
        <v>1</v>
      </c>
      <c r="AL6" s="22" t="s">
        <v>135</v>
      </c>
      <c r="AM6" s="22">
        <v>1</v>
      </c>
      <c r="AN6" s="22"/>
      <c r="AO6" s="22">
        <v>0</v>
      </c>
      <c r="AP6" s="22"/>
      <c r="AQ6" s="22">
        <v>0</v>
      </c>
      <c r="AR6" s="22"/>
      <c r="AS6" s="22">
        <v>0</v>
      </c>
      <c r="AT6" s="22"/>
      <c r="AU6" s="22"/>
      <c r="AV6" s="22"/>
      <c r="AW6" s="22"/>
      <c r="AX6" s="24">
        <f>IF(AD6="",0,VLOOKUP(AD6,[1]BD_CUSTO!I:J,2,0)*AE6/E6)</f>
        <v>19.522471910112358</v>
      </c>
      <c r="AY6" s="24">
        <f>IF(AF6="",0,VLOOKUP(AF6,[1]BD_CUSTO!I:J,2,0)*AG6/E6)</f>
        <v>65.028089887640448</v>
      </c>
      <c r="AZ6" s="24">
        <f>IF(AH6="",0,VLOOKUP(AH6,[1]BD_CUSTO!I:J,2,0)*AI6/E6)</f>
        <v>14.887640449438202</v>
      </c>
      <c r="BA6" s="24">
        <f>IF(AJ6="",0,VLOOKUP(AJ6,[1]BD_CUSTO!I:J,2,0)*AK6/E6)</f>
        <v>239.18292134831461</v>
      </c>
      <c r="BB6" s="24">
        <f>IF(AL6="",0,VLOOKUP(AL6,[1]BD_CUSTO!I:J,2,0)*AM6/E6)</f>
        <v>354.12539325842698</v>
      </c>
      <c r="BC6" s="24">
        <f>IF(AN6="",0,VLOOKUP(AN6,[1]BD_CUSTO!I:J,2,0)*AO6/E6)</f>
        <v>0</v>
      </c>
      <c r="BD6" s="24">
        <f>IF(AP6="",0,VLOOKUP(AP6,[1]BD_CUSTO!I:J,2,0)*AQ6/E6)</f>
        <v>0</v>
      </c>
      <c r="BE6" s="24">
        <f>IF(AR6="",0,VLOOKUP(AR6,CUSTO!I:J,2,0)*AS6/E6)</f>
        <v>0</v>
      </c>
      <c r="BF6" s="24">
        <f>IF(AT6="",0,VLOOKUP(AT6,[1]BD_CUSTO!I:J,2,0)*AU6/E6)</f>
        <v>0</v>
      </c>
      <c r="BG6" s="24">
        <f>IF(Tabela1[[#This Row],[LZ 10]]="",0,VLOOKUP(Tabela1[[#This Row],[LZ 10]],[1]BD_CUSTO!I:J,2,0)*Tabela1[[#This Row],[QTD922]]/E6)</f>
        <v>0</v>
      </c>
      <c r="BH6" s="22" t="s">
        <v>122</v>
      </c>
      <c r="BI6" s="25">
        <v>0</v>
      </c>
      <c r="BJ6" s="29" t="s">
        <v>113</v>
      </c>
      <c r="BK6" s="25">
        <v>0</v>
      </c>
      <c r="BL6" s="24">
        <f>IF(BH6=[1]BD_CUSTO!$M$6,[1]BD_CUSTO!$N$6)*BI6</f>
        <v>0</v>
      </c>
      <c r="BM6" s="24">
        <f>IF(BJ6=[1]BD_CUSTO!$M$4,[1]BD_CUSTO!$N$4,[1]BD_CUSTO!$N$5)*BK6</f>
        <v>0</v>
      </c>
      <c r="BN6" s="22" t="s">
        <v>114</v>
      </c>
      <c r="BO6" s="22">
        <v>216</v>
      </c>
      <c r="BP6" s="25">
        <f>Tabela1[[#This Row],[QTD ]]/Tabela1[[#This Row],[Nº UNDS]]</f>
        <v>0.6067415730337079</v>
      </c>
      <c r="BQ6" s="22" t="s">
        <v>123</v>
      </c>
      <c r="BR6" s="22">
        <v>131</v>
      </c>
      <c r="BS6" s="22" t="s">
        <v>116</v>
      </c>
      <c r="BT6" s="22">
        <v>0</v>
      </c>
      <c r="BU6" s="22" t="s">
        <v>16</v>
      </c>
      <c r="BV6" s="22">
        <v>0</v>
      </c>
      <c r="BW6" s="24">
        <f>IF(BN6=[1]BD_CUSTO!$Q$7,[1]BD_CUSTO!$R$7,[1]BD_CUSTO!$R$8)*BO6/E6</f>
        <v>1213.4831460674156</v>
      </c>
      <c r="BX6" s="24">
        <f>IF(BQ6=[1]BD_CUSTO!$Q$4,[1]BD_CUSTO!$R$4,[1]BD_CUSTO!$R$5)*BR6/E6</f>
        <v>367.97752808988764</v>
      </c>
      <c r="BY6" s="22">
        <f>IF(BS6=[1]BD_CUSTO!$Q$13,[1]BD_CUSTO!$R$13,[1]BD_CUSTO!$R$14)*BT6/E6</f>
        <v>0</v>
      </c>
      <c r="BZ6" s="24">
        <f>BV6*CUSTO!$R$10/E6</f>
        <v>0</v>
      </c>
      <c r="CA6" s="26">
        <f>SUM(Tabela1[[#This Row],[SOMA_PISO SALA E QUARTO]],Tabela1[[#This Row],[SOMA_PAREDE HIDR]],Tabela1[[#This Row],[SOMA_TETO]],Tabela1[[#This Row],[SOMA_BANCADA]],Tabela1[[#This Row],[SOMA_PEDRAS]])</f>
        <v>2090</v>
      </c>
      <c r="CB6" s="27" t="str">
        <f>IF(CA6&lt;=RÉGUAS!$D$4,"ACAB 01",IF(CA6&lt;=RÉGUAS!$F$4,"ACAB 02",IF(CA6&gt;RÉGUAS!$F$4,"ACAB 03",)))</f>
        <v>ACAB 01</v>
      </c>
      <c r="CC6" s="26">
        <f>SUM(Tabela1[[#This Row],[SOMA_LZ 01]:[SOMA_LZ 10]])</f>
        <v>692.74651685393269</v>
      </c>
      <c r="CD6" s="22" t="str">
        <f>IF(CC6&lt;=RÉGUAS!$D$13,"LZ 01",IF(CC6&lt;=RÉGUAS!$F$13,"LZ 02",IF(CC6&lt;=RÉGUAS!$H$13,"LZ 03",IF(CC6&gt;RÉGUAS!$H$13,"LZ 04",))))</f>
        <v>LZ 01</v>
      </c>
      <c r="CE6" s="28">
        <f t="shared" si="1"/>
        <v>0</v>
      </c>
      <c r="CF6" s="22" t="str">
        <f>IF(CE6&lt;=RÉGUAS!$D$22,"TIP 01",IF(CE6&lt;=RÉGUAS!$F$22,"TIP 02",IF(CE6&gt;RÉGUAS!$F$22,"TIP 03",)))</f>
        <v>TIP 01</v>
      </c>
      <c r="CG6" s="28">
        <f t="shared" si="2"/>
        <v>1581.4606741573034</v>
      </c>
      <c r="CH6" s="22" t="str">
        <f>IF(CG6&lt;=RÉGUAS!$D$32,"VAGA 01",IF(CG6&lt;=RÉGUAS!$F$32,"VAGA 02",IF(CG6&gt;RÉGUAS!$F$32,"VAGA 03",)))</f>
        <v>VAGA 02</v>
      </c>
      <c r="CI6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337.39325842696627</v>
      </c>
      <c r="CJ6" s="85" t="str">
        <f>IF(AND(G6="BLOCO",CI6&lt;=RÉGUAS!$D$40),"ELEV 01",IF(AND(G6="BLOCO",CI6&gt;RÉGUAS!$D$40),"ELEV 02",IF(AND(G6="TORRE",CI6&lt;=RÉGUAS!$K$40),"ELEV 01",IF(AND(G6="TORRE",CI6&lt;=RÉGUAS!$M$40),"ELEV 02",IF(AND(G6="TORRE",CI6&gt;RÉGUAS!$M$40),"ELEV 03",)))))</f>
        <v>ELEV 02</v>
      </c>
      <c r="CK6" s="85">
        <f>SUM(Tabela1[[#This Row],[TOTAL  ACAB]],Tabela1[[#This Row],[TOTAL LAZER ]],Tabela1[[#This Row],[TOTAL TIPOLOGIA]],Tabela1[[#This Row],[TOTAL VAGA]],Tabela1[[#This Row],[TOTAL ELEVADOR]])</f>
        <v>4701.6004494382023</v>
      </c>
      <c r="CL6" s="72" t="str">
        <f>IF(AND(G6="BLOCO",CK6&lt;=RÉGUAS!$D$50),"ESSENCIAL",IF(AND(G6="BLOCO",CK6&lt;=RÉGUAS!$F$50),"ECO",IF(AND(G6="BLOCO",CK6&gt;RÉGUAS!$F$50),"BIO",IF(AND(G6="TORRE",CK6&lt;=RÉGUAS!$K$50),"ESSENCIAL",IF(AND(G6="TORRE",CK6&lt;=RÉGUAS!$M$50),"ECO",IF(AND(G6="TORRE",CK6&gt;RÉGUAS!$M$50),"BIO",))))))</f>
        <v>ESSENCIAL</v>
      </c>
      <c r="CM6" s="28" t="str">
        <f>IF(AND(G6="BLOCO",CK6&gt;=RÉGUAS!$D$51,CK6&lt;=RÉGUAS!$D$50),"ESSENCIAL-10%",IF(AND(G6="BLOCO",CK6&gt;RÉGUAS!$D$50,CK6&lt;=RÉGUAS!$E$51),"ECO+10%",IF(AND(G6="BLOCO",CK6&gt;=RÉGUAS!$F$51,CK6&lt;=RÉGUAS!$F$50),"ECO-10%",IF(AND(G6="BLOCO",CK6&gt;RÉGUAS!$F$50,CK6&lt;=RÉGUAS!$G$51),"BIO+10%",IF(AND(G6="TORRE",CK6&gt;=RÉGUAS!$K$51,CK6&lt;=RÉGUAS!$K$50),"ESSENCIAL-10%",IF(AND(G6="TORRE",CK6&gt;RÉGUAS!$K$50,CK6&lt;=RÉGUAS!$L$51),"ECO+10%",IF(AND(G6="TORRE",CK6&gt;=RÉGUAS!$M$51,CK6&lt;=RÉGUAS!$M$50),"ECO-10%",IF(AND(G6="TORRE",CK6&gt;RÉGUAS!$M$50,CK6&lt;=RÉGUAS!$N$51),"BIO+10%","-"))))))))</f>
        <v>-</v>
      </c>
      <c r="CN6" s="73">
        <f t="shared" si="3"/>
        <v>4364.2071910112363</v>
      </c>
      <c r="CO6" s="72" t="str">
        <f>IF(CN6&lt;=RÉGUAS!$D$58,"ESSENCIAL",IF(CN6&lt;=RÉGUAS!$F$58,"ECO",IF(CN6&gt;RÉGUAS!$F$58,"BIO",)))</f>
        <v>ESSENCIAL</v>
      </c>
      <c r="CP6" s="72" t="str">
        <f>IF(Tabela1[[#This Row],[INTERVALO DE INTERSEÇÃO 5D]]="-",Tabela1[[#This Row],[CLASSIFICAÇÃO 
5D ]],Tabela1[[#This Row],[CLASSIFICAÇÃO 
4D]])</f>
        <v>ESSENCIAL</v>
      </c>
      <c r="CQ6" s="72" t="str">
        <f t="shared" si="4"/>
        <v>-</v>
      </c>
      <c r="CR6" s="72" t="str">
        <f t="shared" si="5"/>
        <v>ESSENCIAL</v>
      </c>
      <c r="CS6" s="22" t="str">
        <f>IF(Tabela1[[#This Row],[PRODUTO ATUAL ]]=Tabela1[[#This Row],[CLASSIFICAÇÃO FINAL 5D]],"ADERÊNTE","NÃO ADERÊNTE")</f>
        <v>ADERÊNTE</v>
      </c>
      <c r="CT6" s="24">
        <f>SUM(Tabela1[[#This Row],[TOTAL  ACAB]],Tabela1[[#This Row],[TOTAL LAZER ]],Tabela1[[#This Row],[TOTAL TIPOLOGIA]],Tabela1[[#This Row],[TOTAL VAGA]])</f>
        <v>4364.2071910112363</v>
      </c>
      <c r="CU6" s="22" t="str">
        <f>IF(CT6&lt;=RÉGUAS!$D$58,"ESSENCIAL",IF(CT6&lt;=RÉGUAS!$F$58,"ECO",IF(CT6&gt;RÉGUAS!$F$58,"BIO",)))</f>
        <v>ESSENCIAL</v>
      </c>
      <c r="CV6" s="22" t="str">
        <f>IF(AND(CT6&gt;=RÉGUAS!$D$59,CT6&lt;=RÉGUAS!$E$59),"ESSENCIAL/ECO",IF(AND(CT6&gt;=RÉGUAS!$F$59,CT6&lt;=RÉGUAS!$G$59),"ECO/BIO","-"))</f>
        <v>-</v>
      </c>
      <c r="CW6" s="85">
        <f>SUM(Tabela1[[#This Row],[TOTAL LAZER ]],Tabela1[[#This Row],[TOTAL TIPOLOGIA]])</f>
        <v>692.74651685393269</v>
      </c>
      <c r="CX6" s="22" t="str">
        <f>IF(CW6&lt;=RÉGUAS!$D$72,"ESSENCIAL",IF(CW6&lt;=RÉGUAS!$F$72,"ECO",IF(CN6&gt;RÉGUAS!$F$72,"BIO",)))</f>
        <v>ESSENCIAL</v>
      </c>
      <c r="CY6" s="22" t="str">
        <f t="shared" si="6"/>
        <v>ESSENCIAL</v>
      </c>
      <c r="CZ6" s="22" t="str">
        <f>IF(Tabela1[[#This Row],[PRODUTO ATUAL ]]=CY6,"ADERENTE","NÃO ADERENTE")</f>
        <v>ADERENTE</v>
      </c>
      <c r="DA6" s="22" t="str">
        <f>IF(Tabela1[[#This Row],[PRODUTO ATUAL ]]=Tabela1[[#This Row],[CLASSIFICAÇÃO 
4D2]],"ADERENTE","NÃO ADERENTE")</f>
        <v>ADERENTE</v>
      </c>
    </row>
    <row r="7" spans="2:105" hidden="1" x14ac:dyDescent="0.35">
      <c r="B7" s="27">
        <v>37</v>
      </c>
      <c r="C7" s="22" t="s">
        <v>165</v>
      </c>
      <c r="D7" s="22" t="s">
        <v>128</v>
      </c>
      <c r="E7" s="23">
        <v>408</v>
      </c>
      <c r="F7" s="22" t="str">
        <f t="shared" si="0"/>
        <v>Acima de 400 und</v>
      </c>
      <c r="G7" s="22" t="s">
        <v>14</v>
      </c>
      <c r="H7" s="36">
        <v>3</v>
      </c>
      <c r="I7" s="36">
        <v>17</v>
      </c>
      <c r="J7" s="36"/>
      <c r="K7" s="36"/>
      <c r="L7" s="36">
        <f>SUM(Tabela1[[#This Row],[QTD DE B/T 2]],Tabela1[[#This Row],[QTD DE B/T]])</f>
        <v>3</v>
      </c>
      <c r="M7" s="22">
        <v>6</v>
      </c>
      <c r="N7" s="22">
        <f>Tabela1[[#This Row],[ELEVADOR]]/Tabela1[[#This Row],[BLOCO TOTAL]]</f>
        <v>2</v>
      </c>
      <c r="O7" s="22" t="s">
        <v>6</v>
      </c>
      <c r="P7" s="22" t="s">
        <v>101</v>
      </c>
      <c r="Q7" s="22" t="s">
        <v>101</v>
      </c>
      <c r="R7" s="22" t="s">
        <v>102</v>
      </c>
      <c r="S7" s="22" t="s">
        <v>103</v>
      </c>
      <c r="T7" s="22" t="s">
        <v>104</v>
      </c>
      <c r="U7" s="22" t="s">
        <v>105</v>
      </c>
      <c r="V7" s="22" t="s">
        <v>106</v>
      </c>
      <c r="W7" s="24">
        <f>IF(P7=[1]BD_CUSTO!$E$4,[1]BD_CUSTO!$F$4,[1]BD_CUSTO!$F$5)</f>
        <v>2430</v>
      </c>
      <c r="X7" s="24">
        <f>IF(Q7=[1]BD_CUSTO!$E$6,[1]BD_CUSTO!$F$6,[1]BD_CUSTO!$F$7)</f>
        <v>260</v>
      </c>
      <c r="Y7" s="24">
        <f>IF(R7=[1]BD_CUSTO!$E$8,[1]BD_CUSTO!$F$8,[1]BD_CUSTO!$F$9)</f>
        <v>600</v>
      </c>
      <c r="Z7" s="24">
        <f>IF(S7=[1]BD_CUSTO!$E$10,[1]BD_CUSTO!$F$10,[1]BD_CUSTO!$F$11)</f>
        <v>500</v>
      </c>
      <c r="AA7" s="24">
        <f>IF(T7=[1]BD_CUSTO!$E$12,[1]BD_CUSTO!$F$12,[1]BD_CUSTO!$F$13)</f>
        <v>370</v>
      </c>
      <c r="AB7" s="24">
        <f>IF(U7=[1]BD_CUSTO!$E$14,[1]BD_CUSTO!$F$14,[1]BD_CUSTO!$F$15)</f>
        <v>90</v>
      </c>
      <c r="AC7" s="24">
        <f>IF(V7=[1]BD_CUSTO!$E$16,[1]BD_CUSTO!$F$16,[1]BD_CUSTO!$F$17)</f>
        <v>720</v>
      </c>
      <c r="AD7" s="22" t="s">
        <v>110</v>
      </c>
      <c r="AE7" s="22">
        <v>1</v>
      </c>
      <c r="AF7" s="22" t="s">
        <v>129</v>
      </c>
      <c r="AG7" s="22">
        <v>1</v>
      </c>
      <c r="AH7" s="22" t="s">
        <v>108</v>
      </c>
      <c r="AI7" s="22">
        <v>1</v>
      </c>
      <c r="AJ7" s="22" t="s">
        <v>139</v>
      </c>
      <c r="AK7" s="22">
        <v>1</v>
      </c>
      <c r="AL7" s="22" t="s">
        <v>121</v>
      </c>
      <c r="AM7" s="22">
        <v>1</v>
      </c>
      <c r="AN7" s="22" t="s">
        <v>107</v>
      </c>
      <c r="AO7" s="22">
        <v>1</v>
      </c>
      <c r="AP7" s="22" t="s">
        <v>109</v>
      </c>
      <c r="AQ7" s="22">
        <v>1</v>
      </c>
      <c r="AR7" s="22"/>
      <c r="AS7" s="22"/>
      <c r="AT7" s="22"/>
      <c r="AU7" s="22"/>
      <c r="AV7" s="22"/>
      <c r="AW7" s="22"/>
      <c r="AX7" s="24">
        <f>IF(AD7="",0,VLOOKUP(AD7,[1]BD_CUSTO!I:J,2,0)*AE7/E7)</f>
        <v>12.990196078431373</v>
      </c>
      <c r="AY7" s="24">
        <f>IF(AF7="",0,VLOOKUP(AF7,[1]BD_CUSTO!I:J,2,0)*AG7/E7)</f>
        <v>674.43034313725491</v>
      </c>
      <c r="AZ7" s="24">
        <f>IF(AH7="",0,VLOOKUP(AH7,[1]BD_CUSTO!I:J,2,0)*AI7/E7)</f>
        <v>56.740196078431374</v>
      </c>
      <c r="BA7" s="24">
        <f>IF(AJ7="",0,VLOOKUP(AJ7,[1]BD_CUSTO!I:J,2,0)*AK7/E7)</f>
        <v>152.34392156862745</v>
      </c>
      <c r="BB7" s="24">
        <f>IF(AL7="",0,VLOOKUP(AL7,[1]BD_CUSTO!I:J,2,0)*AM7/E7)</f>
        <v>301.85514705882349</v>
      </c>
      <c r="BC7" s="24">
        <f>IF(AN7="",0,VLOOKUP(AN7,[1]BD_CUSTO!I:J,2,0)*AO7/E7)</f>
        <v>208.69882352941175</v>
      </c>
      <c r="BD7" s="24">
        <f>IF(AP7="",0,VLOOKUP(AP7,[1]BD_CUSTO!I:J,2,0)*AQ7/E7)</f>
        <v>17.034313725490197</v>
      </c>
      <c r="BE7" s="24">
        <f>IF(AR7="",0,VLOOKUP(AR7,CUSTO!I:J,2,0)*AS7/E7)</f>
        <v>0</v>
      </c>
      <c r="BF7" s="24">
        <f>IF(AT7="",0,VLOOKUP(AT7,[1]BD_CUSTO!I:J,2,0)*AU7/E7)</f>
        <v>0</v>
      </c>
      <c r="BG7" s="24">
        <f>IF(Tabela1[[#This Row],[LZ 10]]="",0,VLOOKUP(Tabela1[[#This Row],[LZ 10]],[1]BD_CUSTO!I:J,2,0)*Tabela1[[#This Row],[QTD922]]/E7)</f>
        <v>0</v>
      </c>
      <c r="BH7" s="22" t="s">
        <v>122</v>
      </c>
      <c r="BI7" s="25">
        <v>0</v>
      </c>
      <c r="BJ7" s="22" t="s">
        <v>113</v>
      </c>
      <c r="BK7" s="25">
        <v>0</v>
      </c>
      <c r="BL7" s="24">
        <f>IF(BH7=[1]BD_CUSTO!$M$6,[1]BD_CUSTO!$N$6)*BI7</f>
        <v>0</v>
      </c>
      <c r="BM7" s="24">
        <f>IF(BJ7=[1]BD_CUSTO!$M$4,[1]BD_CUSTO!$N$4,[1]BD_CUSTO!$N$5)*BK7</f>
        <v>0</v>
      </c>
      <c r="BN7" s="22" t="s">
        <v>114</v>
      </c>
      <c r="BO7" s="22">
        <v>80</v>
      </c>
      <c r="BP7" s="25">
        <f>Tabela1[[#This Row],[QTD ]]/Tabela1[[#This Row],[Nº UNDS]]</f>
        <v>0.19607843137254902</v>
      </c>
      <c r="BQ7" s="22" t="s">
        <v>115</v>
      </c>
      <c r="BR7" s="22">
        <v>0</v>
      </c>
      <c r="BS7" s="22" t="s">
        <v>116</v>
      </c>
      <c r="BT7" s="22">
        <v>0</v>
      </c>
      <c r="BU7" s="22" t="s">
        <v>16</v>
      </c>
      <c r="BV7" s="22">
        <v>0</v>
      </c>
      <c r="BW7" s="24">
        <f>IF(BN7=[1]BD_CUSTO!$Q$7,[1]BD_CUSTO!$R$7,[1]BD_CUSTO!$R$8)*BO7/E7</f>
        <v>392.15686274509807</v>
      </c>
      <c r="BX7" s="24">
        <f>IF(BQ7=[1]BD_CUSTO!$Q$4,[1]BD_CUSTO!$R$4,[1]BD_CUSTO!$R$5)*BR7/E7</f>
        <v>0</v>
      </c>
      <c r="BY7" s="22">
        <f>IF(BS7=[1]BD_CUSTO!$Q$13,[1]BD_CUSTO!$R$13,[1]BD_CUSTO!$R$14)*BT7/E7</f>
        <v>0</v>
      </c>
      <c r="BZ7" s="24">
        <f>BV7*CUSTO!$R$10/E7</f>
        <v>0</v>
      </c>
      <c r="CA7" s="26">
        <f>SUM(Tabela1[[#This Row],[SOMA_PISO SALA E QUARTO]],Tabela1[[#This Row],[SOMA_PAREDE HIDR]],Tabela1[[#This Row],[SOMA_TETO]],Tabela1[[#This Row],[SOMA_BANCADA]],Tabela1[[#This Row],[SOMA_PEDRAS]])</f>
        <v>3990</v>
      </c>
      <c r="CB7" s="27" t="str">
        <f>IF(CA7&lt;=RÉGUAS!$D$4,"ACAB 01",IF(CA7&lt;=RÉGUAS!$F$4,"ACAB 02",IF(CA7&gt;RÉGUAS!$F$4,"ACAB 03",)))</f>
        <v>ACAB 02</v>
      </c>
      <c r="CC7" s="26">
        <f>SUM(Tabela1[[#This Row],[SOMA_LZ 01]:[SOMA_LZ 10]])</f>
        <v>1424.0929411764705</v>
      </c>
      <c r="CD7" s="22" t="str">
        <f>IF(CC7&lt;=RÉGUAS!$D$13,"LZ 01",IF(CC7&lt;=RÉGUAS!$F$13,"LZ 02",IF(CC7&lt;=RÉGUAS!$H$13,"LZ 03",IF(CC7&gt;RÉGUAS!$H$13,"LZ 04",))))</f>
        <v>LZ 02</v>
      </c>
      <c r="CE7" s="28">
        <f t="shared" si="1"/>
        <v>0</v>
      </c>
      <c r="CF7" s="22" t="str">
        <f>IF(CE7&lt;=RÉGUAS!$D$22,"TIP 01",IF(CE7&lt;=RÉGUAS!$F$22,"TIP 02",IF(CE7&gt;RÉGUAS!$F$22,"TIP 03",)))</f>
        <v>TIP 01</v>
      </c>
      <c r="CG7" s="28">
        <f t="shared" si="2"/>
        <v>392.15686274509807</v>
      </c>
      <c r="CH7" s="22" t="str">
        <f>IF(CG7&lt;=RÉGUAS!$D$32,"VAGA 01",IF(CG7&lt;=RÉGUAS!$F$32,"VAGA 02",IF(CG7&gt;RÉGUAS!$F$32,"VAGA 03",)))</f>
        <v>VAGA 01</v>
      </c>
      <c r="CI7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4194.75</v>
      </c>
      <c r="CJ7" s="85" t="str">
        <f>IF(AND(G7="BLOCO",CI7&lt;=RÉGUAS!$D$40),"ELEV 01",IF(AND(G7="BLOCO",CI7&gt;RÉGUAS!$D$40),"ELEV 02",IF(AND(G7="TORRE",CI7&lt;=RÉGUAS!$K$40),"ELEV 01",IF(AND(G7="TORRE",CI7&lt;=RÉGUAS!$M$40),"ELEV 02",IF(AND(G7="TORRE",CI7&gt;RÉGUAS!$M$40),"ELEV 03",)))))</f>
        <v>ELEV 03</v>
      </c>
      <c r="CK7" s="85">
        <f>SUM(Tabela1[[#This Row],[TOTAL  ACAB]],Tabela1[[#This Row],[TOTAL LAZER ]],Tabela1[[#This Row],[TOTAL TIPOLOGIA]],Tabela1[[#This Row],[TOTAL VAGA]],Tabela1[[#This Row],[TOTAL ELEVADOR]])</f>
        <v>10000.999803921568</v>
      </c>
      <c r="CL7" s="72" t="str">
        <f>IF(AND(G7="BLOCO",CK7&lt;=RÉGUAS!$D$50),"ESSENCIAL",IF(AND(G7="BLOCO",CK7&lt;=RÉGUAS!$F$50),"ECO",IF(AND(G7="BLOCO",CK7&gt;RÉGUAS!$F$50),"BIO",IF(AND(G7="TORRE",CK7&lt;=RÉGUAS!$K$50),"ESSENCIAL",IF(AND(G7="TORRE",CK7&lt;=RÉGUAS!$M$50),"ECO",IF(AND(G7="TORRE",CK7&gt;RÉGUAS!$M$50),"BIO",))))))</f>
        <v>ESSENCIAL</v>
      </c>
      <c r="CM7" s="28" t="str">
        <f>IF(AND(G7="BLOCO",CK7&gt;=RÉGUAS!$D$51,CK7&lt;=RÉGUAS!$D$50),"ESSENCIAL-10%",IF(AND(G7="BLOCO",CK7&gt;RÉGUAS!$D$50,CK7&lt;=RÉGUAS!$E$51),"ECO+10%",IF(AND(G7="BLOCO",CK7&gt;=RÉGUAS!$F$51,CK7&lt;=RÉGUAS!$F$50),"ECO-10%",IF(AND(G7="BLOCO",CK7&gt;RÉGUAS!$F$50,CK7&lt;=RÉGUAS!$G$51),"BIO+10%",IF(AND(G7="TORRE",CK7&gt;=RÉGUAS!$K$51,CK7&lt;=RÉGUAS!$K$50),"ESSENCIAL-10%",IF(AND(G7="TORRE",CK7&gt;RÉGUAS!$K$50,CK7&lt;=RÉGUAS!$L$51),"ECO+10%",IF(AND(G7="TORRE",CK7&gt;=RÉGUAS!$M$51,CK7&lt;=RÉGUAS!$M$50),"ECO-10%",IF(AND(G7="TORRE",CK7&gt;RÉGUAS!$M$50,CK7&lt;=RÉGUAS!$N$51),"BIO+10%","-"))))))))</f>
        <v>ESSENCIAL-10%</v>
      </c>
      <c r="CN7" s="73">
        <f t="shared" si="3"/>
        <v>5806.2498039215679</v>
      </c>
      <c r="CO7" s="72" t="str">
        <f>IF(CN7&lt;=RÉGUAS!$D$58,"ESSENCIAL",IF(CN7&lt;=RÉGUAS!$F$58,"ECO",IF(CN7&gt;RÉGUAS!$F$58,"BIO",)))</f>
        <v>ESSENCIAL</v>
      </c>
      <c r="CP7" s="72" t="str">
        <f>IF(Tabela1[[#This Row],[INTERVALO DE INTERSEÇÃO 5D]]="-",Tabela1[[#This Row],[CLASSIFICAÇÃO 
5D ]],Tabela1[[#This Row],[CLASSIFICAÇÃO 
4D]])</f>
        <v>ESSENCIAL</v>
      </c>
      <c r="CQ7" s="72" t="str">
        <f t="shared" si="4"/>
        <v>-</v>
      </c>
      <c r="CR7" s="72" t="str">
        <f t="shared" si="5"/>
        <v>ESSENCIAL</v>
      </c>
      <c r="CS7" s="22" t="str">
        <f>IF(Tabela1[[#This Row],[PRODUTO ATUAL ]]=Tabela1[[#This Row],[CLASSIFICAÇÃO FINAL 5D]],"ADERÊNTE","NÃO ADERÊNTE")</f>
        <v>ADERÊNTE</v>
      </c>
      <c r="CT7" s="24">
        <f>SUM(Tabela1[[#This Row],[TOTAL  ACAB]],Tabela1[[#This Row],[TOTAL LAZER ]],Tabela1[[#This Row],[TOTAL TIPOLOGIA]],Tabela1[[#This Row],[TOTAL VAGA]])</f>
        <v>5806.2498039215679</v>
      </c>
      <c r="CU7" s="22" t="str">
        <f>IF(CT7&lt;=RÉGUAS!$D$58,"ESSENCIAL",IF(CT7&lt;=RÉGUAS!$F$58,"ECO",IF(CT7&gt;RÉGUAS!$F$58,"BIO",)))</f>
        <v>ESSENCIAL</v>
      </c>
      <c r="CV7" s="22" t="str">
        <f>IF(AND(CT7&gt;=RÉGUAS!$D$59,CT7&lt;=RÉGUAS!$E$59),"ESSENCIAL/ECO",IF(AND(CT7&gt;=RÉGUAS!$F$59,CT7&lt;=RÉGUAS!$G$59),"ECO/BIO","-"))</f>
        <v>-</v>
      </c>
      <c r="CW7" s="85">
        <f>SUM(Tabela1[[#This Row],[TOTAL LAZER ]],Tabela1[[#This Row],[TOTAL TIPOLOGIA]])</f>
        <v>1424.0929411764705</v>
      </c>
      <c r="CX7" s="22" t="str">
        <f>IF(CW7&lt;=RÉGUAS!$D$72,"ESSENCIAL",IF(CW7&lt;=RÉGUAS!$F$72,"ECO",IF(CN7&gt;RÉGUAS!$F$72,"BIO",)))</f>
        <v>ESSENCIAL</v>
      </c>
      <c r="CY7" s="22" t="str">
        <f t="shared" si="6"/>
        <v>ESSENCIAL</v>
      </c>
      <c r="CZ7" s="22" t="str">
        <f>IF(Tabela1[[#This Row],[PRODUTO ATUAL ]]=CY7,"ADERENTE","NÃO ADERENTE")</f>
        <v>ADERENTE</v>
      </c>
      <c r="DA7" s="22" t="str">
        <f>IF(Tabela1[[#This Row],[PRODUTO ATUAL ]]=Tabela1[[#This Row],[CLASSIFICAÇÃO 
4D2]],"ADERENTE","NÃO ADERENTE")</f>
        <v>ADERENTE</v>
      </c>
    </row>
    <row r="8" spans="2:105" s="207" customFormat="1" x14ac:dyDescent="0.35">
      <c r="B8" s="197">
        <v>14</v>
      </c>
      <c r="C8" s="198" t="s">
        <v>136</v>
      </c>
      <c r="D8" s="198" t="s">
        <v>118</v>
      </c>
      <c r="E8" s="199">
        <v>396</v>
      </c>
      <c r="F8" s="198" t="str">
        <f t="shared" si="0"/>
        <v>De 200 a 400 und</v>
      </c>
      <c r="G8" s="198" t="s">
        <v>14</v>
      </c>
      <c r="H8" s="200">
        <v>1</v>
      </c>
      <c r="I8" s="200">
        <v>17</v>
      </c>
      <c r="J8" s="200">
        <v>1</v>
      </c>
      <c r="K8" s="200">
        <v>16</v>
      </c>
      <c r="L8" s="200">
        <f>SUM(Tabela1[[#This Row],[QTD DE B/T 2]],Tabela1[[#This Row],[QTD DE B/T]])</f>
        <v>2</v>
      </c>
      <c r="M8" s="198">
        <v>6</v>
      </c>
      <c r="N8" s="198">
        <f>Tabela1[[#This Row],[ELEVADOR]]/Tabela1[[#This Row],[BLOCO TOTAL]]</f>
        <v>3</v>
      </c>
      <c r="O8" s="198" t="s">
        <v>6</v>
      </c>
      <c r="P8" s="198" t="s">
        <v>119</v>
      </c>
      <c r="Q8" s="198" t="s">
        <v>101</v>
      </c>
      <c r="R8" s="198" t="s">
        <v>102</v>
      </c>
      <c r="S8" s="198" t="s">
        <v>103</v>
      </c>
      <c r="T8" s="198" t="s">
        <v>104</v>
      </c>
      <c r="U8" s="198" t="s">
        <v>105</v>
      </c>
      <c r="V8" s="198" t="s">
        <v>137</v>
      </c>
      <c r="W8" s="201">
        <f>IF(P8=[1]BD_CUSTO!$E$4,[1]BD_CUSTO!$F$4,[1]BD_CUSTO!$F$5)</f>
        <v>530</v>
      </c>
      <c r="X8" s="201">
        <f>IF(Q8=[1]BD_CUSTO!$E$6,[1]BD_CUSTO!$F$6,[1]BD_CUSTO!$F$7)</f>
        <v>260</v>
      </c>
      <c r="Y8" s="201">
        <f>IF(R8=[1]BD_CUSTO!$E$8,[1]BD_CUSTO!$F$8,[1]BD_CUSTO!$F$9)</f>
        <v>600</v>
      </c>
      <c r="Z8" s="201">
        <f>IF(S8=[1]BD_CUSTO!$E$10,[1]BD_CUSTO!$F$10,[1]BD_CUSTO!$F$11)</f>
        <v>500</v>
      </c>
      <c r="AA8" s="201">
        <f>IF(T8=[1]BD_CUSTO!$E$12,[1]BD_CUSTO!$F$12,[1]BD_CUSTO!$F$13)</f>
        <v>370</v>
      </c>
      <c r="AB8" s="201">
        <f>IF(U8=[1]BD_CUSTO!$E$14,[1]BD_CUSTO!$F$14,[1]BD_CUSTO!$F$15)</f>
        <v>90</v>
      </c>
      <c r="AC8" s="201">
        <f>IF(V8=[1]BD_CUSTO!$E$16,[1]BD_CUSTO!$F$16,[1]BD_CUSTO!$F$17)</f>
        <v>1320</v>
      </c>
      <c r="AD8" s="198" t="s">
        <v>110</v>
      </c>
      <c r="AE8" s="198">
        <v>1</v>
      </c>
      <c r="AF8" s="198" t="s">
        <v>107</v>
      </c>
      <c r="AG8" s="198">
        <v>1</v>
      </c>
      <c r="AH8" s="198" t="s">
        <v>109</v>
      </c>
      <c r="AI8" s="198">
        <v>1</v>
      </c>
      <c r="AJ8" s="198" t="s">
        <v>108</v>
      </c>
      <c r="AK8" s="198">
        <v>1</v>
      </c>
      <c r="AL8" s="198" t="s">
        <v>129</v>
      </c>
      <c r="AM8" s="198">
        <v>1</v>
      </c>
      <c r="AN8" s="198" t="s">
        <v>139</v>
      </c>
      <c r="AO8" s="198">
        <v>1</v>
      </c>
      <c r="AP8" s="198" t="s">
        <v>167</v>
      </c>
      <c r="AQ8" s="198">
        <v>1</v>
      </c>
      <c r="AR8" s="198" t="s">
        <v>121</v>
      </c>
      <c r="AS8" s="198">
        <v>1</v>
      </c>
      <c r="AT8" s="198"/>
      <c r="AU8" s="198"/>
      <c r="AV8" s="198"/>
      <c r="AW8" s="198"/>
      <c r="AX8" s="201">
        <f>IF(AD8="",0,VLOOKUP(AD8,[1]BD_CUSTO!I:J,2,0)*AE8/E8)</f>
        <v>13.383838383838384</v>
      </c>
      <c r="AY8" s="201">
        <f>IF(AF8="",0,VLOOKUP(AF8,[1]BD_CUSTO!I:J,2,0)*AG8/E8)</f>
        <v>215.02303030303028</v>
      </c>
      <c r="AZ8" s="201">
        <f>IF(AH8="",0,VLOOKUP(AH8,[1]BD_CUSTO!I:J,2,0)*AI8/E8)</f>
        <v>17.550505050505052</v>
      </c>
      <c r="BA8" s="201">
        <f>IF(AJ8="",0,VLOOKUP(AJ8,[1]BD_CUSTO!I:J,2,0)*AK8/E8)</f>
        <v>58.459595959595958</v>
      </c>
      <c r="BB8" s="201">
        <f>IF(AL8="",0,VLOOKUP(AL8,[1]BD_CUSTO!I:J,2,0)*AM8/E8)</f>
        <v>694.86762626262635</v>
      </c>
      <c r="BC8" s="201">
        <f>IF(AN8="",0,VLOOKUP(AN8,[1]BD_CUSTO!I:J,2,0)*AO8/E8)</f>
        <v>156.96040404040403</v>
      </c>
      <c r="BD8" s="201">
        <f>IF(AP8="",0,VLOOKUP(AP8,[1]BD_CUSTO!I:J,2,0)*AQ8/E8)</f>
        <v>207.20987373737373</v>
      </c>
      <c r="BE8" s="201">
        <f>IF(AR8="",0,VLOOKUP(AR8,CUSTO!I:J,2,0)*AS8/E8)</f>
        <v>526.02525252525254</v>
      </c>
      <c r="BF8" s="201">
        <f>IF(AT8="",0,VLOOKUP(AT8,[1]BD_CUSTO!I:J,2,0)*AU8/E8)</f>
        <v>0</v>
      </c>
      <c r="BG8" s="201">
        <f>IF(Tabela1[[#This Row],[LZ 10]]="",0,VLOOKUP(Tabela1[[#This Row],[LZ 10]],[1]BD_CUSTO!I:J,2,0)*Tabela1[[#This Row],[QTD922]]/E8)</f>
        <v>0</v>
      </c>
      <c r="BH8" s="198" t="s">
        <v>112</v>
      </c>
      <c r="BI8" s="202">
        <v>0.63</v>
      </c>
      <c r="BJ8" s="198" t="s">
        <v>113</v>
      </c>
      <c r="BK8" s="202">
        <v>0</v>
      </c>
      <c r="BL8" s="201">
        <f>IF(BH8=CUSTO!M6,CUSTO!N6)*BI8</f>
        <v>1890</v>
      </c>
      <c r="BM8" s="201">
        <f>IF(BJ8=[1]BD_CUSTO!$M$4,[1]BD_CUSTO!$N$4,[1]BD_CUSTO!$N$5)*BK8</f>
        <v>0</v>
      </c>
      <c r="BN8" s="198" t="s">
        <v>114</v>
      </c>
      <c r="BO8" s="198">
        <f>238+27+9</f>
        <v>274</v>
      </c>
      <c r="BP8" s="202">
        <f>Tabela1[[#This Row],[QTD ]]/Tabela1[[#This Row],[Nº UNDS]]</f>
        <v>0.69191919191919193</v>
      </c>
      <c r="BQ8" s="198" t="s">
        <v>123</v>
      </c>
      <c r="BR8" s="198">
        <v>22</v>
      </c>
      <c r="BS8" s="198" t="s">
        <v>116</v>
      </c>
      <c r="BT8" s="198">
        <v>0</v>
      </c>
      <c r="BU8" s="198" t="s">
        <v>16</v>
      </c>
      <c r="BV8" s="198">
        <v>0</v>
      </c>
      <c r="BW8" s="201">
        <f>IF(BN8=[1]BD_CUSTO!$Q$7,[1]BD_CUSTO!$R$7,[1]BD_CUSTO!$R$8)*BO8/E8</f>
        <v>1383.8383838383838</v>
      </c>
      <c r="BX8" s="201">
        <f>IF(BQ8=[1]BD_CUSTO!$Q$4,[1]BD_CUSTO!$R$4,[1]BD_CUSTO!$R$5)*BR8/E8</f>
        <v>55.555555555555557</v>
      </c>
      <c r="BY8" s="198">
        <f>IF(BS8=[1]BD_CUSTO!$Q$13,[1]BD_CUSTO!$R$13,[1]BD_CUSTO!$R$14)*BT8/E8</f>
        <v>0</v>
      </c>
      <c r="BZ8" s="201">
        <f>BV8*CUSTO!$R$10/E8</f>
        <v>0</v>
      </c>
      <c r="CA8" s="178">
        <f>SUM(Tabela1[[#This Row],[SOMA_PISO SALA E QUARTO]],Tabela1[[#This Row],[SOMA_PAREDE HIDR]],Tabela1[[#This Row],[SOMA_TETO]],Tabela1[[#This Row],[SOMA_BANCADA]],Tabela1[[#This Row],[SOMA_PEDRAS]])</f>
        <v>2090</v>
      </c>
      <c r="CB8" s="197" t="str">
        <f>IF(CA8&lt;=RÉGUAS!$D$4,"ACAB 01",IF(CA8&lt;=RÉGUAS!$F$4,"ACAB 02",IF(CA8&gt;RÉGUAS!$F$4,"ACAB 03",)))</f>
        <v>ACAB 01</v>
      </c>
      <c r="CC8" s="178">
        <f>SUM(Tabela1[[#This Row],[SOMA_LZ 01]:[SOMA_LZ 10]])</f>
        <v>1889.4801262626265</v>
      </c>
      <c r="CD8" s="198" t="str">
        <f>IF(CC8&lt;=RÉGUAS!$D$13,"LZ 01",IF(CC8&lt;=RÉGUAS!$F$13,"LZ 02",IF(CC8&lt;=RÉGUAS!$H$13,"LZ 03",IF(CC8&gt;RÉGUAS!$H$13,"LZ 04",))))</f>
        <v>LZ 03</v>
      </c>
      <c r="CE8" s="203">
        <f t="shared" si="1"/>
        <v>1890</v>
      </c>
      <c r="CF8" s="198" t="str">
        <f>IF(CE8&lt;=RÉGUAS!$D$22,"TIP 01",IF(CE8&lt;=RÉGUAS!$F$22,"TIP 02",IF(CE8&gt;RÉGUAS!$F$22,"TIP 03",)))</f>
        <v>TIP 02</v>
      </c>
      <c r="CG8" s="203">
        <f t="shared" si="2"/>
        <v>1439.3939393939395</v>
      </c>
      <c r="CH8" s="198" t="str">
        <f>IF(CG8&lt;=RÉGUAS!$D$32,"VAGA 01",IF(CG8&lt;=RÉGUAS!$F$32,"VAGA 02",IF(CG8&gt;RÉGUAS!$F$32,"VAGA 03",)))</f>
        <v>VAGA 02</v>
      </c>
      <c r="CI8" s="204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8389.5</v>
      </c>
      <c r="CJ8" s="204" t="str">
        <f>IF(AND(G8="BLOCO",CI8&lt;=RÉGUAS!$D$40),"ELEV 01",IF(AND(G8="BLOCO",CI8&gt;RÉGUAS!$D$40),"ELEV 02",IF(AND(G8="TORRE",CI8&lt;=RÉGUAS!$K$40),"ELEV 01",IF(AND(G8="TORRE",CI8&lt;=RÉGUAS!$M$40),"ELEV 02",IF(AND(G8="TORRE",CI8&gt;RÉGUAS!$M$40),"ELEV 03",)))))</f>
        <v>ELEV 03</v>
      </c>
      <c r="CK8" s="204">
        <f>SUM(Tabela1[[#This Row],[TOTAL  ACAB]],Tabela1[[#This Row],[TOTAL LAZER ]],Tabela1[[#This Row],[TOTAL TIPOLOGIA]],Tabela1[[#This Row],[TOTAL VAGA]],Tabela1[[#This Row],[TOTAL ELEVADOR]])</f>
        <v>15698.374065656566</v>
      </c>
      <c r="CL8" s="205" t="str">
        <f>IF(AND(G8="BLOCO",CK8&lt;=RÉGUAS!$D$50),"ESSENCIAL",IF(AND(G8="BLOCO",CK8&lt;=RÉGUAS!$F$50),"ECO",IF(AND(G8="BLOCO",CK8&gt;RÉGUAS!$F$50),"BIO",IF(AND(G8="TORRE",CK8&lt;=RÉGUAS!$K$50),"ESSENCIAL",IF(AND(G8="TORRE",CK8&lt;=RÉGUAS!$M$50),"ECO",IF(AND(G8="TORRE",CK8&gt;RÉGUAS!$M$50),"BIO",))))))</f>
        <v>BIO</v>
      </c>
      <c r="CM8" s="203" t="str">
        <f>IF(AND(G8="BLOCO",CK8&gt;=RÉGUAS!$D$51,CK8&lt;=RÉGUAS!$D$50),"ESSENCIAL-10%",IF(AND(G8="BLOCO",CK8&gt;RÉGUAS!$D$50,CK8&lt;=RÉGUAS!$E$51),"ECO+10%",IF(AND(G8="BLOCO",CK8&gt;=RÉGUAS!$F$51,CK8&lt;=RÉGUAS!$F$50),"ECO-10%",IF(AND(G8="BLOCO",CK8&gt;RÉGUAS!$F$50,CK8&lt;=RÉGUAS!$G$51),"BIO+10%",IF(AND(G8="TORRE",CK8&gt;=RÉGUAS!$K$51,CK8&lt;=RÉGUAS!$K$50),"ESSENCIAL-10%",IF(AND(G8="TORRE",CK8&gt;RÉGUAS!$K$50,CK8&lt;=RÉGUAS!$L$51),"ECO+10%",IF(AND(G8="TORRE",CK8&gt;=RÉGUAS!$M$51,CK8&lt;=RÉGUAS!$M$50),"ECO-10%",IF(AND(G8="TORRE",CK8&gt;RÉGUAS!$M$50,CK8&lt;=RÉGUAS!$N$51),"BIO+10%","-"))))))))</f>
        <v>-</v>
      </c>
      <c r="CN8" s="206">
        <f t="shared" si="3"/>
        <v>7308.874065656566</v>
      </c>
      <c r="CO8" s="205" t="str">
        <f>IF(CN8&lt;=RÉGUAS!$D$58,"ESSENCIAL",IF(CN8&lt;=RÉGUAS!$F$58,"ECO",IF(CN8&gt;RÉGUAS!$F$58,"BIO",)))</f>
        <v>ECO</v>
      </c>
      <c r="CP8" s="205" t="str">
        <f>IF(Tabela1[[#This Row],[INTERVALO DE INTERSEÇÃO 5D]]="-",Tabela1[[#This Row],[CLASSIFICAÇÃO 
5D ]],Tabela1[[#This Row],[CLASSIFICAÇÃO 
4D]])</f>
        <v>BIO</v>
      </c>
      <c r="CQ8" s="205" t="str">
        <f t="shared" si="4"/>
        <v>-</v>
      </c>
      <c r="CR8" s="205" t="str">
        <f t="shared" si="5"/>
        <v>BIO</v>
      </c>
      <c r="CS8" s="198" t="str">
        <f>IF(Tabela1[[#This Row],[PRODUTO ATUAL ]]=Tabela1[[#This Row],[CLASSIFICAÇÃO FINAL 5D]],"ADERÊNTE","NÃO ADERÊNTE")</f>
        <v>NÃO ADERÊNTE</v>
      </c>
      <c r="CT8" s="201">
        <f>SUM(Tabela1[[#This Row],[TOTAL  ACAB]],Tabela1[[#This Row],[TOTAL LAZER ]],Tabela1[[#This Row],[TOTAL TIPOLOGIA]],Tabela1[[#This Row],[TOTAL VAGA]])</f>
        <v>7308.874065656566</v>
      </c>
      <c r="CU8" s="198" t="str">
        <f>IF(CT8&lt;=RÉGUAS!$D$58,"ESSENCIAL",IF(CT8&lt;=RÉGUAS!$F$58,"ECO",IF(CT8&gt;RÉGUAS!$F$58,"BIO",)))</f>
        <v>ECO</v>
      </c>
      <c r="CV8" s="198" t="str">
        <f>IF(AND(CT8&gt;=RÉGUAS!$D$59,CT8&lt;=RÉGUAS!$E$59),"ESSENCIAL/ECO",IF(AND(CT8&gt;=RÉGUAS!$F$59,CT8&lt;=RÉGUAS!$G$59),"ECO/BIO","-"))</f>
        <v>ESSENCIAL/ECO</v>
      </c>
      <c r="CW8" s="85">
        <f>SUM(Tabela1[[#This Row],[TOTAL LAZER ]],Tabela1[[#This Row],[TOTAL TIPOLOGIA]])</f>
        <v>3779.4801262626265</v>
      </c>
      <c r="CX8" s="198" t="str">
        <f>IF(CW8&lt;=RÉGUAS!$D$72,"ESSENCIAL",IF(CW8&lt;=RÉGUAS!$F$72,"ECO",IF(CN8&gt;RÉGUAS!$F$72,"BIO",)))</f>
        <v>ECO</v>
      </c>
      <c r="CY8" s="198" t="str">
        <f t="shared" si="6"/>
        <v>ECO</v>
      </c>
      <c r="CZ8" s="198" t="str">
        <f>IF(Tabela1[[#This Row],[PRODUTO ATUAL ]]=CY8,"ADERENTE","NÃO ADERENTE")</f>
        <v>NÃO ADERENTE</v>
      </c>
      <c r="DA8" s="198" t="str">
        <f>IF(Tabela1[[#This Row],[PRODUTO ATUAL ]]=Tabela1[[#This Row],[CLASSIFICAÇÃO 
4D2]],"ADERENTE","NÃO ADERENTE")</f>
        <v>NÃO ADERENTE</v>
      </c>
    </row>
    <row r="9" spans="2:105" hidden="1" x14ac:dyDescent="0.35">
      <c r="B9" s="27">
        <v>47</v>
      </c>
      <c r="C9" s="22" t="s">
        <v>138</v>
      </c>
      <c r="D9" s="22" t="s">
        <v>118</v>
      </c>
      <c r="E9" s="23">
        <v>480</v>
      </c>
      <c r="F9" s="22" t="str">
        <f t="shared" si="0"/>
        <v>Acima de 400 und</v>
      </c>
      <c r="G9" s="22" t="s">
        <v>1</v>
      </c>
      <c r="H9" s="36">
        <v>24</v>
      </c>
      <c r="I9" s="36">
        <v>5</v>
      </c>
      <c r="J9" s="36"/>
      <c r="K9" s="36"/>
      <c r="L9" s="36">
        <f>SUM(Tabela1[[#This Row],[QTD DE B/T 2]],Tabela1[[#This Row],[QTD DE B/T]])</f>
        <v>24</v>
      </c>
      <c r="M9" s="22">
        <v>0</v>
      </c>
      <c r="N9" s="22">
        <f>Tabela1[[#This Row],[ELEVADOR]]/Tabela1[[#This Row],[BLOCO TOTAL]]</f>
        <v>0</v>
      </c>
      <c r="O9" s="22" t="s">
        <v>6</v>
      </c>
      <c r="P9" s="22" t="s">
        <v>119</v>
      </c>
      <c r="Q9" s="22" t="s">
        <v>101</v>
      </c>
      <c r="R9" s="22" t="s">
        <v>102</v>
      </c>
      <c r="S9" s="22" t="s">
        <v>103</v>
      </c>
      <c r="T9" s="22" t="s">
        <v>104</v>
      </c>
      <c r="U9" s="22" t="s">
        <v>105</v>
      </c>
      <c r="V9" s="22" t="s">
        <v>106</v>
      </c>
      <c r="W9" s="24">
        <f>IF(P9=[1]BD_CUSTO!$E$4,[1]BD_CUSTO!$F$4,[1]BD_CUSTO!$F$5)</f>
        <v>530</v>
      </c>
      <c r="X9" s="24">
        <f>IF(Q9=[1]BD_CUSTO!$E$6,[1]BD_CUSTO!$F$6,[1]BD_CUSTO!$F$7)</f>
        <v>260</v>
      </c>
      <c r="Y9" s="24">
        <f>IF(R9=[1]BD_CUSTO!$E$8,[1]BD_CUSTO!$F$8,[1]BD_CUSTO!$F$9)</f>
        <v>600</v>
      </c>
      <c r="Z9" s="24">
        <f>IF(S9=[1]BD_CUSTO!$E$10,[1]BD_CUSTO!$F$10,[1]BD_CUSTO!$F$11)</f>
        <v>500</v>
      </c>
      <c r="AA9" s="24">
        <f>IF(T9=[1]BD_CUSTO!$E$12,[1]BD_CUSTO!$F$12,[1]BD_CUSTO!$F$13)</f>
        <v>370</v>
      </c>
      <c r="AB9" s="24">
        <f>IF(U9=[1]BD_CUSTO!$E$14,[1]BD_CUSTO!$F$14,[1]BD_CUSTO!$F$15)</f>
        <v>90</v>
      </c>
      <c r="AC9" s="24">
        <f>IF(V9=[1]BD_CUSTO!$E$16,[1]BD_CUSTO!$F$16,[1]BD_CUSTO!$F$17)</f>
        <v>720</v>
      </c>
      <c r="AD9" s="22" t="s">
        <v>121</v>
      </c>
      <c r="AE9" s="22">
        <v>1</v>
      </c>
      <c r="AF9" s="22" t="s">
        <v>107</v>
      </c>
      <c r="AG9" s="22">
        <v>1</v>
      </c>
      <c r="AH9" s="22" t="s">
        <v>108</v>
      </c>
      <c r="AI9" s="22">
        <v>2</v>
      </c>
      <c r="AJ9" s="22" t="s">
        <v>139</v>
      </c>
      <c r="AK9" s="22">
        <v>1</v>
      </c>
      <c r="AL9" s="22" t="s">
        <v>109</v>
      </c>
      <c r="AM9" s="22">
        <v>1</v>
      </c>
      <c r="AN9" s="22" t="s">
        <v>110</v>
      </c>
      <c r="AO9" s="22">
        <v>2</v>
      </c>
      <c r="AP9" s="22"/>
      <c r="AQ9" s="22"/>
      <c r="AR9" s="22"/>
      <c r="AS9" s="22"/>
      <c r="AT9" s="22"/>
      <c r="AU9" s="22"/>
      <c r="AV9" s="22"/>
      <c r="AW9" s="22"/>
      <c r="AX9" s="24">
        <f>IF(AD9="",0,VLOOKUP(AD9,[1]BD_CUSTO!I:J,2,0)*AE9/E9)</f>
        <v>256.57687499999997</v>
      </c>
      <c r="AY9" s="24">
        <f>IF(AF9="",0,VLOOKUP(AF9,[1]BD_CUSTO!I:J,2,0)*AG9/E9)</f>
        <v>177.39399999999998</v>
      </c>
      <c r="AZ9" s="24">
        <f>IF(AH9="",0,VLOOKUP(AH9,[1]BD_CUSTO!I:J,2,0)*AI9/E9)</f>
        <v>96.458333333333329</v>
      </c>
      <c r="BA9" s="24">
        <f>IF(AJ9="",0,VLOOKUP(AJ9,[1]BD_CUSTO!I:J,2,0)*AK9/E9)</f>
        <v>129.49233333333333</v>
      </c>
      <c r="BB9" s="24">
        <f>IF(AL9="",0,VLOOKUP(AL9,[1]BD_CUSTO!I:J,2,0)*AM9/E9)</f>
        <v>14.479166666666666</v>
      </c>
      <c r="BC9" s="24">
        <f>IF(AN9="",0,VLOOKUP(AN9,[1]BD_CUSTO!I:J,2,0)*AO9/E9)</f>
        <v>22.083333333333332</v>
      </c>
      <c r="BD9" s="24">
        <f>IF(AP9="",0,VLOOKUP(AP9,[1]BD_CUSTO!I:J,2,0)*AQ9/E9)</f>
        <v>0</v>
      </c>
      <c r="BE9" s="24">
        <f>IF(AR9="",0,VLOOKUP(AR9,CUSTO!I:J,2,0)*AS9/E9)</f>
        <v>0</v>
      </c>
      <c r="BF9" s="24">
        <f>IF(AT9="",0,VLOOKUP(AT9,[1]BD_CUSTO!I:J,2,0)*AU9/E9)</f>
        <v>0</v>
      </c>
      <c r="BG9" s="24">
        <f>IF(Tabela1[[#This Row],[LZ 10]]="",0,VLOOKUP(Tabela1[[#This Row],[LZ 10]],[1]BD_CUSTO!I:J,2,0)*Tabela1[[#This Row],[QTD922]]/E9)</f>
        <v>0</v>
      </c>
      <c r="BH9" s="22" t="s">
        <v>122</v>
      </c>
      <c r="BI9" s="25">
        <v>0</v>
      </c>
      <c r="BJ9" s="22" t="s">
        <v>113</v>
      </c>
      <c r="BK9" s="25">
        <v>0</v>
      </c>
      <c r="BL9" s="24">
        <f>IF(BH9=[1]BD_CUSTO!$M$6,[1]BD_CUSTO!$N$6)*BI9</f>
        <v>0</v>
      </c>
      <c r="BM9" s="24">
        <f>IF(BJ9=[1]BD_CUSTO!$M$4,[1]BD_CUSTO!$N$4,[1]BD_CUSTO!$N$5)*BK9</f>
        <v>0</v>
      </c>
      <c r="BN9" s="22" t="s">
        <v>114</v>
      </c>
      <c r="BO9" s="22">
        <v>415</v>
      </c>
      <c r="BP9" s="25">
        <f>Tabela1[[#This Row],[QTD ]]/Tabela1[[#This Row],[Nº UNDS]]</f>
        <v>0.86458333333333337</v>
      </c>
      <c r="BQ9" s="22" t="s">
        <v>115</v>
      </c>
      <c r="BR9" s="22">
        <v>0</v>
      </c>
      <c r="BS9" s="22" t="s">
        <v>116</v>
      </c>
      <c r="BT9" s="22">
        <v>0</v>
      </c>
      <c r="BU9" s="22" t="s">
        <v>16</v>
      </c>
      <c r="BV9" s="22">
        <v>0</v>
      </c>
      <c r="BW9" s="24">
        <f>IF(BN9=[1]BD_CUSTO!$Q$7,[1]BD_CUSTO!$R$7,[1]BD_CUSTO!$R$8)*BO9/E9</f>
        <v>1729.1666666666667</v>
      </c>
      <c r="BX9" s="24">
        <f>IF(BQ9=[1]BD_CUSTO!$Q$4,[1]BD_CUSTO!$R$4,[1]BD_CUSTO!$R$5)*BR9/E9</f>
        <v>0</v>
      </c>
      <c r="BY9" s="22">
        <f>IF(BS9=[1]BD_CUSTO!$Q$13,[1]BD_CUSTO!$R$13,[1]BD_CUSTO!$R$14)*BT9/E9</f>
        <v>0</v>
      </c>
      <c r="BZ9" s="24">
        <f>BV9*CUSTO!$R$10/E9</f>
        <v>0</v>
      </c>
      <c r="CA9" s="26">
        <f>SUM(Tabela1[[#This Row],[SOMA_PISO SALA E QUARTO]],Tabela1[[#This Row],[SOMA_PAREDE HIDR]],Tabela1[[#This Row],[SOMA_TETO]],Tabela1[[#This Row],[SOMA_BANCADA]],Tabela1[[#This Row],[SOMA_PEDRAS]])</f>
        <v>2090</v>
      </c>
      <c r="CB9" s="27" t="str">
        <f>IF(CA9&lt;=RÉGUAS!$D$4,"ACAB 01",IF(CA9&lt;=RÉGUAS!$F$4,"ACAB 02",IF(CA9&gt;RÉGUAS!$F$4,"ACAB 03",)))</f>
        <v>ACAB 01</v>
      </c>
      <c r="CC9" s="26">
        <f>SUM(Tabela1[[#This Row],[SOMA_LZ 01]:[SOMA_LZ 10]])</f>
        <v>696.48404166666671</v>
      </c>
      <c r="CD9" s="22" t="str">
        <f>IF(CC9&lt;=RÉGUAS!$D$13,"LZ 01",IF(CC9&lt;=RÉGUAS!$F$13,"LZ 02",IF(CC9&lt;=RÉGUAS!$H$13,"LZ 03",IF(CC9&gt;RÉGUAS!$H$13,"LZ 04",))))</f>
        <v>LZ 01</v>
      </c>
      <c r="CE9" s="28">
        <f t="shared" si="1"/>
        <v>0</v>
      </c>
      <c r="CF9" s="22" t="str">
        <f>IF(CE9&lt;=RÉGUAS!$D$22,"TIP 01",IF(CE9&lt;=RÉGUAS!$F$22,"TIP 02",IF(CE9&gt;RÉGUAS!$F$22,"TIP 03",)))</f>
        <v>TIP 01</v>
      </c>
      <c r="CG9" s="28">
        <f t="shared" si="2"/>
        <v>1729.1666666666667</v>
      </c>
      <c r="CH9" s="22" t="str">
        <f>IF(CG9&lt;=RÉGUAS!$D$32,"VAGA 01",IF(CG9&lt;=RÉGUAS!$F$32,"VAGA 02",IF(CG9&gt;RÉGUAS!$F$32,"VAGA 03",)))</f>
        <v>VAGA 02</v>
      </c>
      <c r="CI9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9" s="85" t="str">
        <f>IF(AND(G9="BLOCO",CI9&lt;=RÉGUAS!$D$40),"ELEV 01",IF(AND(G9="BLOCO",CI9&gt;RÉGUAS!$D$40),"ELEV 02",IF(AND(G9="TORRE",CI9&lt;=RÉGUAS!$K$40),"ELEV 01",IF(AND(G9="TORRE",CI9&lt;=RÉGUAS!$M$40),"ELEV 02",IF(AND(G9="TORRE",CI9&gt;RÉGUAS!$M$40),"ELEV 03",)))))</f>
        <v>ELEV 01</v>
      </c>
      <c r="CK9" s="85">
        <f>SUM(Tabela1[[#This Row],[TOTAL  ACAB]],Tabela1[[#This Row],[TOTAL LAZER ]],Tabela1[[#This Row],[TOTAL TIPOLOGIA]],Tabela1[[#This Row],[TOTAL VAGA]],Tabela1[[#This Row],[TOTAL ELEVADOR]])</f>
        <v>4515.6507083333336</v>
      </c>
      <c r="CL9" s="72" t="str">
        <f>IF(AND(G9="BLOCO",CK9&lt;=RÉGUAS!$D$50),"ESSENCIAL",IF(AND(G9="BLOCO",CK9&lt;=RÉGUAS!$F$50),"ECO",IF(AND(G9="BLOCO",CK9&gt;RÉGUAS!$F$50),"BIO",IF(AND(G9="TORRE",CK9&lt;=RÉGUAS!$K$50),"ESSENCIAL",IF(AND(G9="TORRE",CK9&lt;=RÉGUAS!$M$50),"ECO",IF(AND(G9="TORRE",CK9&gt;RÉGUAS!$M$50),"BIO",))))))</f>
        <v>ESSENCIAL</v>
      </c>
      <c r="CM9" s="28" t="str">
        <f>IF(AND(G9="BLOCO",CK9&gt;=RÉGUAS!$D$51,CK9&lt;=RÉGUAS!$D$50),"ESSENCIAL-10%",IF(AND(G9="BLOCO",CK9&gt;RÉGUAS!$D$50,CK9&lt;=RÉGUAS!$E$51),"ECO+10%",IF(AND(G9="BLOCO",CK9&gt;=RÉGUAS!$F$51,CK9&lt;=RÉGUAS!$F$50),"ECO-10%",IF(AND(G9="BLOCO",CK9&gt;RÉGUAS!$F$50,CK9&lt;=RÉGUAS!$G$51),"BIO+10%",IF(AND(G9="TORRE",CK9&gt;=RÉGUAS!$K$51,CK9&lt;=RÉGUAS!$K$50),"ESSENCIAL-10%",IF(AND(G9="TORRE",CK9&gt;RÉGUAS!$K$50,CK9&lt;=RÉGUAS!$L$51),"ECO+10%",IF(AND(G9="TORRE",CK9&gt;=RÉGUAS!$M$51,CK9&lt;=RÉGUAS!$M$50),"ECO-10%",IF(AND(G9="TORRE",CK9&gt;RÉGUAS!$M$50,CK9&lt;=RÉGUAS!$N$51),"BIO+10%","-"))))))))</f>
        <v>-</v>
      </c>
      <c r="CN9" s="73">
        <f t="shared" si="3"/>
        <v>4515.6507083333336</v>
      </c>
      <c r="CO9" s="72" t="str">
        <f>IF(CN9&lt;=RÉGUAS!$D$58,"ESSENCIAL",IF(CN9&lt;=RÉGUAS!$F$58,"ECO",IF(CN9&gt;RÉGUAS!$F$58,"BIO",)))</f>
        <v>ESSENCIAL</v>
      </c>
      <c r="CP9" s="72" t="str">
        <f>IF(Tabela1[[#This Row],[INTERVALO DE INTERSEÇÃO 5D]]="-",Tabela1[[#This Row],[CLASSIFICAÇÃO 
5D ]],Tabela1[[#This Row],[CLASSIFICAÇÃO 
4D]])</f>
        <v>ESSENCIAL</v>
      </c>
      <c r="CQ9" s="72" t="str">
        <f t="shared" si="4"/>
        <v>-</v>
      </c>
      <c r="CR9" s="72" t="str">
        <f t="shared" si="5"/>
        <v>ESSENCIAL</v>
      </c>
      <c r="CS9" s="22" t="str">
        <f>IF(Tabela1[[#This Row],[PRODUTO ATUAL ]]=Tabela1[[#This Row],[CLASSIFICAÇÃO FINAL 5D]],"ADERÊNTE","NÃO ADERÊNTE")</f>
        <v>ADERÊNTE</v>
      </c>
      <c r="CT9" s="24">
        <f>SUM(Tabela1[[#This Row],[TOTAL  ACAB]],Tabela1[[#This Row],[TOTAL LAZER ]],Tabela1[[#This Row],[TOTAL TIPOLOGIA]],Tabela1[[#This Row],[TOTAL VAGA]])</f>
        <v>4515.6507083333336</v>
      </c>
      <c r="CU9" s="22" t="str">
        <f>IF(CT9&lt;=RÉGUAS!$D$58,"ESSENCIAL",IF(CT9&lt;=RÉGUAS!$F$58,"ECO",IF(CT9&gt;RÉGUAS!$F$58,"BIO",)))</f>
        <v>ESSENCIAL</v>
      </c>
      <c r="CV9" s="22" t="str">
        <f>IF(AND(CT9&gt;=RÉGUAS!$D$59,CT9&lt;=RÉGUAS!$E$59),"ESSENCIAL/ECO",IF(AND(CT9&gt;=RÉGUAS!$F$59,CT9&lt;=RÉGUAS!$G$59),"ECO/BIO","-"))</f>
        <v>-</v>
      </c>
      <c r="CW9" s="85">
        <f>SUM(Tabela1[[#This Row],[TOTAL LAZER ]],Tabela1[[#This Row],[TOTAL TIPOLOGIA]])</f>
        <v>696.48404166666671</v>
      </c>
      <c r="CX9" s="22" t="str">
        <f>IF(CW9&lt;=RÉGUAS!$D$72,"ESSENCIAL",IF(CW9&lt;=RÉGUAS!$F$72,"ECO",IF(CN9&gt;RÉGUAS!$F$72,"BIO",)))</f>
        <v>ESSENCIAL</v>
      </c>
      <c r="CY9" s="22" t="str">
        <f t="shared" si="6"/>
        <v>ESSENCIAL</v>
      </c>
      <c r="CZ9" s="22" t="str">
        <f>IF(Tabela1[[#This Row],[PRODUTO ATUAL ]]=CY9,"ADERENTE","NÃO ADERENTE")</f>
        <v>ADERENTE</v>
      </c>
      <c r="DA9" s="22" t="str">
        <f>IF(Tabela1[[#This Row],[PRODUTO ATUAL ]]=Tabela1[[#This Row],[CLASSIFICAÇÃO 
4D2]],"ADERENTE","NÃO ADERENTE")</f>
        <v>ADERENTE</v>
      </c>
    </row>
    <row r="10" spans="2:105" hidden="1" x14ac:dyDescent="0.35">
      <c r="B10" s="27">
        <v>42</v>
      </c>
      <c r="C10" s="22" t="s">
        <v>134</v>
      </c>
      <c r="D10" s="22" t="s">
        <v>118</v>
      </c>
      <c r="E10" s="23">
        <v>288</v>
      </c>
      <c r="F10" s="22" t="str">
        <f t="shared" si="0"/>
        <v>De 200 a 400 und</v>
      </c>
      <c r="G10" s="22" t="s">
        <v>1</v>
      </c>
      <c r="H10" s="36">
        <v>18</v>
      </c>
      <c r="I10" s="36">
        <v>4</v>
      </c>
      <c r="J10" s="36"/>
      <c r="K10" s="36"/>
      <c r="L10" s="36">
        <f>SUM(Tabela1[[#This Row],[QTD DE B/T 2]],Tabela1[[#This Row],[QTD DE B/T]])</f>
        <v>18</v>
      </c>
      <c r="M10" s="22">
        <v>0</v>
      </c>
      <c r="N10" s="22">
        <f>Tabela1[[#This Row],[ELEVADOR]]/Tabela1[[#This Row],[BLOCO TOTAL]]</f>
        <v>0</v>
      </c>
      <c r="O10" s="22" t="s">
        <v>6</v>
      </c>
      <c r="P10" s="22" t="s">
        <v>119</v>
      </c>
      <c r="Q10" s="22" t="s">
        <v>101</v>
      </c>
      <c r="R10" s="22" t="s">
        <v>102</v>
      </c>
      <c r="S10" s="22" t="s">
        <v>103</v>
      </c>
      <c r="T10" s="22" t="s">
        <v>104</v>
      </c>
      <c r="U10" s="22" t="s">
        <v>105</v>
      </c>
      <c r="V10" s="22" t="s">
        <v>106</v>
      </c>
      <c r="W10" s="24">
        <f>IF(P10=[1]BD_CUSTO!$E$4,[1]BD_CUSTO!$F$4,[1]BD_CUSTO!$F$5)</f>
        <v>530</v>
      </c>
      <c r="X10" s="24">
        <f>IF(Q10=[1]BD_CUSTO!$E$6,[1]BD_CUSTO!$F$6,[1]BD_CUSTO!$F$7)</f>
        <v>260</v>
      </c>
      <c r="Y10" s="24">
        <f>IF(R10=[1]BD_CUSTO!$E$8,[1]BD_CUSTO!$F$8,[1]BD_CUSTO!$F$9)</f>
        <v>600</v>
      </c>
      <c r="Z10" s="24">
        <f>IF(S10=[1]BD_CUSTO!$E$10,[1]BD_CUSTO!$F$10,[1]BD_CUSTO!$F$11)</f>
        <v>500</v>
      </c>
      <c r="AA10" s="24">
        <f>IF(T10=[1]BD_CUSTO!$E$12,[1]BD_CUSTO!$F$12,[1]BD_CUSTO!$F$13)</f>
        <v>370</v>
      </c>
      <c r="AB10" s="24">
        <f>IF(U10=[1]BD_CUSTO!$E$14,[1]BD_CUSTO!$F$14,[1]BD_CUSTO!$F$15)</f>
        <v>90</v>
      </c>
      <c r="AC10" s="24">
        <f>IF(V10=[1]BD_CUSTO!$E$16,[1]BD_CUSTO!$F$16,[1]BD_CUSTO!$F$17)</f>
        <v>720</v>
      </c>
      <c r="AD10" s="22" t="s">
        <v>110</v>
      </c>
      <c r="AE10" s="22">
        <v>1</v>
      </c>
      <c r="AF10" s="22" t="s">
        <v>109</v>
      </c>
      <c r="AG10" s="22">
        <v>1</v>
      </c>
      <c r="AH10" s="22" t="s">
        <v>108</v>
      </c>
      <c r="AI10" s="22">
        <v>2</v>
      </c>
      <c r="AJ10" s="22" t="s">
        <v>135</v>
      </c>
      <c r="AK10" s="22">
        <v>1</v>
      </c>
      <c r="AL10" s="22" t="s">
        <v>107</v>
      </c>
      <c r="AM10" s="22">
        <v>1</v>
      </c>
      <c r="AN10" s="22" t="s">
        <v>121</v>
      </c>
      <c r="AO10" s="22">
        <v>2</v>
      </c>
      <c r="AP10" s="22"/>
      <c r="AQ10" s="22"/>
      <c r="AR10" s="22"/>
      <c r="AS10" s="22"/>
      <c r="AT10" s="22"/>
      <c r="AU10" s="22"/>
      <c r="AV10" s="22"/>
      <c r="AW10" s="22"/>
      <c r="AX10" s="24">
        <f>IF(AD10="",0,VLOOKUP(AD10,[1]BD_CUSTO!I:J,2,0)*AE10/E10)</f>
        <v>18.402777777777779</v>
      </c>
      <c r="AY10" s="24">
        <f>IF(AF10="",0,VLOOKUP(AF10,[1]BD_CUSTO!I:J,2,0)*AG10/E10)</f>
        <v>24.131944444444443</v>
      </c>
      <c r="AZ10" s="24">
        <f>IF(AH10="",0,VLOOKUP(AH10,[1]BD_CUSTO!I:J,2,0)*AI10/E10)</f>
        <v>160.76388888888889</v>
      </c>
      <c r="BA10" s="24">
        <f>IF(AJ10="",0,VLOOKUP(AJ10,[1]BD_CUSTO!I:J,2,0)*AK10/E10)</f>
        <v>437.73833333333334</v>
      </c>
      <c r="BB10" s="24">
        <f>IF(AL10="",0,VLOOKUP(AL10,[1]BD_CUSTO!I:J,2,0)*AM10/E10)</f>
        <v>295.65666666666664</v>
      </c>
      <c r="BC10" s="24">
        <f>IF(AN10="",0,VLOOKUP(AN10,[1]BD_CUSTO!I:J,2,0)*AO10/E10)</f>
        <v>855.25624999999991</v>
      </c>
      <c r="BD10" s="24">
        <f>IF(AP10="",0,VLOOKUP(AP10,[1]BD_CUSTO!I:J,2,0)*AQ10/E10)</f>
        <v>0</v>
      </c>
      <c r="BE10" s="24">
        <f>IF(AR10="",0,VLOOKUP(AR10,CUSTO!I:J,2,0)*AS10/E10)</f>
        <v>0</v>
      </c>
      <c r="BF10" s="24">
        <f>IF(AT10="",0,VLOOKUP(AT10,[1]BD_CUSTO!I:J,2,0)*AU10/E10)</f>
        <v>0</v>
      </c>
      <c r="BG10" s="24">
        <f>IF(Tabela1[[#This Row],[LZ 10]]="",0,VLOOKUP(Tabela1[[#This Row],[LZ 10]],[1]BD_CUSTO!I:J,2,0)*Tabela1[[#This Row],[QTD922]]/E10)</f>
        <v>0</v>
      </c>
      <c r="BH10" s="22" t="s">
        <v>122</v>
      </c>
      <c r="BI10" s="25">
        <v>0</v>
      </c>
      <c r="BJ10" s="22" t="s">
        <v>113</v>
      </c>
      <c r="BK10" s="25">
        <v>0</v>
      </c>
      <c r="BL10" s="24">
        <f>IF(BH10=[1]BD_CUSTO!$M$6,[1]BD_CUSTO!$N$6)*BI10</f>
        <v>0</v>
      </c>
      <c r="BM10" s="24">
        <f>IF(BJ10=[1]BD_CUSTO!$M$4,[1]BD_CUSTO!$N$4,[1]BD_CUSTO!$N$5)*BK10</f>
        <v>0</v>
      </c>
      <c r="BN10" s="22" t="s">
        <v>114</v>
      </c>
      <c r="BO10" s="22">
        <v>251</v>
      </c>
      <c r="BP10" s="25">
        <f>Tabela1[[#This Row],[QTD ]]/Tabela1[[#This Row],[Nº UNDS]]</f>
        <v>0.87152777777777779</v>
      </c>
      <c r="BQ10" s="22" t="s">
        <v>123</v>
      </c>
      <c r="BR10" s="22">
        <v>23</v>
      </c>
      <c r="BS10" s="22" t="s">
        <v>116</v>
      </c>
      <c r="BT10" s="22">
        <v>0</v>
      </c>
      <c r="BU10" s="22" t="s">
        <v>16</v>
      </c>
      <c r="BV10" s="22">
        <v>0</v>
      </c>
      <c r="BW10" s="24">
        <f>IF(BN10=[1]BD_CUSTO!$Q$7,[1]BD_CUSTO!$R$7,[1]BD_CUSTO!$R$8)*BO10/E10</f>
        <v>1743.0555555555557</v>
      </c>
      <c r="BX10" s="24">
        <f>IF(BQ10=[1]BD_CUSTO!$Q$4,[1]BD_CUSTO!$R$4,[1]BD_CUSTO!$R$5)*BR10/E10</f>
        <v>79.861111111111114</v>
      </c>
      <c r="BY10" s="22">
        <f>IF(BS10=[1]BD_CUSTO!$Q$13,[1]BD_CUSTO!$R$13,[1]BD_CUSTO!$R$14)*BT10/E10</f>
        <v>0</v>
      </c>
      <c r="BZ10" s="24">
        <f>BV10*CUSTO!$R$10/E10</f>
        <v>0</v>
      </c>
      <c r="CA10" s="26">
        <f>SUM(Tabela1[[#This Row],[SOMA_PISO SALA E QUARTO]],Tabela1[[#This Row],[SOMA_PAREDE HIDR]],Tabela1[[#This Row],[SOMA_TETO]],Tabela1[[#This Row],[SOMA_BANCADA]],Tabela1[[#This Row],[SOMA_PEDRAS]])</f>
        <v>2090</v>
      </c>
      <c r="CB10" s="27" t="str">
        <f>IF(CA10&lt;=RÉGUAS!$D$4,"ACAB 01",IF(CA10&lt;=RÉGUAS!$F$4,"ACAB 02",IF(CA10&gt;RÉGUAS!$F$4,"ACAB 03",)))</f>
        <v>ACAB 01</v>
      </c>
      <c r="CC10" s="26">
        <f>SUM(Tabela1[[#This Row],[SOMA_LZ 01]:[SOMA_LZ 10]])</f>
        <v>1791.949861111111</v>
      </c>
      <c r="CD10" s="22" t="str">
        <f>IF(CC10&lt;=RÉGUAS!$D$13,"LZ 01",IF(CC10&lt;=RÉGUAS!$F$13,"LZ 02",IF(CC10&lt;=RÉGUAS!$H$13,"LZ 03",IF(CC10&gt;RÉGUAS!$H$13,"LZ 04",))))</f>
        <v>LZ 03</v>
      </c>
      <c r="CE10" s="28">
        <f t="shared" si="1"/>
        <v>0</v>
      </c>
      <c r="CF10" s="22" t="str">
        <f>IF(CE10&lt;=RÉGUAS!$D$22,"TIP 01",IF(CE10&lt;=RÉGUAS!$F$22,"TIP 02",IF(CE10&gt;RÉGUAS!$F$22,"TIP 03",)))</f>
        <v>TIP 01</v>
      </c>
      <c r="CG10" s="28">
        <f t="shared" si="2"/>
        <v>1822.9166666666667</v>
      </c>
      <c r="CH10" s="22" t="str">
        <f>IF(CG10&lt;=RÉGUAS!$D$32,"VAGA 01",IF(CG10&lt;=RÉGUAS!$F$32,"VAGA 02",IF(CG10&gt;RÉGUAS!$F$32,"VAGA 03",)))</f>
        <v>VAGA 02</v>
      </c>
      <c r="CI10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10" s="85" t="str">
        <f>IF(AND(G10="BLOCO",CI10&lt;=RÉGUAS!$D$40),"ELEV 01",IF(AND(G10="BLOCO",CI10&gt;RÉGUAS!$D$40),"ELEV 02",IF(AND(G10="TORRE",CI10&lt;=RÉGUAS!$K$40),"ELEV 01",IF(AND(G10="TORRE",CI10&lt;=RÉGUAS!$M$40),"ELEV 02",IF(AND(G10="TORRE",CI10&gt;RÉGUAS!$M$40),"ELEV 03",)))))</f>
        <v>ELEV 01</v>
      </c>
      <c r="CK10" s="85">
        <f>SUM(Tabela1[[#This Row],[TOTAL  ACAB]],Tabela1[[#This Row],[TOTAL LAZER ]],Tabela1[[#This Row],[TOTAL TIPOLOGIA]],Tabela1[[#This Row],[TOTAL VAGA]],Tabela1[[#This Row],[TOTAL ELEVADOR]])</f>
        <v>5704.8665277777782</v>
      </c>
      <c r="CL10" s="72" t="str">
        <f>IF(AND(G10="BLOCO",CK10&lt;=RÉGUAS!$D$50),"ESSENCIAL",IF(AND(G10="BLOCO",CK10&lt;=RÉGUAS!$F$50),"ECO",IF(AND(G10="BLOCO",CK10&gt;RÉGUAS!$F$50),"BIO",IF(AND(G10="TORRE",CK10&lt;=RÉGUAS!$K$50),"ESSENCIAL",IF(AND(G10="TORRE",CK10&lt;=RÉGUAS!$M$50),"ECO",IF(AND(G10="TORRE",CK10&gt;RÉGUAS!$M$50),"BIO",))))))</f>
        <v>ESSENCIAL</v>
      </c>
      <c r="CM10" s="28" t="str">
        <f>IF(AND(G10="BLOCO",CK10&gt;=RÉGUAS!$D$51,CK10&lt;=RÉGUAS!$D$50),"ESSENCIAL-10%",IF(AND(G10="BLOCO",CK10&gt;RÉGUAS!$D$50,CK10&lt;=RÉGUAS!$E$51),"ECO+10%",IF(AND(G10="BLOCO",CK10&gt;=RÉGUAS!$F$51,CK10&lt;=RÉGUAS!$F$50),"ECO-10%",IF(AND(G10="BLOCO",CK10&gt;RÉGUAS!$F$50,CK10&lt;=RÉGUAS!$G$51),"BIO+10%",IF(AND(G10="TORRE",CK10&gt;=RÉGUAS!$K$51,CK10&lt;=RÉGUAS!$K$50),"ESSENCIAL-10%",IF(AND(G10="TORRE",CK10&gt;RÉGUAS!$K$50,CK10&lt;=RÉGUAS!$L$51),"ECO+10%",IF(AND(G10="TORRE",CK10&gt;=RÉGUAS!$M$51,CK10&lt;=RÉGUAS!$M$50),"ECO-10%",IF(AND(G10="TORRE",CK10&gt;RÉGUAS!$M$50,CK10&lt;=RÉGUAS!$N$51),"BIO+10%","-"))))))))</f>
        <v>-</v>
      </c>
      <c r="CN10" s="73">
        <f t="shared" si="3"/>
        <v>5704.8665277777782</v>
      </c>
      <c r="CO10" s="72" t="str">
        <f>IF(CN10&lt;=RÉGUAS!$D$58,"ESSENCIAL",IF(CN10&lt;=RÉGUAS!$F$58,"ECO",IF(CN10&gt;RÉGUAS!$F$58,"BIO",)))</f>
        <v>ESSENCIAL</v>
      </c>
      <c r="CP10" s="72" t="str">
        <f>IF(Tabela1[[#This Row],[INTERVALO DE INTERSEÇÃO 5D]]="-",Tabela1[[#This Row],[CLASSIFICAÇÃO 
5D ]],Tabela1[[#This Row],[CLASSIFICAÇÃO 
4D]])</f>
        <v>ESSENCIAL</v>
      </c>
      <c r="CQ10" s="72" t="str">
        <f t="shared" si="4"/>
        <v>-</v>
      </c>
      <c r="CR10" s="72" t="str">
        <f t="shared" si="5"/>
        <v>ESSENCIAL</v>
      </c>
      <c r="CS10" s="22" t="str">
        <f>IF(Tabela1[[#This Row],[PRODUTO ATUAL ]]=Tabela1[[#This Row],[CLASSIFICAÇÃO FINAL 5D]],"ADERÊNTE","NÃO ADERÊNTE")</f>
        <v>ADERÊNTE</v>
      </c>
      <c r="CT10" s="24">
        <f>SUM(Tabela1[[#This Row],[TOTAL  ACAB]],Tabela1[[#This Row],[TOTAL LAZER ]],Tabela1[[#This Row],[TOTAL TIPOLOGIA]],Tabela1[[#This Row],[TOTAL VAGA]])</f>
        <v>5704.8665277777782</v>
      </c>
      <c r="CU10" s="22" t="str">
        <f>IF(CT10&lt;=RÉGUAS!$D$58,"ESSENCIAL",IF(CT10&lt;=RÉGUAS!$F$58,"ECO",IF(CT10&gt;RÉGUAS!$F$58,"BIO",)))</f>
        <v>ESSENCIAL</v>
      </c>
      <c r="CV10" s="22" t="str">
        <f>IF(AND(CT10&gt;=RÉGUAS!$D$59,CT10&lt;=RÉGUAS!$E$59),"ESSENCIAL/ECO",IF(AND(CT10&gt;=RÉGUAS!$F$59,CT10&lt;=RÉGUAS!$G$59),"ECO/BIO","-"))</f>
        <v>-</v>
      </c>
      <c r="CW10" s="85">
        <f>SUM(Tabela1[[#This Row],[TOTAL LAZER ]],Tabela1[[#This Row],[TOTAL TIPOLOGIA]])</f>
        <v>1791.949861111111</v>
      </c>
      <c r="CX10" s="22" t="str">
        <f>IF(CW10&lt;=RÉGUAS!$D$72,"ESSENCIAL",IF(CW10&lt;=RÉGUAS!$F$72,"ECO",IF(CN10&gt;RÉGUAS!$F$72,"BIO",)))</f>
        <v>ESSENCIAL</v>
      </c>
      <c r="CY10" s="22" t="str">
        <f t="shared" si="6"/>
        <v>ESSENCIAL</v>
      </c>
      <c r="CZ10" s="22" t="str">
        <f>IF(Tabela1[[#This Row],[PRODUTO ATUAL ]]=CY10,"ADERENTE","NÃO ADERENTE")</f>
        <v>ADERENTE</v>
      </c>
      <c r="DA10" s="22" t="str">
        <f>IF(Tabela1[[#This Row],[PRODUTO ATUAL ]]=Tabela1[[#This Row],[CLASSIFICAÇÃO 
4D2]],"ADERENTE","NÃO ADERENTE")</f>
        <v>ADERENTE</v>
      </c>
    </row>
    <row r="11" spans="2:105" x14ac:dyDescent="0.35">
      <c r="B11" s="27">
        <v>49</v>
      </c>
      <c r="C11" s="22" t="s">
        <v>188</v>
      </c>
      <c r="D11" s="76" t="s">
        <v>147</v>
      </c>
      <c r="E11" s="128">
        <v>360</v>
      </c>
      <c r="F11" s="22" t="str">
        <f t="shared" si="0"/>
        <v>De 200 a 400 und</v>
      </c>
      <c r="G11" s="76" t="s">
        <v>1</v>
      </c>
      <c r="H11" s="129">
        <v>18</v>
      </c>
      <c r="I11" s="129">
        <v>5</v>
      </c>
      <c r="J11" s="129"/>
      <c r="K11" s="129"/>
      <c r="L11" s="129">
        <f>SUM(Tabela1[[#This Row],[QTD DE B/T 2]],Tabela1[[#This Row],[QTD DE B/T]])</f>
        <v>18</v>
      </c>
      <c r="M11" s="76">
        <v>18</v>
      </c>
      <c r="N11" s="22">
        <f>Tabela1[[#This Row],[ELEVADOR]]/Tabela1[[#This Row],[BLOCO TOTAL]]</f>
        <v>1</v>
      </c>
      <c r="O11" s="76" t="s">
        <v>6</v>
      </c>
      <c r="P11" s="76" t="s">
        <v>119</v>
      </c>
      <c r="Q11" s="76" t="s">
        <v>101</v>
      </c>
      <c r="R11" s="76" t="s">
        <v>102</v>
      </c>
      <c r="S11" s="76" t="s">
        <v>103</v>
      </c>
      <c r="T11" s="76" t="s">
        <v>104</v>
      </c>
      <c r="U11" s="76" t="s">
        <v>105</v>
      </c>
      <c r="V11" s="76" t="s">
        <v>106</v>
      </c>
      <c r="W11" s="24">
        <f>IF(P11=[1]BD_CUSTO!$E$4,[1]BD_CUSTO!$F$4,[1]BD_CUSTO!$F$5)</f>
        <v>530</v>
      </c>
      <c r="X11" s="24">
        <f>IF(Q11=[1]BD_CUSTO!$E$6,[1]BD_CUSTO!$F$6,[1]BD_CUSTO!$F$7)</f>
        <v>260</v>
      </c>
      <c r="Y11" s="24">
        <f>IF(R11=[1]BD_CUSTO!$E$8,[1]BD_CUSTO!$F$8,[1]BD_CUSTO!$F$9)</f>
        <v>600</v>
      </c>
      <c r="Z11" s="24">
        <f>IF(S11=[1]BD_CUSTO!$E$10,[1]BD_CUSTO!$F$10,[1]BD_CUSTO!$F$11)</f>
        <v>500</v>
      </c>
      <c r="AA11" s="24">
        <f>IF(T11=[1]BD_CUSTO!$E$12,[1]BD_CUSTO!$F$12,[1]BD_CUSTO!$F$13)</f>
        <v>370</v>
      </c>
      <c r="AB11" s="24">
        <f>IF(U11=[1]BD_CUSTO!$E$14,[1]BD_CUSTO!$F$14,[1]BD_CUSTO!$F$15)</f>
        <v>90</v>
      </c>
      <c r="AC11" s="24">
        <f>IF(V11=[1]BD_CUSTO!$E$16,[1]BD_CUSTO!$F$16,[1]BD_CUSTO!$F$17)</f>
        <v>720</v>
      </c>
      <c r="AD11" s="76" t="s">
        <v>110</v>
      </c>
      <c r="AE11" s="76">
        <v>1</v>
      </c>
      <c r="AF11" s="76" t="s">
        <v>107</v>
      </c>
      <c r="AG11" s="76">
        <v>2</v>
      </c>
      <c r="AH11" s="76" t="s">
        <v>109</v>
      </c>
      <c r="AI11" s="76">
        <v>1</v>
      </c>
      <c r="AJ11" s="76" t="s">
        <v>129</v>
      </c>
      <c r="AK11" s="76">
        <v>1</v>
      </c>
      <c r="AL11" s="76" t="s">
        <v>108</v>
      </c>
      <c r="AM11" s="76">
        <v>1</v>
      </c>
      <c r="AN11" s="76"/>
      <c r="AO11" s="76"/>
      <c r="AP11" s="22"/>
      <c r="AQ11" s="22"/>
      <c r="AR11" s="22"/>
      <c r="AS11" s="22"/>
      <c r="AT11" s="22"/>
      <c r="AU11" s="22"/>
      <c r="AV11" s="22"/>
      <c r="AW11" s="22"/>
      <c r="AX11" s="24">
        <f>IF(AD11="",0,VLOOKUP(AD11,[1]BD_CUSTO!I:J,2,0)*AE11/E11)</f>
        <v>14.722222222222221</v>
      </c>
      <c r="AY11" s="24">
        <f>IF(AF11="",0,VLOOKUP(AF11,[1]BD_CUSTO!I:J,2,0)*AG11/E11)</f>
        <v>473.05066666666664</v>
      </c>
      <c r="AZ11" s="24">
        <f>IF(AH11="",0,VLOOKUP(AH11,[1]BD_CUSTO!I:J,2,0)*AI11/E11)</f>
        <v>19.305555555555557</v>
      </c>
      <c r="BA11" s="24">
        <f>IF(AJ11="",0,VLOOKUP(AJ11,[1]BD_CUSTO!I:J,2,0)*AK11/E11)</f>
        <v>764.35438888888893</v>
      </c>
      <c r="BB11" s="24">
        <f>IF(AL11="",0,VLOOKUP(AL11,[1]BD_CUSTO!I:J,2,0)*AM11/E11)</f>
        <v>64.305555555555557</v>
      </c>
      <c r="BC11" s="24">
        <f>IF(AN11="",0,VLOOKUP(AN11,[1]BD_CUSTO!I:J,2,0)*AO11/E11)</f>
        <v>0</v>
      </c>
      <c r="BD11" s="24">
        <f>IF(AP11="",0,VLOOKUP(AP11,[1]BD_CUSTO!I:J,2,0)*AQ11/E11)</f>
        <v>0</v>
      </c>
      <c r="BE11" s="24">
        <f>IF(AR11="",0,VLOOKUP(AR11,CUSTO!I:J,2,0)*AS11/E11)</f>
        <v>0</v>
      </c>
      <c r="BF11" s="24">
        <f>IF(AT11="",0,VLOOKUP(AT11,[1]BD_CUSTO!I:J,2,0)*AU11/E11)</f>
        <v>0</v>
      </c>
      <c r="BG11" s="24">
        <f>IF(Tabela1[[#This Row],[LZ 10]]="",0,VLOOKUP(Tabela1[[#This Row],[LZ 10]],[1]BD_CUSTO!I:J,2,0)*Tabela1[[#This Row],[QTD922]]/E11)</f>
        <v>0</v>
      </c>
      <c r="BH11" s="76" t="s">
        <v>112</v>
      </c>
      <c r="BI11" s="127">
        <v>0.34</v>
      </c>
      <c r="BJ11" s="76" t="s">
        <v>113</v>
      </c>
      <c r="BK11" s="127">
        <v>0</v>
      </c>
      <c r="BL11" s="24">
        <f>IF(BH11=[1]BD_CUSTO!$M$6,[1]BD_CUSTO!$N$6)*BI11</f>
        <v>1020.0000000000001</v>
      </c>
      <c r="BM11" s="24">
        <f>IF(BJ11=[1]BD_CUSTO!$M$4,[1]BD_CUSTO!$N$4,[1]BD_CUSTO!$N$5)*BK11</f>
        <v>0</v>
      </c>
      <c r="BN11" s="76" t="s">
        <v>114</v>
      </c>
      <c r="BO11" s="76">
        <f>331+18+18</f>
        <v>367</v>
      </c>
      <c r="BP11" s="25">
        <f>Tabela1[[#This Row],[QTD ]]/Tabela1[[#This Row],[Nº UNDS]]</f>
        <v>1.0194444444444444</v>
      </c>
      <c r="BQ11" s="76" t="s">
        <v>123</v>
      </c>
      <c r="BR11" s="76">
        <v>36</v>
      </c>
      <c r="BS11" s="76" t="s">
        <v>116</v>
      </c>
      <c r="BT11" s="76">
        <v>0</v>
      </c>
      <c r="BU11" s="76" t="s">
        <v>16</v>
      </c>
      <c r="BV11" s="76">
        <v>0</v>
      </c>
      <c r="BW11" s="24">
        <f>IF(BN11=[1]BD_CUSTO!$Q$7,[1]BD_CUSTO!$R$7,[1]BD_CUSTO!$R$8)*BO11/E11</f>
        <v>2038.8888888888889</v>
      </c>
      <c r="BX11" s="24">
        <f>IF(BQ11=[1]BD_CUSTO!$Q$4,[1]BD_CUSTO!$R$4,[1]BD_CUSTO!$R$5)*BR11/E11</f>
        <v>100</v>
      </c>
      <c r="BY11" s="22">
        <f>IF(BS11=[1]BD_CUSTO!$Q$13,[1]BD_CUSTO!$R$13,[1]BD_CUSTO!$R$14)*BT11/E11</f>
        <v>0</v>
      </c>
      <c r="BZ11" s="24">
        <f>BV11*CUSTO!$R$10/E11</f>
        <v>0</v>
      </c>
      <c r="CA11" s="26">
        <f>SUM(Tabela1[[#This Row],[SOMA_PISO SALA E QUARTO]],Tabela1[[#This Row],[SOMA_PAREDE HIDR]],Tabela1[[#This Row],[SOMA_TETO]],Tabela1[[#This Row],[SOMA_BANCADA]],Tabela1[[#This Row],[SOMA_PEDRAS]])</f>
        <v>2090</v>
      </c>
      <c r="CB11" s="27" t="str">
        <f>IF(CA11&lt;=RÉGUAS!$D$4,"ACAB 01",IF(CA11&lt;=RÉGUAS!$F$4,"ACAB 02",IF(CA11&gt;RÉGUAS!$F$4,"ACAB 03",)))</f>
        <v>ACAB 01</v>
      </c>
      <c r="CC11" s="26">
        <f>SUM(Tabela1[[#This Row],[SOMA_LZ 01]:[SOMA_LZ 10]])</f>
        <v>1335.7383888888889</v>
      </c>
      <c r="CD11" s="22" t="str">
        <f>IF(CC11&lt;=RÉGUAS!$D$13,"LZ 01",IF(CC11&lt;=RÉGUAS!$F$13,"LZ 02",IF(CC11&lt;=RÉGUAS!$H$13,"LZ 03",IF(CC11&gt;RÉGUAS!$H$13,"LZ 04",))))</f>
        <v>LZ 02</v>
      </c>
      <c r="CE11" s="28">
        <f t="shared" si="1"/>
        <v>1020.0000000000001</v>
      </c>
      <c r="CF11" s="22" t="str">
        <f>IF(CE11&lt;=RÉGUAS!$D$22,"TIP 01",IF(CE11&lt;=RÉGUAS!$F$22,"TIP 02",IF(CE11&gt;RÉGUAS!$F$22,"TIP 03",)))</f>
        <v>TIP 01</v>
      </c>
      <c r="CG11" s="28">
        <f t="shared" si="2"/>
        <v>2138.8888888888887</v>
      </c>
      <c r="CH11" s="22" t="str">
        <f>IF(CG11&lt;=RÉGUAS!$D$32,"VAGA 01",IF(CG11&lt;=RÉGUAS!$F$32,"VAGA 02",IF(CG11&gt;RÉGUAS!$F$32,"VAGA 03",)))</f>
        <v>VAGA 02</v>
      </c>
      <c r="CI11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7507</v>
      </c>
      <c r="CJ11" s="85" t="str">
        <f>IF(AND(G11="BLOCO",CI11&lt;=RÉGUAS!$D$40),"ELEV 01",IF(AND(G11="BLOCO",CI11&gt;RÉGUAS!$D$40),"ELEV 02",IF(AND(G11="TORRE",CI11&lt;=RÉGUAS!$K$40),"ELEV 01",IF(AND(G11="TORRE",CI11&lt;=RÉGUAS!$M$40),"ELEV 02",IF(AND(G11="TORRE",CI11&gt;RÉGUAS!$M$40),"ELEV 03",)))))</f>
        <v>ELEV 02</v>
      </c>
      <c r="CK11" s="85">
        <f>SUM(Tabela1[[#This Row],[TOTAL  ACAB]],Tabela1[[#This Row],[TOTAL LAZER ]],Tabela1[[#This Row],[TOTAL TIPOLOGIA]],Tabela1[[#This Row],[TOTAL VAGA]],Tabela1[[#This Row],[TOTAL ELEVADOR]])</f>
        <v>14091.627277777778</v>
      </c>
      <c r="CL11" s="72" t="str">
        <f>IF(AND(G11="BLOCO",CK11&lt;=RÉGUAS!$D$50),"ESSENCIAL",IF(AND(G11="BLOCO",CK11&lt;=RÉGUAS!$F$50),"ECO",IF(AND(G11="BLOCO",CK11&gt;RÉGUAS!$F$50),"BIO",IF(AND(G11="TORRE",CK11&lt;=RÉGUAS!$K$50),"ESSENCIAL",IF(AND(G11="TORRE",CK11&lt;=RÉGUAS!$M$50),"ECO",IF(AND(G11="TORRE",CK11&gt;RÉGUAS!$M$50),"BIO",))))))</f>
        <v>BIO</v>
      </c>
      <c r="CM11" s="28" t="str">
        <f>IF(AND(G11="BLOCO",CK11&gt;=RÉGUAS!$D$51,CK11&lt;=RÉGUAS!$D$50),"ESSENCIAL-10%",IF(AND(G11="BLOCO",CK11&gt;RÉGUAS!$D$50,CK11&lt;=RÉGUAS!$E$51),"ECO+10%",IF(AND(G11="BLOCO",CK11&gt;=RÉGUAS!$F$51,CK11&lt;=RÉGUAS!$F$50),"ECO-10%",IF(AND(G11="BLOCO",CK11&gt;RÉGUAS!$F$50,CK11&lt;=RÉGUAS!$G$51),"BIO+10%",IF(AND(G11="TORRE",CK11&gt;=RÉGUAS!$K$51,CK11&lt;=RÉGUAS!$K$50),"ESSENCIAL-10%",IF(AND(G11="TORRE",CK11&gt;RÉGUAS!$K$50,CK11&lt;=RÉGUAS!$L$51),"ECO+10%",IF(AND(G11="TORRE",CK11&gt;=RÉGUAS!$M$51,CK11&lt;=RÉGUAS!$M$50),"ECO-10%",IF(AND(G11="TORRE",CK11&gt;RÉGUAS!$M$50,CK11&lt;=RÉGUAS!$N$51),"BIO+10%","-"))))))))</f>
        <v>-</v>
      </c>
      <c r="CN11" s="73">
        <f t="shared" si="3"/>
        <v>6584.6272777777776</v>
      </c>
      <c r="CO11" s="72" t="str">
        <f>IF(CN11&lt;=RÉGUAS!$D$58,"ESSENCIAL",IF(CN11&lt;=RÉGUAS!$F$58,"ECO",IF(CN11&gt;RÉGUAS!$F$58,"BIO",)))</f>
        <v>ESSENCIAL</v>
      </c>
      <c r="CP11" s="72" t="str">
        <f>IF(Tabela1[[#This Row],[INTERVALO DE INTERSEÇÃO 5D]]="-",Tabela1[[#This Row],[CLASSIFICAÇÃO 
5D ]],Tabela1[[#This Row],[CLASSIFICAÇÃO 
4D]])</f>
        <v>BIO</v>
      </c>
      <c r="CQ11" s="72" t="str">
        <f t="shared" si="4"/>
        <v>OPOSTO</v>
      </c>
      <c r="CR11" s="72" t="str">
        <f t="shared" si="5"/>
        <v>ECO</v>
      </c>
      <c r="CS11" s="22" t="str">
        <f>IF(Tabela1[[#This Row],[PRODUTO ATUAL ]]=Tabela1[[#This Row],[CLASSIFICAÇÃO FINAL 5D]],"ADERÊNTE","NÃO ADERÊNTE")</f>
        <v>NÃO ADERÊNTE</v>
      </c>
      <c r="CT11" s="24">
        <f>SUM(Tabela1[[#This Row],[TOTAL  ACAB]],Tabela1[[#This Row],[TOTAL LAZER ]],Tabela1[[#This Row],[TOTAL TIPOLOGIA]],Tabela1[[#This Row],[TOTAL VAGA]])</f>
        <v>6584.6272777777776</v>
      </c>
      <c r="CU11" s="22" t="str">
        <f>IF(CT11&lt;=RÉGUAS!$D$58,"ESSENCIAL",IF(CT11&lt;=RÉGUAS!$F$58,"ECO",IF(CT11&gt;RÉGUAS!$F$58,"BIO",)))</f>
        <v>ESSENCIAL</v>
      </c>
      <c r="CV11" s="22" t="str">
        <f>IF(AND(CT11&gt;=RÉGUAS!$D$59,CT11&lt;=RÉGUAS!$E$59),"ESSENCIAL/ECO",IF(AND(CT11&gt;=RÉGUAS!$F$59,CT11&lt;=RÉGUAS!$G$59),"ECO/BIO","-"))</f>
        <v>ESSENCIAL/ECO</v>
      </c>
      <c r="CW11" s="85">
        <f>SUM(Tabela1[[#This Row],[TOTAL LAZER ]],Tabela1[[#This Row],[TOTAL TIPOLOGIA]])</f>
        <v>2355.7383888888889</v>
      </c>
      <c r="CX11" s="22" t="str">
        <f>IF(CW11&lt;=RÉGUAS!$D$72,"ESSENCIAL",IF(CW11&lt;=RÉGUAS!$F$72,"ECO",IF(CN11&gt;RÉGUAS!$F$72,"BIO",)))</f>
        <v>ECO</v>
      </c>
      <c r="CY11" s="22" t="str">
        <f t="shared" si="6"/>
        <v>ECO</v>
      </c>
      <c r="CZ11" s="22" t="str">
        <f>IF(Tabela1[[#This Row],[PRODUTO ATUAL ]]=CY11,"ADERENTE","NÃO ADERENTE")</f>
        <v>NÃO ADERENTE</v>
      </c>
      <c r="DA11" s="22" t="str">
        <f>IF(Tabela1[[#This Row],[PRODUTO ATUAL ]]=Tabela1[[#This Row],[CLASSIFICAÇÃO 
4D2]],"ADERENTE","NÃO ADERENTE")</f>
        <v>ADERENTE</v>
      </c>
    </row>
    <row r="12" spans="2:105" hidden="1" x14ac:dyDescent="0.35">
      <c r="B12" s="27">
        <v>18</v>
      </c>
      <c r="C12" s="22" t="s">
        <v>132</v>
      </c>
      <c r="D12" s="22" t="s">
        <v>125</v>
      </c>
      <c r="E12" s="23">
        <v>180</v>
      </c>
      <c r="F12" s="22" t="str">
        <f t="shared" si="0"/>
        <v>Até 200 und</v>
      </c>
      <c r="G12" s="22" t="s">
        <v>1</v>
      </c>
      <c r="H12" s="36">
        <v>9</v>
      </c>
      <c r="I12" s="36">
        <v>5</v>
      </c>
      <c r="J12" s="36"/>
      <c r="K12" s="36"/>
      <c r="L12" s="36">
        <f>SUM(Tabela1[[#This Row],[QTD DE B/T 2]],Tabela1[[#This Row],[QTD DE B/T]])</f>
        <v>9</v>
      </c>
      <c r="M12" s="22">
        <v>0</v>
      </c>
      <c r="N12" s="22">
        <f>Tabela1[[#This Row],[ELEVADOR]]/Tabela1[[#This Row],[BLOCO TOTAL]]</f>
        <v>0</v>
      </c>
      <c r="O12" s="22" t="s">
        <v>6</v>
      </c>
      <c r="P12" s="22" t="s">
        <v>119</v>
      </c>
      <c r="Q12" s="22" t="s">
        <v>101</v>
      </c>
      <c r="R12" s="22" t="s">
        <v>102</v>
      </c>
      <c r="S12" s="22" t="s">
        <v>103</v>
      </c>
      <c r="T12" s="22" t="s">
        <v>104</v>
      </c>
      <c r="U12" s="22" t="s">
        <v>105</v>
      </c>
      <c r="V12" s="22" t="s">
        <v>106</v>
      </c>
      <c r="W12" s="24">
        <f>IF(P12=[1]BD_CUSTO!$E$4,[1]BD_CUSTO!$F$4,[1]BD_CUSTO!$F$5)</f>
        <v>530</v>
      </c>
      <c r="X12" s="24">
        <f>IF(Q12=[1]BD_CUSTO!$E$6,[1]BD_CUSTO!$F$6,[1]BD_CUSTO!$F$7)</f>
        <v>260</v>
      </c>
      <c r="Y12" s="24">
        <f>IF(R12=[1]BD_CUSTO!$E$8,[1]BD_CUSTO!$F$8,[1]BD_CUSTO!$F$9)</f>
        <v>600</v>
      </c>
      <c r="Z12" s="24">
        <f>IF(S12=[1]BD_CUSTO!$E$10,[1]BD_CUSTO!$F$10,[1]BD_CUSTO!$F$11)</f>
        <v>500</v>
      </c>
      <c r="AA12" s="24">
        <f>IF(T12=[1]BD_CUSTO!$E$12,[1]BD_CUSTO!$F$12,[1]BD_CUSTO!$F$13)</f>
        <v>370</v>
      </c>
      <c r="AB12" s="24">
        <f>IF(U12=[1]BD_CUSTO!$E$14,[1]BD_CUSTO!$F$14,[1]BD_CUSTO!$F$15)</f>
        <v>90</v>
      </c>
      <c r="AC12" s="24">
        <f>IF(V12=[1]BD_CUSTO!$E$16,[1]BD_CUSTO!$F$16,[1]BD_CUSTO!$F$17)</f>
        <v>720</v>
      </c>
      <c r="AD12" s="22" t="s">
        <v>107</v>
      </c>
      <c r="AE12" s="22">
        <v>1</v>
      </c>
      <c r="AF12" s="22" t="s">
        <v>108</v>
      </c>
      <c r="AG12" s="22">
        <v>1</v>
      </c>
      <c r="AH12" s="22" t="s">
        <v>110</v>
      </c>
      <c r="AI12" s="22">
        <v>1</v>
      </c>
      <c r="AJ12" s="22" t="s">
        <v>133</v>
      </c>
      <c r="AK12" s="22">
        <v>1</v>
      </c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4">
        <f>IF(AD12="",0,VLOOKUP(AD12,[1]BD_CUSTO!I:J,2,0)*AE12/E12)</f>
        <v>473.05066666666664</v>
      </c>
      <c r="AY12" s="24">
        <f>IF(AF12="",0,VLOOKUP(AF12,[1]BD_CUSTO!I:J,2,0)*AG12/E12)</f>
        <v>128.61111111111111</v>
      </c>
      <c r="AZ12" s="24">
        <f>IF(AH12="",0,VLOOKUP(AH12,[1]BD_CUSTO!I:J,2,0)*AI12/E12)</f>
        <v>29.444444444444443</v>
      </c>
      <c r="BA12" s="24">
        <f>IF(AJ12="",0,VLOOKUP(AJ12,[1]BD_CUSTO!I:J,2,0)*AK12/E12)</f>
        <v>38.666666666666664</v>
      </c>
      <c r="BB12" s="24">
        <f>IF(AL12="",0,VLOOKUP(AL12,[1]BD_CUSTO!I:J,2,0)*AM12/E12)</f>
        <v>0</v>
      </c>
      <c r="BC12" s="24">
        <f>IF(AN12="",0,VLOOKUP(AN12,[1]BD_CUSTO!I:J,2,0)*AO12/E12)</f>
        <v>0</v>
      </c>
      <c r="BD12" s="24">
        <f>IF(AP12="",0,VLOOKUP(AP12,[1]BD_CUSTO!I:J,2,0)*AQ12/E12)</f>
        <v>0</v>
      </c>
      <c r="BE12" s="24">
        <f>IF(AR12="",0,VLOOKUP(AR12,CUSTO!I:J,2,0)*AS12/E12)</f>
        <v>0</v>
      </c>
      <c r="BF12" s="24">
        <f>IF(AT12="",0,VLOOKUP(AT12,[1]BD_CUSTO!I:J,2,0)*AU12/E12)</f>
        <v>0</v>
      </c>
      <c r="BG12" s="24">
        <f>IF(Tabela1[[#This Row],[LZ 10]]="",0,VLOOKUP(Tabela1[[#This Row],[LZ 10]],[1]BD_CUSTO!I:J,2,0)*Tabela1[[#This Row],[QTD922]]/E12)</f>
        <v>0</v>
      </c>
      <c r="BH12" s="22" t="s">
        <v>122</v>
      </c>
      <c r="BI12" s="25">
        <v>0</v>
      </c>
      <c r="BJ12" s="22" t="s">
        <v>113</v>
      </c>
      <c r="BK12" s="25">
        <v>0</v>
      </c>
      <c r="BL12" s="24">
        <f>IF(BH12=[1]BD_CUSTO!$M$6,[1]BD_CUSTO!$N$6)*BI12</f>
        <v>0</v>
      </c>
      <c r="BM12" s="24">
        <f>IF(BJ12=[1]BD_CUSTO!$M$4,[1]BD_CUSTO!$N$4,[1]BD_CUSTO!$N$5)*BK12</f>
        <v>0</v>
      </c>
      <c r="BN12" s="22" t="s">
        <v>114</v>
      </c>
      <c r="BO12" s="22">
        <v>184</v>
      </c>
      <c r="BP12" s="25">
        <f>Tabela1[[#This Row],[QTD ]]/Tabela1[[#This Row],[Nº UNDS]]</f>
        <v>1.0222222222222221</v>
      </c>
      <c r="BQ12" s="22" t="s">
        <v>115</v>
      </c>
      <c r="BR12" s="22">
        <v>0</v>
      </c>
      <c r="BS12" s="22" t="s">
        <v>116</v>
      </c>
      <c r="BT12" s="22">
        <v>0</v>
      </c>
      <c r="BU12" s="22" t="s">
        <v>16</v>
      </c>
      <c r="BV12" s="22">
        <v>0</v>
      </c>
      <c r="BW12" s="24">
        <f>IF(BN12=[1]BD_CUSTO!$Q$7,[1]BD_CUSTO!$R$7,[1]BD_CUSTO!$R$8)*BO12/E12</f>
        <v>2044.4444444444443</v>
      </c>
      <c r="BX12" s="24">
        <f>IF(BQ12=[1]BD_CUSTO!$Q$4,[1]BD_CUSTO!$R$4,[1]BD_CUSTO!$R$5)*BR12/E12</f>
        <v>0</v>
      </c>
      <c r="BY12" s="22">
        <f>IF(BS12=[1]BD_CUSTO!$Q$13,[1]BD_CUSTO!$R$13,[1]BD_CUSTO!$R$14)*BT12/E12</f>
        <v>0</v>
      </c>
      <c r="BZ12" s="24">
        <f>BV12*CUSTO!$R$10/E12</f>
        <v>0</v>
      </c>
      <c r="CA12" s="26">
        <f>SUM(Tabela1[[#This Row],[SOMA_PISO SALA E QUARTO]],Tabela1[[#This Row],[SOMA_PAREDE HIDR]],Tabela1[[#This Row],[SOMA_TETO]],Tabela1[[#This Row],[SOMA_BANCADA]],Tabela1[[#This Row],[SOMA_PEDRAS]])</f>
        <v>2090</v>
      </c>
      <c r="CB12" s="27" t="str">
        <f>IF(CA12&lt;=RÉGUAS!$D$4,"ACAB 01",IF(CA12&lt;=RÉGUAS!$F$4,"ACAB 02",IF(CA12&gt;RÉGUAS!$F$4,"ACAB 03",)))</f>
        <v>ACAB 01</v>
      </c>
      <c r="CC12" s="26">
        <f>SUM(Tabela1[[#This Row],[SOMA_LZ 01]:[SOMA_LZ 10]])</f>
        <v>669.77288888888882</v>
      </c>
      <c r="CD12" s="22" t="str">
        <f>IF(CC12&lt;=RÉGUAS!$D$13,"LZ 01",IF(CC12&lt;=RÉGUAS!$F$13,"LZ 02",IF(CC12&lt;=RÉGUAS!$H$13,"LZ 03",IF(CC12&gt;RÉGUAS!$H$13,"LZ 04",))))</f>
        <v>LZ 01</v>
      </c>
      <c r="CE12" s="28">
        <f t="shared" si="1"/>
        <v>0</v>
      </c>
      <c r="CF12" s="22" t="str">
        <f>IF(CE12&lt;=RÉGUAS!$D$22,"TIP 01",IF(CE12&lt;=RÉGUAS!$F$22,"TIP 02",IF(CE12&gt;RÉGUAS!$F$22,"TIP 03",)))</f>
        <v>TIP 01</v>
      </c>
      <c r="CG12" s="28">
        <f t="shared" si="2"/>
        <v>2044.4444444444443</v>
      </c>
      <c r="CH12" s="22" t="str">
        <f>IF(CG12&lt;=RÉGUAS!$D$32,"VAGA 01",IF(CG12&lt;=RÉGUAS!$F$32,"VAGA 02",IF(CG12&gt;RÉGUAS!$F$32,"VAGA 03",)))</f>
        <v>VAGA 02</v>
      </c>
      <c r="CI12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12" s="85" t="str">
        <f>IF(AND(G12="BLOCO",CI12&lt;=RÉGUAS!$D$40),"ELEV 01",IF(AND(G12="BLOCO",CI12&gt;RÉGUAS!$D$40),"ELEV 02",IF(AND(G12="TORRE",CI12&lt;=RÉGUAS!$K$40),"ELEV 01",IF(AND(G12="TORRE",CI12&lt;=RÉGUAS!$M$40),"ELEV 02",IF(AND(G12="TORRE",CI12&gt;RÉGUAS!$M$40),"ELEV 03",)))))</f>
        <v>ELEV 01</v>
      </c>
      <c r="CK12" s="85">
        <f>SUM(Tabela1[[#This Row],[TOTAL  ACAB]],Tabela1[[#This Row],[TOTAL LAZER ]],Tabela1[[#This Row],[TOTAL TIPOLOGIA]],Tabela1[[#This Row],[TOTAL VAGA]],Tabela1[[#This Row],[TOTAL ELEVADOR]])</f>
        <v>4804.217333333333</v>
      </c>
      <c r="CL12" s="72" t="str">
        <f>IF(AND(G12="BLOCO",CK12&lt;=RÉGUAS!$D$50),"ESSENCIAL",IF(AND(G12="BLOCO",CK12&lt;=RÉGUAS!$F$50),"ECO",IF(AND(G12="BLOCO",CK12&gt;RÉGUAS!$F$50),"BIO",IF(AND(G12="TORRE",CK12&lt;=RÉGUAS!$K$50),"ESSENCIAL",IF(AND(G12="TORRE",CK12&lt;=RÉGUAS!$M$50),"ECO",IF(AND(G12="TORRE",CK12&gt;RÉGUAS!$M$50),"BIO",))))))</f>
        <v>ESSENCIAL</v>
      </c>
      <c r="CM12" s="28" t="str">
        <f>IF(AND(G12="BLOCO",CK12&gt;=RÉGUAS!$D$51,CK12&lt;=RÉGUAS!$D$50),"ESSENCIAL-10%",IF(AND(G12="BLOCO",CK12&gt;RÉGUAS!$D$50,CK12&lt;=RÉGUAS!$E$51),"ECO+10%",IF(AND(G12="BLOCO",CK12&gt;=RÉGUAS!$F$51,CK12&lt;=RÉGUAS!$F$50),"ECO-10%",IF(AND(G12="BLOCO",CK12&gt;RÉGUAS!$F$50,CK12&lt;=RÉGUAS!$G$51),"BIO+10%",IF(AND(G12="TORRE",CK12&gt;=RÉGUAS!$K$51,CK12&lt;=RÉGUAS!$K$50),"ESSENCIAL-10%",IF(AND(G12="TORRE",CK12&gt;RÉGUAS!$K$50,CK12&lt;=RÉGUAS!$L$51),"ECO+10%",IF(AND(G12="TORRE",CK12&gt;=RÉGUAS!$M$51,CK12&lt;=RÉGUAS!$M$50),"ECO-10%",IF(AND(G12="TORRE",CK12&gt;RÉGUAS!$M$50,CK12&lt;=RÉGUAS!$N$51),"BIO+10%","-"))))))))</f>
        <v>-</v>
      </c>
      <c r="CN12" s="73">
        <f t="shared" si="3"/>
        <v>4804.217333333333</v>
      </c>
      <c r="CO12" s="72" t="str">
        <f>IF(CN12&lt;=RÉGUAS!$D$58,"ESSENCIAL",IF(CN12&lt;=RÉGUAS!$F$58,"ECO",IF(CN12&gt;RÉGUAS!$F$58,"BIO",)))</f>
        <v>ESSENCIAL</v>
      </c>
      <c r="CP12" s="72" t="str">
        <f>IF(Tabela1[[#This Row],[INTERVALO DE INTERSEÇÃO 5D]]="-",Tabela1[[#This Row],[CLASSIFICAÇÃO 
5D ]],Tabela1[[#This Row],[CLASSIFICAÇÃO 
4D]])</f>
        <v>ESSENCIAL</v>
      </c>
      <c r="CQ12" s="72" t="str">
        <f t="shared" si="4"/>
        <v>-</v>
      </c>
      <c r="CR12" s="72" t="str">
        <f t="shared" si="5"/>
        <v>ESSENCIAL</v>
      </c>
      <c r="CS12" s="22" t="str">
        <f>IF(Tabela1[[#This Row],[PRODUTO ATUAL ]]=Tabela1[[#This Row],[CLASSIFICAÇÃO FINAL 5D]],"ADERÊNTE","NÃO ADERÊNTE")</f>
        <v>ADERÊNTE</v>
      </c>
      <c r="CT12" s="24">
        <f>SUM(Tabela1[[#This Row],[TOTAL  ACAB]],Tabela1[[#This Row],[TOTAL LAZER ]],Tabela1[[#This Row],[TOTAL TIPOLOGIA]],Tabela1[[#This Row],[TOTAL VAGA]])</f>
        <v>4804.217333333333</v>
      </c>
      <c r="CU12" s="22" t="str">
        <f>IF(CT12&lt;=RÉGUAS!$D$58,"ESSENCIAL",IF(CT12&lt;=RÉGUAS!$F$58,"ECO",IF(CT12&gt;RÉGUAS!$F$58,"BIO",)))</f>
        <v>ESSENCIAL</v>
      </c>
      <c r="CV12" s="22" t="str">
        <f>IF(AND(CT12&gt;=RÉGUAS!$D$59,CT12&lt;=RÉGUAS!$E$59),"ESSENCIAL/ECO",IF(AND(CT12&gt;=RÉGUAS!$F$59,CT12&lt;=RÉGUAS!$G$59),"ECO/BIO","-"))</f>
        <v>-</v>
      </c>
      <c r="CW12" s="85">
        <f>SUM(Tabela1[[#This Row],[TOTAL LAZER ]],Tabela1[[#This Row],[TOTAL TIPOLOGIA]])</f>
        <v>669.77288888888882</v>
      </c>
      <c r="CX12" s="22" t="str">
        <f>IF(CW12&lt;=RÉGUAS!$D$72,"ESSENCIAL",IF(CW12&lt;=RÉGUAS!$F$72,"ECO",IF(CN12&gt;RÉGUAS!$F$72,"BIO",)))</f>
        <v>ESSENCIAL</v>
      </c>
      <c r="CY12" s="22" t="str">
        <f t="shared" si="6"/>
        <v>ESSENCIAL</v>
      </c>
      <c r="CZ12" s="22" t="str">
        <f>IF(Tabela1[[#This Row],[PRODUTO ATUAL ]]=CY12,"ADERENTE","NÃO ADERENTE")</f>
        <v>ADERENTE</v>
      </c>
      <c r="DA12" s="22" t="str">
        <f>IF(Tabela1[[#This Row],[PRODUTO ATUAL ]]=Tabela1[[#This Row],[CLASSIFICAÇÃO 
4D2]],"ADERENTE","NÃO ADERENTE")</f>
        <v>ADERENTE</v>
      </c>
    </row>
    <row r="13" spans="2:105" x14ac:dyDescent="0.35">
      <c r="B13" s="27">
        <v>13</v>
      </c>
      <c r="C13" s="22" t="s">
        <v>140</v>
      </c>
      <c r="D13" s="22" t="s">
        <v>128</v>
      </c>
      <c r="E13" s="23">
        <v>332</v>
      </c>
      <c r="F13" s="22" t="str">
        <f t="shared" si="0"/>
        <v>De 200 a 400 und</v>
      </c>
      <c r="G13" s="22" t="s">
        <v>1</v>
      </c>
      <c r="H13" s="36">
        <v>20</v>
      </c>
      <c r="I13" s="36">
        <v>5</v>
      </c>
      <c r="J13" s="36"/>
      <c r="K13" s="36"/>
      <c r="L13" s="36">
        <f>SUM(Tabela1[[#This Row],[QTD DE B/T 2]],Tabela1[[#This Row],[QTD DE B/T]])</f>
        <v>20</v>
      </c>
      <c r="M13" s="22">
        <v>3</v>
      </c>
      <c r="N13" s="22">
        <f>Tabela1[[#This Row],[ELEVADOR]]/Tabela1[[#This Row],[BLOCO TOTAL]]</f>
        <v>0.15</v>
      </c>
      <c r="O13" s="22" t="s">
        <v>6</v>
      </c>
      <c r="P13" s="22" t="s">
        <v>119</v>
      </c>
      <c r="Q13" s="22" t="s">
        <v>101</v>
      </c>
      <c r="R13" s="22" t="s">
        <v>102</v>
      </c>
      <c r="S13" s="22" t="s">
        <v>103</v>
      </c>
      <c r="T13" s="22" t="s">
        <v>104</v>
      </c>
      <c r="U13" s="22" t="s">
        <v>105</v>
      </c>
      <c r="V13" s="22" t="s">
        <v>106</v>
      </c>
      <c r="W13" s="24">
        <f>IF(P13=[1]BD_CUSTO!$E$4,[1]BD_CUSTO!$F$4,[1]BD_CUSTO!$F$5)</f>
        <v>530</v>
      </c>
      <c r="X13" s="24">
        <f>IF(Q13=[1]BD_CUSTO!$E$6,[1]BD_CUSTO!$F$6,[1]BD_CUSTO!$F$7)</f>
        <v>260</v>
      </c>
      <c r="Y13" s="24">
        <f>IF(R13=[1]BD_CUSTO!$E$8,[1]BD_CUSTO!$F$8,[1]BD_CUSTO!$F$9)</f>
        <v>600</v>
      </c>
      <c r="Z13" s="24">
        <f>IF(S13=[1]BD_CUSTO!$E$10,[1]BD_CUSTO!$F$10,[1]BD_CUSTO!$F$11)</f>
        <v>500</v>
      </c>
      <c r="AA13" s="24">
        <f>IF(T13=[1]BD_CUSTO!$E$12,[1]BD_CUSTO!$F$12,[1]BD_CUSTO!$F$13)</f>
        <v>370</v>
      </c>
      <c r="AB13" s="24">
        <f>IF(U13=[1]BD_CUSTO!$E$14,[1]BD_CUSTO!$F$14,[1]BD_CUSTO!$F$15)</f>
        <v>90</v>
      </c>
      <c r="AC13" s="24">
        <f>IF(V13=[1]BD_CUSTO!$E$16,[1]BD_CUSTO!$F$16,[1]BD_CUSTO!$F$17)</f>
        <v>720</v>
      </c>
      <c r="AD13" s="22" t="s">
        <v>110</v>
      </c>
      <c r="AE13" s="22">
        <v>1</v>
      </c>
      <c r="AF13" s="22" t="s">
        <v>107</v>
      </c>
      <c r="AG13" s="22">
        <v>1</v>
      </c>
      <c r="AH13" s="22" t="s">
        <v>129</v>
      </c>
      <c r="AI13" s="22">
        <v>1</v>
      </c>
      <c r="AJ13" s="22" t="s">
        <v>108</v>
      </c>
      <c r="AK13" s="22">
        <v>1</v>
      </c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4">
        <f>IF(AD13="",0,VLOOKUP(AD13,[1]BD_CUSTO!I:J,2,0)*AE13/E13)</f>
        <v>15.963855421686747</v>
      </c>
      <c r="AY13" s="24">
        <f>IF(AF13="",0,VLOOKUP(AF13,[1]BD_CUSTO!I:J,2,0)*AG13/E13)</f>
        <v>256.47325301204819</v>
      </c>
      <c r="AZ13" s="24">
        <f>IF(AH13="",0,VLOOKUP(AH13,[1]BD_CUSTO!I:J,2,0)*AI13/E13)</f>
        <v>828.81801204819283</v>
      </c>
      <c r="BA13" s="24">
        <f>IF(AJ13="",0,VLOOKUP(AJ13,[1]BD_CUSTO!I:J,2,0)*AK13/E13)</f>
        <v>69.728915662650607</v>
      </c>
      <c r="BB13" s="24">
        <f>IF(AL13="",0,VLOOKUP(AL13,[1]BD_CUSTO!I:J,2,0)*AM13/E13)</f>
        <v>0</v>
      </c>
      <c r="BC13" s="24">
        <f>IF(AN13="",0,VLOOKUP(AN13,[1]BD_CUSTO!I:J,2,0)*AO13/E13)</f>
        <v>0</v>
      </c>
      <c r="BD13" s="24">
        <f>IF(AP13="",0,VLOOKUP(AP13,[1]BD_CUSTO!I:J,2,0)*AQ13/E13)</f>
        <v>0</v>
      </c>
      <c r="BE13" s="24">
        <f>IF(AR13="",0,VLOOKUP(AR13,CUSTO!I:J,2,0)*AS13/E13)</f>
        <v>0</v>
      </c>
      <c r="BF13" s="24">
        <f>IF(AT13="",0,VLOOKUP(AT13,[1]BD_CUSTO!I:J,2,0)*AU13/E13)</f>
        <v>0</v>
      </c>
      <c r="BG13" s="24">
        <f>IF(Tabela1[[#This Row],[LZ 10]]="",0,VLOOKUP(Tabela1[[#This Row],[LZ 10]],[1]BD_CUSTO!I:J,2,0)*Tabela1[[#This Row],[QTD922]]/E13)</f>
        <v>0</v>
      </c>
      <c r="BH13" s="22" t="s">
        <v>112</v>
      </c>
      <c r="BI13" s="25">
        <f>(102*100)/Tabela1[[#This Row],[Nº UNDS]]/100</f>
        <v>0.30722891566265059</v>
      </c>
      <c r="BJ13" s="22" t="s">
        <v>113</v>
      </c>
      <c r="BK13" s="25">
        <v>0</v>
      </c>
      <c r="BL13" s="24">
        <f>IF(BH13=[1]BD_CUSTO!$M$6,[1]BD_CUSTO!$N$6)*BI13</f>
        <v>921.68674698795178</v>
      </c>
      <c r="BM13" s="24">
        <f>IF(BJ13=[1]BD_CUSTO!$M$4,[1]BD_CUSTO!$N$4,[1]BD_CUSTO!$N$5)*BK13</f>
        <v>0</v>
      </c>
      <c r="BN13" s="22" t="s">
        <v>114</v>
      </c>
      <c r="BO13" s="22">
        <v>344</v>
      </c>
      <c r="BP13" s="25">
        <f>Tabela1[[#This Row],[QTD ]]/Tabela1[[#This Row],[Nº UNDS]]</f>
        <v>1.036144578313253</v>
      </c>
      <c r="BQ13" s="22" t="s">
        <v>123</v>
      </c>
      <c r="BR13" s="22">
        <v>24</v>
      </c>
      <c r="BS13" s="22" t="s">
        <v>116</v>
      </c>
      <c r="BT13" s="22">
        <v>0</v>
      </c>
      <c r="BU13" s="22" t="s">
        <v>16</v>
      </c>
      <c r="BV13" s="22">
        <v>0</v>
      </c>
      <c r="BW13" s="24">
        <f>IF(BN13=[1]BD_CUSTO!$Q$7,[1]BD_CUSTO!$R$7,[1]BD_CUSTO!$R$8)*BO13/E13</f>
        <v>2072.2891566265062</v>
      </c>
      <c r="BX13" s="24">
        <f>IF(BQ13=[1]BD_CUSTO!$Q$4,[1]BD_CUSTO!$R$4,[1]BD_CUSTO!$R$5)*BR13/E13</f>
        <v>72.289156626506028</v>
      </c>
      <c r="BY13" s="22">
        <f>IF(BS13=[1]BD_CUSTO!$Q$13,[1]BD_CUSTO!$R$13,[1]BD_CUSTO!$R$14)*BT13/E13</f>
        <v>0</v>
      </c>
      <c r="BZ13" s="24">
        <f>BV13*CUSTO!$R$10/E13</f>
        <v>0</v>
      </c>
      <c r="CA13" s="26">
        <f>SUM(Tabela1[[#This Row],[SOMA_PISO SALA E QUARTO]],Tabela1[[#This Row],[SOMA_PAREDE HIDR]],Tabela1[[#This Row],[SOMA_TETO]],Tabela1[[#This Row],[SOMA_BANCADA]],Tabela1[[#This Row],[SOMA_PEDRAS]])</f>
        <v>2090</v>
      </c>
      <c r="CB13" s="27" t="str">
        <f>IF(CA13&lt;=RÉGUAS!$D$4,"ACAB 01",IF(CA13&lt;=RÉGUAS!$F$4,"ACAB 02",IF(CA13&gt;RÉGUAS!$F$4,"ACAB 03",)))</f>
        <v>ACAB 01</v>
      </c>
      <c r="CC13" s="26">
        <f>SUM(Tabela1[[#This Row],[SOMA_LZ 01]:[SOMA_LZ 10]])</f>
        <v>1170.9840361445786</v>
      </c>
      <c r="CD13" s="22" t="str">
        <f>IF(CC13&lt;=RÉGUAS!$D$13,"LZ 01",IF(CC13&lt;=RÉGUAS!$F$13,"LZ 02",IF(CC13&lt;=RÉGUAS!$H$13,"LZ 03",IF(CC13&gt;RÉGUAS!$H$13,"LZ 04",))))</f>
        <v>LZ 02</v>
      </c>
      <c r="CE13" s="28">
        <f t="shared" si="1"/>
        <v>921.68674698795178</v>
      </c>
      <c r="CF13" s="22" t="str">
        <f>IF(CE13&lt;=RÉGUAS!$D$22,"TIP 01",IF(CE13&lt;=RÉGUAS!$F$22,"TIP 02",IF(CE13&gt;RÉGUAS!$F$22,"TIP 03",)))</f>
        <v>TIP 01</v>
      </c>
      <c r="CG13" s="28">
        <f t="shared" si="2"/>
        <v>2144.5783132530123</v>
      </c>
      <c r="CH13" s="22" t="str">
        <f>IF(CG13&lt;=RÉGUAS!$D$32,"VAGA 01",IF(CG13&lt;=RÉGUAS!$F$32,"VAGA 02",IF(CG13&gt;RÉGUAS!$F$32,"VAGA 03",)))</f>
        <v>VAGA 02</v>
      </c>
      <c r="CI13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1356.6867469879519</v>
      </c>
      <c r="CJ13" s="85" t="str">
        <f>IF(AND(G13="BLOCO",CI13&lt;=RÉGUAS!$D$40),"ELEV 01",IF(AND(G13="BLOCO",CI13&gt;RÉGUAS!$D$40),"ELEV 02",IF(AND(G13="TORRE",CI13&lt;=RÉGUAS!$K$40),"ELEV 01",IF(AND(G13="TORRE",CI13&lt;=RÉGUAS!$M$40),"ELEV 02",IF(AND(G13="TORRE",CI13&gt;RÉGUAS!$M$40),"ELEV 03",)))))</f>
        <v>ELEV 02</v>
      </c>
      <c r="CK13" s="85">
        <f>SUM(Tabela1[[#This Row],[TOTAL  ACAB]],Tabela1[[#This Row],[TOTAL LAZER ]],Tabela1[[#This Row],[TOTAL TIPOLOGIA]],Tabela1[[#This Row],[TOTAL VAGA]],Tabela1[[#This Row],[TOTAL ELEVADOR]])</f>
        <v>7683.9358433734942</v>
      </c>
      <c r="CL13" s="72" t="str">
        <f>IF(AND(G13="BLOCO",CK13&lt;=RÉGUAS!$D$50),"ESSENCIAL",IF(AND(G13="BLOCO",CK13&lt;=RÉGUAS!$F$50),"ECO",IF(AND(G13="BLOCO",CK13&gt;RÉGUAS!$F$50),"BIO",IF(AND(G13="TORRE",CK13&lt;=RÉGUAS!$K$50),"ESSENCIAL",IF(AND(G13="TORRE",CK13&lt;=RÉGUAS!$M$50),"ECO",IF(AND(G13="TORRE",CK13&gt;RÉGUAS!$M$50),"BIO",))))))</f>
        <v>ESSENCIAL</v>
      </c>
      <c r="CM13" s="28" t="str">
        <f>IF(AND(G13="BLOCO",CK13&gt;=RÉGUAS!$D$51,CK13&lt;=RÉGUAS!$D$50),"ESSENCIAL-10%",IF(AND(G13="BLOCO",CK13&gt;RÉGUAS!$D$50,CK13&lt;=RÉGUAS!$E$51),"ECO+10%",IF(AND(G13="BLOCO",CK13&gt;=RÉGUAS!$F$51,CK13&lt;=RÉGUAS!$F$50),"ECO-10%",IF(AND(G13="BLOCO",CK13&gt;RÉGUAS!$F$50,CK13&lt;=RÉGUAS!$G$51),"BIO+10%",IF(AND(G13="TORRE",CK13&gt;=RÉGUAS!$K$51,CK13&lt;=RÉGUAS!$K$50),"ESSENCIAL-10%",IF(AND(G13="TORRE",CK13&gt;RÉGUAS!$K$50,CK13&lt;=RÉGUAS!$L$51),"ECO+10%",IF(AND(G13="TORRE",CK13&gt;=RÉGUAS!$M$51,CK13&lt;=RÉGUAS!$M$50),"ECO-10%",IF(AND(G13="TORRE",CK13&gt;RÉGUAS!$M$50,CK13&lt;=RÉGUAS!$N$51),"BIO+10%","-"))))))))</f>
        <v>ESSENCIAL-10%</v>
      </c>
      <c r="CN13" s="73">
        <f t="shared" si="3"/>
        <v>6327.2490963855425</v>
      </c>
      <c r="CO13" s="72" t="str">
        <f>IF(CN13&lt;=RÉGUAS!$D$58,"ESSENCIAL",IF(CN13&lt;=RÉGUAS!$F$58,"ECO",IF(CN13&gt;RÉGUAS!$F$58,"BIO",)))</f>
        <v>ESSENCIAL</v>
      </c>
      <c r="CP13" s="72" t="str">
        <f>IF(Tabela1[[#This Row],[INTERVALO DE INTERSEÇÃO 5D]]="-",Tabela1[[#This Row],[CLASSIFICAÇÃO 
5D ]],Tabela1[[#This Row],[CLASSIFICAÇÃO 
4D]])</f>
        <v>ESSENCIAL</v>
      </c>
      <c r="CQ13" s="72" t="str">
        <f t="shared" si="4"/>
        <v>-</v>
      </c>
      <c r="CR13" s="72" t="str">
        <f t="shared" si="5"/>
        <v>ESSENCIAL</v>
      </c>
      <c r="CS13" s="22" t="str">
        <f>IF(Tabela1[[#This Row],[PRODUTO ATUAL ]]=Tabela1[[#This Row],[CLASSIFICAÇÃO FINAL 5D]],"ADERÊNTE","NÃO ADERÊNTE")</f>
        <v>ADERÊNTE</v>
      </c>
      <c r="CT13" s="24">
        <f>SUM(Tabela1[[#This Row],[TOTAL  ACAB]],Tabela1[[#This Row],[TOTAL LAZER ]],Tabela1[[#This Row],[TOTAL TIPOLOGIA]],Tabela1[[#This Row],[TOTAL VAGA]])</f>
        <v>6327.2490963855425</v>
      </c>
      <c r="CU13" s="22" t="str">
        <f>IF(CT13&lt;=RÉGUAS!$D$58,"ESSENCIAL",IF(CT13&lt;=RÉGUAS!$F$58,"ECO",IF(CT13&gt;RÉGUAS!$F$58,"BIO",)))</f>
        <v>ESSENCIAL</v>
      </c>
      <c r="CV13" s="22" t="str">
        <f>IF(AND(CT13&gt;=RÉGUAS!$D$59,CT13&lt;=RÉGUAS!$E$59),"ESSENCIAL/ECO",IF(AND(CT13&gt;=RÉGUAS!$F$59,CT13&lt;=RÉGUAS!$G$59),"ECO/BIO","-"))</f>
        <v>ESSENCIAL/ECO</v>
      </c>
      <c r="CW13" s="85">
        <f>SUM(Tabela1[[#This Row],[TOTAL LAZER ]],Tabela1[[#This Row],[TOTAL TIPOLOGIA]])</f>
        <v>2092.6707831325302</v>
      </c>
      <c r="CX13" s="22" t="str">
        <f>IF(CW13&lt;=RÉGUAS!$D$72,"ESSENCIAL",IF(CW13&lt;=RÉGUAS!$F$72,"ECO",IF(CN13&gt;RÉGUAS!$F$72,"BIO",)))</f>
        <v>ESSENCIAL</v>
      </c>
      <c r="CY13" s="22" t="str">
        <f t="shared" si="6"/>
        <v>ESSENCIAL</v>
      </c>
      <c r="CZ13" s="22" t="str">
        <f>IF(Tabela1[[#This Row],[PRODUTO ATUAL ]]=CY13,"ADERENTE","NÃO ADERENTE")</f>
        <v>ADERENTE</v>
      </c>
      <c r="DA13" s="22" t="str">
        <f>IF(Tabela1[[#This Row],[PRODUTO ATUAL ]]=Tabela1[[#This Row],[CLASSIFICAÇÃO 
4D2]],"ADERENTE","NÃO ADERENTE")</f>
        <v>ADERENTE</v>
      </c>
    </row>
    <row r="14" spans="2:105" x14ac:dyDescent="0.35">
      <c r="B14" s="27">
        <v>1</v>
      </c>
      <c r="C14" s="22" t="s">
        <v>124</v>
      </c>
      <c r="D14" s="22" t="s">
        <v>125</v>
      </c>
      <c r="E14" s="22">
        <v>256</v>
      </c>
      <c r="F14" s="22" t="str">
        <f t="shared" si="0"/>
        <v>De 200 a 400 und</v>
      </c>
      <c r="G14" s="22" t="s">
        <v>1</v>
      </c>
      <c r="H14" s="36">
        <v>16</v>
      </c>
      <c r="I14" s="36">
        <v>4</v>
      </c>
      <c r="J14" s="36"/>
      <c r="K14" s="36"/>
      <c r="L14" s="36">
        <f>SUM(Tabela1[[#This Row],[QTD DE B/T 2]],Tabela1[[#This Row],[QTD DE B/T]])</f>
        <v>16</v>
      </c>
      <c r="M14" s="22">
        <v>0</v>
      </c>
      <c r="N14" s="22">
        <f>Tabela1[[#This Row],[ELEVADOR]]/Tabela1[[#This Row],[BLOCO TOTAL]]</f>
        <v>0</v>
      </c>
      <c r="O14" s="22" t="s">
        <v>6</v>
      </c>
      <c r="P14" s="22" t="s">
        <v>119</v>
      </c>
      <c r="Q14" s="24" t="s">
        <v>101</v>
      </c>
      <c r="R14" s="22" t="s">
        <v>102</v>
      </c>
      <c r="S14" s="22" t="s">
        <v>103</v>
      </c>
      <c r="T14" s="22" t="s">
        <v>104</v>
      </c>
      <c r="U14" s="22" t="s">
        <v>105</v>
      </c>
      <c r="V14" s="22" t="s">
        <v>106</v>
      </c>
      <c r="W14" s="24">
        <f>IF(P14=[1]BD_CUSTO!$E$4,[1]BD_CUSTO!$F$4,[1]BD_CUSTO!$F$5)</f>
        <v>530</v>
      </c>
      <c r="X14" s="24">
        <f>IF(Q14=[1]BD_CUSTO!$E$6,[1]BD_CUSTO!$F$6,[1]BD_CUSTO!$F$7)</f>
        <v>260</v>
      </c>
      <c r="Y14" s="24">
        <f>IF(R14=[1]BD_CUSTO!$E$8,[1]BD_CUSTO!$F$8,[1]BD_CUSTO!$F$9)</f>
        <v>600</v>
      </c>
      <c r="Z14" s="24">
        <f>IF(S14=[1]BD_CUSTO!$E$10,[1]BD_CUSTO!$F$10,[1]BD_CUSTO!$F$11)</f>
        <v>500</v>
      </c>
      <c r="AA14" s="24">
        <f>IF(T14=[1]BD_CUSTO!$E$12,[1]BD_CUSTO!$F$12,[1]BD_CUSTO!$F$13)</f>
        <v>370</v>
      </c>
      <c r="AB14" s="24">
        <f>IF(U14=[1]BD_CUSTO!$E$14,[1]BD_CUSTO!$F$14,[1]BD_CUSTO!$F$15)</f>
        <v>90</v>
      </c>
      <c r="AC14" s="24">
        <f>IF(V14=[1]BD_CUSTO!$E$16,[1]BD_CUSTO!$F$16,[1]BD_CUSTO!$F$17)</f>
        <v>720</v>
      </c>
      <c r="AD14" s="22" t="s">
        <v>111</v>
      </c>
      <c r="AE14" s="22">
        <v>2</v>
      </c>
      <c r="AF14" s="22" t="s">
        <v>108</v>
      </c>
      <c r="AG14" s="22">
        <v>1</v>
      </c>
      <c r="AH14" s="22" t="s">
        <v>121</v>
      </c>
      <c r="AI14" s="22">
        <v>1</v>
      </c>
      <c r="AJ14" s="22" t="s">
        <v>110</v>
      </c>
      <c r="AK14" s="22">
        <v>1</v>
      </c>
      <c r="AL14" s="22" t="s">
        <v>126</v>
      </c>
      <c r="AM14" s="22">
        <v>3</v>
      </c>
      <c r="AN14" s="22"/>
      <c r="AO14" s="22">
        <v>0</v>
      </c>
      <c r="AP14" s="22"/>
      <c r="AQ14" s="22">
        <v>0</v>
      </c>
      <c r="AR14" s="22"/>
      <c r="AS14" s="22">
        <v>0</v>
      </c>
      <c r="AT14" s="22"/>
      <c r="AU14" s="22"/>
      <c r="AV14" s="22"/>
      <c r="AW14" s="22"/>
      <c r="AX14" s="24">
        <f>IF(AD14="",0,VLOOKUP(AD14,[1]BD_CUSTO!I:J,2,0)*AE14/E14)</f>
        <v>126.5625</v>
      </c>
      <c r="AY14" s="24">
        <f>IF(AF14="",0,VLOOKUP(AF14,[1]BD_CUSTO!I:J,2,0)*AG14/E14)</f>
        <v>90.4296875</v>
      </c>
      <c r="AZ14" s="24">
        <f>IF(AH14="",0,VLOOKUP(AH14,[1]BD_CUSTO!I:J,2,0)*AI14/E14)</f>
        <v>481.08164062499998</v>
      </c>
      <c r="BA14" s="24">
        <f>IF(AJ14="",0,VLOOKUP(AJ14,[1]BD_CUSTO!I:J,2,0)*AK14/E14)</f>
        <v>20.703125</v>
      </c>
      <c r="BB14" s="24">
        <f>IF(AL14="",0,VLOOKUP(AL14,[1]BD_CUSTO!I:J,2,0)*AM14/E14)</f>
        <v>88.59375</v>
      </c>
      <c r="BC14" s="24">
        <f>IF(AN14="",0,VLOOKUP(AN14,[1]BD_CUSTO!I:J,2,0)*AO14/E14)</f>
        <v>0</v>
      </c>
      <c r="BD14" s="24">
        <f>IF(AP14="",0,VLOOKUP(AP14,[1]BD_CUSTO!I:J,2,0)*AQ14/E14)</f>
        <v>0</v>
      </c>
      <c r="BE14" s="24">
        <f>IF(AR14="",0,VLOOKUP(AR14,CUSTO!I:J,2,0)*AS14/E14)</f>
        <v>0</v>
      </c>
      <c r="BF14" s="24">
        <f>IF(AT14="",0,VLOOKUP(AT14,[1]BD_CUSTO!I:J,2,0)*AU14/E14)</f>
        <v>0</v>
      </c>
      <c r="BG14" s="24">
        <f>IF(Tabela1[[#This Row],[LZ 10]]="",0,VLOOKUP(Tabela1[[#This Row],[LZ 10]],[1]BD_CUSTO!I:J,2,0)*Tabela1[[#This Row],[QTD922]]/E14)</f>
        <v>0</v>
      </c>
      <c r="BH14" s="22" t="s">
        <v>112</v>
      </c>
      <c r="BI14" s="25">
        <v>0.5</v>
      </c>
      <c r="BJ14" s="29" t="s">
        <v>113</v>
      </c>
      <c r="BK14" s="25">
        <v>0</v>
      </c>
      <c r="BL14" s="24">
        <f>IF(BH14=[1]BD_CUSTO!$M$6,[1]BD_CUSTO!$N$6)*BI14</f>
        <v>1500</v>
      </c>
      <c r="BM14" s="24">
        <f>IF(BJ14=[1]BD_CUSTO!$M$4,[1]BD_CUSTO!$N$4,[1]BD_CUSTO!$N$5)*BK14</f>
        <v>0</v>
      </c>
      <c r="BN14" s="22" t="s">
        <v>114</v>
      </c>
      <c r="BO14" s="22">
        <v>269</v>
      </c>
      <c r="BP14" s="25">
        <f>Tabela1[[#This Row],[QTD ]]/Tabela1[[#This Row],[Nº UNDS]]</f>
        <v>1.05078125</v>
      </c>
      <c r="BQ14" s="22" t="s">
        <v>115</v>
      </c>
      <c r="BR14" s="22">
        <v>0</v>
      </c>
      <c r="BS14" s="22" t="s">
        <v>116</v>
      </c>
      <c r="BT14" s="22">
        <v>0</v>
      </c>
      <c r="BU14" s="22" t="s">
        <v>16</v>
      </c>
      <c r="BV14" s="22">
        <v>0</v>
      </c>
      <c r="BW14" s="24">
        <f>IF(BN14=[1]BD_CUSTO!$Q$7,[1]BD_CUSTO!$R$7,[1]BD_CUSTO!$R$8)*BO14/E14</f>
        <v>2101.5625</v>
      </c>
      <c r="BX14" s="24">
        <f>IF(BQ14=[1]BD_CUSTO!$Q$4,[1]BD_CUSTO!$R$4,[1]BD_CUSTO!$R$5)*BR14/E14</f>
        <v>0</v>
      </c>
      <c r="BY14" s="22">
        <f>IF(BS14=[1]BD_CUSTO!$Q$13,[1]BD_CUSTO!$R$13,[1]BD_CUSTO!$R$14)*BT14/E14</f>
        <v>0</v>
      </c>
      <c r="BZ14" s="24">
        <f>BV14*CUSTO!$R$10/E14</f>
        <v>0</v>
      </c>
      <c r="CA14" s="26">
        <f>SUM(Tabela1[[#This Row],[SOMA_PISO SALA E QUARTO]],Tabela1[[#This Row],[SOMA_PAREDE HIDR]],Tabela1[[#This Row],[SOMA_TETO]],Tabela1[[#This Row],[SOMA_BANCADA]],Tabela1[[#This Row],[SOMA_PEDRAS]])</f>
        <v>2090</v>
      </c>
      <c r="CB14" s="27" t="str">
        <f>IF(CA14&lt;=RÉGUAS!$D$4,"ACAB 01",IF(CA14&lt;=RÉGUAS!$F$4,"ACAB 02",IF(CA14&gt;RÉGUAS!$F$4,"ACAB 03",)))</f>
        <v>ACAB 01</v>
      </c>
      <c r="CC14" s="26">
        <f>SUM(Tabela1[[#This Row],[SOMA_LZ 01]:[SOMA_LZ 10]])</f>
        <v>807.37070312499998</v>
      </c>
      <c r="CD14" s="22" t="str">
        <f>IF(CC14&lt;=RÉGUAS!$D$13,"LZ 01",IF(CC14&lt;=RÉGUAS!$F$13,"LZ 02",IF(CC14&lt;=RÉGUAS!$H$13,"LZ 03",IF(CC14&gt;RÉGUAS!$H$13,"LZ 04",))))</f>
        <v>LZ 01</v>
      </c>
      <c r="CE14" s="28">
        <f t="shared" si="1"/>
        <v>1500</v>
      </c>
      <c r="CF14" s="22" t="str">
        <f>IF(CE14&lt;=RÉGUAS!$D$22,"TIP 01",IF(CE14&lt;=RÉGUAS!$F$22,"TIP 02",IF(CE14&gt;RÉGUAS!$F$22,"TIP 03",)))</f>
        <v>TIP 01</v>
      </c>
      <c r="CG14" s="28">
        <f t="shared" si="2"/>
        <v>2101.5625</v>
      </c>
      <c r="CH14" s="22" t="str">
        <f>IF(CG14&lt;=RÉGUAS!$D$32,"VAGA 01",IF(CG14&lt;=RÉGUAS!$F$32,"VAGA 02",IF(CG14&gt;RÉGUAS!$F$32,"VAGA 03",)))</f>
        <v>VAGA 02</v>
      </c>
      <c r="CI14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14" s="85" t="str">
        <f>IF(AND(G14="BLOCO",CI14&lt;=RÉGUAS!$D$40),"ELEV 01",IF(AND(G14="BLOCO",CI14&gt;RÉGUAS!$D$40),"ELEV 02",IF(AND(G14="TORRE",CI14&lt;=RÉGUAS!$K$40),"ELEV 01",IF(AND(G14="TORRE",CI14&lt;=RÉGUAS!$M$40),"ELEV 02",IF(AND(G14="TORRE",CI14&gt;RÉGUAS!$M$40),"ELEV 03",)))))</f>
        <v>ELEV 01</v>
      </c>
      <c r="CK14" s="85">
        <f>SUM(Tabela1[[#This Row],[TOTAL  ACAB]],Tabela1[[#This Row],[TOTAL LAZER ]],Tabela1[[#This Row],[TOTAL TIPOLOGIA]],Tabela1[[#This Row],[TOTAL VAGA]],Tabela1[[#This Row],[TOTAL ELEVADOR]])</f>
        <v>6498.9332031249996</v>
      </c>
      <c r="CL14" s="72" t="str">
        <f>IF(AND(G14="BLOCO",CK14&lt;=RÉGUAS!$D$50),"ESSENCIAL",IF(AND(G14="BLOCO",CK14&lt;=RÉGUAS!$F$50),"ECO",IF(AND(G14="BLOCO",CK14&gt;RÉGUAS!$F$50),"BIO",IF(AND(G14="TORRE",CK14&lt;=RÉGUAS!$K$50),"ESSENCIAL",IF(AND(G14="TORRE",CK14&lt;=RÉGUAS!$M$50),"ECO",IF(AND(G14="TORRE",CK14&gt;RÉGUAS!$M$50),"BIO",))))))</f>
        <v>ESSENCIAL</v>
      </c>
      <c r="CM14" s="28" t="str">
        <f>IF(AND(G14="BLOCO",CK14&gt;=RÉGUAS!$D$51,CK14&lt;=RÉGUAS!$D$50),"ESSENCIAL-10%",IF(AND(G14="BLOCO",CK14&gt;RÉGUAS!$D$50,CK14&lt;=RÉGUAS!$E$51),"ECO+10%",IF(AND(G14="BLOCO",CK14&gt;=RÉGUAS!$F$51,CK14&lt;=RÉGUAS!$F$50),"ECO-10%",IF(AND(G14="BLOCO",CK14&gt;RÉGUAS!$F$50,CK14&lt;=RÉGUAS!$G$51),"BIO+10%",IF(AND(G14="TORRE",CK14&gt;=RÉGUAS!$K$51,CK14&lt;=RÉGUAS!$K$50),"ESSENCIAL-10%",IF(AND(G14="TORRE",CK14&gt;RÉGUAS!$K$50,CK14&lt;=RÉGUAS!$L$51),"ECO+10%",IF(AND(G14="TORRE",CK14&gt;=RÉGUAS!$M$51,CK14&lt;=RÉGUAS!$M$50),"ECO-10%",IF(AND(G14="TORRE",CK14&gt;RÉGUAS!$M$50,CK14&lt;=RÉGUAS!$N$51),"BIO+10%","-"))))))))</f>
        <v>-</v>
      </c>
      <c r="CN14" s="73">
        <f t="shared" si="3"/>
        <v>6498.9332031249996</v>
      </c>
      <c r="CO14" s="72" t="str">
        <f>IF(CN14&lt;=RÉGUAS!$D$58,"ESSENCIAL",IF(CN14&lt;=RÉGUAS!$F$58,"ECO",IF(CN14&gt;RÉGUAS!$F$58,"BIO",)))</f>
        <v>ESSENCIAL</v>
      </c>
      <c r="CP14" s="72" t="str">
        <f>IF(Tabela1[[#This Row],[INTERVALO DE INTERSEÇÃO 5D]]="-",Tabela1[[#This Row],[CLASSIFICAÇÃO 
5D ]],Tabela1[[#This Row],[CLASSIFICAÇÃO 
4D]])</f>
        <v>ESSENCIAL</v>
      </c>
      <c r="CQ14" s="72" t="str">
        <f t="shared" si="4"/>
        <v>-</v>
      </c>
      <c r="CR14" s="72" t="str">
        <f t="shared" si="5"/>
        <v>ESSENCIAL</v>
      </c>
      <c r="CS14" s="22" t="str">
        <f>IF(Tabela1[[#This Row],[PRODUTO ATUAL ]]=Tabela1[[#This Row],[CLASSIFICAÇÃO FINAL 5D]],"ADERÊNTE","NÃO ADERÊNTE")</f>
        <v>ADERÊNTE</v>
      </c>
      <c r="CT14" s="24">
        <f>SUM(Tabela1[[#This Row],[TOTAL  ACAB]],Tabela1[[#This Row],[TOTAL LAZER ]],Tabela1[[#This Row],[TOTAL TIPOLOGIA]],Tabela1[[#This Row],[TOTAL VAGA]])</f>
        <v>6498.9332031249996</v>
      </c>
      <c r="CU14" s="22" t="str">
        <f>IF(CT14&lt;=RÉGUAS!$D$58,"ESSENCIAL",IF(CT14&lt;=RÉGUAS!$F$58,"ECO",IF(CT14&gt;RÉGUAS!$F$58,"BIO",)))</f>
        <v>ESSENCIAL</v>
      </c>
      <c r="CV14" s="22" t="str">
        <f>IF(AND(CT14&gt;=RÉGUAS!$D$59,CT14&lt;=RÉGUAS!$E$59),"ESSENCIAL/ECO",IF(AND(CT14&gt;=RÉGUAS!$F$59,CT14&lt;=RÉGUAS!$G$59),"ECO/BIO","-"))</f>
        <v>ESSENCIAL/ECO</v>
      </c>
      <c r="CW14" s="85">
        <f>SUM(Tabela1[[#This Row],[TOTAL LAZER ]],Tabela1[[#This Row],[TOTAL TIPOLOGIA]])</f>
        <v>2307.3707031250001</v>
      </c>
      <c r="CX14" s="22" t="str">
        <f>IF(CW14&lt;=RÉGUAS!$D$72,"ESSENCIAL",IF(CW14&lt;=RÉGUAS!$F$72,"ECO",IF(CN14&gt;RÉGUAS!$F$72,"BIO",)))</f>
        <v>ESSENCIAL</v>
      </c>
      <c r="CY14" s="22" t="str">
        <f t="shared" si="6"/>
        <v>ESSENCIAL</v>
      </c>
      <c r="CZ14" s="22" t="str">
        <f>IF(Tabela1[[#This Row],[PRODUTO ATUAL ]]=CY14,"ADERENTE","NÃO ADERENTE")</f>
        <v>ADERENTE</v>
      </c>
      <c r="DA14" s="22" t="str">
        <f>IF(Tabela1[[#This Row],[PRODUTO ATUAL ]]=Tabela1[[#This Row],[CLASSIFICAÇÃO 
4D2]],"ADERENTE","NÃO ADERENTE")</f>
        <v>ADERENTE</v>
      </c>
    </row>
    <row r="15" spans="2:105" hidden="1" x14ac:dyDescent="0.35">
      <c r="B15" s="27">
        <v>26</v>
      </c>
      <c r="C15" s="22" t="s">
        <v>141</v>
      </c>
      <c r="D15" s="22" t="s">
        <v>118</v>
      </c>
      <c r="E15" s="23">
        <v>360</v>
      </c>
      <c r="F15" s="22" t="str">
        <f t="shared" si="0"/>
        <v>De 200 a 400 und</v>
      </c>
      <c r="G15" s="22" t="s">
        <v>14</v>
      </c>
      <c r="H15" s="36">
        <v>3</v>
      </c>
      <c r="I15" s="36">
        <v>10</v>
      </c>
      <c r="J15" s="36"/>
      <c r="K15" s="36"/>
      <c r="L15" s="36">
        <f>SUM(Tabela1[[#This Row],[QTD DE B/T 2]],Tabela1[[#This Row],[QTD DE B/T]])</f>
        <v>3</v>
      </c>
      <c r="M15" s="22">
        <v>6</v>
      </c>
      <c r="N15" s="22">
        <f>Tabela1[[#This Row],[ELEVADOR]]/Tabela1[[#This Row],[BLOCO TOTAL]]</f>
        <v>2</v>
      </c>
      <c r="O15" s="22" t="s">
        <v>6</v>
      </c>
      <c r="P15" s="22" t="s">
        <v>119</v>
      </c>
      <c r="Q15" s="22" t="s">
        <v>101</v>
      </c>
      <c r="R15" s="22" t="s">
        <v>142</v>
      </c>
      <c r="S15" s="22" t="s">
        <v>103</v>
      </c>
      <c r="T15" s="22" t="s">
        <v>104</v>
      </c>
      <c r="U15" s="22" t="s">
        <v>105</v>
      </c>
      <c r="V15" s="22" t="s">
        <v>106</v>
      </c>
      <c r="W15" s="24">
        <f>IF(P15=[1]BD_CUSTO!$E$4,[1]BD_CUSTO!$F$4,[1]BD_CUSTO!$F$5)</f>
        <v>530</v>
      </c>
      <c r="X15" s="24">
        <f>IF(Q15=[1]BD_CUSTO!$E$6,[1]BD_CUSTO!$F$6,[1]BD_CUSTO!$F$7)</f>
        <v>260</v>
      </c>
      <c r="Y15" s="24">
        <f>IF(R15=[1]BD_CUSTO!$E$8,[1]BD_CUSTO!$F$8,[1]BD_CUSTO!$F$9)</f>
        <v>900</v>
      </c>
      <c r="Z15" s="24">
        <f>IF(S15=[1]BD_CUSTO!$E$10,[1]BD_CUSTO!$F$10,[1]BD_CUSTO!$F$11)</f>
        <v>500</v>
      </c>
      <c r="AA15" s="24">
        <f>IF(T15=[1]BD_CUSTO!$E$12,[1]BD_CUSTO!$F$12,[1]BD_CUSTO!$F$13)</f>
        <v>370</v>
      </c>
      <c r="AB15" s="24">
        <f>IF(U15=[1]BD_CUSTO!$E$14,[1]BD_CUSTO!$F$14,[1]BD_CUSTO!$F$15)</f>
        <v>90</v>
      </c>
      <c r="AC15" s="24">
        <f>IF(V15=[1]BD_CUSTO!$E$16,[1]BD_CUSTO!$F$16,[1]BD_CUSTO!$F$17)</f>
        <v>720</v>
      </c>
      <c r="AD15" s="22" t="s">
        <v>110</v>
      </c>
      <c r="AE15" s="22">
        <v>1</v>
      </c>
      <c r="AF15" s="22" t="s">
        <v>107</v>
      </c>
      <c r="AG15" s="22">
        <v>2</v>
      </c>
      <c r="AH15" s="22" t="s">
        <v>139</v>
      </c>
      <c r="AI15" s="22">
        <v>1</v>
      </c>
      <c r="AJ15" s="22" t="s">
        <v>108</v>
      </c>
      <c r="AK15" s="22">
        <v>1</v>
      </c>
      <c r="AL15" s="22" t="s">
        <v>121</v>
      </c>
      <c r="AM15" s="22">
        <v>1</v>
      </c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4">
        <f>IF(AD15="",0,VLOOKUP(AD15,[1]BD_CUSTO!I:J,2,0)*AE15/E15)</f>
        <v>14.722222222222221</v>
      </c>
      <c r="AY15" s="24">
        <f>IF(AF15="",0,VLOOKUP(AF15,[1]BD_CUSTO!I:J,2,0)*AG15/E15)</f>
        <v>473.05066666666664</v>
      </c>
      <c r="AZ15" s="24">
        <f>IF(AH15="",0,VLOOKUP(AH15,[1]BD_CUSTO!I:J,2,0)*AI15/E15)</f>
        <v>172.65644444444445</v>
      </c>
      <c r="BA15" s="24">
        <f>IF(AJ15="",0,VLOOKUP(AJ15,[1]BD_CUSTO!I:J,2,0)*AK15/E15)</f>
        <v>64.305555555555557</v>
      </c>
      <c r="BB15" s="24">
        <f>IF(AL15="",0,VLOOKUP(AL15,[1]BD_CUSTO!I:J,2,0)*AM15/E15)</f>
        <v>342.10249999999996</v>
      </c>
      <c r="BC15" s="24">
        <f>IF(AN15="",0,VLOOKUP(AN15,[1]BD_CUSTO!I:J,2,0)*AO15/E15)</f>
        <v>0</v>
      </c>
      <c r="BD15" s="24">
        <f>IF(AP15="",0,VLOOKUP(AP15,[1]BD_CUSTO!I:J,2,0)*AQ15/E15)</f>
        <v>0</v>
      </c>
      <c r="BE15" s="24">
        <f>IF(AR15="",0,VLOOKUP(AR15,CUSTO!I:J,2,0)*AS15/E15)</f>
        <v>0</v>
      </c>
      <c r="BF15" s="24">
        <f>IF(AT15="",0,VLOOKUP(AT15,[1]BD_CUSTO!I:J,2,0)*AU15/E15)</f>
        <v>0</v>
      </c>
      <c r="BG15" s="24">
        <f>IF(Tabela1[[#This Row],[LZ 10]]="",0,VLOOKUP(Tabela1[[#This Row],[LZ 10]],[1]BD_CUSTO!I:J,2,0)*Tabela1[[#This Row],[QTD922]]/E15)</f>
        <v>0</v>
      </c>
      <c r="BH15" s="22" t="s">
        <v>112</v>
      </c>
      <c r="BI15" s="25">
        <f>240/360</f>
        <v>0.66666666666666663</v>
      </c>
      <c r="BJ15" s="22" t="s">
        <v>113</v>
      </c>
      <c r="BK15" s="25">
        <v>0</v>
      </c>
      <c r="BL15" s="24">
        <f>IF(BH15=[1]BD_CUSTO!$M$6,[1]BD_CUSTO!$N$6)*BI15</f>
        <v>2000</v>
      </c>
      <c r="BM15" s="24">
        <f>IF(BJ15=[1]BD_CUSTO!$M$4,[1]BD_CUSTO!$N$4,[1]BD_CUSTO!$N$5)*BK15</f>
        <v>0</v>
      </c>
      <c r="BN15" s="22" t="s">
        <v>143</v>
      </c>
      <c r="BO15" s="22">
        <v>0</v>
      </c>
      <c r="BP15" s="25">
        <f>Tabela1[[#This Row],[QTD ]]/Tabela1[[#This Row],[Nº UNDS]]</f>
        <v>0</v>
      </c>
      <c r="BQ15" s="22" t="s">
        <v>115</v>
      </c>
      <c r="BR15" s="22">
        <v>0</v>
      </c>
      <c r="BS15" s="22" t="s">
        <v>116</v>
      </c>
      <c r="BT15" s="22">
        <v>0</v>
      </c>
      <c r="BU15" s="22" t="s">
        <v>16</v>
      </c>
      <c r="BV15" s="22">
        <v>0</v>
      </c>
      <c r="BW15" s="24">
        <f>IF(BN15=[1]BD_CUSTO!$Q$7,[1]BD_CUSTO!$R$7,[1]BD_CUSTO!$R$8)*BO15/E15</f>
        <v>0</v>
      </c>
      <c r="BX15" s="24">
        <f>IF(BQ15=[1]BD_CUSTO!$Q$4,[1]BD_CUSTO!$R$4,[1]BD_CUSTO!$R$5)*BR15/E15</f>
        <v>0</v>
      </c>
      <c r="BY15" s="22">
        <f>IF(BS15=[1]BD_CUSTO!$Q$13,[1]BD_CUSTO!$R$13,[1]BD_CUSTO!$R$14)*BT15/E15</f>
        <v>0</v>
      </c>
      <c r="BZ15" s="24">
        <f>BV15*CUSTO!$R$10/E15</f>
        <v>0</v>
      </c>
      <c r="CA15" s="178">
        <f>SUM(Tabela1[[#This Row],[SOMA_PISO SALA E QUARTO]],Tabela1[[#This Row],[SOMA_PAREDE HIDR]],Tabela1[[#This Row],[SOMA_TETO]],Tabela1[[#This Row],[SOMA_BANCADA]],Tabela1[[#This Row],[SOMA_PEDRAS]])</f>
        <v>2390</v>
      </c>
      <c r="CB15" s="27" t="str">
        <f>IF(CA15&lt;=RÉGUAS!$D$4,"ACAB 01",IF(CA15&lt;=RÉGUAS!$F$4,"ACAB 02",IF(CA15&gt;RÉGUAS!$F$4,"ACAB 03",)))</f>
        <v>ACAB 01</v>
      </c>
      <c r="CC15" s="26">
        <f>SUM(Tabela1[[#This Row],[SOMA_LZ 01]:[SOMA_LZ 10]])</f>
        <v>1066.8373888888887</v>
      </c>
      <c r="CD15" s="22" t="str">
        <f>IF(CC15&lt;=RÉGUAS!$D$13,"LZ 01",IF(CC15&lt;=RÉGUAS!$F$13,"LZ 02",IF(CC15&lt;=RÉGUAS!$H$13,"LZ 03",IF(CC15&gt;RÉGUAS!$H$13,"LZ 04",))))</f>
        <v>LZ 02</v>
      </c>
      <c r="CE15" s="28">
        <f t="shared" si="1"/>
        <v>2000</v>
      </c>
      <c r="CF15" s="22" t="str">
        <f>IF(CE15&lt;=RÉGUAS!$D$22,"TIP 01",IF(CE15&lt;=RÉGUAS!$F$22,"TIP 02",IF(CE15&gt;RÉGUAS!$F$22,"TIP 03",)))</f>
        <v>TIP 02</v>
      </c>
      <c r="CG15" s="28">
        <f t="shared" si="2"/>
        <v>0</v>
      </c>
      <c r="CH15" s="22" t="str">
        <f>IF(CG15&lt;=RÉGUAS!$D$32,"VAGA 01",IF(CG15&lt;=RÉGUAS!$F$32,"VAGA 02",IF(CG15&gt;RÉGUAS!$F$32,"VAGA 03",)))</f>
        <v>VAGA 01</v>
      </c>
      <c r="CI15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3290.8333333333335</v>
      </c>
      <c r="CJ15" s="85" t="str">
        <f>IF(AND(G15="BLOCO",CI15&lt;=RÉGUAS!$D$40),"ELEV 01",IF(AND(G15="BLOCO",CI15&gt;RÉGUAS!$D$40),"ELEV 02",IF(AND(G15="TORRE",CI15&lt;=RÉGUAS!$K$40),"ELEV 01",IF(AND(G15="TORRE",CI15&lt;=RÉGUAS!$M$40),"ELEV 02",IF(AND(G15="TORRE",CI15&gt;RÉGUAS!$M$40),"ELEV 03",)))))</f>
        <v>ELEV 03</v>
      </c>
      <c r="CK15" s="85">
        <f>SUM(Tabela1[[#This Row],[TOTAL  ACAB]],Tabela1[[#This Row],[TOTAL LAZER ]],Tabela1[[#This Row],[TOTAL TIPOLOGIA]],Tabela1[[#This Row],[TOTAL VAGA]],Tabela1[[#This Row],[TOTAL ELEVADOR]])</f>
        <v>8747.670722222223</v>
      </c>
      <c r="CL15" s="72" t="str">
        <f>IF(AND(G15="BLOCO",CK15&lt;=RÉGUAS!$D$50),"ESSENCIAL",IF(AND(G15="BLOCO",CK15&lt;=RÉGUAS!$F$50),"ECO",IF(AND(G15="BLOCO",CK15&gt;RÉGUAS!$F$50),"BIO",IF(AND(G15="TORRE",CK15&lt;=RÉGUAS!$K$50),"ESSENCIAL",IF(AND(G15="TORRE",CK15&lt;=RÉGUAS!$M$50),"ECO",IF(AND(G15="TORRE",CK15&gt;RÉGUAS!$M$50),"BIO",))))))</f>
        <v>ESSENCIAL</v>
      </c>
      <c r="CM15" s="28" t="str">
        <f>IF(AND(G15="BLOCO",CK15&gt;=RÉGUAS!$D$51,CK15&lt;=RÉGUAS!$D$50),"ESSENCIAL-10%",IF(AND(G15="BLOCO",CK15&gt;RÉGUAS!$D$50,CK15&lt;=RÉGUAS!$E$51),"ECO+10%",IF(AND(G15="BLOCO",CK15&gt;=RÉGUAS!$F$51,CK15&lt;=RÉGUAS!$F$50),"ECO-10%",IF(AND(G15="BLOCO",CK15&gt;RÉGUAS!$F$50,CK15&lt;=RÉGUAS!$G$51),"BIO+10%",IF(AND(G15="TORRE",CK15&gt;=RÉGUAS!$K$51,CK15&lt;=RÉGUAS!$K$50),"ESSENCIAL-10%",IF(AND(G15="TORRE",CK15&gt;RÉGUAS!$K$50,CK15&lt;=RÉGUAS!$L$51),"ECO+10%",IF(AND(G15="TORRE",CK15&gt;=RÉGUAS!$M$51,CK15&lt;=RÉGUAS!$M$50),"ECO-10%",IF(AND(G15="TORRE",CK15&gt;RÉGUAS!$M$50,CK15&lt;=RÉGUAS!$N$51),"BIO+10%","-"))))))))</f>
        <v>-</v>
      </c>
      <c r="CN15" s="73">
        <f t="shared" si="3"/>
        <v>5456.8373888888891</v>
      </c>
      <c r="CO15" s="72" t="str">
        <f>IF(CN15&lt;=RÉGUAS!$D$58,"ESSENCIAL",IF(CN15&lt;=RÉGUAS!$F$58,"ECO",IF(CN15&gt;RÉGUAS!$F$58,"BIO",)))</f>
        <v>ESSENCIAL</v>
      </c>
      <c r="CP15" s="72" t="str">
        <f>IF(Tabela1[[#This Row],[INTERVALO DE INTERSEÇÃO 5D]]="-",Tabela1[[#This Row],[CLASSIFICAÇÃO 
5D ]],Tabela1[[#This Row],[CLASSIFICAÇÃO 
4D]])</f>
        <v>ESSENCIAL</v>
      </c>
      <c r="CQ15" s="72" t="str">
        <f t="shared" si="4"/>
        <v>-</v>
      </c>
      <c r="CR15" s="72" t="str">
        <f t="shared" si="5"/>
        <v>ESSENCIAL</v>
      </c>
      <c r="CS15" s="22" t="str">
        <f>IF(Tabela1[[#This Row],[PRODUTO ATUAL ]]=Tabela1[[#This Row],[CLASSIFICAÇÃO FINAL 5D]],"ADERÊNTE","NÃO ADERÊNTE")</f>
        <v>ADERÊNTE</v>
      </c>
      <c r="CT15" s="24">
        <f>SUM(Tabela1[[#This Row],[TOTAL  ACAB]],Tabela1[[#This Row],[TOTAL LAZER ]],Tabela1[[#This Row],[TOTAL TIPOLOGIA]],Tabela1[[#This Row],[TOTAL VAGA]])</f>
        <v>5456.8373888888891</v>
      </c>
      <c r="CU15" s="22" t="str">
        <f>IF(CT15&lt;=RÉGUAS!$D$58,"ESSENCIAL",IF(CT15&lt;=RÉGUAS!$F$58,"ECO",IF(CT15&gt;RÉGUAS!$F$58,"BIO",)))</f>
        <v>ESSENCIAL</v>
      </c>
      <c r="CV15" s="22" t="str">
        <f>IF(AND(CT15&gt;=RÉGUAS!$D$59,CT15&lt;=RÉGUAS!$E$59),"ESSENCIAL/ECO",IF(AND(CT15&gt;=RÉGUAS!$F$59,CT15&lt;=RÉGUAS!$G$59),"ECO/BIO","-"))</f>
        <v>-</v>
      </c>
      <c r="CW15" s="85">
        <f>SUM(Tabela1[[#This Row],[TOTAL LAZER ]],Tabela1[[#This Row],[TOTAL TIPOLOGIA]])</f>
        <v>3066.8373888888887</v>
      </c>
      <c r="CX15" s="22" t="str">
        <f>IF(CW15&lt;=RÉGUAS!$D$72,"ESSENCIAL",IF(CW15&lt;=RÉGUAS!$F$72,"ECO",IF(CN15&gt;RÉGUAS!$F$72,"BIO",)))</f>
        <v>ECO</v>
      </c>
      <c r="CY15" s="22" t="str">
        <f t="shared" si="6"/>
        <v>ESSENCIAL</v>
      </c>
      <c r="CZ15" s="22" t="str">
        <f>IF(Tabela1[[#This Row],[PRODUTO ATUAL ]]=CY15,"ADERENTE","NÃO ADERENTE")</f>
        <v>ADERENTE</v>
      </c>
      <c r="DA15" s="22" t="str">
        <f>IF(Tabela1[[#This Row],[PRODUTO ATUAL ]]=Tabela1[[#This Row],[CLASSIFICAÇÃO 
4D2]],"ADERENTE","NÃO ADERENTE")</f>
        <v>ADERENTE</v>
      </c>
    </row>
    <row r="16" spans="2:105" s="208" customFormat="1" x14ac:dyDescent="0.35">
      <c r="B16" s="165">
        <v>4</v>
      </c>
      <c r="C16" s="166" t="s">
        <v>195</v>
      </c>
      <c r="D16" s="166" t="s">
        <v>128</v>
      </c>
      <c r="E16" s="166">
        <v>552</v>
      </c>
      <c r="F16" s="166" t="str">
        <f t="shared" si="0"/>
        <v>Acima de 400 und</v>
      </c>
      <c r="G16" s="166" t="s">
        <v>14</v>
      </c>
      <c r="H16" s="209">
        <v>1</v>
      </c>
      <c r="I16" s="209">
        <v>13</v>
      </c>
      <c r="J16" s="209">
        <v>4</v>
      </c>
      <c r="K16" s="209">
        <v>14</v>
      </c>
      <c r="L16" s="209">
        <f>SUM(Tabela1[[#This Row],[QTD DE B/T 2]],Tabela1[[#This Row],[QTD DE B/T]])</f>
        <v>5</v>
      </c>
      <c r="M16" s="166">
        <v>10</v>
      </c>
      <c r="N16" s="166">
        <f>Tabela1[[#This Row],[ELEVADOR]]/Tabela1[[#This Row],[BLOCO TOTAL]]</f>
        <v>2</v>
      </c>
      <c r="O16" s="166" t="s">
        <v>6</v>
      </c>
      <c r="P16" s="166" t="s">
        <v>101</v>
      </c>
      <c r="Q16" s="166" t="s">
        <v>101</v>
      </c>
      <c r="R16" s="166" t="s">
        <v>102</v>
      </c>
      <c r="S16" s="166" t="s">
        <v>103</v>
      </c>
      <c r="T16" s="166" t="s">
        <v>104</v>
      </c>
      <c r="U16" s="166" t="s">
        <v>105</v>
      </c>
      <c r="V16" s="166" t="s">
        <v>106</v>
      </c>
      <c r="W16" s="163">
        <f>IF(P16=[1]BD_CUSTO!$E$4,[1]BD_CUSTO!$F$4,[1]BD_CUSTO!$F$5)</f>
        <v>2430</v>
      </c>
      <c r="X16" s="163">
        <f>IF(Q16=[1]BD_CUSTO!$E$6,[1]BD_CUSTO!$F$6,[1]BD_CUSTO!$F$7)</f>
        <v>260</v>
      </c>
      <c r="Y16" s="163">
        <f>IF(R16=[1]BD_CUSTO!$E$8,[1]BD_CUSTO!$F$8,[1]BD_CUSTO!$F$9)</f>
        <v>600</v>
      </c>
      <c r="Z16" s="163">
        <f>IF(S16=[1]BD_CUSTO!$E$10,[1]BD_CUSTO!$F$10,[1]BD_CUSTO!$F$11)</f>
        <v>500</v>
      </c>
      <c r="AA16" s="163">
        <f>IF(T16=[1]BD_CUSTO!$E$12,[1]BD_CUSTO!$F$12,[1]BD_CUSTO!$F$13)</f>
        <v>370</v>
      </c>
      <c r="AB16" s="163">
        <f>IF(U16=[1]BD_CUSTO!$E$14,[1]BD_CUSTO!$F$14,[1]BD_CUSTO!$F$15)</f>
        <v>90</v>
      </c>
      <c r="AC16" s="163">
        <f>IF(V16=[1]BD_CUSTO!$E$16,[1]BD_CUSTO!$F$16,[1]BD_CUSTO!$F$17)</f>
        <v>720</v>
      </c>
      <c r="AD16" s="166" t="s">
        <v>121</v>
      </c>
      <c r="AE16" s="166">
        <v>1</v>
      </c>
      <c r="AF16" s="166" t="s">
        <v>107</v>
      </c>
      <c r="AG16" s="166">
        <v>2</v>
      </c>
      <c r="AH16" s="166" t="s">
        <v>129</v>
      </c>
      <c r="AI16" s="166">
        <v>1</v>
      </c>
      <c r="AJ16" s="166" t="s">
        <v>108</v>
      </c>
      <c r="AK16" s="166">
        <v>1</v>
      </c>
      <c r="AL16" s="166" t="s">
        <v>109</v>
      </c>
      <c r="AM16" s="166">
        <v>1</v>
      </c>
      <c r="AN16" s="166" t="s">
        <v>111</v>
      </c>
      <c r="AO16" s="166">
        <v>1</v>
      </c>
      <c r="AP16" s="166" t="s">
        <v>110</v>
      </c>
      <c r="AQ16" s="166">
        <v>1</v>
      </c>
      <c r="AR16" s="166"/>
      <c r="AS16" s="166">
        <v>0</v>
      </c>
      <c r="AT16" s="166"/>
      <c r="AU16" s="166"/>
      <c r="AV16" s="166"/>
      <c r="AW16" s="166"/>
      <c r="AX16" s="163">
        <f>IF(AD16="",0,VLOOKUP(AD16,[1]BD_CUSTO!I:J,2,0)*AE16/E16)</f>
        <v>223.11032608695652</v>
      </c>
      <c r="AY16" s="163">
        <f>IF(AF16="",0,VLOOKUP(AF16,[1]BD_CUSTO!I:J,2,0)*AG16/E16)</f>
        <v>308.51130434782607</v>
      </c>
      <c r="AZ16" s="163">
        <f>IF(AH16="",0,VLOOKUP(AH16,[1]BD_CUSTO!I:J,2,0)*AI16/E16)</f>
        <v>498.49199275362321</v>
      </c>
      <c r="BA16" s="163">
        <f>IF(AJ16="",0,VLOOKUP(AJ16,[1]BD_CUSTO!I:J,2,0)*AK16/E16)</f>
        <v>41.938405797101453</v>
      </c>
      <c r="BB16" s="163">
        <f>IF(AL16="",0,VLOOKUP(AL16,[1]BD_CUSTO!I:J,2,0)*AM16/E16)</f>
        <v>12.590579710144928</v>
      </c>
      <c r="BC16" s="163">
        <f>IF(AN16="",0,VLOOKUP(AN16,[1]BD_CUSTO!I:J,2,0)*AO16/E16)</f>
        <v>29.347826086956523</v>
      </c>
      <c r="BD16" s="163">
        <f>IF(AP16="",0,VLOOKUP(AP16,[1]BD_CUSTO!I:J,2,0)*AQ16/E16)</f>
        <v>9.6014492753623184</v>
      </c>
      <c r="BE16" s="163">
        <f>IF(AR16="",0,VLOOKUP(AR16,CUSTO!I:J,2,0)*AS16/E16)</f>
        <v>0</v>
      </c>
      <c r="BF16" s="163">
        <f>IF(AT16="",0,VLOOKUP(AT16,[1]BD_CUSTO!I:J,2,0)*AU16/E16)</f>
        <v>0</v>
      </c>
      <c r="BG16" s="163">
        <f>IF(Tabela1[[#This Row],[LZ 10]]="",0,VLOOKUP(Tabela1[[#This Row],[LZ 10]],[1]BD_CUSTO!I:J,2,0)*Tabela1[[#This Row],[QTD922]]/E16)</f>
        <v>0</v>
      </c>
      <c r="BH16" s="166" t="s">
        <v>112</v>
      </c>
      <c r="BI16" s="210">
        <v>0.17</v>
      </c>
      <c r="BJ16" s="211" t="s">
        <v>113</v>
      </c>
      <c r="BK16" s="210">
        <v>0</v>
      </c>
      <c r="BL16" s="163">
        <f>IF(BH16=[1]BD_CUSTO!$M$6,[1]BD_CUSTO!$N$6)*BI16</f>
        <v>510.00000000000006</v>
      </c>
      <c r="BM16" s="163">
        <f>IF(BJ16=[1]BD_CUSTO!$M$4,[1]BD_CUSTO!$N$4,[1]BD_CUSTO!$N$5)*BK16</f>
        <v>0</v>
      </c>
      <c r="BN16" s="166" t="s">
        <v>114</v>
      </c>
      <c r="BO16" s="166">
        <v>376</v>
      </c>
      <c r="BP16" s="210">
        <f>Tabela1[[#This Row],[QTD ]]/Tabela1[[#This Row],[Nº UNDS]]</f>
        <v>0.6811594202898551</v>
      </c>
      <c r="BQ16" s="166" t="s">
        <v>123</v>
      </c>
      <c r="BR16" s="166">
        <v>28</v>
      </c>
      <c r="BS16" s="166" t="s">
        <v>116</v>
      </c>
      <c r="BT16" s="166">
        <v>0</v>
      </c>
      <c r="BU16" s="166" t="s">
        <v>16</v>
      </c>
      <c r="BV16" s="211">
        <v>0</v>
      </c>
      <c r="BW16" s="163">
        <f>IF(BN16=[1]BD_CUSTO!$Q$7,[1]BD_CUSTO!$R$7,[1]BD_CUSTO!$R$8)*BO16/E16</f>
        <v>1362.3188405797102</v>
      </c>
      <c r="BX16" s="163">
        <f>IF(BQ16=[1]BD_CUSTO!$Q$4,[1]BD_CUSTO!$R$4,[1]BD_CUSTO!$R$5)*BR16/E16</f>
        <v>50.724637681159422</v>
      </c>
      <c r="BY16" s="166">
        <f>IF(BS16=[1]BD_CUSTO!$Q$13,[1]BD_CUSTO!$R$13,[1]BD_CUSTO!$R$14)*BT16/E16</f>
        <v>0</v>
      </c>
      <c r="BZ16" s="163">
        <f>BV16*CUSTO!$R$10/E16</f>
        <v>0</v>
      </c>
      <c r="CA16" s="164">
        <f>SUM(Tabela1[[#This Row],[SOMA_PISO SALA E QUARTO]],Tabela1[[#This Row],[SOMA_PAREDE HIDR]],Tabela1[[#This Row],[SOMA_TETO]],Tabela1[[#This Row],[SOMA_BANCADA]],Tabela1[[#This Row],[SOMA_PEDRAS]])</f>
        <v>3990</v>
      </c>
      <c r="CB16" s="165" t="str">
        <f>IF(CA16&lt;=RÉGUAS!$D$4,"ACAB 01",IF(CA16&lt;=RÉGUAS!$F$4,"ACAB 02",IF(CA16&gt;RÉGUAS!$F$4,"ACAB 03",)))</f>
        <v>ACAB 02</v>
      </c>
      <c r="CC16" s="164">
        <f>SUM(Tabela1[[#This Row],[SOMA_LZ 01]:[SOMA_LZ 10]])</f>
        <v>1123.5918840579709</v>
      </c>
      <c r="CD16" s="166" t="str">
        <f>IF(CC16&lt;=RÉGUAS!$D$13,"LZ 01",IF(CC16&lt;=RÉGUAS!$F$13,"LZ 02",IF(CC16&lt;=RÉGUAS!$H$13,"LZ 03",IF(CC16&gt;RÉGUAS!$H$13,"LZ 04",))))</f>
        <v>LZ 02</v>
      </c>
      <c r="CE16" s="167">
        <f t="shared" si="1"/>
        <v>510.00000000000006</v>
      </c>
      <c r="CF16" s="166" t="str">
        <f>IF(CE16&lt;=RÉGUAS!$D$22,"TIP 01",IF(CE16&lt;=RÉGUAS!$F$22,"TIP 02",IF(CE16&gt;RÉGUAS!$F$22,"TIP 03",)))</f>
        <v>TIP 01</v>
      </c>
      <c r="CG16" s="167">
        <f t="shared" si="2"/>
        <v>1413.0434782608697</v>
      </c>
      <c r="CH16" s="166" t="str">
        <f>IF(CG16&lt;=RÉGUAS!$D$32,"VAGA 01",IF(CG16&lt;=RÉGUAS!$F$32,"VAGA 02",IF(CG16&gt;RÉGUAS!$F$32,"VAGA 03",)))</f>
        <v>VAGA 02</v>
      </c>
      <c r="CI16" s="168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8207.1195652173919</v>
      </c>
      <c r="CJ16" s="168" t="str">
        <f>IF(AND(G16="BLOCO",CI16&lt;=RÉGUAS!$D$40),"ELEV 01",IF(AND(G16="BLOCO",CI16&gt;RÉGUAS!$D$40),"ELEV 02",IF(AND(G16="TORRE",CI16&lt;=RÉGUAS!$K$40),"ELEV 01",IF(AND(G16="TORRE",CI16&lt;=RÉGUAS!$M$40),"ELEV 02",IF(AND(G16="TORRE",CI16&gt;RÉGUAS!$M$40),"ELEV 03",)))))</f>
        <v>ELEV 03</v>
      </c>
      <c r="CK16" s="85">
        <f>SUM(Tabela1[[#This Row],[TOTAL  ACAB]],Tabela1[[#This Row],[TOTAL LAZER ]],Tabela1[[#This Row],[TOTAL TIPOLOGIA]],Tabela1[[#This Row],[TOTAL VAGA]],Tabela1[[#This Row],[TOTAL ELEVADOR]])</f>
        <v>15243.754927536233</v>
      </c>
      <c r="CL16" s="72" t="str">
        <f>IF(AND(G16="BLOCO",CK16&lt;=RÉGUAS!$D$50),"ESSENCIAL",IF(AND(G16="BLOCO",CK16&lt;=RÉGUAS!$F$50),"ECO",IF(AND(G16="BLOCO",CK16&gt;RÉGUAS!$F$50),"BIO",IF(AND(G16="TORRE",CK16&lt;=RÉGUAS!$K$50),"ESSENCIAL",IF(AND(G16="TORRE",CK16&lt;=RÉGUAS!$M$50),"ECO",IF(AND(G16="TORRE",CK16&gt;RÉGUAS!$M$50),"BIO",))))))</f>
        <v>BIO</v>
      </c>
      <c r="CM16" s="28" t="str">
        <f>IF(AND(G16="BLOCO",CK16&gt;=RÉGUAS!$D$51,CK16&lt;=RÉGUAS!$D$50),"ESSENCIAL-10%",IF(AND(G16="BLOCO",CK16&gt;RÉGUAS!$D$50,CK16&lt;=RÉGUAS!$E$51),"ECO+10%",IF(AND(G16="BLOCO",CK16&gt;=RÉGUAS!$F$51,CK16&lt;=RÉGUAS!$F$50),"ECO-10%",IF(AND(G16="BLOCO",CK16&gt;RÉGUAS!$F$50,CK16&lt;=RÉGUAS!$G$51),"BIO+10%",IF(AND(G16="TORRE",CK16&gt;=RÉGUAS!$K$51,CK16&lt;=RÉGUAS!$K$50),"ESSENCIAL-10%",IF(AND(G16="TORRE",CK16&gt;RÉGUAS!$K$50,CK16&lt;=RÉGUAS!$L$51),"ECO+10%",IF(AND(G16="TORRE",CK16&gt;=RÉGUAS!$M$51,CK16&lt;=RÉGUAS!$M$50),"ECO-10%",IF(AND(G16="TORRE",CK16&gt;RÉGUAS!$M$50,CK16&lt;=RÉGUAS!$N$51),"BIO+10%","-"))))))))</f>
        <v>BIO+10%</v>
      </c>
      <c r="CN16" s="73">
        <f t="shared" si="3"/>
        <v>7036.6353623188406</v>
      </c>
      <c r="CO16" s="72" t="str">
        <f>IF(CN16&lt;=RÉGUAS!$D$58,"ESSENCIAL",IF(CN16&lt;=RÉGUAS!$F$58,"ECO",IF(CN16&gt;RÉGUAS!$F$58,"BIO",)))</f>
        <v>ECO</v>
      </c>
      <c r="CP16" s="72" t="str">
        <f>IF(Tabela1[[#This Row],[INTERVALO DE INTERSEÇÃO 5D]]="-",Tabela1[[#This Row],[CLASSIFICAÇÃO 
5D ]],Tabela1[[#This Row],[CLASSIFICAÇÃO 
4D]])</f>
        <v>ECO</v>
      </c>
      <c r="CQ16" s="72" t="str">
        <f t="shared" si="4"/>
        <v>-</v>
      </c>
      <c r="CR16" s="72" t="str">
        <f t="shared" si="5"/>
        <v>ECO</v>
      </c>
      <c r="CS16" s="22" t="str">
        <f>IF(Tabela1[[#This Row],[PRODUTO ATUAL ]]=Tabela1[[#This Row],[CLASSIFICAÇÃO FINAL 5D]],"ADERÊNTE","NÃO ADERÊNTE")</f>
        <v>NÃO ADERÊNTE</v>
      </c>
      <c r="CT16" s="163">
        <f>SUM(Tabela1[[#This Row],[TOTAL  ACAB]],Tabela1[[#This Row],[TOTAL LAZER ]],Tabela1[[#This Row],[TOTAL TIPOLOGIA]],Tabela1[[#This Row],[TOTAL VAGA]])</f>
        <v>7036.6353623188406</v>
      </c>
      <c r="CU16" s="166" t="str">
        <f>IF(CT16&lt;=RÉGUAS!$D$58,"ESSENCIAL",IF(CT16&lt;=RÉGUAS!$F$58,"ECO",IF(CT16&gt;RÉGUAS!$F$58,"BIO",)))</f>
        <v>ECO</v>
      </c>
      <c r="CV16" s="166" t="str">
        <f>IF(AND(CT16&gt;=RÉGUAS!$D$59,CT16&lt;=RÉGUAS!$E$59),"ESSENCIAL/ECO",IF(AND(CT16&gt;=RÉGUAS!$F$59,CT16&lt;=RÉGUAS!$G$59),"ECO/BIO","-"))</f>
        <v>ESSENCIAL/ECO</v>
      </c>
      <c r="CW16" s="85">
        <f>SUM(Tabela1[[#This Row],[TOTAL LAZER ]],Tabela1[[#This Row],[TOTAL TIPOLOGIA]])</f>
        <v>1633.5918840579709</v>
      </c>
      <c r="CX16" s="166" t="str">
        <f>IF(CW16&lt;=RÉGUAS!$D$72,"ESSENCIAL",IF(CW16&lt;=RÉGUAS!$F$72,"ECO",IF(CN16&gt;RÉGUAS!$F$72,"BIO",)))</f>
        <v>ESSENCIAL</v>
      </c>
      <c r="CY16" s="166" t="str">
        <f t="shared" si="6"/>
        <v>ESSENCIAL</v>
      </c>
      <c r="CZ16" s="166" t="str">
        <f>IF(Tabela1[[#This Row],[PRODUTO ATUAL ]]=CY16,"ADERENTE","NÃO ADERENTE")</f>
        <v>ADERENTE</v>
      </c>
      <c r="DA16" s="166" t="str">
        <f>IF(Tabela1[[#This Row],[PRODUTO ATUAL ]]=Tabela1[[#This Row],[CLASSIFICAÇÃO 
4D2]],"ADERENTE","NÃO ADERENTE")</f>
        <v>NÃO ADERENTE</v>
      </c>
    </row>
    <row r="17" spans="2:105" hidden="1" x14ac:dyDescent="0.35">
      <c r="B17" s="27">
        <v>39</v>
      </c>
      <c r="C17" s="22" t="s">
        <v>162</v>
      </c>
      <c r="D17" s="22" t="s">
        <v>118</v>
      </c>
      <c r="E17" s="23">
        <v>312</v>
      </c>
      <c r="F17" s="22" t="str">
        <f t="shared" si="0"/>
        <v>De 200 a 400 und</v>
      </c>
      <c r="G17" s="22" t="s">
        <v>14</v>
      </c>
      <c r="H17" s="36">
        <v>2</v>
      </c>
      <c r="I17" s="36">
        <v>13</v>
      </c>
      <c r="J17" s="36"/>
      <c r="K17" s="36"/>
      <c r="L17" s="36">
        <f>SUM(Tabela1[[#This Row],[QTD DE B/T 2]],Tabela1[[#This Row],[QTD DE B/T]])</f>
        <v>2</v>
      </c>
      <c r="M17" s="22">
        <v>4</v>
      </c>
      <c r="N17" s="22">
        <f>Tabela1[[#This Row],[ELEVADOR]]/Tabela1[[#This Row],[BLOCO TOTAL]]</f>
        <v>2</v>
      </c>
      <c r="O17" s="22" t="s">
        <v>6</v>
      </c>
      <c r="P17" s="22" t="s">
        <v>119</v>
      </c>
      <c r="Q17" s="22" t="s">
        <v>101</v>
      </c>
      <c r="R17" s="22" t="s">
        <v>142</v>
      </c>
      <c r="S17" s="22" t="s">
        <v>103</v>
      </c>
      <c r="T17" s="22" t="s">
        <v>104</v>
      </c>
      <c r="U17" s="22" t="s">
        <v>105</v>
      </c>
      <c r="V17" s="22" t="s">
        <v>106</v>
      </c>
      <c r="W17" s="24">
        <f>IF(P17=[1]BD_CUSTO!$E$4,[1]BD_CUSTO!$F$4,[1]BD_CUSTO!$F$5)</f>
        <v>530</v>
      </c>
      <c r="X17" s="24">
        <f>IF(Q17=[1]BD_CUSTO!$E$6,[1]BD_CUSTO!$F$6,[1]BD_CUSTO!$F$7)</f>
        <v>260</v>
      </c>
      <c r="Y17" s="24">
        <f>IF(R17=[1]BD_CUSTO!$E$8,[1]BD_CUSTO!$F$8,[1]BD_CUSTO!$F$9)</f>
        <v>900</v>
      </c>
      <c r="Z17" s="24">
        <f>IF(S17=[1]BD_CUSTO!$E$10,[1]BD_CUSTO!$F$10,[1]BD_CUSTO!$F$11)</f>
        <v>500</v>
      </c>
      <c r="AA17" s="24">
        <f>IF(T17=[1]BD_CUSTO!$E$12,[1]BD_CUSTO!$F$12,[1]BD_CUSTO!$F$13)</f>
        <v>370</v>
      </c>
      <c r="AB17" s="24">
        <f>IF(U17=[1]BD_CUSTO!$E$14,[1]BD_CUSTO!$F$14,[1]BD_CUSTO!$F$15)</f>
        <v>90</v>
      </c>
      <c r="AC17" s="24">
        <f>IF(V17=[1]BD_CUSTO!$E$16,[1]BD_CUSTO!$F$16,[1]BD_CUSTO!$F$17)</f>
        <v>720</v>
      </c>
      <c r="AD17" s="22" t="s">
        <v>110</v>
      </c>
      <c r="AE17" s="22">
        <v>1</v>
      </c>
      <c r="AF17" s="22" t="s">
        <v>107</v>
      </c>
      <c r="AG17" s="22">
        <v>1</v>
      </c>
      <c r="AH17" s="22" t="s">
        <v>121</v>
      </c>
      <c r="AI17" s="22">
        <v>1</v>
      </c>
      <c r="AJ17" s="22" t="s">
        <v>109</v>
      </c>
      <c r="AK17" s="22">
        <v>1</v>
      </c>
      <c r="AL17" s="22" t="s">
        <v>108</v>
      </c>
      <c r="AM17" s="22">
        <v>1</v>
      </c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4">
        <f>IF(AD17="",0,VLOOKUP(AD17,[1]BD_CUSTO!I:J,2,0)*AE17/E17)</f>
        <v>16.987179487179485</v>
      </c>
      <c r="AY17" s="24">
        <f>IF(AF17="",0,VLOOKUP(AF17,[1]BD_CUSTO!I:J,2,0)*AG17/E17)</f>
        <v>272.91384615384612</v>
      </c>
      <c r="AZ17" s="24">
        <f>IF(AH17="",0,VLOOKUP(AH17,[1]BD_CUSTO!I:J,2,0)*AI17/E17)</f>
        <v>394.7336538461538</v>
      </c>
      <c r="BA17" s="24">
        <f>IF(AJ17="",0,VLOOKUP(AJ17,[1]BD_CUSTO!I:J,2,0)*AK17/E17)</f>
        <v>22.275641025641026</v>
      </c>
      <c r="BB17" s="24">
        <f>IF(AL17="",0,VLOOKUP(AL17,[1]BD_CUSTO!I:J,2,0)*AM17/E17)</f>
        <v>74.198717948717942</v>
      </c>
      <c r="BC17" s="24">
        <f>IF(AN17="",0,VLOOKUP(AN17,[1]BD_CUSTO!I:J,2,0)*AO17/E17)</f>
        <v>0</v>
      </c>
      <c r="BD17" s="24">
        <f>IF(AP17="",0,VLOOKUP(AP17,[1]BD_CUSTO!I:J,2,0)*AQ17/E17)</f>
        <v>0</v>
      </c>
      <c r="BE17" s="24">
        <f>IF(AR17="",0,VLOOKUP(AR17,CUSTO!I:J,2,0)*AS17/E17)</f>
        <v>0</v>
      </c>
      <c r="BF17" s="24">
        <f>IF(AT17="",0,VLOOKUP(AT17,[1]BD_CUSTO!I:J,2,0)*AU17/E17)</f>
        <v>0</v>
      </c>
      <c r="BG17" s="24">
        <f>IF(Tabela1[[#This Row],[LZ 10]]="",0,VLOOKUP(Tabela1[[#This Row],[LZ 10]],[1]BD_CUSTO!I:J,2,0)*Tabela1[[#This Row],[QTD922]]/E17)</f>
        <v>0</v>
      </c>
      <c r="BH17" s="22" t="s">
        <v>112</v>
      </c>
      <c r="BI17" s="25">
        <f>208/Tabela1[[#This Row],[Nº UNDS]]</f>
        <v>0.66666666666666663</v>
      </c>
      <c r="BJ17" s="22" t="s">
        <v>113</v>
      </c>
      <c r="BK17" s="25">
        <v>0</v>
      </c>
      <c r="BL17" s="24">
        <f>IF(BH17=[1]BD_CUSTO!$M$6,[1]BD_CUSTO!$N$6)*BI17</f>
        <v>2000</v>
      </c>
      <c r="BM17" s="24">
        <f>IF(BJ17=[1]BD_CUSTO!$M$4,[1]BD_CUSTO!$N$4,[1]BD_CUSTO!$N$5)*BK17</f>
        <v>0</v>
      </c>
      <c r="BN17" s="22" t="s">
        <v>114</v>
      </c>
      <c r="BO17" s="22">
        <f>30+2+1</f>
        <v>33</v>
      </c>
      <c r="BP17" s="25">
        <f>Tabela1[[#This Row],[QTD ]]/Tabela1[[#This Row],[Nº UNDS]]</f>
        <v>0.10576923076923077</v>
      </c>
      <c r="BQ17" s="22" t="s">
        <v>123</v>
      </c>
      <c r="BR17" s="22">
        <v>2</v>
      </c>
      <c r="BS17" s="22" t="s">
        <v>116</v>
      </c>
      <c r="BT17" s="22">
        <v>0</v>
      </c>
      <c r="BU17" s="22" t="s">
        <v>16</v>
      </c>
      <c r="BV17" s="22">
        <v>0</v>
      </c>
      <c r="BW17" s="24">
        <f>IF(BN17=[1]BD_CUSTO!$Q$7,[1]BD_CUSTO!$R$7,[1]BD_CUSTO!$R$8)*BO17/E17</f>
        <v>211.53846153846155</v>
      </c>
      <c r="BX17" s="24">
        <f>IF(BQ17=[1]BD_CUSTO!$Q$4,[1]BD_CUSTO!$R$4,[1]BD_CUSTO!$R$5)*BR17/E17</f>
        <v>6.4102564102564106</v>
      </c>
      <c r="BY17" s="22">
        <f>IF(BS17=[1]BD_CUSTO!$Q$13,[1]BD_CUSTO!$R$13,[1]BD_CUSTO!$R$14)*BT17/E17</f>
        <v>0</v>
      </c>
      <c r="BZ17" s="24">
        <f>BV17*CUSTO!$R$10/E17</f>
        <v>0</v>
      </c>
      <c r="CA17" s="178">
        <f>SUM(Tabela1[[#This Row],[SOMA_PISO SALA E QUARTO]],Tabela1[[#This Row],[SOMA_PAREDE HIDR]],Tabela1[[#This Row],[SOMA_TETO]],Tabela1[[#This Row],[SOMA_BANCADA]],Tabela1[[#This Row],[SOMA_PEDRAS]])</f>
        <v>2390</v>
      </c>
      <c r="CB17" s="27" t="str">
        <f>IF(CA17&lt;=RÉGUAS!$D$4,"ACAB 01",IF(CA17&lt;=RÉGUAS!$F$4,"ACAB 02",IF(CA17&gt;RÉGUAS!$F$4,"ACAB 03",)))</f>
        <v>ACAB 01</v>
      </c>
      <c r="CC17" s="26">
        <f>SUM(Tabela1[[#This Row],[SOMA_LZ 01]:[SOMA_LZ 10]])</f>
        <v>781.10903846153838</v>
      </c>
      <c r="CD17" s="22" t="str">
        <f>IF(CC17&lt;=RÉGUAS!$D$13,"LZ 01",IF(CC17&lt;=RÉGUAS!$F$13,"LZ 02",IF(CC17&lt;=RÉGUAS!$H$13,"LZ 03",IF(CC17&gt;RÉGUAS!$H$13,"LZ 04",))))</f>
        <v>LZ 01</v>
      </c>
      <c r="CE17" s="28">
        <f t="shared" si="1"/>
        <v>2000</v>
      </c>
      <c r="CF17" s="22" t="str">
        <f>IF(CE17&lt;=RÉGUAS!$D$22,"TIP 01",IF(CE17&lt;=RÉGUAS!$F$22,"TIP 02",IF(CE17&gt;RÉGUAS!$F$22,"TIP 03",)))</f>
        <v>TIP 02</v>
      </c>
      <c r="CG17" s="28">
        <f t="shared" si="2"/>
        <v>217.94871794871796</v>
      </c>
      <c r="CH17" s="22" t="str">
        <f>IF(CG17&lt;=RÉGUAS!$D$32,"VAGA 01",IF(CG17&lt;=RÉGUAS!$F$32,"VAGA 02",IF(CG17&gt;RÉGUAS!$F$32,"VAGA 03",)))</f>
        <v>VAGA 01</v>
      </c>
      <c r="CI17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2796.5</v>
      </c>
      <c r="CJ17" s="85" t="str">
        <f>IF(AND(G17="BLOCO",CI17&lt;=RÉGUAS!$D$40),"ELEV 01",IF(AND(G17="BLOCO",CI17&gt;RÉGUAS!$D$40),"ELEV 02",IF(AND(G17="TORRE",CI17&lt;=RÉGUAS!$K$40),"ELEV 01",IF(AND(G17="TORRE",CI17&lt;=RÉGUAS!$M$40),"ELEV 02",IF(AND(G17="TORRE",CI17&gt;RÉGUAS!$M$40),"ELEV 03",)))))</f>
        <v>ELEV 03</v>
      </c>
      <c r="CK17" s="85">
        <f>SUM(Tabela1[[#This Row],[TOTAL  ACAB]],Tabela1[[#This Row],[TOTAL LAZER ]],Tabela1[[#This Row],[TOTAL TIPOLOGIA]],Tabela1[[#This Row],[TOTAL VAGA]],Tabela1[[#This Row],[TOTAL ELEVADOR]])</f>
        <v>8185.5577564102559</v>
      </c>
      <c r="CL17" s="72" t="str">
        <f>IF(AND(G17="BLOCO",CK17&lt;=RÉGUAS!$D$50),"ESSENCIAL",IF(AND(G17="BLOCO",CK17&lt;=RÉGUAS!$F$50),"ECO",IF(AND(G17="BLOCO",CK17&gt;RÉGUAS!$F$50),"BIO",IF(AND(G17="TORRE",CK17&lt;=RÉGUAS!$K$50),"ESSENCIAL",IF(AND(G17="TORRE",CK17&lt;=RÉGUAS!$M$50),"ECO",IF(AND(G17="TORRE",CK17&gt;RÉGUAS!$M$50),"BIO",))))))</f>
        <v>ESSENCIAL</v>
      </c>
      <c r="CM17" s="28" t="str">
        <f>IF(AND(G17="BLOCO",CK17&gt;=RÉGUAS!$D$51,CK17&lt;=RÉGUAS!$D$50),"ESSENCIAL-10%",IF(AND(G17="BLOCO",CK17&gt;RÉGUAS!$D$50,CK17&lt;=RÉGUAS!$E$51),"ECO+10%",IF(AND(G17="BLOCO",CK17&gt;=RÉGUAS!$F$51,CK17&lt;=RÉGUAS!$F$50),"ECO-10%",IF(AND(G17="BLOCO",CK17&gt;RÉGUAS!$F$50,CK17&lt;=RÉGUAS!$G$51),"BIO+10%",IF(AND(G17="TORRE",CK17&gt;=RÉGUAS!$K$51,CK17&lt;=RÉGUAS!$K$50),"ESSENCIAL-10%",IF(AND(G17="TORRE",CK17&gt;RÉGUAS!$K$50,CK17&lt;=RÉGUAS!$L$51),"ECO+10%",IF(AND(G17="TORRE",CK17&gt;=RÉGUAS!$M$51,CK17&lt;=RÉGUAS!$M$50),"ECO-10%",IF(AND(G17="TORRE",CK17&gt;RÉGUAS!$M$50,CK17&lt;=RÉGUAS!$N$51),"BIO+10%","-"))))))))</f>
        <v>-</v>
      </c>
      <c r="CN17" s="73">
        <f t="shared" si="3"/>
        <v>5389.0577564102559</v>
      </c>
      <c r="CO17" s="72" t="str">
        <f>IF(CN17&lt;=RÉGUAS!$D$58,"ESSENCIAL",IF(CN17&lt;=RÉGUAS!$F$58,"ECO",IF(CN17&gt;RÉGUAS!$F$58,"BIO",)))</f>
        <v>ESSENCIAL</v>
      </c>
      <c r="CP17" s="72" t="str">
        <f>IF(Tabela1[[#This Row],[INTERVALO DE INTERSEÇÃO 5D]]="-",Tabela1[[#This Row],[CLASSIFICAÇÃO 
5D ]],Tabela1[[#This Row],[CLASSIFICAÇÃO 
4D]])</f>
        <v>ESSENCIAL</v>
      </c>
      <c r="CQ17" s="72" t="str">
        <f t="shared" si="4"/>
        <v>-</v>
      </c>
      <c r="CR17" s="72" t="str">
        <f t="shared" si="5"/>
        <v>ESSENCIAL</v>
      </c>
      <c r="CS17" s="22" t="str">
        <f>IF(Tabela1[[#This Row],[PRODUTO ATUAL ]]=Tabela1[[#This Row],[CLASSIFICAÇÃO FINAL 5D]],"ADERÊNTE","NÃO ADERÊNTE")</f>
        <v>ADERÊNTE</v>
      </c>
      <c r="CT17" s="24">
        <f>SUM(Tabela1[[#This Row],[TOTAL  ACAB]],Tabela1[[#This Row],[TOTAL LAZER ]],Tabela1[[#This Row],[TOTAL TIPOLOGIA]],Tabela1[[#This Row],[TOTAL VAGA]])</f>
        <v>5389.0577564102559</v>
      </c>
      <c r="CU17" s="22" t="str">
        <f>IF(CT17&lt;=RÉGUAS!$D$58,"ESSENCIAL",IF(CT17&lt;=RÉGUAS!$F$58,"ECO",IF(CT17&gt;RÉGUAS!$F$58,"BIO",)))</f>
        <v>ESSENCIAL</v>
      </c>
      <c r="CV17" s="22" t="str">
        <f>IF(AND(CT17&gt;=RÉGUAS!$D$59,CT17&lt;=RÉGUAS!$E$59),"ESSENCIAL/ECO",IF(AND(CT17&gt;=RÉGUAS!$F$59,CT17&lt;=RÉGUAS!$G$59),"ECO/BIO","-"))</f>
        <v>-</v>
      </c>
      <c r="CW17" s="85">
        <f>SUM(Tabela1[[#This Row],[TOTAL LAZER ]],Tabela1[[#This Row],[TOTAL TIPOLOGIA]])</f>
        <v>2781.1090384615381</v>
      </c>
      <c r="CX17" s="22" t="str">
        <f>IF(CW17&lt;=RÉGUAS!$D$72,"ESSENCIAL",IF(CW17&lt;=RÉGUAS!$F$72,"ECO",IF(CN17&gt;RÉGUAS!$F$72,"BIO",)))</f>
        <v>ECO</v>
      </c>
      <c r="CY17" s="22" t="str">
        <f t="shared" si="6"/>
        <v>ESSENCIAL</v>
      </c>
      <c r="CZ17" s="22" t="str">
        <f>IF(Tabela1[[#This Row],[PRODUTO ATUAL ]]=CY17,"ADERENTE","NÃO ADERENTE")</f>
        <v>ADERENTE</v>
      </c>
      <c r="DA17" s="22" t="str">
        <f>IF(Tabela1[[#This Row],[PRODUTO ATUAL ]]=Tabela1[[#This Row],[CLASSIFICAÇÃO 
4D2]],"ADERENTE","NÃO ADERENTE")</f>
        <v>ADERENTE</v>
      </c>
    </row>
    <row r="18" spans="2:105" hidden="1" x14ac:dyDescent="0.35">
      <c r="B18" s="27">
        <v>35</v>
      </c>
      <c r="C18" s="22" t="s">
        <v>171</v>
      </c>
      <c r="D18" s="22" t="s">
        <v>118</v>
      </c>
      <c r="E18" s="23">
        <v>1064</v>
      </c>
      <c r="F18" s="22" t="str">
        <f t="shared" si="0"/>
        <v>Acima de 400 und</v>
      </c>
      <c r="G18" s="22" t="s">
        <v>14</v>
      </c>
      <c r="H18" s="36">
        <v>5</v>
      </c>
      <c r="I18" s="36">
        <v>18</v>
      </c>
      <c r="J18" s="36"/>
      <c r="K18" s="36"/>
      <c r="L18" s="36">
        <f>SUM(Tabela1[[#This Row],[QTD DE B/T 2]],Tabela1[[#This Row],[QTD DE B/T]])</f>
        <v>5</v>
      </c>
      <c r="M18" s="22">
        <v>20</v>
      </c>
      <c r="N18" s="22">
        <f>Tabela1[[#This Row],[ELEVADOR]]/Tabela1[[#This Row],[BLOCO TOTAL]]</f>
        <v>4</v>
      </c>
      <c r="O18" s="22" t="s">
        <v>6</v>
      </c>
      <c r="P18" s="22" t="s">
        <v>119</v>
      </c>
      <c r="Q18" s="22" t="s">
        <v>101</v>
      </c>
      <c r="R18" s="22" t="s">
        <v>142</v>
      </c>
      <c r="S18" s="22" t="s">
        <v>103</v>
      </c>
      <c r="T18" s="22" t="s">
        <v>104</v>
      </c>
      <c r="U18" s="22" t="s">
        <v>105</v>
      </c>
      <c r="V18" s="22" t="s">
        <v>106</v>
      </c>
      <c r="W18" s="24">
        <f>IF(P18=[1]BD_CUSTO!$E$4,[1]BD_CUSTO!$F$4,[1]BD_CUSTO!$F$5)</f>
        <v>530</v>
      </c>
      <c r="X18" s="24">
        <f>IF(Q18=[1]BD_CUSTO!$E$6,[1]BD_CUSTO!$F$6,[1]BD_CUSTO!$F$7)</f>
        <v>260</v>
      </c>
      <c r="Y18" s="24">
        <f>IF(R18=[1]BD_CUSTO!$E$8,[1]BD_CUSTO!$F$8,[1]BD_CUSTO!$F$9)</f>
        <v>900</v>
      </c>
      <c r="Z18" s="24">
        <f>IF(S18=[1]BD_CUSTO!$E$10,[1]BD_CUSTO!$F$10,[1]BD_CUSTO!$F$11)</f>
        <v>500</v>
      </c>
      <c r="AA18" s="24">
        <f>IF(T18=[1]BD_CUSTO!$E$12,[1]BD_CUSTO!$F$12,[1]BD_CUSTO!$F$13)</f>
        <v>370</v>
      </c>
      <c r="AB18" s="24">
        <f>IF(U18=[1]BD_CUSTO!$E$14,[1]BD_CUSTO!$F$14,[1]BD_CUSTO!$F$15)</f>
        <v>90</v>
      </c>
      <c r="AC18" s="24">
        <f>IF(V18=[1]BD_CUSTO!$E$16,[1]BD_CUSTO!$F$16,[1]BD_CUSTO!$F$17)</f>
        <v>720</v>
      </c>
      <c r="AD18" s="22" t="s">
        <v>135</v>
      </c>
      <c r="AE18" s="22">
        <v>1</v>
      </c>
      <c r="AF18" s="22" t="s">
        <v>107</v>
      </c>
      <c r="AG18" s="22">
        <v>2</v>
      </c>
      <c r="AH18" s="22" t="s">
        <v>121</v>
      </c>
      <c r="AI18" s="22">
        <v>1</v>
      </c>
      <c r="AJ18" s="22" t="s">
        <v>139</v>
      </c>
      <c r="AK18" s="22">
        <v>1</v>
      </c>
      <c r="AL18" s="22" t="s">
        <v>108</v>
      </c>
      <c r="AM18" s="22">
        <v>1</v>
      </c>
      <c r="AN18" s="22" t="s">
        <v>110</v>
      </c>
      <c r="AO18" s="22">
        <v>1</v>
      </c>
      <c r="AP18" s="22"/>
      <c r="AQ18" s="22"/>
      <c r="AR18" s="22"/>
      <c r="AS18" s="22"/>
      <c r="AT18" s="22"/>
      <c r="AU18" s="22"/>
      <c r="AV18" s="22"/>
      <c r="AW18" s="22"/>
      <c r="AX18" s="24">
        <f>IF(AD18="",0,VLOOKUP(AD18,[1]BD_CUSTO!I:J,2,0)*AE18/E18)</f>
        <v>118.48556390977444</v>
      </c>
      <c r="AY18" s="24">
        <f>IF(AF18="",0,VLOOKUP(AF18,[1]BD_CUSTO!I:J,2,0)*AG18/E18)</f>
        <v>160.05473684210526</v>
      </c>
      <c r="AZ18" s="24">
        <f>IF(AH18="",0,VLOOKUP(AH18,[1]BD_CUSTO!I:J,2,0)*AI18/E18)</f>
        <v>115.74896616541353</v>
      </c>
      <c r="BA18" s="24">
        <f>IF(AJ18="",0,VLOOKUP(AJ18,[1]BD_CUSTO!I:J,2,0)*AK18/E18)</f>
        <v>58.417593984962409</v>
      </c>
      <c r="BB18" s="24">
        <f>IF(AL18="",0,VLOOKUP(AL18,[1]BD_CUSTO!I:J,2,0)*AM18/E18)</f>
        <v>21.757518796992482</v>
      </c>
      <c r="BC18" s="24">
        <f>IF(AN18="",0,VLOOKUP(AN18,[1]BD_CUSTO!I:J,2,0)*AO18/E18)</f>
        <v>4.981203007518797</v>
      </c>
      <c r="BD18" s="24">
        <f>IF(AP18="",0,VLOOKUP(AP18,[1]BD_CUSTO!I:J,2,0)*AQ18/E18)</f>
        <v>0</v>
      </c>
      <c r="BE18" s="24">
        <f>IF(AR18="",0,VLOOKUP(AR18,CUSTO!I:J,2,0)*AS18/E18)</f>
        <v>0</v>
      </c>
      <c r="BF18" s="24">
        <f>IF(AT18="",0,VLOOKUP(AT18,[1]BD_CUSTO!I:J,2,0)*AU18/E18)</f>
        <v>0</v>
      </c>
      <c r="BG18" s="24">
        <f>IF(Tabela1[[#This Row],[LZ 10]]="",0,VLOOKUP(Tabela1[[#This Row],[LZ 10]],[1]BD_CUSTO!I:J,2,0)*Tabela1[[#This Row],[QTD922]]/E18)</f>
        <v>0</v>
      </c>
      <c r="BH18" s="22" t="s">
        <v>122</v>
      </c>
      <c r="BI18" s="25">
        <v>0</v>
      </c>
      <c r="BJ18" s="22" t="s">
        <v>113</v>
      </c>
      <c r="BK18" s="25">
        <v>0</v>
      </c>
      <c r="BL18" s="24">
        <f>IF(BH18=[1]BD_CUSTO!$M$6,[1]BD_CUSTO!$N$6)*BI18</f>
        <v>0</v>
      </c>
      <c r="BM18" s="24">
        <f>IF(BJ18=[1]BD_CUSTO!$M$4,[1]BD_CUSTO!$N$4,[1]BD_CUSTO!$N$5)*BK18</f>
        <v>0</v>
      </c>
      <c r="BN18" s="22" t="s">
        <v>114</v>
      </c>
      <c r="BO18" s="22">
        <v>159</v>
      </c>
      <c r="BP18" s="25">
        <f>Tabela1[[#This Row],[QTD ]]/Tabela1[[#This Row],[Nº UNDS]]</f>
        <v>0.14943609022556392</v>
      </c>
      <c r="BQ18" s="22" t="s">
        <v>115</v>
      </c>
      <c r="BR18" s="22">
        <v>0</v>
      </c>
      <c r="BS18" s="22" t="s">
        <v>116</v>
      </c>
      <c r="BT18" s="22">
        <v>0</v>
      </c>
      <c r="BU18" s="22" t="s">
        <v>16</v>
      </c>
      <c r="BV18" s="22">
        <v>0</v>
      </c>
      <c r="BW18" s="24">
        <f>IF(BN18=[1]BD_CUSTO!$Q$7,[1]BD_CUSTO!$R$7,[1]BD_CUSTO!$R$8)*BO18/E18</f>
        <v>298.8721804511278</v>
      </c>
      <c r="BX18" s="24">
        <f>IF(BQ18=[1]BD_CUSTO!$Q$4,[1]BD_CUSTO!$R$4,[1]BD_CUSTO!$R$5)*BR18/E18</f>
        <v>0</v>
      </c>
      <c r="BY18" s="22">
        <f>IF(BS18=[1]BD_CUSTO!$Q$13,[1]BD_CUSTO!$R$13,[1]BD_CUSTO!$R$14)*BT18/E18</f>
        <v>0</v>
      </c>
      <c r="BZ18" s="24">
        <f>BV18*CUSTO!$R$10/E18</f>
        <v>0</v>
      </c>
      <c r="CA18" s="178">
        <f>SUM(Tabela1[[#This Row],[SOMA_PISO SALA E QUARTO]],Tabela1[[#This Row],[SOMA_PAREDE HIDR]],Tabela1[[#This Row],[SOMA_TETO]],Tabela1[[#This Row],[SOMA_BANCADA]],Tabela1[[#This Row],[SOMA_PEDRAS]])</f>
        <v>2390</v>
      </c>
      <c r="CB18" s="27" t="str">
        <f>IF(CA18&lt;=RÉGUAS!$D$4,"ACAB 01",IF(CA18&lt;=RÉGUAS!$F$4,"ACAB 02",IF(CA18&gt;RÉGUAS!$F$4,"ACAB 03",)))</f>
        <v>ACAB 01</v>
      </c>
      <c r="CC18" s="26">
        <f>SUM(Tabela1[[#This Row],[SOMA_LZ 01]:[SOMA_LZ 10]])</f>
        <v>479.44558270676697</v>
      </c>
      <c r="CD18" s="22" t="str">
        <f>IF(CC18&lt;=RÉGUAS!$D$13,"LZ 01",IF(CC18&lt;=RÉGUAS!$F$13,"LZ 02",IF(CC18&lt;=RÉGUAS!$H$13,"LZ 03",IF(CC18&gt;RÉGUAS!$H$13,"LZ 04",))))</f>
        <v>LZ 01</v>
      </c>
      <c r="CE18" s="28">
        <f t="shared" si="1"/>
        <v>0</v>
      </c>
      <c r="CF18" s="22" t="str">
        <f>IF(CE18&lt;=RÉGUAS!$D$22,"TIP 01",IF(CE18&lt;=RÉGUAS!$F$22,"TIP 02",IF(CE18&gt;RÉGUAS!$F$22,"TIP 03",)))</f>
        <v>TIP 01</v>
      </c>
      <c r="CG18" s="28">
        <f t="shared" si="2"/>
        <v>298.8721804511278</v>
      </c>
      <c r="CH18" s="22" t="str">
        <f>IF(CG18&lt;=RÉGUAS!$D$32,"VAGA 01",IF(CG18&lt;=RÉGUAS!$F$32,"VAGA 02",IF(CG18&gt;RÉGUAS!$F$32,"VAGA 03",)))</f>
        <v>VAGA 01</v>
      </c>
      <c r="CI18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5677.105263157895</v>
      </c>
      <c r="CJ18" s="85" t="str">
        <f>IF(AND(G18="BLOCO",CI18&lt;=RÉGUAS!$D$40),"ELEV 01",IF(AND(G18="BLOCO",CI18&gt;RÉGUAS!$D$40),"ELEV 02",IF(AND(G18="TORRE",CI18&lt;=RÉGUAS!$K$40),"ELEV 01",IF(AND(G18="TORRE",CI18&lt;=RÉGUAS!$M$40),"ELEV 02",IF(AND(G18="TORRE",CI18&gt;RÉGUAS!$M$40),"ELEV 03",)))))</f>
        <v>ELEV 03</v>
      </c>
      <c r="CK18" s="85">
        <f>SUM(Tabela1[[#This Row],[TOTAL  ACAB]],Tabela1[[#This Row],[TOTAL LAZER ]],Tabela1[[#This Row],[TOTAL TIPOLOGIA]],Tabela1[[#This Row],[TOTAL VAGA]],Tabela1[[#This Row],[TOTAL ELEVADOR]])</f>
        <v>8845.4230263157897</v>
      </c>
      <c r="CL18" s="72" t="str">
        <f>IF(AND(G18="BLOCO",CK18&lt;=RÉGUAS!$D$50),"ESSENCIAL",IF(AND(G18="BLOCO",CK18&lt;=RÉGUAS!$F$50),"ECO",IF(AND(G18="BLOCO",CK18&gt;RÉGUAS!$F$50),"BIO",IF(AND(G18="TORRE",CK18&lt;=RÉGUAS!$K$50),"ESSENCIAL",IF(AND(G18="TORRE",CK18&lt;=RÉGUAS!$M$50),"ECO",IF(AND(G18="TORRE",CK18&gt;RÉGUAS!$M$50),"BIO",))))))</f>
        <v>ESSENCIAL</v>
      </c>
      <c r="CM18" s="28" t="str">
        <f>IF(AND(G18="BLOCO",CK18&gt;=RÉGUAS!$D$51,CK18&lt;=RÉGUAS!$D$50),"ESSENCIAL-10%",IF(AND(G18="BLOCO",CK18&gt;RÉGUAS!$D$50,CK18&lt;=RÉGUAS!$E$51),"ECO+10%",IF(AND(G18="BLOCO",CK18&gt;=RÉGUAS!$F$51,CK18&lt;=RÉGUAS!$F$50),"ECO-10%",IF(AND(G18="BLOCO",CK18&gt;RÉGUAS!$F$50,CK18&lt;=RÉGUAS!$G$51),"BIO+10%",IF(AND(G18="TORRE",CK18&gt;=RÉGUAS!$K$51,CK18&lt;=RÉGUAS!$K$50),"ESSENCIAL-10%",IF(AND(G18="TORRE",CK18&gt;RÉGUAS!$K$50,CK18&lt;=RÉGUAS!$L$51),"ECO+10%",IF(AND(G18="TORRE",CK18&gt;=RÉGUAS!$M$51,CK18&lt;=RÉGUAS!$M$50),"ECO-10%",IF(AND(G18="TORRE",CK18&gt;RÉGUAS!$M$50,CK18&lt;=RÉGUAS!$N$51),"BIO+10%","-"))))))))</f>
        <v>-</v>
      </c>
      <c r="CN18" s="73">
        <f t="shared" si="3"/>
        <v>3168.3177631578947</v>
      </c>
      <c r="CO18" s="72" t="str">
        <f>IF(CN18&lt;=RÉGUAS!$D$58,"ESSENCIAL",IF(CN18&lt;=RÉGUAS!$F$58,"ECO",IF(CN18&gt;RÉGUAS!$F$58,"BIO",)))</f>
        <v>ESSENCIAL</v>
      </c>
      <c r="CP18" s="72" t="str">
        <f>IF(Tabela1[[#This Row],[INTERVALO DE INTERSEÇÃO 5D]]="-",Tabela1[[#This Row],[CLASSIFICAÇÃO 
5D ]],Tabela1[[#This Row],[CLASSIFICAÇÃO 
4D]])</f>
        <v>ESSENCIAL</v>
      </c>
      <c r="CQ18" s="72" t="str">
        <f t="shared" si="4"/>
        <v>-</v>
      </c>
      <c r="CR18" s="72" t="str">
        <f t="shared" si="5"/>
        <v>ESSENCIAL</v>
      </c>
      <c r="CS18" s="22" t="str">
        <f>IF(Tabela1[[#This Row],[PRODUTO ATUAL ]]=Tabela1[[#This Row],[CLASSIFICAÇÃO FINAL 5D]],"ADERÊNTE","NÃO ADERÊNTE")</f>
        <v>ADERÊNTE</v>
      </c>
      <c r="CT18" s="24">
        <f>SUM(Tabela1[[#This Row],[TOTAL  ACAB]],Tabela1[[#This Row],[TOTAL LAZER ]],Tabela1[[#This Row],[TOTAL TIPOLOGIA]],Tabela1[[#This Row],[TOTAL VAGA]])</f>
        <v>3168.3177631578947</v>
      </c>
      <c r="CU18" s="22" t="str">
        <f>IF(CT18&lt;=RÉGUAS!$D$58,"ESSENCIAL",IF(CT18&lt;=RÉGUAS!$F$58,"ECO",IF(CT18&gt;RÉGUAS!$F$58,"BIO",)))</f>
        <v>ESSENCIAL</v>
      </c>
      <c r="CV18" s="22" t="str">
        <f>IF(AND(CT18&gt;=RÉGUAS!$D$59,CT18&lt;=RÉGUAS!$E$59),"ESSENCIAL/ECO",IF(AND(CT18&gt;=RÉGUAS!$F$59,CT18&lt;=RÉGUAS!$G$59),"ECO/BIO","-"))</f>
        <v>-</v>
      </c>
      <c r="CW18" s="85">
        <f>SUM(Tabela1[[#This Row],[TOTAL LAZER ]],Tabela1[[#This Row],[TOTAL TIPOLOGIA]])</f>
        <v>479.44558270676697</v>
      </c>
      <c r="CX18" s="22" t="str">
        <f>IF(CW18&lt;=RÉGUAS!$D$72,"ESSENCIAL",IF(CW18&lt;=RÉGUAS!$F$72,"ECO",IF(CN18&gt;RÉGUAS!$F$72,"BIO",)))</f>
        <v>ESSENCIAL</v>
      </c>
      <c r="CY18" s="22" t="str">
        <f t="shared" si="6"/>
        <v>ESSENCIAL</v>
      </c>
      <c r="CZ18" s="22" t="str">
        <f>IF(Tabela1[[#This Row],[PRODUTO ATUAL ]]=CY18,"ADERENTE","NÃO ADERENTE")</f>
        <v>ADERENTE</v>
      </c>
      <c r="DA18" s="22" t="str">
        <f>IF(Tabela1[[#This Row],[PRODUTO ATUAL ]]=Tabela1[[#This Row],[CLASSIFICAÇÃO 
4D2]],"ADERENTE","NÃO ADERENTE")</f>
        <v>ADERENTE</v>
      </c>
    </row>
    <row r="19" spans="2:105" hidden="1" x14ac:dyDescent="0.35">
      <c r="B19" s="27">
        <v>28</v>
      </c>
      <c r="C19" s="22" t="s">
        <v>166</v>
      </c>
      <c r="D19" s="22" t="s">
        <v>118</v>
      </c>
      <c r="E19" s="23">
        <v>709</v>
      </c>
      <c r="F19" s="22" t="str">
        <f t="shared" si="0"/>
        <v>Acima de 400 und</v>
      </c>
      <c r="G19" s="22" t="s">
        <v>14</v>
      </c>
      <c r="H19" s="36">
        <v>6</v>
      </c>
      <c r="I19" s="36">
        <v>10</v>
      </c>
      <c r="J19" s="36"/>
      <c r="K19" s="36"/>
      <c r="L19" s="36">
        <f>SUM(Tabela1[[#This Row],[QTD DE B/T 2]],Tabela1[[#This Row],[QTD DE B/T]])</f>
        <v>6</v>
      </c>
      <c r="M19" s="22">
        <v>12</v>
      </c>
      <c r="N19" s="22">
        <f>Tabela1[[#This Row],[ELEVADOR]]/Tabela1[[#This Row],[BLOCO TOTAL]]</f>
        <v>2</v>
      </c>
      <c r="O19" s="22" t="s">
        <v>6</v>
      </c>
      <c r="P19" s="22" t="s">
        <v>119</v>
      </c>
      <c r="Q19" s="22" t="s">
        <v>101</v>
      </c>
      <c r="R19" s="22" t="s">
        <v>142</v>
      </c>
      <c r="S19" s="22" t="s">
        <v>103</v>
      </c>
      <c r="T19" s="22" t="s">
        <v>104</v>
      </c>
      <c r="U19" s="22" t="s">
        <v>105</v>
      </c>
      <c r="V19" s="22" t="s">
        <v>106</v>
      </c>
      <c r="W19" s="24">
        <f>IF(P19=[1]BD_CUSTO!$E$4,[1]BD_CUSTO!$F$4,[1]BD_CUSTO!$F$5)</f>
        <v>530</v>
      </c>
      <c r="X19" s="24">
        <f>IF(Q19=[1]BD_CUSTO!$E$6,[1]BD_CUSTO!$F$6,[1]BD_CUSTO!$F$7)</f>
        <v>260</v>
      </c>
      <c r="Y19" s="24">
        <f>IF(R19=[1]BD_CUSTO!$E$8,[1]BD_CUSTO!$F$8,[1]BD_CUSTO!$F$9)</f>
        <v>900</v>
      </c>
      <c r="Z19" s="24">
        <f>IF(S19=[1]BD_CUSTO!$E$10,[1]BD_CUSTO!$F$10,[1]BD_CUSTO!$F$11)</f>
        <v>500</v>
      </c>
      <c r="AA19" s="24">
        <f>IF(T19=[1]BD_CUSTO!$E$12,[1]BD_CUSTO!$F$12,[1]BD_CUSTO!$F$13)</f>
        <v>370</v>
      </c>
      <c r="AB19" s="24">
        <f>IF(U19=[1]BD_CUSTO!$E$14,[1]BD_CUSTO!$F$14,[1]BD_CUSTO!$F$15)</f>
        <v>90</v>
      </c>
      <c r="AC19" s="24">
        <f>IF(V19=[1]BD_CUSTO!$E$16,[1]BD_CUSTO!$F$16,[1]BD_CUSTO!$F$17)</f>
        <v>720</v>
      </c>
      <c r="AD19" s="22" t="s">
        <v>121</v>
      </c>
      <c r="AE19" s="22">
        <v>1</v>
      </c>
      <c r="AF19" s="22" t="s">
        <v>107</v>
      </c>
      <c r="AG19" s="22">
        <v>2</v>
      </c>
      <c r="AH19" s="22" t="s">
        <v>108</v>
      </c>
      <c r="AI19" s="22">
        <v>1</v>
      </c>
      <c r="AJ19" s="22" t="s">
        <v>139</v>
      </c>
      <c r="AK19" s="22">
        <v>1</v>
      </c>
      <c r="AL19" s="22" t="s">
        <v>151</v>
      </c>
      <c r="AM19" s="22">
        <v>1</v>
      </c>
      <c r="AN19" s="22" t="s">
        <v>108</v>
      </c>
      <c r="AO19" s="22">
        <v>1</v>
      </c>
      <c r="AP19" s="22" t="s">
        <v>167</v>
      </c>
      <c r="AQ19" s="22">
        <v>1</v>
      </c>
      <c r="AR19" s="22" t="s">
        <v>110</v>
      </c>
      <c r="AS19" s="22">
        <v>1</v>
      </c>
      <c r="AT19" s="22"/>
      <c r="AU19" s="22"/>
      <c r="AV19" s="22"/>
      <c r="AW19" s="22"/>
      <c r="AX19" s="24">
        <f>IF(AD19="",0,VLOOKUP(AD19,[1]BD_CUSTO!I:J,2,0)*AE19/E19)</f>
        <v>173.70507757404795</v>
      </c>
      <c r="AY19" s="24">
        <f>IF(AF19="",0,VLOOKUP(AF19,[1]BD_CUSTO!I:J,2,0)*AG19/E19)</f>
        <v>240.19497884344145</v>
      </c>
      <c r="AZ19" s="24">
        <f>IF(AH19="",0,VLOOKUP(AH19,[1]BD_CUSTO!I:J,2,0)*AI19/E19)</f>
        <v>32.651622002820872</v>
      </c>
      <c r="BA19" s="24">
        <f>IF(AJ19="",0,VLOOKUP(AJ19,[1]BD_CUSTO!I:J,2,0)*AK19/E19)</f>
        <v>87.667588152327227</v>
      </c>
      <c r="BB19" s="24">
        <f>IF(AL19="",0,VLOOKUP(AL19,[1]BD_CUSTO!I:J,2,0)*AM19/E19)</f>
        <v>112.45866008462623</v>
      </c>
      <c r="BC19" s="24">
        <f>IF(AN19="",0,VLOOKUP(AN19,[1]BD_CUSTO!I:J,2,0)*AO19/E19)</f>
        <v>32.651622002820872</v>
      </c>
      <c r="BD19" s="24">
        <f>IF(AP19="",0,VLOOKUP(AP19,[1]BD_CUSTO!I:J,2,0)*AQ19/E19)</f>
        <v>115.73358251057827</v>
      </c>
      <c r="BE19" s="24">
        <f>IF(AR19="",0,VLOOKUP(AR19,CUSTO!I:J,2,0)*AS19/E19)</f>
        <v>7.4753173483779971</v>
      </c>
      <c r="BF19" s="24">
        <f>IF(AT19="",0,VLOOKUP(AT19,[1]BD_CUSTO!I:J,2,0)*AU19/E19)</f>
        <v>0</v>
      </c>
      <c r="BG19" s="24">
        <f>IF(Tabela1[[#This Row],[LZ 10]]="",0,VLOOKUP(Tabela1[[#This Row],[LZ 10]],[1]BD_CUSTO!I:J,2,0)*Tabela1[[#This Row],[QTD922]]/E19)</f>
        <v>0</v>
      </c>
      <c r="BH19" s="22" t="s">
        <v>112</v>
      </c>
      <c r="BI19" s="25">
        <f>458/Tabela1[[#This Row],[Nº UNDS]]</f>
        <v>0.64598025387870239</v>
      </c>
      <c r="BJ19" s="22" t="s">
        <v>113</v>
      </c>
      <c r="BK19" s="25">
        <v>0</v>
      </c>
      <c r="BL19" s="24">
        <f>IF(BH19=[1]BD_CUSTO!$M$6,[1]BD_CUSTO!$N$6)*BI19</f>
        <v>1937.9407616361073</v>
      </c>
      <c r="BM19" s="24">
        <f>IF(BJ19=[1]BD_CUSTO!$M$4,[1]BD_CUSTO!$N$4,[1]BD_CUSTO!$N$5)*BK19</f>
        <v>0</v>
      </c>
      <c r="BN19" s="22" t="s">
        <v>114</v>
      </c>
      <c r="BO19" s="22">
        <v>118</v>
      </c>
      <c r="BP19" s="25">
        <f>Tabela1[[#This Row],[QTD ]]/Tabela1[[#This Row],[Nº UNDS]]</f>
        <v>0.16643159379407615</v>
      </c>
      <c r="BQ19" s="22" t="s">
        <v>115</v>
      </c>
      <c r="BR19" s="22">
        <v>0</v>
      </c>
      <c r="BS19" s="22" t="s">
        <v>116</v>
      </c>
      <c r="BT19" s="22">
        <v>0</v>
      </c>
      <c r="BU19" s="22" t="s">
        <v>16</v>
      </c>
      <c r="BV19" s="22">
        <v>0</v>
      </c>
      <c r="BW19" s="24">
        <f>IF(BN19=[1]BD_CUSTO!$Q$7,[1]BD_CUSTO!$R$7,[1]BD_CUSTO!$R$8)*BO19/E19</f>
        <v>332.8631875881523</v>
      </c>
      <c r="BX19" s="24">
        <f>IF(BQ19=[1]BD_CUSTO!$Q$4,[1]BD_CUSTO!$R$4,[1]BD_CUSTO!$R$5)*BR19/E19</f>
        <v>0</v>
      </c>
      <c r="BY19" s="22">
        <f>IF(BS19=[1]BD_CUSTO!$Q$13,[1]BD_CUSTO!$R$13,[1]BD_CUSTO!$R$14)*BT19/E19</f>
        <v>0</v>
      </c>
      <c r="BZ19" s="24">
        <f>BV19*CUSTO!$R$10/E19</f>
        <v>0</v>
      </c>
      <c r="CA19" s="178">
        <f>SUM(Tabela1[[#This Row],[SOMA_PISO SALA E QUARTO]],Tabela1[[#This Row],[SOMA_PAREDE HIDR]],Tabela1[[#This Row],[SOMA_TETO]],Tabela1[[#This Row],[SOMA_BANCADA]],Tabela1[[#This Row],[SOMA_PEDRAS]])</f>
        <v>2390</v>
      </c>
      <c r="CB19" s="27" t="str">
        <f>IF(CA19&lt;=RÉGUAS!$D$4,"ACAB 01",IF(CA19&lt;=RÉGUAS!$F$4,"ACAB 02",IF(CA19&gt;RÉGUAS!$F$4,"ACAB 03",)))</f>
        <v>ACAB 01</v>
      </c>
      <c r="CC19" s="26">
        <f>SUM(Tabela1[[#This Row],[SOMA_LZ 01]:[SOMA_LZ 10]])</f>
        <v>802.5384485190408</v>
      </c>
      <c r="CD19" s="22" t="str">
        <f>IF(CC19&lt;=RÉGUAS!$D$13,"LZ 01",IF(CC19&lt;=RÉGUAS!$F$13,"LZ 02",IF(CC19&lt;=RÉGUAS!$H$13,"LZ 03",IF(CC19&gt;RÉGUAS!$H$13,"LZ 04",))))</f>
        <v>LZ 01</v>
      </c>
      <c r="CE19" s="28">
        <f t="shared" si="1"/>
        <v>1937.9407616361073</v>
      </c>
      <c r="CF19" s="22" t="str">
        <f>IF(CE19&lt;=RÉGUAS!$D$22,"TIP 01",IF(CE19&lt;=RÉGUAS!$F$22,"TIP 02",IF(CE19&gt;RÉGUAS!$F$22,"TIP 03",)))</f>
        <v>TIP 02</v>
      </c>
      <c r="CG19" s="28">
        <f t="shared" si="2"/>
        <v>332.8631875881523</v>
      </c>
      <c r="CH19" s="22" t="str">
        <f>IF(CG19&lt;=RÉGUAS!$D$32,"VAGA 01",IF(CG19&lt;=RÉGUAS!$F$32,"VAGA 02",IF(CG19&gt;RÉGUAS!$F$32,"VAGA 03",)))</f>
        <v>VAGA 01</v>
      </c>
      <c r="CI19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3341.8899858956274</v>
      </c>
      <c r="CJ19" s="85" t="str">
        <f>IF(AND(G19="BLOCO",CI19&lt;=RÉGUAS!$D$40),"ELEV 01",IF(AND(G19="BLOCO",CI19&gt;RÉGUAS!$D$40),"ELEV 02",IF(AND(G19="TORRE",CI19&lt;=RÉGUAS!$K$40),"ELEV 01",IF(AND(G19="TORRE",CI19&lt;=RÉGUAS!$M$40),"ELEV 02",IF(AND(G19="TORRE",CI19&gt;RÉGUAS!$M$40),"ELEV 03",)))))</f>
        <v>ELEV 03</v>
      </c>
      <c r="CK19" s="85">
        <f>SUM(Tabela1[[#This Row],[TOTAL  ACAB]],Tabela1[[#This Row],[TOTAL LAZER ]],Tabela1[[#This Row],[TOTAL TIPOLOGIA]],Tabela1[[#This Row],[TOTAL VAGA]],Tabela1[[#This Row],[TOTAL ELEVADOR]])</f>
        <v>8805.2323836389278</v>
      </c>
      <c r="CL19" s="72" t="str">
        <f>IF(AND(G19="BLOCO",CK19&lt;=RÉGUAS!$D$50),"ESSENCIAL",IF(AND(G19="BLOCO",CK19&lt;=RÉGUAS!$F$50),"ECO",IF(AND(G19="BLOCO",CK19&gt;RÉGUAS!$F$50),"BIO",IF(AND(G19="TORRE",CK19&lt;=RÉGUAS!$K$50),"ESSENCIAL",IF(AND(G19="TORRE",CK19&lt;=RÉGUAS!$M$50),"ECO",IF(AND(G19="TORRE",CK19&gt;RÉGUAS!$M$50),"BIO",))))))</f>
        <v>ESSENCIAL</v>
      </c>
      <c r="CM19" s="28" t="str">
        <f>IF(AND(G19="BLOCO",CK19&gt;=RÉGUAS!$D$51,CK19&lt;=RÉGUAS!$D$50),"ESSENCIAL-10%",IF(AND(G19="BLOCO",CK19&gt;RÉGUAS!$D$50,CK19&lt;=RÉGUAS!$E$51),"ECO+10%",IF(AND(G19="BLOCO",CK19&gt;=RÉGUAS!$F$51,CK19&lt;=RÉGUAS!$F$50),"ECO-10%",IF(AND(G19="BLOCO",CK19&gt;RÉGUAS!$F$50,CK19&lt;=RÉGUAS!$G$51),"BIO+10%",IF(AND(G19="TORRE",CK19&gt;=RÉGUAS!$K$51,CK19&lt;=RÉGUAS!$K$50),"ESSENCIAL-10%",IF(AND(G19="TORRE",CK19&gt;RÉGUAS!$K$50,CK19&lt;=RÉGUAS!$L$51),"ECO+10%",IF(AND(G19="TORRE",CK19&gt;=RÉGUAS!$M$51,CK19&lt;=RÉGUAS!$M$50),"ECO-10%",IF(AND(G19="TORRE",CK19&gt;RÉGUAS!$M$50,CK19&lt;=RÉGUAS!$N$51),"BIO+10%","-"))))))))</f>
        <v>-</v>
      </c>
      <c r="CN19" s="73">
        <f t="shared" si="3"/>
        <v>5463.3423977433004</v>
      </c>
      <c r="CO19" s="72" t="str">
        <f>IF(CN19&lt;=RÉGUAS!$D$58,"ESSENCIAL",IF(CN19&lt;=RÉGUAS!$F$58,"ECO",IF(CN19&gt;RÉGUAS!$F$58,"BIO",)))</f>
        <v>ESSENCIAL</v>
      </c>
      <c r="CP19" s="72" t="str">
        <f>IF(Tabela1[[#This Row],[INTERVALO DE INTERSEÇÃO 5D]]="-",Tabela1[[#This Row],[CLASSIFICAÇÃO 
5D ]],Tabela1[[#This Row],[CLASSIFICAÇÃO 
4D]])</f>
        <v>ESSENCIAL</v>
      </c>
      <c r="CQ19" s="72" t="str">
        <f t="shared" si="4"/>
        <v>-</v>
      </c>
      <c r="CR19" s="72" t="str">
        <f t="shared" si="5"/>
        <v>ESSENCIAL</v>
      </c>
      <c r="CS19" s="22" t="str">
        <f>IF(Tabela1[[#This Row],[PRODUTO ATUAL ]]=Tabela1[[#This Row],[CLASSIFICAÇÃO FINAL 5D]],"ADERÊNTE","NÃO ADERÊNTE")</f>
        <v>ADERÊNTE</v>
      </c>
      <c r="CT19" s="24">
        <f>SUM(Tabela1[[#This Row],[TOTAL  ACAB]],Tabela1[[#This Row],[TOTAL LAZER ]],Tabela1[[#This Row],[TOTAL TIPOLOGIA]],Tabela1[[#This Row],[TOTAL VAGA]])</f>
        <v>5463.3423977433004</v>
      </c>
      <c r="CU19" s="22" t="str">
        <f>IF(CT19&lt;=RÉGUAS!$D$58,"ESSENCIAL",IF(CT19&lt;=RÉGUAS!$F$58,"ECO",IF(CT19&gt;RÉGUAS!$F$58,"BIO",)))</f>
        <v>ESSENCIAL</v>
      </c>
      <c r="CV19" s="22" t="str">
        <f>IF(AND(CT19&gt;=RÉGUAS!$D$59,CT19&lt;=RÉGUAS!$E$59),"ESSENCIAL/ECO",IF(AND(CT19&gt;=RÉGUAS!$F$59,CT19&lt;=RÉGUAS!$G$59),"ECO/BIO","-"))</f>
        <v>-</v>
      </c>
      <c r="CW19" s="85">
        <f>SUM(Tabela1[[#This Row],[TOTAL LAZER ]],Tabela1[[#This Row],[TOTAL TIPOLOGIA]])</f>
        <v>2740.4792101551479</v>
      </c>
      <c r="CX19" s="22" t="str">
        <f>IF(CW19&lt;=RÉGUAS!$D$72,"ESSENCIAL",IF(CW19&lt;=RÉGUAS!$F$72,"ECO",IF(CN19&gt;RÉGUAS!$F$72,"BIO",)))</f>
        <v>ECO</v>
      </c>
      <c r="CY19" s="22" t="str">
        <f t="shared" si="6"/>
        <v>ESSENCIAL</v>
      </c>
      <c r="CZ19" s="22" t="str">
        <f>IF(Tabela1[[#This Row],[PRODUTO ATUAL ]]=CY19,"ADERENTE","NÃO ADERENTE")</f>
        <v>ADERENTE</v>
      </c>
      <c r="DA19" s="22" t="str">
        <f>IF(Tabela1[[#This Row],[PRODUTO ATUAL ]]=Tabela1[[#This Row],[CLASSIFICAÇÃO 
4D2]],"ADERENTE","NÃO ADERENTE")</f>
        <v>ADERENTE</v>
      </c>
    </row>
    <row r="20" spans="2:105" hidden="1" x14ac:dyDescent="0.35">
      <c r="B20" s="27">
        <v>50</v>
      </c>
      <c r="C20" s="22" t="s">
        <v>163</v>
      </c>
      <c r="D20" s="22" t="s">
        <v>125</v>
      </c>
      <c r="E20" s="23">
        <v>220</v>
      </c>
      <c r="F20" s="22" t="str">
        <f t="shared" si="0"/>
        <v>De 200 a 400 und</v>
      </c>
      <c r="G20" s="22" t="s">
        <v>1</v>
      </c>
      <c r="H20" s="36">
        <v>11</v>
      </c>
      <c r="I20" s="36">
        <v>5</v>
      </c>
      <c r="J20" s="36"/>
      <c r="K20" s="36"/>
      <c r="L20" s="36">
        <f>SUM(Tabela1[[#This Row],[QTD DE B/T 2]],Tabela1[[#This Row],[QTD DE B/T]])</f>
        <v>11</v>
      </c>
      <c r="M20" s="22">
        <v>0</v>
      </c>
      <c r="N20" s="22">
        <f>Tabela1[[#This Row],[ELEVADOR]]/Tabela1[[#This Row],[BLOCO TOTAL]]</f>
        <v>0</v>
      </c>
      <c r="O20" s="22" t="s">
        <v>6</v>
      </c>
      <c r="P20" s="22" t="s">
        <v>119</v>
      </c>
      <c r="Q20" s="22" t="s">
        <v>101</v>
      </c>
      <c r="R20" s="22" t="s">
        <v>142</v>
      </c>
      <c r="S20" s="22" t="s">
        <v>103</v>
      </c>
      <c r="T20" s="22" t="s">
        <v>104</v>
      </c>
      <c r="U20" s="22" t="s">
        <v>105</v>
      </c>
      <c r="V20" s="22" t="s">
        <v>106</v>
      </c>
      <c r="W20" s="24">
        <f>IF(P20=[1]BD_CUSTO!$E$4,[1]BD_CUSTO!$F$4,[1]BD_CUSTO!$F$5)</f>
        <v>530</v>
      </c>
      <c r="X20" s="24">
        <f>IF(Q20=[1]BD_CUSTO!$E$6,[1]BD_CUSTO!$F$6,[1]BD_CUSTO!$F$7)</f>
        <v>260</v>
      </c>
      <c r="Y20" s="24">
        <f>IF(R20=[1]BD_CUSTO!$E$8,[1]BD_CUSTO!$F$8,[1]BD_CUSTO!$F$9)</f>
        <v>900</v>
      </c>
      <c r="Z20" s="24">
        <f>IF(S20=[1]BD_CUSTO!$E$10,[1]BD_CUSTO!$F$10,[1]BD_CUSTO!$F$11)</f>
        <v>500</v>
      </c>
      <c r="AA20" s="24">
        <f>IF(T20=[1]BD_CUSTO!$E$12,[1]BD_CUSTO!$F$12,[1]BD_CUSTO!$F$13)</f>
        <v>370</v>
      </c>
      <c r="AB20" s="24">
        <f>IF(U20=[1]BD_CUSTO!$E$14,[1]BD_CUSTO!$F$14,[1]BD_CUSTO!$F$15)</f>
        <v>90</v>
      </c>
      <c r="AC20" s="24">
        <f>IF(V20=[1]BD_CUSTO!$E$16,[1]BD_CUSTO!$F$16,[1]BD_CUSTO!$F$17)</f>
        <v>720</v>
      </c>
      <c r="AD20" s="22" t="s">
        <v>110</v>
      </c>
      <c r="AE20" s="22">
        <v>1</v>
      </c>
      <c r="AF20" s="22" t="s">
        <v>107</v>
      </c>
      <c r="AG20" s="22">
        <v>1</v>
      </c>
      <c r="AH20" s="22" t="s">
        <v>133</v>
      </c>
      <c r="AI20" s="22">
        <v>3</v>
      </c>
      <c r="AJ20" s="22" t="s">
        <v>108</v>
      </c>
      <c r="AK20" s="22">
        <v>2</v>
      </c>
      <c r="AL20" s="22" t="s">
        <v>111</v>
      </c>
      <c r="AM20" s="22">
        <v>1</v>
      </c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4">
        <f>IF(AD20="",0,VLOOKUP(AD20,[1]BD_CUSTO!I:J,2,0)*AE20/E20)</f>
        <v>24.09090909090909</v>
      </c>
      <c r="AY20" s="24">
        <f>IF(AF20="",0,VLOOKUP(AF20,[1]BD_CUSTO!I:J,2,0)*AG20/E20)</f>
        <v>387.04145454545454</v>
      </c>
      <c r="AZ20" s="24">
        <f>IF(AH20="",0,VLOOKUP(AH20,[1]BD_CUSTO!I:J,2,0)*AI20/E20)</f>
        <v>94.909090909090907</v>
      </c>
      <c r="BA20" s="24">
        <f>IF(AJ20="",0,VLOOKUP(AJ20,[1]BD_CUSTO!I:J,2,0)*AK20/E20)</f>
        <v>210.45454545454547</v>
      </c>
      <c r="BB20" s="24">
        <f>IF(AL20="",0,VLOOKUP(AL20,[1]BD_CUSTO!I:J,2,0)*AM20/E20)</f>
        <v>73.63636363636364</v>
      </c>
      <c r="BC20" s="24">
        <f>IF(AN20="",0,VLOOKUP(AN20,[1]BD_CUSTO!I:J,2,0)*AO20/E20)</f>
        <v>0</v>
      </c>
      <c r="BD20" s="24">
        <f>IF(AP20="",0,VLOOKUP(AP20,[1]BD_CUSTO!I:J,2,0)*AQ20/E20)</f>
        <v>0</v>
      </c>
      <c r="BE20" s="24">
        <f>IF(AR20="",0,VLOOKUP(AR20,CUSTO!I:J,2,0)*AS20/E20)</f>
        <v>0</v>
      </c>
      <c r="BF20" s="24">
        <f>IF(AT20="",0,VLOOKUP(AT20,[1]BD_CUSTO!I:J,2,0)*AU20/E20)</f>
        <v>0</v>
      </c>
      <c r="BG20" s="24">
        <f>IF(Tabela1[[#This Row],[LZ 10]]="",0,VLOOKUP(Tabela1[[#This Row],[LZ 10]],[1]BD_CUSTO!I:J,2,0)*Tabela1[[#This Row],[QTD922]]/E20)</f>
        <v>0</v>
      </c>
      <c r="BH20" s="22" t="s">
        <v>112</v>
      </c>
      <c r="BI20" s="25">
        <f>88/Tabela1[[#This Row],[Nº UNDS]]</f>
        <v>0.4</v>
      </c>
      <c r="BJ20" s="22" t="s">
        <v>113</v>
      </c>
      <c r="BK20" s="25">
        <v>0</v>
      </c>
      <c r="BL20" s="24">
        <f>IF(BH20=[1]BD_CUSTO!$M$6,[1]BD_CUSTO!$N$6)*BI20</f>
        <v>1200</v>
      </c>
      <c r="BM20" s="24">
        <f>IF(BJ20=[1]BD_CUSTO!$M$4,[1]BD_CUSTO!$N$4,[1]BD_CUSTO!$N$5)*BK20</f>
        <v>0</v>
      </c>
      <c r="BN20" s="22" t="s">
        <v>114</v>
      </c>
      <c r="BO20" s="22">
        <v>88</v>
      </c>
      <c r="BP20" s="25">
        <f>Tabela1[[#This Row],[QTD ]]/Tabela1[[#This Row],[Nº UNDS]]</f>
        <v>0.4</v>
      </c>
      <c r="BQ20" s="22" t="s">
        <v>115</v>
      </c>
      <c r="BR20" s="22">
        <v>0</v>
      </c>
      <c r="BS20" s="22" t="s">
        <v>116</v>
      </c>
      <c r="BT20" s="22">
        <v>0</v>
      </c>
      <c r="BU20" s="22" t="s">
        <v>16</v>
      </c>
      <c r="BV20" s="22">
        <v>0</v>
      </c>
      <c r="BW20" s="24">
        <f>IF(BN20=[1]BD_CUSTO!$Q$7,[1]BD_CUSTO!$R$7,[1]BD_CUSTO!$R$8)*BO20/E20</f>
        <v>800</v>
      </c>
      <c r="BX20" s="24">
        <f>IF(BQ20=[1]BD_CUSTO!$Q$4,[1]BD_CUSTO!$R$4,[1]BD_CUSTO!$R$5)*BR20/E20</f>
        <v>0</v>
      </c>
      <c r="BY20" s="22">
        <f>IF(BS20=[1]BD_CUSTO!$Q$13,[1]BD_CUSTO!$R$13,[1]BD_CUSTO!$R$14)*BT20/E20</f>
        <v>0</v>
      </c>
      <c r="BZ20" s="24">
        <f>BV20*CUSTO!$R$10/E20</f>
        <v>0</v>
      </c>
      <c r="CA20" s="26">
        <f>SUM(Tabela1[[#This Row],[SOMA_PISO SALA E QUARTO]],Tabela1[[#This Row],[SOMA_PAREDE HIDR]],Tabela1[[#This Row],[SOMA_TETO]],Tabela1[[#This Row],[SOMA_BANCADA]],Tabela1[[#This Row],[SOMA_PEDRAS]])</f>
        <v>2390</v>
      </c>
      <c r="CB20" s="27" t="str">
        <f>IF(CA20&lt;=RÉGUAS!$D$4,"ACAB 01",IF(CA20&lt;=RÉGUAS!$F$4,"ACAB 02",IF(CA20&gt;RÉGUAS!$F$4,"ACAB 03",)))</f>
        <v>ACAB 01</v>
      </c>
      <c r="CC20" s="26">
        <f>SUM(Tabela1[[#This Row],[SOMA_LZ 01]:[SOMA_LZ 10]])</f>
        <v>790.13236363636361</v>
      </c>
      <c r="CD20" s="22" t="str">
        <f>IF(CC20&lt;=RÉGUAS!$D$13,"LZ 01",IF(CC20&lt;=RÉGUAS!$F$13,"LZ 02",IF(CC20&lt;=RÉGUAS!$H$13,"LZ 03",IF(CC20&gt;RÉGUAS!$H$13,"LZ 04",))))</f>
        <v>LZ 01</v>
      </c>
      <c r="CE20" s="28">
        <f t="shared" si="1"/>
        <v>1200</v>
      </c>
      <c r="CF20" s="22" t="str">
        <f>IF(CE20&lt;=RÉGUAS!$D$22,"TIP 01",IF(CE20&lt;=RÉGUAS!$F$22,"TIP 02",IF(CE20&gt;RÉGUAS!$F$22,"TIP 03",)))</f>
        <v>TIP 01</v>
      </c>
      <c r="CG20" s="28">
        <f t="shared" si="2"/>
        <v>800</v>
      </c>
      <c r="CH20" s="22" t="str">
        <f>IF(CG20&lt;=RÉGUAS!$D$32,"VAGA 01",IF(CG20&lt;=RÉGUAS!$F$32,"VAGA 02",IF(CG20&gt;RÉGUAS!$F$32,"VAGA 03",)))</f>
        <v>VAGA 01</v>
      </c>
      <c r="CI20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20" s="85" t="str">
        <f>IF(AND(G20="BLOCO",CI20&lt;=RÉGUAS!$D$40),"ELEV 01",IF(AND(G20="BLOCO",CI20&gt;RÉGUAS!$D$40),"ELEV 02",IF(AND(G20="TORRE",CI20&lt;=RÉGUAS!$K$40),"ELEV 01",IF(AND(G20="TORRE",CI20&lt;=RÉGUAS!$M$40),"ELEV 02",IF(AND(G20="TORRE",CI20&gt;RÉGUAS!$M$40),"ELEV 03",)))))</f>
        <v>ELEV 01</v>
      </c>
      <c r="CK20" s="85">
        <f>SUM(Tabela1[[#This Row],[TOTAL  ACAB]],Tabela1[[#This Row],[TOTAL LAZER ]],Tabela1[[#This Row],[TOTAL TIPOLOGIA]],Tabela1[[#This Row],[TOTAL VAGA]],Tabela1[[#This Row],[TOTAL ELEVADOR]])</f>
        <v>5180.1323636363632</v>
      </c>
      <c r="CL20" s="72" t="str">
        <f>IF(AND(G20="BLOCO",CK20&lt;=RÉGUAS!$D$50),"ESSENCIAL",IF(AND(G20="BLOCO",CK20&lt;=RÉGUAS!$F$50),"ECO",IF(AND(G20="BLOCO",CK20&gt;RÉGUAS!$F$50),"BIO",IF(AND(G20="TORRE",CK20&lt;=RÉGUAS!$K$50),"ESSENCIAL",IF(AND(G20="TORRE",CK20&lt;=RÉGUAS!$M$50),"ECO",IF(AND(G20="TORRE",CK20&gt;RÉGUAS!$M$50),"BIO",))))))</f>
        <v>ESSENCIAL</v>
      </c>
      <c r="CM20" s="28" t="str">
        <f>IF(AND(G20="BLOCO",CK20&gt;=RÉGUAS!$D$51,CK20&lt;=RÉGUAS!$D$50),"ESSENCIAL-10%",IF(AND(G20="BLOCO",CK20&gt;RÉGUAS!$D$50,CK20&lt;=RÉGUAS!$E$51),"ECO+10%",IF(AND(G20="BLOCO",CK20&gt;=RÉGUAS!$F$51,CK20&lt;=RÉGUAS!$F$50),"ECO-10%",IF(AND(G20="BLOCO",CK20&gt;RÉGUAS!$F$50,CK20&lt;=RÉGUAS!$G$51),"BIO+10%",IF(AND(G20="TORRE",CK20&gt;=RÉGUAS!$K$51,CK20&lt;=RÉGUAS!$K$50),"ESSENCIAL-10%",IF(AND(G20="TORRE",CK20&gt;RÉGUAS!$K$50,CK20&lt;=RÉGUAS!$L$51),"ECO+10%",IF(AND(G20="TORRE",CK20&gt;=RÉGUAS!$M$51,CK20&lt;=RÉGUAS!$M$50),"ECO-10%",IF(AND(G20="TORRE",CK20&gt;RÉGUAS!$M$50,CK20&lt;=RÉGUAS!$N$51),"BIO+10%","-"))))))))</f>
        <v>-</v>
      </c>
      <c r="CN20" s="73">
        <f t="shared" si="3"/>
        <v>5180.1323636363632</v>
      </c>
      <c r="CO20" s="72" t="str">
        <f>IF(CN20&lt;=RÉGUAS!$D$58,"ESSENCIAL",IF(CN20&lt;=RÉGUAS!$F$58,"ECO",IF(CN20&gt;RÉGUAS!$F$58,"BIO",)))</f>
        <v>ESSENCIAL</v>
      </c>
      <c r="CP20" s="72" t="str">
        <f>IF(Tabela1[[#This Row],[INTERVALO DE INTERSEÇÃO 5D]]="-",Tabela1[[#This Row],[CLASSIFICAÇÃO 
5D ]],Tabela1[[#This Row],[CLASSIFICAÇÃO 
4D]])</f>
        <v>ESSENCIAL</v>
      </c>
      <c r="CQ20" s="72" t="str">
        <f t="shared" si="4"/>
        <v>-</v>
      </c>
      <c r="CR20" s="72" t="str">
        <f t="shared" si="5"/>
        <v>ESSENCIAL</v>
      </c>
      <c r="CS20" s="22" t="str">
        <f>IF(Tabela1[[#This Row],[PRODUTO ATUAL ]]=Tabela1[[#This Row],[CLASSIFICAÇÃO FINAL 5D]],"ADERÊNTE","NÃO ADERÊNTE")</f>
        <v>ADERÊNTE</v>
      </c>
      <c r="CT20" s="24">
        <f>SUM(Tabela1[[#This Row],[TOTAL  ACAB]],Tabela1[[#This Row],[TOTAL LAZER ]],Tabela1[[#This Row],[TOTAL TIPOLOGIA]],Tabela1[[#This Row],[TOTAL VAGA]])</f>
        <v>5180.1323636363632</v>
      </c>
      <c r="CU20" s="22" t="str">
        <f>IF(CT20&lt;=RÉGUAS!$D$58,"ESSENCIAL",IF(CT20&lt;=RÉGUAS!$F$58,"ECO",IF(CT20&gt;RÉGUAS!$F$58,"BIO",)))</f>
        <v>ESSENCIAL</v>
      </c>
      <c r="CV20" s="22" t="str">
        <f>IF(AND(CT20&gt;=RÉGUAS!$D$59,CT20&lt;=RÉGUAS!$E$59),"ESSENCIAL/ECO",IF(AND(CT20&gt;=RÉGUAS!$F$59,CT20&lt;=RÉGUAS!$G$59),"ECO/BIO","-"))</f>
        <v>-</v>
      </c>
      <c r="CW20" s="85">
        <f>SUM(Tabela1[[#This Row],[TOTAL LAZER ]],Tabela1[[#This Row],[TOTAL TIPOLOGIA]])</f>
        <v>1990.1323636363636</v>
      </c>
      <c r="CX20" s="22" t="str">
        <f>IF(CW20&lt;=RÉGUAS!$D$72,"ESSENCIAL",IF(CW20&lt;=RÉGUAS!$F$72,"ECO",IF(CN20&gt;RÉGUAS!$F$72,"BIO",)))</f>
        <v>ESSENCIAL</v>
      </c>
      <c r="CY20" s="22" t="str">
        <f t="shared" si="6"/>
        <v>ESSENCIAL</v>
      </c>
      <c r="CZ20" s="22" t="str">
        <f>IF(Tabela1[[#This Row],[PRODUTO ATUAL ]]=CY20,"ADERENTE","NÃO ADERENTE")</f>
        <v>ADERENTE</v>
      </c>
      <c r="DA20" s="22" t="str">
        <f>IF(Tabela1[[#This Row],[PRODUTO ATUAL ]]=Tabela1[[#This Row],[CLASSIFICAÇÃO 
4D2]],"ADERENTE","NÃO ADERENTE")</f>
        <v>ADERENTE</v>
      </c>
    </row>
    <row r="21" spans="2:105" hidden="1" x14ac:dyDescent="0.35">
      <c r="B21" s="27">
        <v>30</v>
      </c>
      <c r="C21" s="22" t="s">
        <v>150</v>
      </c>
      <c r="D21" s="22" t="s">
        <v>147</v>
      </c>
      <c r="E21" s="23">
        <v>496</v>
      </c>
      <c r="F21" s="22" t="str">
        <f t="shared" si="0"/>
        <v>Acima de 400 und</v>
      </c>
      <c r="G21" s="22" t="s">
        <v>1</v>
      </c>
      <c r="H21" s="36">
        <v>31</v>
      </c>
      <c r="I21" s="36">
        <v>4</v>
      </c>
      <c r="J21" s="36"/>
      <c r="K21" s="36"/>
      <c r="L21" s="36">
        <f>SUM(Tabela1[[#This Row],[QTD DE B/T 2]],Tabela1[[#This Row],[QTD DE B/T]])</f>
        <v>31</v>
      </c>
      <c r="M21" s="22">
        <v>1</v>
      </c>
      <c r="N21" s="22">
        <f>Tabela1[[#This Row],[ELEVADOR]]/Tabela1[[#This Row],[BLOCO TOTAL]]</f>
        <v>3.2258064516129031E-2</v>
      </c>
      <c r="O21" s="22" t="s">
        <v>6</v>
      </c>
      <c r="P21" s="22" t="s">
        <v>119</v>
      </c>
      <c r="Q21" s="22" t="s">
        <v>101</v>
      </c>
      <c r="R21" s="22" t="s">
        <v>142</v>
      </c>
      <c r="S21" s="22" t="s">
        <v>103</v>
      </c>
      <c r="T21" s="22" t="s">
        <v>104</v>
      </c>
      <c r="U21" s="22" t="s">
        <v>105</v>
      </c>
      <c r="V21" s="22" t="s">
        <v>106</v>
      </c>
      <c r="W21" s="24">
        <f>IF(P21=[1]BD_CUSTO!$E$4,[1]BD_CUSTO!$F$4,[1]BD_CUSTO!$F$5)</f>
        <v>530</v>
      </c>
      <c r="X21" s="24">
        <f>IF(Q21=[1]BD_CUSTO!$E$6,[1]BD_CUSTO!$F$6,[1]BD_CUSTO!$F$7)</f>
        <v>260</v>
      </c>
      <c r="Y21" s="24">
        <f>IF(R21=[1]BD_CUSTO!$E$8,[1]BD_CUSTO!$F$8,[1]BD_CUSTO!$F$9)</f>
        <v>900</v>
      </c>
      <c r="Z21" s="24">
        <f>IF(S21=[1]BD_CUSTO!$E$10,[1]BD_CUSTO!$F$10,[1]BD_CUSTO!$F$11)</f>
        <v>500</v>
      </c>
      <c r="AA21" s="24">
        <f>IF(T21=[1]BD_CUSTO!$E$12,[1]BD_CUSTO!$F$12,[1]BD_CUSTO!$F$13)</f>
        <v>370</v>
      </c>
      <c r="AB21" s="24">
        <f>IF(U21=[1]BD_CUSTO!$E$14,[1]BD_CUSTO!$F$14,[1]BD_CUSTO!$F$15)</f>
        <v>90</v>
      </c>
      <c r="AC21" s="24">
        <f>IF(V21=[1]BD_CUSTO!$E$16,[1]BD_CUSTO!$F$16,[1]BD_CUSTO!$F$17)</f>
        <v>720</v>
      </c>
      <c r="AD21" s="22" t="s">
        <v>109</v>
      </c>
      <c r="AE21" s="22">
        <v>1</v>
      </c>
      <c r="AF21" s="22" t="s">
        <v>110</v>
      </c>
      <c r="AG21" s="22">
        <v>1</v>
      </c>
      <c r="AH21" s="22" t="s">
        <v>107</v>
      </c>
      <c r="AI21" s="22">
        <v>1</v>
      </c>
      <c r="AJ21" s="22" t="s">
        <v>121</v>
      </c>
      <c r="AK21" s="22">
        <v>1</v>
      </c>
      <c r="AL21" s="22" t="s">
        <v>129</v>
      </c>
      <c r="AM21" s="22">
        <v>1</v>
      </c>
      <c r="AN21" s="22" t="s">
        <v>151</v>
      </c>
      <c r="AO21" s="22">
        <v>1</v>
      </c>
      <c r="AP21" s="22" t="s">
        <v>108</v>
      </c>
      <c r="AQ21" s="22">
        <v>1</v>
      </c>
      <c r="AR21" s="22"/>
      <c r="AS21" s="22"/>
      <c r="AT21" s="22"/>
      <c r="AU21" s="22"/>
      <c r="AV21" s="22"/>
      <c r="AW21" s="22"/>
      <c r="AX21" s="24">
        <f>IF(AD21="",0,VLOOKUP(AD21,[1]BD_CUSTO!I:J,2,0)*AE21/E21)</f>
        <v>14.012096774193548</v>
      </c>
      <c r="AY21" s="24">
        <f>IF(AF21="",0,VLOOKUP(AF21,[1]BD_CUSTO!I:J,2,0)*AG21/E21)</f>
        <v>10.685483870967742</v>
      </c>
      <c r="AZ21" s="24">
        <f>IF(AH21="",0,VLOOKUP(AH21,[1]BD_CUSTO!I:J,2,0)*AI21/E21)</f>
        <v>171.67161290322579</v>
      </c>
      <c r="BA21" s="24">
        <f>IF(AJ21="",0,VLOOKUP(AJ21,[1]BD_CUSTO!I:J,2,0)*AK21/E21)</f>
        <v>248.30020161290321</v>
      </c>
      <c r="BB21" s="24">
        <f>IF(AL21="",0,VLOOKUP(AL21,[1]BD_CUSTO!I:J,2,0)*AM21/E21)</f>
        <v>554.77334677419356</v>
      </c>
      <c r="BC21" s="24">
        <f>IF(AN21="",0,VLOOKUP(AN21,[1]BD_CUSTO!I:J,2,0)*AO21/E21)</f>
        <v>160.7523991935484</v>
      </c>
      <c r="BD21" s="24">
        <f>IF(AP21="",0,VLOOKUP(AP21,[1]BD_CUSTO!I:J,2,0)*AQ21/E21)</f>
        <v>46.673387096774192</v>
      </c>
      <c r="BE21" s="24">
        <f>IF(AR21="",0,VLOOKUP(AR21,CUSTO!I:J,2,0)*AS21/E21)</f>
        <v>0</v>
      </c>
      <c r="BF21" s="24">
        <f>IF(AT21="",0,VLOOKUP(AT21,[1]BD_CUSTO!I:J,2,0)*AU21/E21)</f>
        <v>0</v>
      </c>
      <c r="BG21" s="24">
        <f>IF(Tabela1[[#This Row],[LZ 10]]="",0,VLOOKUP(Tabela1[[#This Row],[LZ 10]],[1]BD_CUSTO!I:J,2,0)*Tabela1[[#This Row],[QTD922]]/E21)</f>
        <v>0</v>
      </c>
      <c r="BH21" s="22" t="s">
        <v>112</v>
      </c>
      <c r="BI21" s="25">
        <f>180/Tabela1[[#This Row],[Nº UNDS]]</f>
        <v>0.36290322580645162</v>
      </c>
      <c r="BJ21" s="22" t="s">
        <v>113</v>
      </c>
      <c r="BK21" s="25">
        <v>0</v>
      </c>
      <c r="BL21" s="24">
        <f>IF(BH21=[1]BD_CUSTO!$M$6,[1]BD_CUSTO!$N$6)*BI21</f>
        <v>1088.7096774193549</v>
      </c>
      <c r="BM21" s="24">
        <f>IF(BJ21=[1]BD_CUSTO!$M$4,[1]BD_CUSTO!$N$4,[1]BD_CUSTO!$N$5)*BK21</f>
        <v>0</v>
      </c>
      <c r="BN21" s="22" t="s">
        <v>114</v>
      </c>
      <c r="BO21" s="22">
        <f>194+15</f>
        <v>209</v>
      </c>
      <c r="BP21" s="25">
        <f>Tabela1[[#This Row],[QTD ]]/Tabela1[[#This Row],[Nº UNDS]]</f>
        <v>0.4213709677419355</v>
      </c>
      <c r="BQ21" s="22" t="s">
        <v>123</v>
      </c>
      <c r="BR21" s="22">
        <v>2</v>
      </c>
      <c r="BS21" s="22" t="s">
        <v>116</v>
      </c>
      <c r="BT21" s="22">
        <v>0</v>
      </c>
      <c r="BU21" s="22" t="s">
        <v>16</v>
      </c>
      <c r="BV21" s="22">
        <v>0</v>
      </c>
      <c r="BW21" s="24">
        <f>IF(BN21=[1]BD_CUSTO!$Q$7,[1]BD_CUSTO!$R$7,[1]BD_CUSTO!$R$8)*BO21/E21</f>
        <v>842.74193548387098</v>
      </c>
      <c r="BX21" s="24">
        <f>IF(BQ21=[1]BD_CUSTO!$Q$4,[1]BD_CUSTO!$R$4,[1]BD_CUSTO!$R$5)*BR21/E21</f>
        <v>4.032258064516129</v>
      </c>
      <c r="BY21" s="22">
        <f>IF(BS21=[1]BD_CUSTO!$Q$13,[1]BD_CUSTO!$R$13,[1]BD_CUSTO!$R$14)*BT21/E21</f>
        <v>0</v>
      </c>
      <c r="BZ21" s="24">
        <f>BV21*CUSTO!$R$10/E21</f>
        <v>0</v>
      </c>
      <c r="CA21" s="26">
        <f>SUM(Tabela1[[#This Row],[SOMA_PISO SALA E QUARTO]],Tabela1[[#This Row],[SOMA_PAREDE HIDR]],Tabela1[[#This Row],[SOMA_TETO]],Tabela1[[#This Row],[SOMA_BANCADA]],Tabela1[[#This Row],[SOMA_PEDRAS]])</f>
        <v>2390</v>
      </c>
      <c r="CB21" s="27" t="str">
        <f>IF(CA21&lt;=RÉGUAS!$D$4,"ACAB 01",IF(CA21&lt;=RÉGUAS!$F$4,"ACAB 02",IF(CA21&gt;RÉGUAS!$F$4,"ACAB 03",)))</f>
        <v>ACAB 01</v>
      </c>
      <c r="CC21" s="26">
        <f>SUM(Tabela1[[#This Row],[SOMA_LZ 01]:[SOMA_LZ 10]])</f>
        <v>1206.8685282258064</v>
      </c>
      <c r="CD21" s="22" t="str">
        <f>IF(CC21&lt;=RÉGUAS!$D$13,"LZ 01",IF(CC21&lt;=RÉGUAS!$F$13,"LZ 02",IF(CC21&lt;=RÉGUAS!$H$13,"LZ 03",IF(CC21&gt;RÉGUAS!$H$13,"LZ 04",))))</f>
        <v>LZ 02</v>
      </c>
      <c r="CE21" s="28">
        <f t="shared" si="1"/>
        <v>1088.7096774193549</v>
      </c>
      <c r="CF21" s="22" t="str">
        <f>IF(CE21&lt;=RÉGUAS!$D$22,"TIP 01",IF(CE21&lt;=RÉGUAS!$F$22,"TIP 02",IF(CE21&gt;RÉGUAS!$F$22,"TIP 03",)))</f>
        <v>TIP 01</v>
      </c>
      <c r="CG21" s="28">
        <f t="shared" si="2"/>
        <v>846.77419354838707</v>
      </c>
      <c r="CH21" s="22" t="str">
        <f>IF(CG21&lt;=RÉGUAS!$D$32,"VAGA 01",IF(CG21&lt;=RÉGUAS!$F$32,"VAGA 02",IF(CG21&gt;RÉGUAS!$F$32,"VAGA 03",)))</f>
        <v>VAGA 01</v>
      </c>
      <c r="CI21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242.16129032258064</v>
      </c>
      <c r="CJ21" s="85" t="str">
        <f>IF(AND(G21="BLOCO",CI21&lt;=RÉGUAS!$D$40),"ELEV 01",IF(AND(G21="BLOCO",CI21&gt;RÉGUAS!$D$40),"ELEV 02",IF(AND(G21="TORRE",CI21&lt;=RÉGUAS!$K$40),"ELEV 01",IF(AND(G21="TORRE",CI21&lt;=RÉGUAS!$M$40),"ELEV 02",IF(AND(G21="TORRE",CI21&gt;RÉGUAS!$M$40),"ELEV 03",)))))</f>
        <v>ELEV 02</v>
      </c>
      <c r="CK21" s="85">
        <f>SUM(Tabela1[[#This Row],[TOTAL  ACAB]],Tabela1[[#This Row],[TOTAL LAZER ]],Tabela1[[#This Row],[TOTAL TIPOLOGIA]],Tabela1[[#This Row],[TOTAL VAGA]],Tabela1[[#This Row],[TOTAL ELEVADOR]])</f>
        <v>5774.5136895161295</v>
      </c>
      <c r="CL21" s="72" t="str">
        <f>IF(AND(G21="BLOCO",CK21&lt;=RÉGUAS!$D$50),"ESSENCIAL",IF(AND(G21="BLOCO",CK21&lt;=RÉGUAS!$F$50),"ECO",IF(AND(G21="BLOCO",CK21&gt;RÉGUAS!$F$50),"BIO",IF(AND(G21="TORRE",CK21&lt;=RÉGUAS!$K$50),"ESSENCIAL",IF(AND(G21="TORRE",CK21&lt;=RÉGUAS!$M$50),"ECO",IF(AND(G21="TORRE",CK21&gt;RÉGUAS!$M$50),"BIO",))))))</f>
        <v>ESSENCIAL</v>
      </c>
      <c r="CM21" s="28" t="str">
        <f>IF(AND(G21="BLOCO",CK21&gt;=RÉGUAS!$D$51,CK21&lt;=RÉGUAS!$D$50),"ESSENCIAL-10%",IF(AND(G21="BLOCO",CK21&gt;RÉGUAS!$D$50,CK21&lt;=RÉGUAS!$E$51),"ECO+10%",IF(AND(G21="BLOCO",CK21&gt;=RÉGUAS!$F$51,CK21&lt;=RÉGUAS!$F$50),"ECO-10%",IF(AND(G21="BLOCO",CK21&gt;RÉGUAS!$F$50,CK21&lt;=RÉGUAS!$G$51),"BIO+10%",IF(AND(G21="TORRE",CK21&gt;=RÉGUAS!$K$51,CK21&lt;=RÉGUAS!$K$50),"ESSENCIAL-10%",IF(AND(G21="TORRE",CK21&gt;RÉGUAS!$K$50,CK21&lt;=RÉGUAS!$L$51),"ECO+10%",IF(AND(G21="TORRE",CK21&gt;=RÉGUAS!$M$51,CK21&lt;=RÉGUAS!$M$50),"ECO-10%",IF(AND(G21="TORRE",CK21&gt;RÉGUAS!$M$50,CK21&lt;=RÉGUAS!$N$51),"BIO+10%","-"))))))))</f>
        <v>-</v>
      </c>
      <c r="CN21" s="73">
        <f t="shared" si="3"/>
        <v>5532.352399193549</v>
      </c>
      <c r="CO21" s="72" t="str">
        <f>IF(CN21&lt;=RÉGUAS!$D$58,"ESSENCIAL",IF(CN21&lt;=RÉGUAS!$F$58,"ECO",IF(CN21&gt;RÉGUAS!$F$58,"BIO",)))</f>
        <v>ESSENCIAL</v>
      </c>
      <c r="CP21" s="72" t="str">
        <f>IF(Tabela1[[#This Row],[INTERVALO DE INTERSEÇÃO 5D]]="-",Tabela1[[#This Row],[CLASSIFICAÇÃO 
5D ]],Tabela1[[#This Row],[CLASSIFICAÇÃO 
4D]])</f>
        <v>ESSENCIAL</v>
      </c>
      <c r="CQ21" s="72" t="str">
        <f t="shared" si="4"/>
        <v>-</v>
      </c>
      <c r="CR21" s="72" t="str">
        <f t="shared" si="5"/>
        <v>ESSENCIAL</v>
      </c>
      <c r="CS21" s="22" t="str">
        <f>IF(Tabela1[[#This Row],[PRODUTO ATUAL ]]=Tabela1[[#This Row],[CLASSIFICAÇÃO FINAL 5D]],"ADERÊNTE","NÃO ADERÊNTE")</f>
        <v>ADERÊNTE</v>
      </c>
      <c r="CT21" s="24">
        <f>SUM(Tabela1[[#This Row],[TOTAL  ACAB]],Tabela1[[#This Row],[TOTAL LAZER ]],Tabela1[[#This Row],[TOTAL TIPOLOGIA]],Tabela1[[#This Row],[TOTAL VAGA]])</f>
        <v>5532.352399193549</v>
      </c>
      <c r="CU21" s="22" t="str">
        <f>IF(CT21&lt;=RÉGUAS!$D$58,"ESSENCIAL",IF(CT21&lt;=RÉGUAS!$F$58,"ECO",IF(CT21&gt;RÉGUAS!$F$58,"BIO",)))</f>
        <v>ESSENCIAL</v>
      </c>
      <c r="CV21" s="22" t="str">
        <f>IF(AND(CT21&gt;=RÉGUAS!$D$59,CT21&lt;=RÉGUAS!$E$59),"ESSENCIAL/ECO",IF(AND(CT21&gt;=RÉGUAS!$F$59,CT21&lt;=RÉGUAS!$G$59),"ECO/BIO","-"))</f>
        <v>-</v>
      </c>
      <c r="CW21" s="85">
        <f>SUM(Tabela1[[#This Row],[TOTAL LAZER ]],Tabela1[[#This Row],[TOTAL TIPOLOGIA]])</f>
        <v>2295.5782056451612</v>
      </c>
      <c r="CX21" s="22" t="str">
        <f>IF(CW21&lt;=RÉGUAS!$D$72,"ESSENCIAL",IF(CW21&lt;=RÉGUAS!$F$72,"ECO",IF(CN21&gt;RÉGUAS!$F$72,"BIO",)))</f>
        <v>ESSENCIAL</v>
      </c>
      <c r="CY21" s="22" t="str">
        <f t="shared" si="6"/>
        <v>ESSENCIAL</v>
      </c>
      <c r="CZ21" s="22" t="str">
        <f>IF(Tabela1[[#This Row],[PRODUTO ATUAL ]]=CY21,"ADERENTE","NÃO ADERENTE")</f>
        <v>ADERENTE</v>
      </c>
      <c r="DA21" s="22" t="str">
        <f>IF(Tabela1[[#This Row],[PRODUTO ATUAL ]]=Tabela1[[#This Row],[CLASSIFICAÇÃO 
4D2]],"ADERENTE","NÃO ADERENTE")</f>
        <v>ADERENTE</v>
      </c>
    </row>
    <row r="22" spans="2:105" hidden="1" x14ac:dyDescent="0.35">
      <c r="B22" s="27">
        <v>19</v>
      </c>
      <c r="C22" s="22" t="s">
        <v>146</v>
      </c>
      <c r="D22" s="22" t="s">
        <v>147</v>
      </c>
      <c r="E22" s="23">
        <v>280</v>
      </c>
      <c r="F22" s="22" t="str">
        <f t="shared" si="0"/>
        <v>De 200 a 400 und</v>
      </c>
      <c r="G22" s="22" t="s">
        <v>1</v>
      </c>
      <c r="H22" s="36">
        <v>14</v>
      </c>
      <c r="I22" s="36">
        <v>5</v>
      </c>
      <c r="J22" s="36"/>
      <c r="K22" s="36"/>
      <c r="L22" s="36">
        <f>SUM(Tabela1[[#This Row],[QTD DE B/T 2]],Tabela1[[#This Row],[QTD DE B/T]])</f>
        <v>14</v>
      </c>
      <c r="M22" s="22">
        <v>0</v>
      </c>
      <c r="N22" s="22">
        <f>Tabela1[[#This Row],[ELEVADOR]]/Tabela1[[#This Row],[BLOCO TOTAL]]</f>
        <v>0</v>
      </c>
      <c r="O22" s="22" t="s">
        <v>6</v>
      </c>
      <c r="P22" s="22" t="s">
        <v>119</v>
      </c>
      <c r="Q22" s="22" t="s">
        <v>101</v>
      </c>
      <c r="R22" s="22" t="s">
        <v>142</v>
      </c>
      <c r="S22" s="22" t="s">
        <v>103</v>
      </c>
      <c r="T22" s="22" t="s">
        <v>104</v>
      </c>
      <c r="U22" s="22" t="s">
        <v>105</v>
      </c>
      <c r="V22" s="22" t="s">
        <v>106</v>
      </c>
      <c r="W22" s="24">
        <f>IF(P22=[1]BD_CUSTO!$E$4,[1]BD_CUSTO!$F$4,[1]BD_CUSTO!$F$5)</f>
        <v>530</v>
      </c>
      <c r="X22" s="24">
        <f>IF(Q22=[1]BD_CUSTO!$E$6,[1]BD_CUSTO!$F$6,[1]BD_CUSTO!$F$7)</f>
        <v>260</v>
      </c>
      <c r="Y22" s="24">
        <f>IF(R22=[1]BD_CUSTO!$E$8,[1]BD_CUSTO!$F$8,[1]BD_CUSTO!$F$9)</f>
        <v>900</v>
      </c>
      <c r="Z22" s="24">
        <f>IF(S22=[1]BD_CUSTO!$E$10,[1]BD_CUSTO!$F$10,[1]BD_CUSTO!$F$11)</f>
        <v>500</v>
      </c>
      <c r="AA22" s="24">
        <f>IF(T22=[1]BD_CUSTO!$E$12,[1]BD_CUSTO!$F$12,[1]BD_CUSTO!$F$13)</f>
        <v>370</v>
      </c>
      <c r="AB22" s="24">
        <f>IF(U22=[1]BD_CUSTO!$E$14,[1]BD_CUSTO!$F$14,[1]BD_CUSTO!$F$15)</f>
        <v>90</v>
      </c>
      <c r="AC22" s="24">
        <f>IF(V22=[1]BD_CUSTO!$E$16,[1]BD_CUSTO!$F$16,[1]BD_CUSTO!$F$17)</f>
        <v>720</v>
      </c>
      <c r="AD22" s="22" t="s">
        <v>107</v>
      </c>
      <c r="AE22" s="22">
        <v>1</v>
      </c>
      <c r="AF22" s="22" t="s">
        <v>108</v>
      </c>
      <c r="AG22" s="22">
        <v>1</v>
      </c>
      <c r="AH22" s="22" t="s">
        <v>109</v>
      </c>
      <c r="AI22" s="22">
        <v>1</v>
      </c>
      <c r="AJ22" s="22" t="s">
        <v>110</v>
      </c>
      <c r="AK22" s="22">
        <v>1</v>
      </c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4">
        <f>IF(AD22="",0,VLOOKUP(AD22,[1]BD_CUSTO!I:J,2,0)*AE22/E22)</f>
        <v>304.10399999999998</v>
      </c>
      <c r="AY22" s="24">
        <f>IF(AF22="",0,VLOOKUP(AF22,[1]BD_CUSTO!I:J,2,0)*AG22/E22)</f>
        <v>82.678571428571431</v>
      </c>
      <c r="AZ22" s="24">
        <f>IF(AH22="",0,VLOOKUP(AH22,[1]BD_CUSTO!I:J,2,0)*AI22/E22)</f>
        <v>24.821428571428573</v>
      </c>
      <c r="BA22" s="24">
        <f>IF(AJ22="",0,VLOOKUP(AJ22,[1]BD_CUSTO!I:J,2,0)*AK22/E22)</f>
        <v>18.928571428571427</v>
      </c>
      <c r="BB22" s="24">
        <f>IF(AL22="",0,VLOOKUP(AL22,[1]BD_CUSTO!I:J,2,0)*AM22/E22)</f>
        <v>0</v>
      </c>
      <c r="BC22" s="24">
        <f>IF(AN22="",0,VLOOKUP(AN22,[1]BD_CUSTO!I:J,2,0)*AO22/E22)</f>
        <v>0</v>
      </c>
      <c r="BD22" s="24">
        <f>IF(AP22="",0,VLOOKUP(AP22,[1]BD_CUSTO!I:J,2,0)*AQ22/E22)</f>
        <v>0</v>
      </c>
      <c r="BE22" s="24">
        <f>IF(AR22="",0,VLOOKUP(AR22,CUSTO!I:J,2,0)*AS22/E22)</f>
        <v>0</v>
      </c>
      <c r="BF22" s="24">
        <f>IF(AT22="",0,VLOOKUP(AT22,[1]BD_CUSTO!I:J,2,0)*AU22/E22)</f>
        <v>0</v>
      </c>
      <c r="BG22" s="24">
        <f>IF(Tabela1[[#This Row],[LZ 10]]="",0,VLOOKUP(Tabela1[[#This Row],[LZ 10]],[1]BD_CUSTO!I:J,2,0)*Tabela1[[#This Row],[QTD922]]/E22)</f>
        <v>0</v>
      </c>
      <c r="BH22" s="22" t="s">
        <v>122</v>
      </c>
      <c r="BI22" s="25">
        <v>0</v>
      </c>
      <c r="BJ22" s="22" t="s">
        <v>113</v>
      </c>
      <c r="BK22" s="25">
        <v>0</v>
      </c>
      <c r="BL22" s="24">
        <f>IF(BH22=[1]BD_CUSTO!$M$6,[1]BD_CUSTO!$N$6)*BI22</f>
        <v>0</v>
      </c>
      <c r="BM22" s="24">
        <f>IF(BJ22=[1]BD_CUSTO!$M$4,[1]BD_CUSTO!$N$4,[1]BD_CUSTO!$N$5)*BK22</f>
        <v>0</v>
      </c>
      <c r="BN22" s="22" t="s">
        <v>114</v>
      </c>
      <c r="BO22" s="22">
        <f>142+14+4</f>
        <v>160</v>
      </c>
      <c r="BP22" s="25">
        <f>Tabela1[[#This Row],[QTD ]]/Tabela1[[#This Row],[Nº UNDS]]</f>
        <v>0.5714285714285714</v>
      </c>
      <c r="BQ22" s="22" t="s">
        <v>123</v>
      </c>
      <c r="BR22" s="22">
        <v>22</v>
      </c>
      <c r="BS22" s="22" t="s">
        <v>116</v>
      </c>
      <c r="BT22" s="22">
        <v>0</v>
      </c>
      <c r="BU22" s="22" t="s">
        <v>16</v>
      </c>
      <c r="BV22" s="22">
        <v>0</v>
      </c>
      <c r="BW22" s="24">
        <f>IF(BN22=[1]BD_CUSTO!$Q$7,[1]BD_CUSTO!$R$7,[1]BD_CUSTO!$R$8)*BO22/E22</f>
        <v>1142.8571428571429</v>
      </c>
      <c r="BX22" s="24">
        <f>IF(BQ22=[1]BD_CUSTO!$Q$4,[1]BD_CUSTO!$R$4,[1]BD_CUSTO!$R$5)*BR22/E22</f>
        <v>78.571428571428569</v>
      </c>
      <c r="BY22" s="22">
        <f>IF(BS22=[1]BD_CUSTO!$Q$13,[1]BD_CUSTO!$R$13,[1]BD_CUSTO!$R$14)*BT22/E22</f>
        <v>0</v>
      </c>
      <c r="BZ22" s="24">
        <f>BV22*CUSTO!$R$10/E22</f>
        <v>0</v>
      </c>
      <c r="CA22" s="26">
        <f>SUM(Tabela1[[#This Row],[SOMA_PISO SALA E QUARTO]],Tabela1[[#This Row],[SOMA_PAREDE HIDR]],Tabela1[[#This Row],[SOMA_TETO]],Tabela1[[#This Row],[SOMA_BANCADA]],Tabela1[[#This Row],[SOMA_PEDRAS]])</f>
        <v>2390</v>
      </c>
      <c r="CB22" s="27" t="str">
        <f>IF(CA22&lt;=RÉGUAS!$D$4,"ACAB 01",IF(CA22&lt;=RÉGUAS!$F$4,"ACAB 02",IF(CA22&gt;RÉGUAS!$F$4,"ACAB 03",)))</f>
        <v>ACAB 01</v>
      </c>
      <c r="CC22" s="26">
        <f>SUM(Tabela1[[#This Row],[SOMA_LZ 01]:[SOMA_LZ 10]])</f>
        <v>430.53257142857143</v>
      </c>
      <c r="CD22" s="22" t="str">
        <f>IF(CC22&lt;=RÉGUAS!$D$13,"LZ 01",IF(CC22&lt;=RÉGUAS!$F$13,"LZ 02",IF(CC22&lt;=RÉGUAS!$H$13,"LZ 03",IF(CC22&gt;RÉGUAS!$H$13,"LZ 04",))))</f>
        <v>LZ 01</v>
      </c>
      <c r="CE22" s="28">
        <f t="shared" si="1"/>
        <v>0</v>
      </c>
      <c r="CF22" s="22" t="str">
        <f>IF(CE22&lt;=RÉGUAS!$D$22,"TIP 01",IF(CE22&lt;=RÉGUAS!$F$22,"TIP 02",IF(CE22&gt;RÉGUAS!$F$22,"TIP 03",)))</f>
        <v>TIP 01</v>
      </c>
      <c r="CG22" s="28">
        <f t="shared" si="2"/>
        <v>1221.4285714285716</v>
      </c>
      <c r="CH22" s="22" t="str">
        <f>IF(CG22&lt;=RÉGUAS!$D$32,"VAGA 01",IF(CG22&lt;=RÉGUAS!$F$32,"VAGA 02",IF(CG22&gt;RÉGUAS!$F$32,"VAGA 03",)))</f>
        <v>VAGA 01</v>
      </c>
      <c r="CI22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22" s="85" t="str">
        <f>IF(AND(G22="BLOCO",CI22&lt;=RÉGUAS!$D$40),"ELEV 01",IF(AND(G22="BLOCO",CI22&gt;RÉGUAS!$D$40),"ELEV 02",IF(AND(G22="TORRE",CI22&lt;=RÉGUAS!$K$40),"ELEV 01",IF(AND(G22="TORRE",CI22&lt;=RÉGUAS!$M$40),"ELEV 02",IF(AND(G22="TORRE",CI22&gt;RÉGUAS!$M$40),"ELEV 03",)))))</f>
        <v>ELEV 01</v>
      </c>
      <c r="CK22" s="85">
        <f>SUM(Tabela1[[#This Row],[TOTAL  ACAB]],Tabela1[[#This Row],[TOTAL LAZER ]],Tabela1[[#This Row],[TOTAL TIPOLOGIA]],Tabela1[[#This Row],[TOTAL VAGA]],Tabela1[[#This Row],[TOTAL ELEVADOR]])</f>
        <v>4041.9611428571429</v>
      </c>
      <c r="CL22" s="72" t="str">
        <f>IF(AND(G22="BLOCO",CK22&lt;=RÉGUAS!$D$50),"ESSENCIAL",IF(AND(G22="BLOCO",CK22&lt;=RÉGUAS!$F$50),"ECO",IF(AND(G22="BLOCO",CK22&gt;RÉGUAS!$F$50),"BIO",IF(AND(G22="TORRE",CK22&lt;=RÉGUAS!$K$50),"ESSENCIAL",IF(AND(G22="TORRE",CK22&lt;=RÉGUAS!$M$50),"ECO",IF(AND(G22="TORRE",CK22&gt;RÉGUAS!$M$50),"BIO",))))))</f>
        <v>ESSENCIAL</v>
      </c>
      <c r="CM22" s="28" t="str">
        <f>IF(AND(G22="BLOCO",CK22&gt;=RÉGUAS!$D$51,CK22&lt;=RÉGUAS!$D$50),"ESSENCIAL-10%",IF(AND(G22="BLOCO",CK22&gt;RÉGUAS!$D$50,CK22&lt;=RÉGUAS!$E$51),"ECO+10%",IF(AND(G22="BLOCO",CK22&gt;=RÉGUAS!$F$51,CK22&lt;=RÉGUAS!$F$50),"ECO-10%",IF(AND(G22="BLOCO",CK22&gt;RÉGUAS!$F$50,CK22&lt;=RÉGUAS!$G$51),"BIO+10%",IF(AND(G22="TORRE",CK22&gt;=RÉGUAS!$K$51,CK22&lt;=RÉGUAS!$K$50),"ESSENCIAL-10%",IF(AND(G22="TORRE",CK22&gt;RÉGUAS!$K$50,CK22&lt;=RÉGUAS!$L$51),"ECO+10%",IF(AND(G22="TORRE",CK22&gt;=RÉGUAS!$M$51,CK22&lt;=RÉGUAS!$M$50),"ECO-10%",IF(AND(G22="TORRE",CK22&gt;RÉGUAS!$M$50,CK22&lt;=RÉGUAS!$N$51),"BIO+10%","-"))))))))</f>
        <v>-</v>
      </c>
      <c r="CN22" s="73">
        <f t="shared" si="3"/>
        <v>4041.9611428571429</v>
      </c>
      <c r="CO22" s="72" t="str">
        <f>IF(CN22&lt;=RÉGUAS!$D$58,"ESSENCIAL",IF(CN22&lt;=RÉGUAS!$F$58,"ECO",IF(CN22&gt;RÉGUAS!$F$58,"BIO",)))</f>
        <v>ESSENCIAL</v>
      </c>
      <c r="CP22" s="72" t="str">
        <f>IF(Tabela1[[#This Row],[INTERVALO DE INTERSEÇÃO 5D]]="-",Tabela1[[#This Row],[CLASSIFICAÇÃO 
5D ]],Tabela1[[#This Row],[CLASSIFICAÇÃO 
4D]])</f>
        <v>ESSENCIAL</v>
      </c>
      <c r="CQ22" s="72" t="str">
        <f t="shared" si="4"/>
        <v>-</v>
      </c>
      <c r="CR22" s="72" t="str">
        <f t="shared" si="5"/>
        <v>ESSENCIAL</v>
      </c>
      <c r="CS22" s="22" t="str">
        <f>IF(Tabela1[[#This Row],[PRODUTO ATUAL ]]=Tabela1[[#This Row],[CLASSIFICAÇÃO FINAL 5D]],"ADERÊNTE","NÃO ADERÊNTE")</f>
        <v>ADERÊNTE</v>
      </c>
      <c r="CT22" s="24">
        <f>SUM(Tabela1[[#This Row],[TOTAL  ACAB]],Tabela1[[#This Row],[TOTAL LAZER ]],Tabela1[[#This Row],[TOTAL TIPOLOGIA]],Tabela1[[#This Row],[TOTAL VAGA]])</f>
        <v>4041.9611428571429</v>
      </c>
      <c r="CU22" s="22" t="str">
        <f>IF(CT22&lt;=RÉGUAS!$D$58,"ESSENCIAL",IF(CT22&lt;=RÉGUAS!$F$58,"ECO",IF(CT22&gt;RÉGUAS!$F$58,"BIO",)))</f>
        <v>ESSENCIAL</v>
      </c>
      <c r="CV22" s="22" t="str">
        <f>IF(AND(CT22&gt;=RÉGUAS!$D$59,CT22&lt;=RÉGUAS!$E$59),"ESSENCIAL/ECO",IF(AND(CT22&gt;=RÉGUAS!$F$59,CT22&lt;=RÉGUAS!$G$59),"ECO/BIO","-"))</f>
        <v>-</v>
      </c>
      <c r="CW22" s="85">
        <f>SUM(Tabela1[[#This Row],[TOTAL LAZER ]],Tabela1[[#This Row],[TOTAL TIPOLOGIA]])</f>
        <v>430.53257142857143</v>
      </c>
      <c r="CX22" s="22" t="str">
        <f>IF(CW22&lt;=RÉGUAS!$D$72,"ESSENCIAL",IF(CW22&lt;=RÉGUAS!$F$72,"ECO",IF(CN22&gt;RÉGUAS!$F$72,"BIO",)))</f>
        <v>ESSENCIAL</v>
      </c>
      <c r="CY22" s="22" t="str">
        <f t="shared" si="6"/>
        <v>ESSENCIAL</v>
      </c>
      <c r="CZ22" s="22" t="str">
        <f>IF(Tabela1[[#This Row],[PRODUTO ATUAL ]]=CY22,"ADERENTE","NÃO ADERENTE")</f>
        <v>ADERENTE</v>
      </c>
      <c r="DA22" s="22" t="str">
        <f>IF(Tabela1[[#This Row],[PRODUTO ATUAL ]]=Tabela1[[#This Row],[CLASSIFICAÇÃO 
4D2]],"ADERENTE","NÃO ADERENTE")</f>
        <v>ADERENTE</v>
      </c>
    </row>
    <row r="23" spans="2:105" x14ac:dyDescent="0.35">
      <c r="B23" s="27">
        <v>40</v>
      </c>
      <c r="C23" s="22" t="s">
        <v>180</v>
      </c>
      <c r="D23" s="22" t="s">
        <v>147</v>
      </c>
      <c r="E23" s="23">
        <v>416</v>
      </c>
      <c r="F23" s="22" t="str">
        <f t="shared" si="0"/>
        <v>Acima de 400 und</v>
      </c>
      <c r="G23" s="22" t="s">
        <v>1</v>
      </c>
      <c r="H23" s="36">
        <v>26</v>
      </c>
      <c r="I23" s="36">
        <v>4</v>
      </c>
      <c r="J23" s="36"/>
      <c r="K23" s="36"/>
      <c r="L23" s="36">
        <f>SUM(Tabela1[[#This Row],[QTD DE B/T 2]],Tabela1[[#This Row],[QTD DE B/T]])</f>
        <v>26</v>
      </c>
      <c r="M23" s="22">
        <v>0</v>
      </c>
      <c r="N23" s="22">
        <f>Tabela1[[#This Row],[ELEVADOR]]/Tabela1[[#This Row],[BLOCO TOTAL]]</f>
        <v>0</v>
      </c>
      <c r="O23" s="22" t="s">
        <v>6</v>
      </c>
      <c r="P23" s="22" t="s">
        <v>101</v>
      </c>
      <c r="Q23" s="22" t="s">
        <v>101</v>
      </c>
      <c r="R23" s="22" t="s">
        <v>142</v>
      </c>
      <c r="S23" s="22" t="s">
        <v>103</v>
      </c>
      <c r="T23" s="22" t="s">
        <v>104</v>
      </c>
      <c r="U23" s="22" t="s">
        <v>105</v>
      </c>
      <c r="V23" s="22" t="s">
        <v>106</v>
      </c>
      <c r="W23" s="24">
        <f>IF(P23=[1]BD_CUSTO!$E$4,[1]BD_CUSTO!$F$4,[1]BD_CUSTO!$F$5)</f>
        <v>2430</v>
      </c>
      <c r="X23" s="24">
        <f>IF(Q23=[1]BD_CUSTO!$E$6,[1]BD_CUSTO!$F$6,[1]BD_CUSTO!$F$7)</f>
        <v>260</v>
      </c>
      <c r="Y23" s="24">
        <f>IF(R23=[1]BD_CUSTO!$E$8,[1]BD_CUSTO!$F$8,[1]BD_CUSTO!$F$9)</f>
        <v>900</v>
      </c>
      <c r="Z23" s="24">
        <f>IF(S23=[1]BD_CUSTO!$E$10,[1]BD_CUSTO!$F$10,[1]BD_CUSTO!$F$11)</f>
        <v>500</v>
      </c>
      <c r="AA23" s="24">
        <f>IF(T23=[1]BD_CUSTO!$E$12,[1]BD_CUSTO!$F$12,[1]BD_CUSTO!$F$13)</f>
        <v>370</v>
      </c>
      <c r="AB23" s="24">
        <f>IF(U23=[1]BD_CUSTO!$E$14,[1]BD_CUSTO!$F$14,[1]BD_CUSTO!$F$15)</f>
        <v>90</v>
      </c>
      <c r="AC23" s="24">
        <f>IF(V23=[1]BD_CUSTO!$E$16,[1]BD_CUSTO!$F$16,[1]BD_CUSTO!$F$17)</f>
        <v>720</v>
      </c>
      <c r="AD23" s="22" t="s">
        <v>110</v>
      </c>
      <c r="AE23" s="22">
        <v>1</v>
      </c>
      <c r="AF23" s="22" t="s">
        <v>107</v>
      </c>
      <c r="AG23" s="22">
        <v>1</v>
      </c>
      <c r="AH23" s="22" t="s">
        <v>108</v>
      </c>
      <c r="AI23" s="22">
        <v>1</v>
      </c>
      <c r="AJ23" s="22" t="s">
        <v>108</v>
      </c>
      <c r="AK23" s="22">
        <v>1</v>
      </c>
      <c r="AL23" s="22" t="s">
        <v>135</v>
      </c>
      <c r="AM23" s="22">
        <v>1</v>
      </c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4">
        <f>IF(AD23="",0,VLOOKUP(AD23,[1]BD_CUSTO!I:J,2,0)*AE23/E23)</f>
        <v>12.740384615384615</v>
      </c>
      <c r="AY23" s="24">
        <f>IF(AF23="",0,VLOOKUP(AF23,[1]BD_CUSTO!I:J,2,0)*AG23/E23)</f>
        <v>204.68538461538461</v>
      </c>
      <c r="AZ23" s="24">
        <f>IF(AH23="",0,VLOOKUP(AH23,[1]BD_CUSTO!I:J,2,0)*AI23/E23)</f>
        <v>55.64903846153846</v>
      </c>
      <c r="BA23" s="24">
        <f>IF(AJ23="",0,VLOOKUP(AJ23,[1]BD_CUSTO!I:J,2,0)*AK23/E23)</f>
        <v>55.64903846153846</v>
      </c>
      <c r="BB23" s="24">
        <f>IF(AL23="",0,VLOOKUP(AL23,[1]BD_CUSTO!I:J,2,0)*AM23/E23)</f>
        <v>303.04961538461538</v>
      </c>
      <c r="BC23" s="24">
        <f>IF(AN23="",0,VLOOKUP(AN23,[1]BD_CUSTO!I:J,2,0)*AO23/E23)</f>
        <v>0</v>
      </c>
      <c r="BD23" s="24">
        <f>IF(AP23="",0,VLOOKUP(AP23,[1]BD_CUSTO!I:J,2,0)*AQ23/E23)</f>
        <v>0</v>
      </c>
      <c r="BE23" s="24">
        <f>IF(AR23="",0,VLOOKUP(AR23,CUSTO!I:J,2,0)*AS23/E23)</f>
        <v>0</v>
      </c>
      <c r="BF23" s="24">
        <f>IF(AT23="",0,VLOOKUP(AT23,[1]BD_CUSTO!I:J,2,0)*AU23/E23)</f>
        <v>0</v>
      </c>
      <c r="BG23" s="24">
        <f>IF(Tabela1[[#This Row],[LZ 10]]="",0,VLOOKUP(Tabela1[[#This Row],[LZ 10]],[1]BD_CUSTO!I:J,2,0)*Tabela1[[#This Row],[QTD922]]/E23)</f>
        <v>0</v>
      </c>
      <c r="BH23" s="22" t="s">
        <v>122</v>
      </c>
      <c r="BI23" s="25">
        <v>0</v>
      </c>
      <c r="BJ23" s="22" t="s">
        <v>113</v>
      </c>
      <c r="BK23" s="25">
        <v>0</v>
      </c>
      <c r="BL23" s="24">
        <f>IF(BH23=[1]BD_CUSTO!$M$6,[1]BD_CUSTO!$N$6)*BI23</f>
        <v>0</v>
      </c>
      <c r="BM23" s="24">
        <f>IF(BJ23=[1]BD_CUSTO!$M$4,[1]BD_CUSTO!$N$4,[1]BD_CUSTO!$N$5)*BK23</f>
        <v>0</v>
      </c>
      <c r="BN23" s="22" t="s">
        <v>114</v>
      </c>
      <c r="BO23" s="22">
        <f>403+13+3</f>
        <v>419</v>
      </c>
      <c r="BP23" s="25">
        <f>Tabela1[[#This Row],[QTD ]]/Tabela1[[#This Row],[Nº UNDS]]</f>
        <v>1.0072115384615385</v>
      </c>
      <c r="BQ23" s="22" t="s">
        <v>123</v>
      </c>
      <c r="BR23" s="22">
        <v>42</v>
      </c>
      <c r="BS23" s="22" t="s">
        <v>116</v>
      </c>
      <c r="BT23" s="22">
        <v>0</v>
      </c>
      <c r="BU23" s="22" t="s">
        <v>16</v>
      </c>
      <c r="BV23" s="22">
        <v>0</v>
      </c>
      <c r="BW23" s="24">
        <f>IF(BN23=[1]BD_CUSTO!$Q$7,[1]BD_CUSTO!$R$7,[1]BD_CUSTO!$R$8)*BO23/E23</f>
        <v>2014.4230769230769</v>
      </c>
      <c r="BX23" s="24">
        <f>IF(BQ23=[1]BD_CUSTO!$Q$4,[1]BD_CUSTO!$R$4,[1]BD_CUSTO!$R$5)*BR23/E23</f>
        <v>100.96153846153847</v>
      </c>
      <c r="BY23" s="22">
        <f>IF(BS23=[1]BD_CUSTO!$Q$13,[1]BD_CUSTO!$R$13,[1]BD_CUSTO!$R$14)*BT23/E23</f>
        <v>0</v>
      </c>
      <c r="BZ23" s="24">
        <f>BV23*CUSTO!$R$10/E23</f>
        <v>0</v>
      </c>
      <c r="CA23" s="26">
        <f>SUM(Tabela1[[#This Row],[SOMA_PISO SALA E QUARTO]],Tabela1[[#This Row],[SOMA_PAREDE HIDR]],Tabela1[[#This Row],[SOMA_TETO]],Tabela1[[#This Row],[SOMA_BANCADA]],Tabela1[[#This Row],[SOMA_PEDRAS]])</f>
        <v>4290</v>
      </c>
      <c r="CB23" s="27" t="str">
        <f>IF(CA23&lt;=RÉGUAS!$D$4,"ACAB 01",IF(CA23&lt;=RÉGUAS!$F$4,"ACAB 02",IF(CA23&gt;RÉGUAS!$F$4,"ACAB 03",)))</f>
        <v>ACAB 02</v>
      </c>
      <c r="CC23" s="26">
        <f>SUM(Tabela1[[#This Row],[SOMA_LZ 01]:[SOMA_LZ 10]])</f>
        <v>631.77346153846156</v>
      </c>
      <c r="CD23" s="22" t="str">
        <f>IF(CC23&lt;=RÉGUAS!$D$13,"LZ 01",IF(CC23&lt;=RÉGUAS!$F$13,"LZ 02",IF(CC23&lt;=RÉGUAS!$H$13,"LZ 03",IF(CC23&gt;RÉGUAS!$H$13,"LZ 04",))))</f>
        <v>LZ 01</v>
      </c>
      <c r="CE23" s="28">
        <f t="shared" si="1"/>
        <v>0</v>
      </c>
      <c r="CF23" s="22" t="str">
        <f>IF(CE23&lt;=RÉGUAS!$D$22,"TIP 01",IF(CE23&lt;=RÉGUAS!$F$22,"TIP 02",IF(CE23&gt;RÉGUAS!$F$22,"TIP 03",)))</f>
        <v>TIP 01</v>
      </c>
      <c r="CG23" s="28">
        <f t="shared" si="2"/>
        <v>2115.3846153846152</v>
      </c>
      <c r="CH23" s="22" t="str">
        <f>IF(CG23&lt;=RÉGUAS!$D$32,"VAGA 01",IF(CG23&lt;=RÉGUAS!$F$32,"VAGA 02",IF(CG23&gt;RÉGUAS!$F$32,"VAGA 03",)))</f>
        <v>VAGA 02</v>
      </c>
      <c r="CI23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23" s="85" t="str">
        <f>IF(AND(G23="BLOCO",CI23&lt;=RÉGUAS!$D$40),"ELEV 01",IF(AND(G23="BLOCO",CI23&gt;RÉGUAS!$D$40),"ELEV 02",IF(AND(G23="TORRE",CI23&lt;=RÉGUAS!$K$40),"ELEV 01",IF(AND(G23="TORRE",CI23&lt;=RÉGUAS!$M$40),"ELEV 02",IF(AND(G23="TORRE",CI23&gt;RÉGUAS!$M$40),"ELEV 03",)))))</f>
        <v>ELEV 01</v>
      </c>
      <c r="CK23" s="85">
        <f>SUM(Tabela1[[#This Row],[TOTAL  ACAB]],Tabela1[[#This Row],[TOTAL LAZER ]],Tabela1[[#This Row],[TOTAL TIPOLOGIA]],Tabela1[[#This Row],[TOTAL VAGA]],Tabela1[[#This Row],[TOTAL ELEVADOR]])</f>
        <v>7037.1580769230768</v>
      </c>
      <c r="CL23" s="72" t="str">
        <f>IF(AND(G23="BLOCO",CK23&lt;=RÉGUAS!$D$50),"ESSENCIAL",IF(AND(G23="BLOCO",CK23&lt;=RÉGUAS!$F$50),"ECO",IF(AND(G23="BLOCO",CK23&gt;RÉGUAS!$F$50),"BIO",IF(AND(G23="TORRE",CK23&lt;=RÉGUAS!$K$50),"ESSENCIAL",IF(AND(G23="TORRE",CK23&lt;=RÉGUAS!$M$50),"ECO",IF(AND(G23="TORRE",CK23&gt;RÉGUAS!$M$50),"BIO",))))))</f>
        <v>ESSENCIAL</v>
      </c>
      <c r="CM23" s="28" t="str">
        <f>IF(AND(G23="BLOCO",CK23&gt;=RÉGUAS!$D$51,CK23&lt;=RÉGUAS!$D$50),"ESSENCIAL-10%",IF(AND(G23="BLOCO",CK23&gt;RÉGUAS!$D$50,CK23&lt;=RÉGUAS!$E$51),"ECO+10%",IF(AND(G23="BLOCO",CK23&gt;=RÉGUAS!$F$51,CK23&lt;=RÉGUAS!$F$50),"ECO-10%",IF(AND(G23="BLOCO",CK23&gt;RÉGUAS!$F$50,CK23&lt;=RÉGUAS!$G$51),"BIO+10%",IF(AND(G23="TORRE",CK23&gt;=RÉGUAS!$K$51,CK23&lt;=RÉGUAS!$K$50),"ESSENCIAL-10%",IF(AND(G23="TORRE",CK23&gt;RÉGUAS!$K$50,CK23&lt;=RÉGUAS!$L$51),"ECO+10%",IF(AND(G23="TORRE",CK23&gt;=RÉGUAS!$M$51,CK23&lt;=RÉGUAS!$M$50),"ECO-10%",IF(AND(G23="TORRE",CK23&gt;RÉGUAS!$M$50,CK23&lt;=RÉGUAS!$N$51),"BIO+10%","-"))))))))</f>
        <v>-</v>
      </c>
      <c r="CN23" s="73">
        <f t="shared" si="3"/>
        <v>7037.1580769230768</v>
      </c>
      <c r="CO23" s="72" t="str">
        <f>IF(CN23&lt;=RÉGUAS!$D$58,"ESSENCIAL",IF(CN23&lt;=RÉGUAS!$F$58,"ECO",IF(CN23&gt;RÉGUAS!$F$58,"BIO",)))</f>
        <v>ECO</v>
      </c>
      <c r="CP23" s="72" t="str">
        <f>IF(Tabela1[[#This Row],[INTERVALO DE INTERSEÇÃO 5D]]="-",Tabela1[[#This Row],[CLASSIFICAÇÃO 
5D ]],Tabela1[[#This Row],[CLASSIFICAÇÃO 
4D]])</f>
        <v>ESSENCIAL</v>
      </c>
      <c r="CQ23" s="72" t="str">
        <f t="shared" si="4"/>
        <v>-</v>
      </c>
      <c r="CR23" s="72" t="str">
        <f t="shared" si="5"/>
        <v>ESSENCIAL</v>
      </c>
      <c r="CS23" s="22" t="str">
        <f>IF(Tabela1[[#This Row],[PRODUTO ATUAL ]]=Tabela1[[#This Row],[CLASSIFICAÇÃO FINAL 5D]],"ADERÊNTE","NÃO ADERÊNTE")</f>
        <v>ADERÊNTE</v>
      </c>
      <c r="CT23" s="24">
        <f>SUM(Tabela1[[#This Row],[TOTAL  ACAB]],Tabela1[[#This Row],[TOTAL LAZER ]],Tabela1[[#This Row],[TOTAL TIPOLOGIA]],Tabela1[[#This Row],[TOTAL VAGA]])</f>
        <v>7037.1580769230768</v>
      </c>
      <c r="CU23" s="22" t="str">
        <f>IF(CT23&lt;=RÉGUAS!$D$58,"ESSENCIAL",IF(CT23&lt;=RÉGUAS!$F$58,"ECO",IF(CT23&gt;RÉGUAS!$F$58,"BIO",)))</f>
        <v>ECO</v>
      </c>
      <c r="CV23" s="22" t="str">
        <f>IF(AND(CT23&gt;=RÉGUAS!$D$59,CT23&lt;=RÉGUAS!$E$59),"ESSENCIAL/ECO",IF(AND(CT23&gt;=RÉGUAS!$F$59,CT23&lt;=RÉGUAS!$G$59),"ECO/BIO","-"))</f>
        <v>ESSENCIAL/ECO</v>
      </c>
      <c r="CW23" s="85">
        <f>SUM(Tabela1[[#This Row],[TOTAL LAZER ]],Tabela1[[#This Row],[TOTAL TIPOLOGIA]])</f>
        <v>631.77346153846156</v>
      </c>
      <c r="CX23" s="22" t="str">
        <f>IF(CW23&lt;=RÉGUAS!$D$72,"ESSENCIAL",IF(CW23&lt;=RÉGUAS!$F$72,"ECO",IF(CN23&gt;RÉGUAS!$F$72,"BIO",)))</f>
        <v>ESSENCIAL</v>
      </c>
      <c r="CY23" s="22" t="str">
        <f t="shared" si="6"/>
        <v>ESSENCIAL</v>
      </c>
      <c r="CZ23" s="22" t="str">
        <f>IF(Tabela1[[#This Row],[PRODUTO ATUAL ]]=CY23,"ADERENTE","NÃO ADERENTE")</f>
        <v>ADERENTE</v>
      </c>
      <c r="DA23" s="22" t="str">
        <f>IF(Tabela1[[#This Row],[PRODUTO ATUAL ]]=Tabela1[[#This Row],[CLASSIFICAÇÃO 
4D2]],"ADERENTE","NÃO ADERENTE")</f>
        <v>NÃO ADERENTE</v>
      </c>
    </row>
    <row r="24" spans="2:105" x14ac:dyDescent="0.35">
      <c r="B24" s="27">
        <v>17</v>
      </c>
      <c r="C24" s="22" t="s">
        <v>184</v>
      </c>
      <c r="D24" s="22" t="s">
        <v>154</v>
      </c>
      <c r="E24" s="23">
        <v>244</v>
      </c>
      <c r="F24" s="22" t="str">
        <f t="shared" si="0"/>
        <v>De 200 a 400 und</v>
      </c>
      <c r="G24" s="22" t="s">
        <v>1</v>
      </c>
      <c r="H24" s="36">
        <v>15</v>
      </c>
      <c r="I24" s="36">
        <v>5</v>
      </c>
      <c r="J24" s="36"/>
      <c r="K24" s="36"/>
      <c r="L24" s="36">
        <f>SUM(Tabela1[[#This Row],[QTD DE B/T 2]],Tabela1[[#This Row],[QTD DE B/T]])</f>
        <v>15</v>
      </c>
      <c r="M24" s="22">
        <v>1</v>
      </c>
      <c r="N24" s="22">
        <f>Tabela1[[#This Row],[ELEVADOR]]/Tabela1[[#This Row],[BLOCO TOTAL]]</f>
        <v>6.6666666666666666E-2</v>
      </c>
      <c r="O24" s="22" t="s">
        <v>6</v>
      </c>
      <c r="P24" s="22" t="s">
        <v>101</v>
      </c>
      <c r="Q24" s="22" t="s">
        <v>101</v>
      </c>
      <c r="R24" s="22" t="s">
        <v>142</v>
      </c>
      <c r="S24" s="22" t="s">
        <v>103</v>
      </c>
      <c r="T24" s="22" t="s">
        <v>104</v>
      </c>
      <c r="U24" s="22" t="s">
        <v>105</v>
      </c>
      <c r="V24" s="22" t="s">
        <v>106</v>
      </c>
      <c r="W24" s="24">
        <f>IF(P24=[1]BD_CUSTO!$E$4,[1]BD_CUSTO!$F$4,[1]BD_CUSTO!$F$5)</f>
        <v>2430</v>
      </c>
      <c r="X24" s="24">
        <f>IF(Q24=[1]BD_CUSTO!$E$6,[1]BD_CUSTO!$F$6,[1]BD_CUSTO!$F$7)</f>
        <v>260</v>
      </c>
      <c r="Y24" s="24">
        <f>IF(R24=[1]BD_CUSTO!$E$8,[1]BD_CUSTO!$F$8,[1]BD_CUSTO!$F$9)</f>
        <v>900</v>
      </c>
      <c r="Z24" s="24">
        <f>IF(S24=[1]BD_CUSTO!$E$10,[1]BD_CUSTO!$F$10,[1]BD_CUSTO!$F$11)</f>
        <v>500</v>
      </c>
      <c r="AA24" s="24">
        <f>IF(T24=[1]BD_CUSTO!$E$12,[1]BD_CUSTO!$F$12,[1]BD_CUSTO!$F$13)</f>
        <v>370</v>
      </c>
      <c r="AB24" s="24">
        <f>IF(U24=[1]BD_CUSTO!$E$14,[1]BD_CUSTO!$F$14,[1]BD_CUSTO!$F$15)</f>
        <v>90</v>
      </c>
      <c r="AC24" s="24">
        <f>IF(V24=[1]BD_CUSTO!$E$16,[1]BD_CUSTO!$F$16,[1]BD_CUSTO!$F$17)</f>
        <v>720</v>
      </c>
      <c r="AD24" s="22" t="s">
        <v>108</v>
      </c>
      <c r="AE24" s="22">
        <v>1</v>
      </c>
      <c r="AF24" s="22" t="s">
        <v>107</v>
      </c>
      <c r="AG24" s="22">
        <v>1</v>
      </c>
      <c r="AH24" s="22" t="s">
        <v>109</v>
      </c>
      <c r="AI24" s="22">
        <v>1</v>
      </c>
      <c r="AJ24" s="22" t="s">
        <v>110</v>
      </c>
      <c r="AK24" s="22">
        <v>1</v>
      </c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4">
        <f>IF(AD24="",0,VLOOKUP(AD24,[1]BD_CUSTO!I:J,2,0)*AE24/E24)</f>
        <v>94.877049180327873</v>
      </c>
      <c r="AY24" s="24">
        <f>IF(AF24="",0,VLOOKUP(AF24,[1]BD_CUSTO!I:J,2,0)*AG24/E24)</f>
        <v>348.97180327868853</v>
      </c>
      <c r="AZ24" s="24">
        <f>IF(AH24="",0,VLOOKUP(AH24,[1]BD_CUSTO!I:J,2,0)*AI24/E24)</f>
        <v>28.483606557377048</v>
      </c>
      <c r="BA24" s="24">
        <f>IF(AJ24="",0,VLOOKUP(AJ24,[1]BD_CUSTO!I:J,2,0)*AK24/E24)</f>
        <v>21.721311475409838</v>
      </c>
      <c r="BB24" s="24">
        <f>IF(AL24="",0,VLOOKUP(AL24,[1]BD_CUSTO!I:J,2,0)*AM24/E24)</f>
        <v>0</v>
      </c>
      <c r="BC24" s="24">
        <f>IF(AN24="",0,VLOOKUP(AN24,[1]BD_CUSTO!I:J,2,0)*AO24/E24)</f>
        <v>0</v>
      </c>
      <c r="BD24" s="24">
        <f>IF(AP24="",0,VLOOKUP(AP24,[1]BD_CUSTO!I:J,2,0)*AQ24/E24)</f>
        <v>0</v>
      </c>
      <c r="BE24" s="24">
        <f>IF(AR24="",0,VLOOKUP(AR24,CUSTO!I:J,2,0)*AS24/E24)</f>
        <v>0</v>
      </c>
      <c r="BF24" s="24">
        <f>IF(AT24="",0,VLOOKUP(AT24,[1]BD_CUSTO!I:J,2,0)*AU24/E24)</f>
        <v>0</v>
      </c>
      <c r="BG24" s="24">
        <f>IF(Tabela1[[#This Row],[LZ 10]]="",0,VLOOKUP(Tabela1[[#This Row],[LZ 10]],[1]BD_CUSTO!I:J,2,0)*Tabela1[[#This Row],[QTD922]]/E24)</f>
        <v>0</v>
      </c>
      <c r="BH24" s="22" t="s">
        <v>122</v>
      </c>
      <c r="BI24" s="25">
        <v>0</v>
      </c>
      <c r="BJ24" s="22" t="s">
        <v>113</v>
      </c>
      <c r="BK24" s="25">
        <v>0</v>
      </c>
      <c r="BL24" s="24">
        <f>IF(BH24=[1]BD_CUSTO!$M$6,[1]BD_CUSTO!$N$6)*BI24</f>
        <v>0</v>
      </c>
      <c r="BM24" s="24">
        <f>IF(BJ24=[1]BD_CUSTO!$M$4,[1]BD_CUSTO!$N$4,[1]BD_CUSTO!$N$5)*BK24</f>
        <v>0</v>
      </c>
      <c r="BN24" s="22" t="s">
        <v>114</v>
      </c>
      <c r="BO24" s="22">
        <f>258-11</f>
        <v>247</v>
      </c>
      <c r="BP24" s="25">
        <f>Tabela1[[#This Row],[QTD ]]/Tabela1[[#This Row],[Nº UNDS]]</f>
        <v>1.0122950819672132</v>
      </c>
      <c r="BQ24" s="22" t="s">
        <v>123</v>
      </c>
      <c r="BR24" s="22">
        <v>11</v>
      </c>
      <c r="BS24" s="22" t="s">
        <v>116</v>
      </c>
      <c r="BT24" s="22">
        <v>0</v>
      </c>
      <c r="BU24" s="22" t="s">
        <v>16</v>
      </c>
      <c r="BV24" s="22">
        <v>0</v>
      </c>
      <c r="BW24" s="24">
        <f>IF(BN24=[1]BD_CUSTO!$Q$7,[1]BD_CUSTO!$R$7,[1]BD_CUSTO!$R$8)*BO24/E24</f>
        <v>2024.5901639344263</v>
      </c>
      <c r="BX24" s="24">
        <f>IF(BQ24=[1]BD_CUSTO!$Q$4,[1]BD_CUSTO!$R$4,[1]BD_CUSTO!$R$5)*BR24/E24</f>
        <v>45.081967213114751</v>
      </c>
      <c r="BY24" s="22">
        <f>IF(BS24=[1]BD_CUSTO!$Q$13,[1]BD_CUSTO!$R$13,[1]BD_CUSTO!$R$14)*BT24/E24</f>
        <v>0</v>
      </c>
      <c r="BZ24" s="24">
        <f>BV24*CUSTO!$R$10/E24</f>
        <v>0</v>
      </c>
      <c r="CA24" s="26">
        <f>SUM(Tabela1[[#This Row],[SOMA_PISO SALA E QUARTO]],Tabela1[[#This Row],[SOMA_PAREDE HIDR]],Tabela1[[#This Row],[SOMA_TETO]],Tabela1[[#This Row],[SOMA_BANCADA]],Tabela1[[#This Row],[SOMA_PEDRAS]])</f>
        <v>4290</v>
      </c>
      <c r="CB24" s="27" t="str">
        <f>IF(CA24&lt;=RÉGUAS!$D$4,"ACAB 01",IF(CA24&lt;=RÉGUAS!$F$4,"ACAB 02",IF(CA24&gt;RÉGUAS!$F$4,"ACAB 03",)))</f>
        <v>ACAB 02</v>
      </c>
      <c r="CC24" s="26">
        <f>SUM(Tabela1[[#This Row],[SOMA_LZ 01]:[SOMA_LZ 10]])</f>
        <v>494.05377049180328</v>
      </c>
      <c r="CD24" s="22" t="str">
        <f>IF(CC24&lt;=RÉGUAS!$D$13,"LZ 01",IF(CC24&lt;=RÉGUAS!$F$13,"LZ 02",IF(CC24&lt;=RÉGUAS!$H$13,"LZ 03",IF(CC24&gt;RÉGUAS!$H$13,"LZ 04",))))</f>
        <v>LZ 01</v>
      </c>
      <c r="CE24" s="28">
        <f t="shared" si="1"/>
        <v>0</v>
      </c>
      <c r="CF24" s="22" t="str">
        <f>IF(CE24&lt;=RÉGUAS!$D$22,"TIP 01",IF(CE24&lt;=RÉGUAS!$F$22,"TIP 02",IF(CE24&gt;RÉGUAS!$F$22,"TIP 03",)))</f>
        <v>TIP 01</v>
      </c>
      <c r="CG24" s="28">
        <f t="shared" si="2"/>
        <v>2069.6721311475412</v>
      </c>
      <c r="CH24" s="22" t="str">
        <f>IF(CG24&lt;=RÉGUAS!$D$32,"VAGA 01",IF(CG24&lt;=RÉGUAS!$F$32,"VAGA 02",IF(CG24&gt;RÉGUAS!$F$32,"VAGA 03",)))</f>
        <v>VAGA 02</v>
      </c>
      <c r="CI24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615.32786885245901</v>
      </c>
      <c r="CJ24" s="85" t="str">
        <f>IF(AND(G24="BLOCO",CI24&lt;=RÉGUAS!$D$40),"ELEV 01",IF(AND(G24="BLOCO",CI24&gt;RÉGUAS!$D$40),"ELEV 02",IF(AND(G24="TORRE",CI24&lt;=RÉGUAS!$K$40),"ELEV 01",IF(AND(G24="TORRE",CI24&lt;=RÉGUAS!$M$40),"ELEV 02",IF(AND(G24="TORRE",CI24&gt;RÉGUAS!$M$40),"ELEV 03",)))))</f>
        <v>ELEV 02</v>
      </c>
      <c r="CK24" s="85">
        <f>SUM(Tabela1[[#This Row],[TOTAL  ACAB]],Tabela1[[#This Row],[TOTAL LAZER ]],Tabela1[[#This Row],[TOTAL TIPOLOGIA]],Tabela1[[#This Row],[TOTAL VAGA]],Tabela1[[#This Row],[TOTAL ELEVADOR]])</f>
        <v>7469.0537704918033</v>
      </c>
      <c r="CL24" s="72" t="str">
        <f>IF(AND(G24="BLOCO",CK24&lt;=RÉGUAS!$D$50),"ESSENCIAL",IF(AND(G24="BLOCO",CK24&lt;=RÉGUAS!$F$50),"ECO",IF(AND(G24="BLOCO",CK24&gt;RÉGUAS!$F$50),"BIO",IF(AND(G24="TORRE",CK24&lt;=RÉGUAS!$K$50),"ESSENCIAL",IF(AND(G24="TORRE",CK24&lt;=RÉGUAS!$M$50),"ECO",IF(AND(G24="TORRE",CK24&gt;RÉGUAS!$M$50),"BIO",))))))</f>
        <v>ESSENCIAL</v>
      </c>
      <c r="CM24" s="28" t="str">
        <f>IF(AND(G24="BLOCO",CK24&gt;=RÉGUAS!$D$51,CK24&lt;=RÉGUAS!$D$50),"ESSENCIAL-10%",IF(AND(G24="BLOCO",CK24&gt;RÉGUAS!$D$50,CK24&lt;=RÉGUAS!$E$51),"ECO+10%",IF(AND(G24="BLOCO",CK24&gt;=RÉGUAS!$F$51,CK24&lt;=RÉGUAS!$F$50),"ECO-10%",IF(AND(G24="BLOCO",CK24&gt;RÉGUAS!$F$50,CK24&lt;=RÉGUAS!$G$51),"BIO+10%",IF(AND(G24="TORRE",CK24&gt;=RÉGUAS!$K$51,CK24&lt;=RÉGUAS!$K$50),"ESSENCIAL-10%",IF(AND(G24="TORRE",CK24&gt;RÉGUAS!$K$50,CK24&lt;=RÉGUAS!$L$51),"ECO+10%",IF(AND(G24="TORRE",CK24&gt;=RÉGUAS!$M$51,CK24&lt;=RÉGUAS!$M$50),"ECO-10%",IF(AND(G24="TORRE",CK24&gt;RÉGUAS!$M$50,CK24&lt;=RÉGUAS!$N$51),"BIO+10%","-"))))))))</f>
        <v>ESSENCIAL-10%</v>
      </c>
      <c r="CN24" s="73">
        <f t="shared" si="3"/>
        <v>6853.7259016393446</v>
      </c>
      <c r="CO24" s="72" t="str">
        <f>IF(CN24&lt;=RÉGUAS!$D$58,"ESSENCIAL",IF(CN24&lt;=RÉGUAS!$F$58,"ECO",IF(CN24&gt;RÉGUAS!$F$58,"BIO",)))</f>
        <v>ECO</v>
      </c>
      <c r="CP24" s="72" t="str">
        <f>IF(Tabela1[[#This Row],[INTERVALO DE INTERSEÇÃO 5D]]="-",Tabela1[[#This Row],[CLASSIFICAÇÃO 
5D ]],Tabela1[[#This Row],[CLASSIFICAÇÃO 
4D]])</f>
        <v>ECO</v>
      </c>
      <c r="CQ24" s="72" t="str">
        <f t="shared" si="4"/>
        <v>-</v>
      </c>
      <c r="CR24" s="72" t="str">
        <f t="shared" si="5"/>
        <v>ECO</v>
      </c>
      <c r="CS24" s="22" t="str">
        <f>IF(Tabela1[[#This Row],[PRODUTO ATUAL ]]=Tabela1[[#This Row],[CLASSIFICAÇÃO FINAL 5D]],"ADERÊNTE","NÃO ADERÊNTE")</f>
        <v>NÃO ADERÊNTE</v>
      </c>
      <c r="CT24" s="24">
        <f>SUM(Tabela1[[#This Row],[TOTAL  ACAB]],Tabela1[[#This Row],[TOTAL LAZER ]],Tabela1[[#This Row],[TOTAL TIPOLOGIA]],Tabela1[[#This Row],[TOTAL VAGA]])</f>
        <v>6853.7259016393446</v>
      </c>
      <c r="CU24" s="22" t="str">
        <f>IF(CT24&lt;=RÉGUAS!$D$58,"ESSENCIAL",IF(CT24&lt;=RÉGUAS!$F$58,"ECO",IF(CT24&gt;RÉGUAS!$F$58,"BIO",)))</f>
        <v>ECO</v>
      </c>
      <c r="CV24" s="22" t="str">
        <f>IF(AND(CT24&gt;=RÉGUAS!$D$59,CT24&lt;=RÉGUAS!$E$59),"ESSENCIAL/ECO",IF(AND(CT24&gt;=RÉGUAS!$F$59,CT24&lt;=RÉGUAS!$G$59),"ECO/BIO","-"))</f>
        <v>ESSENCIAL/ECO</v>
      </c>
      <c r="CW24" s="85">
        <f>SUM(Tabela1[[#This Row],[TOTAL LAZER ]],Tabela1[[#This Row],[TOTAL TIPOLOGIA]])</f>
        <v>494.05377049180328</v>
      </c>
      <c r="CX24" s="22" t="str">
        <f>IF(CW24&lt;=RÉGUAS!$D$72,"ESSENCIAL",IF(CW24&lt;=RÉGUAS!$F$72,"ECO",IF(CN24&gt;RÉGUAS!$F$72,"BIO",)))</f>
        <v>ESSENCIAL</v>
      </c>
      <c r="CY24" s="22" t="str">
        <f t="shared" si="6"/>
        <v>ESSENCIAL</v>
      </c>
      <c r="CZ24" s="22" t="str">
        <f>IF(Tabela1[[#This Row],[PRODUTO ATUAL ]]=CY24,"ADERENTE","NÃO ADERENTE")</f>
        <v>ADERENTE</v>
      </c>
      <c r="DA24" s="22" t="str">
        <f>IF(Tabela1[[#This Row],[PRODUTO ATUAL ]]=Tabela1[[#This Row],[CLASSIFICAÇÃO 
4D2]],"ADERENTE","NÃO ADERENTE")</f>
        <v>NÃO ADERENTE</v>
      </c>
    </row>
    <row r="25" spans="2:105" hidden="1" x14ac:dyDescent="0.35">
      <c r="B25" s="27">
        <v>23</v>
      </c>
      <c r="C25" s="22" t="s">
        <v>149</v>
      </c>
      <c r="D25" s="22" t="s">
        <v>147</v>
      </c>
      <c r="E25" s="23">
        <v>368</v>
      </c>
      <c r="F25" s="22" t="str">
        <f t="shared" si="0"/>
        <v>De 200 a 400 und</v>
      </c>
      <c r="G25" s="22" t="s">
        <v>1</v>
      </c>
      <c r="H25" s="36">
        <v>23</v>
      </c>
      <c r="I25" s="36">
        <v>4</v>
      </c>
      <c r="J25" s="36"/>
      <c r="K25" s="36"/>
      <c r="L25" s="36">
        <f>SUM(Tabela1[[#This Row],[QTD DE B/T 2]],Tabela1[[#This Row],[QTD DE B/T]])</f>
        <v>23</v>
      </c>
      <c r="M25" s="22">
        <v>1</v>
      </c>
      <c r="N25" s="22">
        <f>Tabela1[[#This Row],[ELEVADOR]]/Tabela1[[#This Row],[BLOCO TOTAL]]</f>
        <v>4.3478260869565216E-2</v>
      </c>
      <c r="O25" s="22" t="s">
        <v>6</v>
      </c>
      <c r="P25" s="22" t="s">
        <v>119</v>
      </c>
      <c r="Q25" s="22" t="s">
        <v>101</v>
      </c>
      <c r="R25" s="22" t="s">
        <v>142</v>
      </c>
      <c r="S25" s="22" t="s">
        <v>103</v>
      </c>
      <c r="T25" s="22" t="s">
        <v>104</v>
      </c>
      <c r="U25" s="22" t="s">
        <v>105</v>
      </c>
      <c r="V25" s="22" t="s">
        <v>106</v>
      </c>
      <c r="W25" s="24">
        <f>IF(P25=[1]BD_CUSTO!$E$4,[1]BD_CUSTO!$F$4,[1]BD_CUSTO!$F$5)</f>
        <v>530</v>
      </c>
      <c r="X25" s="24">
        <f>IF(Q25=[1]BD_CUSTO!$E$6,[1]BD_CUSTO!$F$6,[1]BD_CUSTO!$F$7)</f>
        <v>260</v>
      </c>
      <c r="Y25" s="24">
        <f>IF(R25=[1]BD_CUSTO!$E$8,[1]BD_CUSTO!$F$8,[1]BD_CUSTO!$F$9)</f>
        <v>900</v>
      </c>
      <c r="Z25" s="24">
        <f>IF(S25=[1]BD_CUSTO!$E$10,[1]BD_CUSTO!$F$10,[1]BD_CUSTO!$F$11)</f>
        <v>500</v>
      </c>
      <c r="AA25" s="24">
        <f>IF(T25=[1]BD_CUSTO!$E$12,[1]BD_CUSTO!$F$12,[1]BD_CUSTO!$F$13)</f>
        <v>370</v>
      </c>
      <c r="AB25" s="24">
        <f>IF(U25=[1]BD_CUSTO!$E$14,[1]BD_CUSTO!$F$14,[1]BD_CUSTO!$F$15)</f>
        <v>90</v>
      </c>
      <c r="AC25" s="24">
        <f>IF(V25=[1]BD_CUSTO!$E$16,[1]BD_CUSTO!$F$16,[1]BD_CUSTO!$F$17)</f>
        <v>720</v>
      </c>
      <c r="AD25" s="22" t="s">
        <v>110</v>
      </c>
      <c r="AE25" s="22">
        <v>1</v>
      </c>
      <c r="AF25" s="22" t="s">
        <v>108</v>
      </c>
      <c r="AG25" s="22">
        <v>1</v>
      </c>
      <c r="AH25" s="22" t="s">
        <v>107</v>
      </c>
      <c r="AI25" s="22">
        <v>1</v>
      </c>
      <c r="AJ25" s="22" t="s">
        <v>129</v>
      </c>
      <c r="AK25" s="22">
        <v>1</v>
      </c>
      <c r="AL25" s="22" t="s">
        <v>109</v>
      </c>
      <c r="AM25" s="22">
        <v>1</v>
      </c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4">
        <f>IF(AD25="",0,VLOOKUP(AD25,[1]BD_CUSTO!I:J,2,0)*AE25/E25)</f>
        <v>14.402173913043478</v>
      </c>
      <c r="AY25" s="24">
        <f>IF(AF25="",0,VLOOKUP(AF25,[1]BD_CUSTO!I:J,2,0)*AG25/E25)</f>
        <v>62.907608695652172</v>
      </c>
      <c r="AZ25" s="24">
        <f>IF(AH25="",0,VLOOKUP(AH25,[1]BD_CUSTO!I:J,2,0)*AI25/E25)</f>
        <v>231.38347826086957</v>
      </c>
      <c r="BA25" s="24">
        <f>IF(AJ25="",0,VLOOKUP(AJ25,[1]BD_CUSTO!I:J,2,0)*AK25/E25)</f>
        <v>747.73798913043481</v>
      </c>
      <c r="BB25" s="24">
        <f>IF(AL25="",0,VLOOKUP(AL25,[1]BD_CUSTO!I:J,2,0)*AM25/E25)</f>
        <v>18.885869565217391</v>
      </c>
      <c r="BC25" s="24">
        <f>IF(AN25="",0,VLOOKUP(AN25,[1]BD_CUSTO!I:J,2,0)*AO25/E25)</f>
        <v>0</v>
      </c>
      <c r="BD25" s="24">
        <f>IF(AP25="",0,VLOOKUP(AP25,[1]BD_CUSTO!I:J,2,0)*AQ25/E25)</f>
        <v>0</v>
      </c>
      <c r="BE25" s="24">
        <f>IF(AR25="",0,VLOOKUP(AR25,CUSTO!I:J,2,0)*AS25/E25)</f>
        <v>0</v>
      </c>
      <c r="BF25" s="24">
        <f>IF(AT25="",0,VLOOKUP(AT25,[1]BD_CUSTO!I:J,2,0)*AU25/E25)</f>
        <v>0</v>
      </c>
      <c r="BG25" s="24">
        <f>IF(Tabela1[[#This Row],[LZ 10]]="",0,VLOOKUP(Tabela1[[#This Row],[LZ 10]],[1]BD_CUSTO!I:J,2,0)*Tabela1[[#This Row],[QTD922]]/E25)</f>
        <v>0</v>
      </c>
      <c r="BH25" s="22" t="s">
        <v>112</v>
      </c>
      <c r="BI25" s="25">
        <v>0.37</v>
      </c>
      <c r="BJ25" s="22" t="s">
        <v>113</v>
      </c>
      <c r="BK25" s="25">
        <v>0</v>
      </c>
      <c r="BL25" s="24">
        <f>IF(BH25=[1]BD_CUSTO!$M$6,[1]BD_CUSTO!$N$6)*BI25</f>
        <v>1110</v>
      </c>
      <c r="BM25" s="24">
        <f>IF(BJ25=[1]BD_CUSTO!$M$4,[1]BD_CUSTO!$N$4,[1]BD_CUSTO!$N$5)*BK25</f>
        <v>0</v>
      </c>
      <c r="BN25" s="22" t="s">
        <v>114</v>
      </c>
      <c r="BO25" s="22">
        <v>227</v>
      </c>
      <c r="BP25" s="25">
        <f>Tabela1[[#This Row],[QTD ]]/Tabela1[[#This Row],[Nº UNDS]]</f>
        <v>0.61684782608695654</v>
      </c>
      <c r="BQ25" s="22" t="s">
        <v>115</v>
      </c>
      <c r="BR25" s="22">
        <v>0</v>
      </c>
      <c r="BS25" s="22" t="s">
        <v>116</v>
      </c>
      <c r="BT25" s="22">
        <v>0</v>
      </c>
      <c r="BU25" s="22" t="s">
        <v>16</v>
      </c>
      <c r="BV25" s="22">
        <v>0</v>
      </c>
      <c r="BW25" s="24">
        <f>IF(BN25=[1]BD_CUSTO!$Q$7,[1]BD_CUSTO!$R$7,[1]BD_CUSTO!$R$8)*BO25/E25</f>
        <v>1233.695652173913</v>
      </c>
      <c r="BX25" s="24">
        <f>IF(BQ25=[1]BD_CUSTO!$Q$4,[1]BD_CUSTO!$R$4,[1]BD_CUSTO!$R$5)*BR25/E25</f>
        <v>0</v>
      </c>
      <c r="BY25" s="22">
        <f>IF(BS25=[1]BD_CUSTO!$Q$13,[1]BD_CUSTO!$R$13,[1]BD_CUSTO!$R$14)*BT25/E25</f>
        <v>0</v>
      </c>
      <c r="BZ25" s="24">
        <f>BV25*CUSTO!$R$10/E25</f>
        <v>0</v>
      </c>
      <c r="CA25" s="26">
        <f>SUM(Tabela1[[#This Row],[SOMA_PISO SALA E QUARTO]],Tabela1[[#This Row],[SOMA_PAREDE HIDR]],Tabela1[[#This Row],[SOMA_TETO]],Tabela1[[#This Row],[SOMA_BANCADA]],Tabela1[[#This Row],[SOMA_PEDRAS]])</f>
        <v>2390</v>
      </c>
      <c r="CB25" s="27" t="str">
        <f>IF(CA25&lt;=RÉGUAS!$D$4,"ACAB 01",IF(CA25&lt;=RÉGUAS!$F$4,"ACAB 02",IF(CA25&gt;RÉGUAS!$F$4,"ACAB 03",)))</f>
        <v>ACAB 01</v>
      </c>
      <c r="CC25" s="26">
        <f>SUM(Tabela1[[#This Row],[SOMA_LZ 01]:[SOMA_LZ 10]])</f>
        <v>1075.3171195652176</v>
      </c>
      <c r="CD25" s="22" t="str">
        <f>IF(CC25&lt;=RÉGUAS!$D$13,"LZ 01",IF(CC25&lt;=RÉGUAS!$F$13,"LZ 02",IF(CC25&lt;=RÉGUAS!$H$13,"LZ 03",IF(CC25&gt;RÉGUAS!$H$13,"LZ 04",))))</f>
        <v>LZ 02</v>
      </c>
      <c r="CE25" s="28">
        <f t="shared" si="1"/>
        <v>1110</v>
      </c>
      <c r="CF25" s="22" t="str">
        <f>IF(CE25&lt;=RÉGUAS!$D$22,"TIP 01",IF(CE25&lt;=RÉGUAS!$F$22,"TIP 02",IF(CE25&gt;RÉGUAS!$F$22,"TIP 03",)))</f>
        <v>TIP 01</v>
      </c>
      <c r="CG25" s="28">
        <f t="shared" si="2"/>
        <v>1233.695652173913</v>
      </c>
      <c r="CH25" s="22" t="str">
        <f>IF(CG25&lt;=RÉGUAS!$D$32,"VAGA 01",IF(CG25&lt;=RÉGUAS!$F$32,"VAGA 02",IF(CG25&gt;RÉGUAS!$F$32,"VAGA 03",)))</f>
        <v>VAGA 01</v>
      </c>
      <c r="CI25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326.39130434782606</v>
      </c>
      <c r="CJ25" s="85" t="str">
        <f>IF(AND(G25="BLOCO",CI25&lt;=RÉGUAS!$D$40),"ELEV 01",IF(AND(G25="BLOCO",CI25&gt;RÉGUAS!$D$40),"ELEV 02",IF(AND(G25="TORRE",CI25&lt;=RÉGUAS!$K$40),"ELEV 01",IF(AND(G25="TORRE",CI25&lt;=RÉGUAS!$M$40),"ELEV 02",IF(AND(G25="TORRE",CI25&gt;RÉGUAS!$M$40),"ELEV 03",)))))</f>
        <v>ELEV 02</v>
      </c>
      <c r="CK25" s="85">
        <f>SUM(Tabela1[[#This Row],[TOTAL  ACAB]],Tabela1[[#This Row],[TOTAL LAZER ]],Tabela1[[#This Row],[TOTAL TIPOLOGIA]],Tabela1[[#This Row],[TOTAL VAGA]],Tabela1[[#This Row],[TOTAL ELEVADOR]])</f>
        <v>6135.4040760869566</v>
      </c>
      <c r="CL25" s="72" t="str">
        <f>IF(AND(G25="BLOCO",CK25&lt;=RÉGUAS!$D$50),"ESSENCIAL",IF(AND(G25="BLOCO",CK25&lt;=RÉGUAS!$F$50),"ECO",IF(AND(G25="BLOCO",CK25&gt;RÉGUAS!$F$50),"BIO",IF(AND(G25="TORRE",CK25&lt;=RÉGUAS!$K$50),"ESSENCIAL",IF(AND(G25="TORRE",CK25&lt;=RÉGUAS!$M$50),"ECO",IF(AND(G25="TORRE",CK25&gt;RÉGUAS!$M$50),"BIO",))))))</f>
        <v>ESSENCIAL</v>
      </c>
      <c r="CM25" s="28" t="str">
        <f>IF(AND(G25="BLOCO",CK25&gt;=RÉGUAS!$D$51,CK25&lt;=RÉGUAS!$D$50),"ESSENCIAL-10%",IF(AND(G25="BLOCO",CK25&gt;RÉGUAS!$D$50,CK25&lt;=RÉGUAS!$E$51),"ECO+10%",IF(AND(G25="BLOCO",CK25&gt;=RÉGUAS!$F$51,CK25&lt;=RÉGUAS!$F$50),"ECO-10%",IF(AND(G25="BLOCO",CK25&gt;RÉGUAS!$F$50,CK25&lt;=RÉGUAS!$G$51),"BIO+10%",IF(AND(G25="TORRE",CK25&gt;=RÉGUAS!$K$51,CK25&lt;=RÉGUAS!$K$50),"ESSENCIAL-10%",IF(AND(G25="TORRE",CK25&gt;RÉGUAS!$K$50,CK25&lt;=RÉGUAS!$L$51),"ECO+10%",IF(AND(G25="TORRE",CK25&gt;=RÉGUAS!$M$51,CK25&lt;=RÉGUAS!$M$50),"ECO-10%",IF(AND(G25="TORRE",CK25&gt;RÉGUAS!$M$50,CK25&lt;=RÉGUAS!$N$51),"BIO+10%","-"))))))))</f>
        <v>-</v>
      </c>
      <c r="CN25" s="73">
        <f t="shared" si="3"/>
        <v>5809.0127717391306</v>
      </c>
      <c r="CO25" s="72" t="str">
        <f>IF(CN25&lt;=RÉGUAS!$D$58,"ESSENCIAL",IF(CN25&lt;=RÉGUAS!$F$58,"ECO",IF(CN25&gt;RÉGUAS!$F$58,"BIO",)))</f>
        <v>ESSENCIAL</v>
      </c>
      <c r="CP25" s="72" t="str">
        <f>IF(Tabela1[[#This Row],[INTERVALO DE INTERSEÇÃO 5D]]="-",Tabela1[[#This Row],[CLASSIFICAÇÃO 
5D ]],Tabela1[[#This Row],[CLASSIFICAÇÃO 
4D]])</f>
        <v>ESSENCIAL</v>
      </c>
      <c r="CQ25" s="72" t="str">
        <f t="shared" si="4"/>
        <v>-</v>
      </c>
      <c r="CR25" s="72" t="str">
        <f t="shared" si="5"/>
        <v>ESSENCIAL</v>
      </c>
      <c r="CS25" s="22" t="str">
        <f>IF(Tabela1[[#This Row],[PRODUTO ATUAL ]]=Tabela1[[#This Row],[CLASSIFICAÇÃO FINAL 5D]],"ADERÊNTE","NÃO ADERÊNTE")</f>
        <v>ADERÊNTE</v>
      </c>
      <c r="CT25" s="24">
        <f>SUM(Tabela1[[#This Row],[TOTAL  ACAB]],Tabela1[[#This Row],[TOTAL LAZER ]],Tabela1[[#This Row],[TOTAL TIPOLOGIA]],Tabela1[[#This Row],[TOTAL VAGA]])</f>
        <v>5809.0127717391306</v>
      </c>
      <c r="CU25" s="22" t="str">
        <f>IF(CT25&lt;=RÉGUAS!$D$58,"ESSENCIAL",IF(CT25&lt;=RÉGUAS!$F$58,"ECO",IF(CT25&gt;RÉGUAS!$F$58,"BIO",)))</f>
        <v>ESSENCIAL</v>
      </c>
      <c r="CV25" s="22" t="str">
        <f>IF(AND(CT25&gt;=RÉGUAS!$D$59,CT25&lt;=RÉGUAS!$E$59),"ESSENCIAL/ECO",IF(AND(CT25&gt;=RÉGUAS!$F$59,CT25&lt;=RÉGUAS!$G$59),"ECO/BIO","-"))</f>
        <v>-</v>
      </c>
      <c r="CW25" s="85">
        <f>SUM(Tabela1[[#This Row],[TOTAL LAZER ]],Tabela1[[#This Row],[TOTAL TIPOLOGIA]])</f>
        <v>2185.3171195652176</v>
      </c>
      <c r="CX25" s="22" t="str">
        <f>IF(CW25&lt;=RÉGUAS!$D$72,"ESSENCIAL",IF(CW25&lt;=RÉGUAS!$F$72,"ECO",IF(CN25&gt;RÉGUAS!$F$72,"BIO",)))</f>
        <v>ESSENCIAL</v>
      </c>
      <c r="CY25" s="22" t="str">
        <f t="shared" si="6"/>
        <v>ESSENCIAL</v>
      </c>
      <c r="CZ25" s="22" t="str">
        <f>IF(Tabela1[[#This Row],[PRODUTO ATUAL ]]=CY25,"ADERENTE","NÃO ADERENTE")</f>
        <v>ADERENTE</v>
      </c>
      <c r="DA25" s="22" t="str">
        <f>IF(Tabela1[[#This Row],[PRODUTO ATUAL ]]=Tabela1[[#This Row],[CLASSIFICAÇÃO 
4D2]],"ADERENTE","NÃO ADERENTE")</f>
        <v>ADERENTE</v>
      </c>
    </row>
    <row r="26" spans="2:105" hidden="1" x14ac:dyDescent="0.35">
      <c r="B26" s="27">
        <v>44</v>
      </c>
      <c r="C26" s="22" t="s">
        <v>164</v>
      </c>
      <c r="D26" s="22" t="s">
        <v>131</v>
      </c>
      <c r="E26" s="134">
        <v>359</v>
      </c>
      <c r="F26" s="22" t="str">
        <f t="shared" si="0"/>
        <v>De 200 a 400 und</v>
      </c>
      <c r="G26" s="133" t="s">
        <v>14</v>
      </c>
      <c r="H26" s="135">
        <v>2</v>
      </c>
      <c r="I26" s="135">
        <v>15</v>
      </c>
      <c r="J26" s="36"/>
      <c r="K26" s="36"/>
      <c r="L26" s="36">
        <f>SUM(Tabela1[[#This Row],[QTD DE B/T 2]],Tabela1[[#This Row],[QTD DE B/T]])</f>
        <v>2</v>
      </c>
      <c r="M26" s="22">
        <v>6</v>
      </c>
      <c r="N26" s="22">
        <f>Tabela1[[#This Row],[ELEVADOR]]/Tabela1[[#This Row],[BLOCO TOTAL]]</f>
        <v>3</v>
      </c>
      <c r="O26" s="22" t="s">
        <v>6</v>
      </c>
      <c r="P26" s="22" t="s">
        <v>119</v>
      </c>
      <c r="Q26" s="22" t="s">
        <v>101</v>
      </c>
      <c r="R26" s="22" t="s">
        <v>142</v>
      </c>
      <c r="S26" s="22" t="s">
        <v>103</v>
      </c>
      <c r="T26" s="22" t="s">
        <v>104</v>
      </c>
      <c r="U26" s="22" t="s">
        <v>105</v>
      </c>
      <c r="V26" s="22" t="s">
        <v>106</v>
      </c>
      <c r="W26" s="24">
        <f>IF(P26=[1]BD_CUSTO!$E$4,[1]BD_CUSTO!$F$4,[1]BD_CUSTO!$F$5)</f>
        <v>530</v>
      </c>
      <c r="X26" s="24">
        <f>IF(Q26=[1]BD_CUSTO!$E$6,[1]BD_CUSTO!$F$6,[1]BD_CUSTO!$F$7)</f>
        <v>260</v>
      </c>
      <c r="Y26" s="24">
        <f>IF(R26=[1]BD_CUSTO!$E$8,[1]BD_CUSTO!$F$8,[1]BD_CUSTO!$F$9)</f>
        <v>900</v>
      </c>
      <c r="Z26" s="24">
        <f>IF(S26=[1]BD_CUSTO!$E$10,[1]BD_CUSTO!$F$10,[1]BD_CUSTO!$F$11)</f>
        <v>500</v>
      </c>
      <c r="AA26" s="24">
        <f>IF(T26=[1]BD_CUSTO!$E$12,[1]BD_CUSTO!$F$12,[1]BD_CUSTO!$F$13)</f>
        <v>370</v>
      </c>
      <c r="AB26" s="24">
        <f>IF(U26=[1]BD_CUSTO!$E$14,[1]BD_CUSTO!$F$14,[1]BD_CUSTO!$F$15)</f>
        <v>90</v>
      </c>
      <c r="AC26" s="24">
        <f>IF(V26=[1]BD_CUSTO!$E$16,[1]BD_CUSTO!$F$16,[1]BD_CUSTO!$F$17)</f>
        <v>720</v>
      </c>
      <c r="AD26" s="133" t="s">
        <v>110</v>
      </c>
      <c r="AE26" s="133">
        <v>1</v>
      </c>
      <c r="AF26" s="133" t="s">
        <v>107</v>
      </c>
      <c r="AG26" s="133">
        <v>1</v>
      </c>
      <c r="AH26" s="133" t="s">
        <v>129</v>
      </c>
      <c r="AI26" s="133">
        <v>1</v>
      </c>
      <c r="AJ26" s="133" t="s">
        <v>111</v>
      </c>
      <c r="AK26" s="133">
        <v>1</v>
      </c>
      <c r="AL26" s="133" t="s">
        <v>109</v>
      </c>
      <c r="AM26" s="133">
        <v>1</v>
      </c>
      <c r="AN26" s="133" t="s">
        <v>108</v>
      </c>
      <c r="AO26" s="133">
        <v>1</v>
      </c>
      <c r="AP26" s="133" t="s">
        <v>126</v>
      </c>
      <c r="AQ26" s="133">
        <v>1</v>
      </c>
      <c r="AR26" s="22"/>
      <c r="AS26" s="22"/>
      <c r="AT26" s="22"/>
      <c r="AU26" s="22"/>
      <c r="AV26" s="22"/>
      <c r="AW26" s="22"/>
      <c r="AX26" s="24">
        <f>IF(AD26="",0,VLOOKUP(AD26,[1]BD_CUSTO!I:J,2,0)*AE26/E26)</f>
        <v>14.763231197771587</v>
      </c>
      <c r="AY26" s="24">
        <f>IF(AF26="",0,VLOOKUP(AF26,[1]BD_CUSTO!I:J,2,0)*AG26/E26)</f>
        <v>237.18417827298049</v>
      </c>
      <c r="AZ26" s="24">
        <f>IF(AH26="",0,VLOOKUP(AH26,[1]BD_CUSTO!I:J,2,0)*AI26/E26)</f>
        <v>766.48350974930372</v>
      </c>
      <c r="BA26" s="24">
        <f>IF(AJ26="",0,VLOOKUP(AJ26,[1]BD_CUSTO!I:J,2,0)*AK26/E26)</f>
        <v>45.125348189415043</v>
      </c>
      <c r="BB26" s="24">
        <f>IF(AL26="",0,VLOOKUP(AL26,[1]BD_CUSTO!I:J,2,0)*AM26/E26)</f>
        <v>19.359331476323121</v>
      </c>
      <c r="BC26" s="24">
        <f>IF(AN26="",0,VLOOKUP(AN26,[1]BD_CUSTO!I:J,2,0)*AO26/E26)</f>
        <v>64.484679665738156</v>
      </c>
      <c r="BD26" s="24">
        <f>IF(AP26="",0,VLOOKUP(AP26,[1]BD_CUSTO!I:J,2,0)*AQ26/E26)</f>
        <v>21.058495821727018</v>
      </c>
      <c r="BE26" s="24">
        <f>IF(AR26="",0,VLOOKUP(AR26,CUSTO!I:J,2,0)*AS26/E26)</f>
        <v>0</v>
      </c>
      <c r="BF26" s="24">
        <f>IF(AT26="",0,VLOOKUP(AT26,[1]BD_CUSTO!I:J,2,0)*AU26/E26)</f>
        <v>0</v>
      </c>
      <c r="BG26" s="24">
        <f>IF(Tabela1[[#This Row],[LZ 10]]="",0,VLOOKUP(Tabela1[[#This Row],[LZ 10]],[1]BD_CUSTO!I:J,2,0)*Tabela1[[#This Row],[QTD922]]/E26)</f>
        <v>0</v>
      </c>
      <c r="BH26" s="133" t="s">
        <v>122</v>
      </c>
      <c r="BI26" s="136">
        <v>0</v>
      </c>
      <c r="BJ26" s="133" t="s">
        <v>113</v>
      </c>
      <c r="BK26" s="136">
        <v>0</v>
      </c>
      <c r="BL26" s="24">
        <f>IF(BH26=[1]BD_CUSTO!$M$6,[1]BD_CUSTO!$N$6)*BI26</f>
        <v>0</v>
      </c>
      <c r="BM26" s="24">
        <f>IF(BJ26=[1]BD_CUSTO!$M$4,[1]BD_CUSTO!$N$4,[1]BD_CUSTO!$N$5)*BK26</f>
        <v>0</v>
      </c>
      <c r="BN26" s="133" t="s">
        <v>114</v>
      </c>
      <c r="BO26" s="133">
        <f>166+11</f>
        <v>177</v>
      </c>
      <c r="BP26" s="136">
        <f>Tabela1[[#This Row],[QTD ]]/Tabela1[[#This Row],[Nº UNDS]]</f>
        <v>0.49303621169916434</v>
      </c>
      <c r="BQ26" s="133" t="s">
        <v>123</v>
      </c>
      <c r="BR26" s="133">
        <v>38</v>
      </c>
      <c r="BS26" s="22" t="s">
        <v>116</v>
      </c>
      <c r="BT26" s="22">
        <v>0</v>
      </c>
      <c r="BU26" s="22" t="s">
        <v>16</v>
      </c>
      <c r="BV26" s="22">
        <v>0</v>
      </c>
      <c r="BW26" s="24">
        <f>IF(BN26=[1]BD_CUSTO!$Q$7,[1]BD_CUSTO!$R$7,[1]BD_CUSTO!$R$8)*BO26/E26</f>
        <v>986.07242339832874</v>
      </c>
      <c r="BX26" s="24">
        <f>IF(BQ26=[1]BD_CUSTO!$Q$4,[1]BD_CUSTO!$R$4,[1]BD_CUSTO!$R$5)*BR26/E26</f>
        <v>105.84958217270194</v>
      </c>
      <c r="BY26" s="22">
        <f>IF(BS26=[1]BD_CUSTO!$Q$13,[1]BD_CUSTO!$R$13,[1]BD_CUSTO!$R$14)*BT26/E26</f>
        <v>0</v>
      </c>
      <c r="BZ26" s="24">
        <f>BV26*CUSTO!$R$10/E26</f>
        <v>0</v>
      </c>
      <c r="CA26" s="26">
        <f>SUM(Tabela1[[#This Row],[SOMA_PISO SALA E QUARTO]],Tabela1[[#This Row],[SOMA_PAREDE HIDR]],Tabela1[[#This Row],[SOMA_TETO]],Tabela1[[#This Row],[SOMA_BANCADA]],Tabela1[[#This Row],[SOMA_PEDRAS]])</f>
        <v>2390</v>
      </c>
      <c r="CB26" s="27" t="str">
        <f>IF(CA26&lt;=RÉGUAS!$D$4,"ACAB 01",IF(CA26&lt;=RÉGUAS!$F$4,"ACAB 02",IF(CA26&gt;RÉGUAS!$F$4,"ACAB 03",)))</f>
        <v>ACAB 01</v>
      </c>
      <c r="CC26" s="26">
        <f>SUM(Tabela1[[#This Row],[SOMA_LZ 01]:[SOMA_LZ 10]])</f>
        <v>1168.4587743732593</v>
      </c>
      <c r="CD26" s="22" t="str">
        <f>IF(CC26&lt;=RÉGUAS!$D$13,"LZ 01",IF(CC26&lt;=RÉGUAS!$F$13,"LZ 02",IF(CC26&lt;=RÉGUAS!$H$13,"LZ 03",IF(CC26&gt;RÉGUAS!$H$13,"LZ 04",))))</f>
        <v>LZ 02</v>
      </c>
      <c r="CE26" s="28">
        <f t="shared" si="1"/>
        <v>0</v>
      </c>
      <c r="CF26" s="22" t="str">
        <f>IF(CE26&lt;=RÉGUAS!$D$22,"TIP 01",IF(CE26&lt;=RÉGUAS!$F$22,"TIP 02",IF(CE26&gt;RÉGUAS!$F$22,"TIP 03",)))</f>
        <v>TIP 01</v>
      </c>
      <c r="CG26" s="28">
        <f t="shared" si="2"/>
        <v>1091.9220055710307</v>
      </c>
      <c r="CH26" s="22" t="str">
        <f>IF(CG26&lt;=RÉGUAS!$D$32,"VAGA 01",IF(CG26&lt;=RÉGUAS!$F$32,"VAGA 02",IF(CG26&gt;RÉGUAS!$F$32,"VAGA 03",)))</f>
        <v>VAGA 01</v>
      </c>
      <c r="CI26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4206.4345403899724</v>
      </c>
      <c r="CJ26" s="85" t="str">
        <f>IF(AND(G26="BLOCO",CI26&lt;=RÉGUAS!$D$40),"ELEV 01",IF(AND(G26="BLOCO",CI26&gt;RÉGUAS!$D$40),"ELEV 02",IF(AND(G26="TORRE",CI26&lt;=RÉGUAS!$K$40),"ELEV 01",IF(AND(G26="TORRE",CI26&lt;=RÉGUAS!$M$40),"ELEV 02",IF(AND(G26="TORRE",CI26&gt;RÉGUAS!$M$40),"ELEV 03",)))))</f>
        <v>ELEV 03</v>
      </c>
      <c r="CK26" s="85">
        <f>SUM(Tabela1[[#This Row],[TOTAL  ACAB]],Tabela1[[#This Row],[TOTAL LAZER ]],Tabela1[[#This Row],[TOTAL TIPOLOGIA]],Tabela1[[#This Row],[TOTAL VAGA]],Tabela1[[#This Row],[TOTAL ELEVADOR]])</f>
        <v>8856.8153203342627</v>
      </c>
      <c r="CL26" s="72" t="str">
        <f>IF(AND(G26="BLOCO",CK26&lt;=RÉGUAS!$D$50),"ESSENCIAL",IF(AND(G26="BLOCO",CK26&lt;=RÉGUAS!$F$50),"ECO",IF(AND(G26="BLOCO",CK26&gt;RÉGUAS!$F$50),"BIO",IF(AND(G26="TORRE",CK26&lt;=RÉGUAS!$K$50),"ESSENCIAL",IF(AND(G26="TORRE",CK26&lt;=RÉGUAS!$M$50),"ECO",IF(AND(G26="TORRE",CK26&gt;RÉGUAS!$M$50),"BIO",))))))</f>
        <v>ESSENCIAL</v>
      </c>
      <c r="CM26" s="28" t="str">
        <f>IF(AND(G26="BLOCO",CK26&gt;=RÉGUAS!$D$51,CK26&lt;=RÉGUAS!$D$50),"ESSENCIAL-10%",IF(AND(G26="BLOCO",CK26&gt;RÉGUAS!$D$50,CK26&lt;=RÉGUAS!$E$51),"ECO+10%",IF(AND(G26="BLOCO",CK26&gt;=RÉGUAS!$F$51,CK26&lt;=RÉGUAS!$F$50),"ECO-10%",IF(AND(G26="BLOCO",CK26&gt;RÉGUAS!$F$50,CK26&lt;=RÉGUAS!$G$51),"BIO+10%",IF(AND(G26="TORRE",CK26&gt;=RÉGUAS!$K$51,CK26&lt;=RÉGUAS!$K$50),"ESSENCIAL-10%",IF(AND(G26="TORRE",CK26&gt;RÉGUAS!$K$50,CK26&lt;=RÉGUAS!$L$51),"ECO+10%",IF(AND(G26="TORRE",CK26&gt;=RÉGUAS!$M$51,CK26&lt;=RÉGUAS!$M$50),"ECO-10%",IF(AND(G26="TORRE",CK26&gt;RÉGUAS!$M$50,CK26&lt;=RÉGUAS!$N$51),"BIO+10%","-"))))))))</f>
        <v>-</v>
      </c>
      <c r="CN26" s="73">
        <f t="shared" si="3"/>
        <v>4650.3807799442893</v>
      </c>
      <c r="CO26" s="72" t="str">
        <f>IF(CN26&lt;=RÉGUAS!$D$58,"ESSENCIAL",IF(CN26&lt;=RÉGUAS!$F$58,"ECO",IF(CN26&gt;RÉGUAS!$F$58,"BIO",)))</f>
        <v>ESSENCIAL</v>
      </c>
      <c r="CP26" s="72" t="str">
        <f>IF(Tabela1[[#This Row],[INTERVALO DE INTERSEÇÃO 5D]]="-",Tabela1[[#This Row],[CLASSIFICAÇÃO 
5D ]],Tabela1[[#This Row],[CLASSIFICAÇÃO 
4D]])</f>
        <v>ESSENCIAL</v>
      </c>
      <c r="CQ26" s="72" t="str">
        <f t="shared" si="4"/>
        <v>-</v>
      </c>
      <c r="CR26" s="72" t="str">
        <f t="shared" si="5"/>
        <v>ESSENCIAL</v>
      </c>
      <c r="CS26" s="22" t="str">
        <f>IF(Tabela1[[#This Row],[PRODUTO ATUAL ]]=Tabela1[[#This Row],[CLASSIFICAÇÃO FINAL 5D]],"ADERÊNTE","NÃO ADERÊNTE")</f>
        <v>ADERÊNTE</v>
      </c>
      <c r="CT26" s="24">
        <f>SUM(Tabela1[[#This Row],[TOTAL  ACAB]],Tabela1[[#This Row],[TOTAL LAZER ]],Tabela1[[#This Row],[TOTAL TIPOLOGIA]],Tabela1[[#This Row],[TOTAL VAGA]])</f>
        <v>4650.3807799442893</v>
      </c>
      <c r="CU26" s="22" t="str">
        <f>IF(CT26&lt;=RÉGUAS!$D$58,"ESSENCIAL",IF(CT26&lt;=RÉGUAS!$F$58,"ECO",IF(CT26&gt;RÉGUAS!$F$58,"BIO",)))</f>
        <v>ESSENCIAL</v>
      </c>
      <c r="CV26" s="22" t="str">
        <f>IF(AND(CT26&gt;=RÉGUAS!$D$59,CT26&lt;=RÉGUAS!$E$59),"ESSENCIAL/ECO",IF(AND(CT26&gt;=RÉGUAS!$F$59,CT26&lt;=RÉGUAS!$G$59),"ECO/BIO","-"))</f>
        <v>-</v>
      </c>
      <c r="CW26" s="85">
        <f>SUM(Tabela1[[#This Row],[TOTAL LAZER ]],Tabela1[[#This Row],[TOTAL TIPOLOGIA]])</f>
        <v>1168.4587743732593</v>
      </c>
      <c r="CX26" s="22" t="str">
        <f>IF(CW26&lt;=RÉGUAS!$D$72,"ESSENCIAL",IF(CW26&lt;=RÉGUAS!$F$72,"ECO",IF(CN26&gt;RÉGUAS!$F$72,"BIO",)))</f>
        <v>ESSENCIAL</v>
      </c>
      <c r="CY26" s="22" t="str">
        <f t="shared" si="6"/>
        <v>ESSENCIAL</v>
      </c>
      <c r="CZ26" s="22" t="str">
        <f>IF(Tabela1[[#This Row],[PRODUTO ATUAL ]]=CY26,"ADERENTE","NÃO ADERENTE")</f>
        <v>ADERENTE</v>
      </c>
      <c r="DA26" s="22" t="str">
        <f>IF(Tabela1[[#This Row],[PRODUTO ATUAL ]]=Tabela1[[#This Row],[CLASSIFICAÇÃO 
4D2]],"ADERENTE","NÃO ADERENTE")</f>
        <v>ADERENTE</v>
      </c>
    </row>
    <row r="27" spans="2:105" hidden="1" x14ac:dyDescent="0.35">
      <c r="B27" s="27">
        <v>32</v>
      </c>
      <c r="C27" s="22" t="s">
        <v>153</v>
      </c>
      <c r="D27" s="22" t="s">
        <v>154</v>
      </c>
      <c r="E27" s="23">
        <v>336</v>
      </c>
      <c r="F27" s="22" t="str">
        <f t="shared" si="0"/>
        <v>De 200 a 400 und</v>
      </c>
      <c r="G27" s="22" t="s">
        <v>1</v>
      </c>
      <c r="H27" s="36">
        <v>21</v>
      </c>
      <c r="I27" s="36">
        <v>4</v>
      </c>
      <c r="J27" s="36"/>
      <c r="K27" s="36"/>
      <c r="L27" s="36">
        <f>SUM(Tabela1[[#This Row],[QTD DE B/T 2]],Tabela1[[#This Row],[QTD DE B/T]])</f>
        <v>21</v>
      </c>
      <c r="M27" s="22">
        <v>0</v>
      </c>
      <c r="N27" s="22">
        <f>Tabela1[[#This Row],[ELEVADOR]]/Tabela1[[#This Row],[BLOCO TOTAL]]</f>
        <v>0</v>
      </c>
      <c r="O27" s="22" t="s">
        <v>6</v>
      </c>
      <c r="P27" s="22" t="s">
        <v>119</v>
      </c>
      <c r="Q27" s="22" t="s">
        <v>101</v>
      </c>
      <c r="R27" s="22" t="s">
        <v>142</v>
      </c>
      <c r="S27" s="22" t="s">
        <v>103</v>
      </c>
      <c r="T27" s="22" t="s">
        <v>104</v>
      </c>
      <c r="U27" s="22" t="s">
        <v>105</v>
      </c>
      <c r="V27" s="22" t="s">
        <v>106</v>
      </c>
      <c r="W27" s="24">
        <f>IF(P27=[1]BD_CUSTO!$E$4,[1]BD_CUSTO!$F$4,[1]BD_CUSTO!$F$5)</f>
        <v>530</v>
      </c>
      <c r="X27" s="24">
        <f>IF(Q27=[1]BD_CUSTO!$E$6,[1]BD_CUSTO!$F$6,[1]BD_CUSTO!$F$7)</f>
        <v>260</v>
      </c>
      <c r="Y27" s="24">
        <f>IF(R27=[1]BD_CUSTO!$E$8,[1]BD_CUSTO!$F$8,[1]BD_CUSTO!$F$9)</f>
        <v>900</v>
      </c>
      <c r="Z27" s="24">
        <f>IF(S27=[1]BD_CUSTO!$E$10,[1]BD_CUSTO!$F$10,[1]BD_CUSTO!$F$11)</f>
        <v>500</v>
      </c>
      <c r="AA27" s="24">
        <f>IF(T27=[1]BD_CUSTO!$E$12,[1]BD_CUSTO!$F$12,[1]BD_CUSTO!$F$13)</f>
        <v>370</v>
      </c>
      <c r="AB27" s="24">
        <f>IF(U27=[1]BD_CUSTO!$E$14,[1]BD_CUSTO!$F$14,[1]BD_CUSTO!$F$15)</f>
        <v>90</v>
      </c>
      <c r="AC27" s="24">
        <f>IF(V27=[1]BD_CUSTO!$E$16,[1]BD_CUSTO!$F$16,[1]BD_CUSTO!$F$17)</f>
        <v>720</v>
      </c>
      <c r="AD27" s="22" t="s">
        <v>121</v>
      </c>
      <c r="AE27" s="22">
        <v>1</v>
      </c>
      <c r="AF27" s="22" t="s">
        <v>107</v>
      </c>
      <c r="AG27" s="22">
        <v>1</v>
      </c>
      <c r="AH27" s="22" t="s">
        <v>109</v>
      </c>
      <c r="AI27" s="22">
        <v>1</v>
      </c>
      <c r="AJ27" s="22" t="s">
        <v>108</v>
      </c>
      <c r="AK27" s="22">
        <v>1</v>
      </c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4">
        <f>IF(AD27="",0,VLOOKUP(AD27,[1]BD_CUSTO!I:J,2,0)*AE27/E27)</f>
        <v>366.53839285714287</v>
      </c>
      <c r="AY27" s="24">
        <f>IF(AF27="",0,VLOOKUP(AF27,[1]BD_CUSTO!I:J,2,0)*AG27/E27)</f>
        <v>253.42</v>
      </c>
      <c r="AZ27" s="24">
        <f>IF(AH27="",0,VLOOKUP(AH27,[1]BD_CUSTO!I:J,2,0)*AI27/E27)</f>
        <v>20.68452380952381</v>
      </c>
      <c r="BA27" s="24">
        <f>IF(AJ27="",0,VLOOKUP(AJ27,[1]BD_CUSTO!I:J,2,0)*AK27/E27)</f>
        <v>68.898809523809518</v>
      </c>
      <c r="BB27" s="24">
        <f>IF(AL27="",0,VLOOKUP(AL27,[1]BD_CUSTO!I:J,2,0)*AM27/E27)</f>
        <v>0</v>
      </c>
      <c r="BC27" s="24">
        <f>IF(AN27="",0,VLOOKUP(AN27,[1]BD_CUSTO!I:J,2,0)*AO27/E27)</f>
        <v>0</v>
      </c>
      <c r="BD27" s="24">
        <f>IF(AP27="",0,VLOOKUP(AP27,[1]BD_CUSTO!I:J,2,0)*AQ27/E27)</f>
        <v>0</v>
      </c>
      <c r="BE27" s="24">
        <f>IF(AR27="",0,VLOOKUP(AR27,CUSTO!I:J,2,0)*AS27/E27)</f>
        <v>0</v>
      </c>
      <c r="BF27" s="24">
        <f>IF(AT27="",0,VLOOKUP(AT27,[1]BD_CUSTO!I:J,2,0)*AU27/E27)</f>
        <v>0</v>
      </c>
      <c r="BG27" s="24">
        <f>IF(Tabela1[[#This Row],[LZ 10]]="",0,VLOOKUP(Tabela1[[#This Row],[LZ 10]],[1]BD_CUSTO!I:J,2,0)*Tabela1[[#This Row],[QTD922]]/E27)</f>
        <v>0</v>
      </c>
      <c r="BH27" s="22" t="s">
        <v>122</v>
      </c>
      <c r="BI27" s="25">
        <v>0</v>
      </c>
      <c r="BJ27" s="22" t="s">
        <v>113</v>
      </c>
      <c r="BK27" s="25">
        <v>0</v>
      </c>
      <c r="BL27" s="24">
        <f>IF(BH27=[1]BD_CUSTO!$M$6,[1]BD_CUSTO!$N$6)*BI27</f>
        <v>0</v>
      </c>
      <c r="BM27" s="24">
        <f>IF(BJ27=[1]BD_CUSTO!$M$4,[1]BD_CUSTO!$N$4,[1]BD_CUSTO!$N$5)*BK27</f>
        <v>0</v>
      </c>
      <c r="BN27" s="22" t="s">
        <v>114</v>
      </c>
      <c r="BO27" s="22">
        <v>336</v>
      </c>
      <c r="BP27" s="25">
        <f>Tabela1[[#This Row],[QTD ]]/Tabela1[[#This Row],[Nº UNDS]]</f>
        <v>1</v>
      </c>
      <c r="BQ27" s="22" t="s">
        <v>115</v>
      </c>
      <c r="BR27" s="22">
        <v>0</v>
      </c>
      <c r="BS27" s="22" t="s">
        <v>116</v>
      </c>
      <c r="BT27" s="22">
        <v>0</v>
      </c>
      <c r="BU27" s="22" t="s">
        <v>16</v>
      </c>
      <c r="BV27" s="22">
        <v>0</v>
      </c>
      <c r="BW27" s="24">
        <f>IF(BN27=[1]BD_CUSTO!$Q$7,[1]BD_CUSTO!$R$7,[1]BD_CUSTO!$R$8)*BO27/E27</f>
        <v>2000</v>
      </c>
      <c r="BX27" s="24">
        <f>IF(BQ27=[1]BD_CUSTO!$Q$4,[1]BD_CUSTO!$R$4,[1]BD_CUSTO!$R$5)*BR27/E27</f>
        <v>0</v>
      </c>
      <c r="BY27" s="22">
        <f>IF(BS27=[1]BD_CUSTO!$Q$13,[1]BD_CUSTO!$R$13,[1]BD_CUSTO!$R$14)*BT27/E27</f>
        <v>0</v>
      </c>
      <c r="BZ27" s="24">
        <f>BV27*CUSTO!$R$10/E27</f>
        <v>0</v>
      </c>
      <c r="CA27" s="26">
        <f>SUM(Tabela1[[#This Row],[SOMA_PISO SALA E QUARTO]],Tabela1[[#This Row],[SOMA_PAREDE HIDR]],Tabela1[[#This Row],[SOMA_TETO]],Tabela1[[#This Row],[SOMA_BANCADA]],Tabela1[[#This Row],[SOMA_PEDRAS]])</f>
        <v>2390</v>
      </c>
      <c r="CB27" s="27" t="str">
        <f>IF(CA27&lt;=RÉGUAS!$D$4,"ACAB 01",IF(CA27&lt;=RÉGUAS!$F$4,"ACAB 02",IF(CA27&gt;RÉGUAS!$F$4,"ACAB 03",)))</f>
        <v>ACAB 01</v>
      </c>
      <c r="CC27" s="26">
        <f>SUM(Tabela1[[#This Row],[SOMA_LZ 01]:[SOMA_LZ 10]])</f>
        <v>709.5417261904762</v>
      </c>
      <c r="CD27" s="22" t="str">
        <f>IF(CC27&lt;=RÉGUAS!$D$13,"LZ 01",IF(CC27&lt;=RÉGUAS!$F$13,"LZ 02",IF(CC27&lt;=RÉGUAS!$H$13,"LZ 03",IF(CC27&gt;RÉGUAS!$H$13,"LZ 04",))))</f>
        <v>LZ 01</v>
      </c>
      <c r="CE27" s="28">
        <f t="shared" si="1"/>
        <v>0</v>
      </c>
      <c r="CF27" s="22" t="str">
        <f>IF(CE27&lt;=RÉGUAS!$D$22,"TIP 01",IF(CE27&lt;=RÉGUAS!$F$22,"TIP 02",IF(CE27&gt;RÉGUAS!$F$22,"TIP 03",)))</f>
        <v>TIP 01</v>
      </c>
      <c r="CG27" s="28">
        <f t="shared" si="2"/>
        <v>2000</v>
      </c>
      <c r="CH27" s="22" t="str">
        <f>IF(CG27&lt;=RÉGUAS!$D$32,"VAGA 01",IF(CG27&lt;=RÉGUAS!$F$32,"VAGA 02",IF(CG27&gt;RÉGUAS!$F$32,"VAGA 03",)))</f>
        <v>VAGA 02</v>
      </c>
      <c r="CI27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27" s="85" t="str">
        <f>IF(AND(G27="BLOCO",CI27&lt;=RÉGUAS!$D$40),"ELEV 01",IF(AND(G27="BLOCO",CI27&gt;RÉGUAS!$D$40),"ELEV 02",IF(AND(G27="TORRE",CI27&lt;=RÉGUAS!$K$40),"ELEV 01",IF(AND(G27="TORRE",CI27&lt;=RÉGUAS!$M$40),"ELEV 02",IF(AND(G27="TORRE",CI27&gt;RÉGUAS!$M$40),"ELEV 03",)))))</f>
        <v>ELEV 01</v>
      </c>
      <c r="CK27" s="85">
        <f>SUM(Tabela1[[#This Row],[TOTAL  ACAB]],Tabela1[[#This Row],[TOTAL LAZER ]],Tabela1[[#This Row],[TOTAL TIPOLOGIA]],Tabela1[[#This Row],[TOTAL VAGA]],Tabela1[[#This Row],[TOTAL ELEVADOR]])</f>
        <v>5099.5417261904768</v>
      </c>
      <c r="CL27" s="72" t="str">
        <f>IF(AND(G27="BLOCO",CK27&lt;=RÉGUAS!$D$50),"ESSENCIAL",IF(AND(G27="BLOCO",CK27&lt;=RÉGUAS!$F$50),"ECO",IF(AND(G27="BLOCO",CK27&gt;RÉGUAS!$F$50),"BIO",IF(AND(G27="TORRE",CK27&lt;=RÉGUAS!$K$50),"ESSENCIAL",IF(AND(G27="TORRE",CK27&lt;=RÉGUAS!$M$50),"ECO",IF(AND(G27="TORRE",CK27&gt;RÉGUAS!$M$50),"BIO",))))))</f>
        <v>ESSENCIAL</v>
      </c>
      <c r="CM27" s="28" t="str">
        <f>IF(AND(G27="BLOCO",CK27&gt;=RÉGUAS!$D$51,CK27&lt;=RÉGUAS!$D$50),"ESSENCIAL-10%",IF(AND(G27="BLOCO",CK27&gt;RÉGUAS!$D$50,CK27&lt;=RÉGUAS!$E$51),"ECO+10%",IF(AND(G27="BLOCO",CK27&gt;=RÉGUAS!$F$51,CK27&lt;=RÉGUAS!$F$50),"ECO-10%",IF(AND(G27="BLOCO",CK27&gt;RÉGUAS!$F$50,CK27&lt;=RÉGUAS!$G$51),"BIO+10%",IF(AND(G27="TORRE",CK27&gt;=RÉGUAS!$K$51,CK27&lt;=RÉGUAS!$K$50),"ESSENCIAL-10%",IF(AND(G27="TORRE",CK27&gt;RÉGUAS!$K$50,CK27&lt;=RÉGUAS!$L$51),"ECO+10%",IF(AND(G27="TORRE",CK27&gt;=RÉGUAS!$M$51,CK27&lt;=RÉGUAS!$M$50),"ECO-10%",IF(AND(G27="TORRE",CK27&gt;RÉGUAS!$M$50,CK27&lt;=RÉGUAS!$N$51),"BIO+10%","-"))))))))</f>
        <v>-</v>
      </c>
      <c r="CN27" s="73">
        <f t="shared" si="3"/>
        <v>5099.5417261904768</v>
      </c>
      <c r="CO27" s="72" t="str">
        <f>IF(CN27&lt;=RÉGUAS!$D$58,"ESSENCIAL",IF(CN27&lt;=RÉGUAS!$F$58,"ECO",IF(CN27&gt;RÉGUAS!$F$58,"BIO",)))</f>
        <v>ESSENCIAL</v>
      </c>
      <c r="CP27" s="72" t="str">
        <f>IF(Tabela1[[#This Row],[INTERVALO DE INTERSEÇÃO 5D]]="-",Tabela1[[#This Row],[CLASSIFICAÇÃO 
5D ]],Tabela1[[#This Row],[CLASSIFICAÇÃO 
4D]])</f>
        <v>ESSENCIAL</v>
      </c>
      <c r="CQ27" s="72" t="str">
        <f t="shared" si="4"/>
        <v>-</v>
      </c>
      <c r="CR27" s="72" t="str">
        <f t="shared" si="5"/>
        <v>ESSENCIAL</v>
      </c>
      <c r="CS27" s="22" t="str">
        <f>IF(Tabela1[[#This Row],[PRODUTO ATUAL ]]=Tabela1[[#This Row],[CLASSIFICAÇÃO FINAL 5D]],"ADERÊNTE","NÃO ADERÊNTE")</f>
        <v>ADERÊNTE</v>
      </c>
      <c r="CT27" s="24">
        <f>SUM(Tabela1[[#This Row],[TOTAL  ACAB]],Tabela1[[#This Row],[TOTAL LAZER ]],Tabela1[[#This Row],[TOTAL TIPOLOGIA]],Tabela1[[#This Row],[TOTAL VAGA]])</f>
        <v>5099.5417261904768</v>
      </c>
      <c r="CU27" s="22" t="str">
        <f>IF(CT27&lt;=RÉGUAS!$D$58,"ESSENCIAL",IF(CT27&lt;=RÉGUAS!$F$58,"ECO",IF(CT27&gt;RÉGUAS!$F$58,"BIO",)))</f>
        <v>ESSENCIAL</v>
      </c>
      <c r="CV27" s="22" t="str">
        <f>IF(AND(CT27&gt;=RÉGUAS!$D$59,CT27&lt;=RÉGUAS!$E$59),"ESSENCIAL/ECO",IF(AND(CT27&gt;=RÉGUAS!$F$59,CT27&lt;=RÉGUAS!$G$59),"ECO/BIO","-"))</f>
        <v>-</v>
      </c>
      <c r="CW27" s="85">
        <f>SUM(Tabela1[[#This Row],[TOTAL LAZER ]],Tabela1[[#This Row],[TOTAL TIPOLOGIA]])</f>
        <v>709.5417261904762</v>
      </c>
      <c r="CX27" s="22" t="str">
        <f>IF(CW27&lt;=RÉGUAS!$D$72,"ESSENCIAL",IF(CW27&lt;=RÉGUAS!$F$72,"ECO",IF(CN27&gt;RÉGUAS!$F$72,"BIO",)))</f>
        <v>ESSENCIAL</v>
      </c>
      <c r="CY27" s="22" t="str">
        <f t="shared" si="6"/>
        <v>ESSENCIAL</v>
      </c>
      <c r="CZ27" s="22" t="str">
        <f>IF(Tabela1[[#This Row],[PRODUTO ATUAL ]]=CY27,"ADERENTE","NÃO ADERENTE")</f>
        <v>ADERENTE</v>
      </c>
      <c r="DA27" s="22" t="str">
        <f>IF(Tabela1[[#This Row],[PRODUTO ATUAL ]]=Tabela1[[#This Row],[CLASSIFICAÇÃO 
4D2]],"ADERENTE","NÃO ADERENTE")</f>
        <v>ADERENTE</v>
      </c>
    </row>
    <row r="28" spans="2:105" x14ac:dyDescent="0.35">
      <c r="B28" s="27">
        <v>16</v>
      </c>
      <c r="C28" s="22" t="s">
        <v>169</v>
      </c>
      <c r="D28" s="22" t="s">
        <v>125</v>
      </c>
      <c r="E28" s="23">
        <v>436</v>
      </c>
      <c r="F28" s="22" t="str">
        <f t="shared" si="0"/>
        <v>Acima de 400 und</v>
      </c>
      <c r="G28" s="22" t="s">
        <v>1</v>
      </c>
      <c r="H28" s="36">
        <v>27</v>
      </c>
      <c r="I28" s="36">
        <v>5</v>
      </c>
      <c r="J28" s="36"/>
      <c r="K28" s="36"/>
      <c r="L28" s="36">
        <f>SUM(Tabela1[[#This Row],[QTD DE B/T 2]],Tabela1[[#This Row],[QTD DE B/T]])</f>
        <v>27</v>
      </c>
      <c r="M28" s="22">
        <v>1</v>
      </c>
      <c r="N28" s="22">
        <f>Tabela1[[#This Row],[ELEVADOR]]/Tabela1[[#This Row],[BLOCO TOTAL]]</f>
        <v>3.7037037037037035E-2</v>
      </c>
      <c r="O28" s="22" t="s">
        <v>6</v>
      </c>
      <c r="P28" s="22" t="s">
        <v>119</v>
      </c>
      <c r="Q28" s="22" t="s">
        <v>101</v>
      </c>
      <c r="R28" s="22" t="s">
        <v>142</v>
      </c>
      <c r="S28" s="22" t="s">
        <v>103</v>
      </c>
      <c r="T28" s="22" t="s">
        <v>104</v>
      </c>
      <c r="U28" s="22" t="s">
        <v>105</v>
      </c>
      <c r="V28" s="22" t="s">
        <v>106</v>
      </c>
      <c r="W28" s="24">
        <f>IF(P28=[1]BD_CUSTO!$E$4,[1]BD_CUSTO!$F$4,[1]BD_CUSTO!$F$5)</f>
        <v>530</v>
      </c>
      <c r="X28" s="24">
        <f>IF(Q28=[1]BD_CUSTO!$E$6,[1]BD_CUSTO!$F$6,[1]BD_CUSTO!$F$7)</f>
        <v>260</v>
      </c>
      <c r="Y28" s="24">
        <f>IF(R28=[1]BD_CUSTO!$E$8,[1]BD_CUSTO!$F$8,[1]BD_CUSTO!$F$9)</f>
        <v>900</v>
      </c>
      <c r="Z28" s="24">
        <f>IF(S28=[1]BD_CUSTO!$E$10,[1]BD_CUSTO!$F$10,[1]BD_CUSTO!$F$11)</f>
        <v>500</v>
      </c>
      <c r="AA28" s="24">
        <f>IF(T28=[1]BD_CUSTO!$E$12,[1]BD_CUSTO!$F$12,[1]BD_CUSTO!$F$13)</f>
        <v>370</v>
      </c>
      <c r="AB28" s="24">
        <f>IF(U28=[1]BD_CUSTO!$E$14,[1]BD_CUSTO!$F$14,[1]BD_CUSTO!$F$15)</f>
        <v>90</v>
      </c>
      <c r="AC28" s="24">
        <f>IF(V28=[1]BD_CUSTO!$E$16,[1]BD_CUSTO!$F$16,[1]BD_CUSTO!$F$17)</f>
        <v>720</v>
      </c>
      <c r="AD28" s="22" t="s">
        <v>110</v>
      </c>
      <c r="AE28" s="22">
        <v>1</v>
      </c>
      <c r="AF28" s="22" t="s">
        <v>107</v>
      </c>
      <c r="AG28" s="22">
        <v>2</v>
      </c>
      <c r="AH28" s="22" t="s">
        <v>111</v>
      </c>
      <c r="AI28" s="22">
        <v>2</v>
      </c>
      <c r="AJ28" s="22" t="s">
        <v>109</v>
      </c>
      <c r="AK28" s="22">
        <v>1</v>
      </c>
      <c r="AL28" s="22" t="s">
        <v>133</v>
      </c>
      <c r="AM28" s="22">
        <v>12</v>
      </c>
      <c r="AN28" s="22" t="s">
        <v>129</v>
      </c>
      <c r="AO28" s="22">
        <v>1</v>
      </c>
      <c r="AP28" s="22" t="s">
        <v>108</v>
      </c>
      <c r="AQ28" s="22">
        <v>1</v>
      </c>
      <c r="AR28" s="22" t="s">
        <v>126</v>
      </c>
      <c r="AS28" s="22">
        <v>3</v>
      </c>
      <c r="AT28" s="22"/>
      <c r="AU28" s="22"/>
      <c r="AV28" s="22"/>
      <c r="AW28" s="22"/>
      <c r="AX28" s="24">
        <f>IF(AD28="",0,VLOOKUP(AD28,[1]BD_CUSTO!I:J,2,0)*AE28/E28)</f>
        <v>12.155963302752294</v>
      </c>
      <c r="AY28" s="24">
        <f>IF(AF28="",0,VLOOKUP(AF28,[1]BD_CUSTO!I:J,2,0)*AG28/E28)</f>
        <v>390.59229357798165</v>
      </c>
      <c r="AZ28" s="24">
        <f>IF(AH28="",0,VLOOKUP(AH28,[1]BD_CUSTO!I:J,2,0)*AI28/E28)</f>
        <v>74.311926605504581</v>
      </c>
      <c r="BA28" s="24">
        <f>IF(AJ28="",0,VLOOKUP(AJ28,[1]BD_CUSTO!I:J,2,0)*AK28/E28)</f>
        <v>15.940366972477063</v>
      </c>
      <c r="BB28" s="24">
        <f>IF(AL28="",0,VLOOKUP(AL28,[1]BD_CUSTO!I:J,2,0)*AM28/E28)</f>
        <v>191.55963302752295</v>
      </c>
      <c r="BC28" s="24">
        <f>IF(AN28="",0,VLOOKUP(AN28,[1]BD_CUSTO!I:J,2,0)*AO28/E28)</f>
        <v>631.11830275229363</v>
      </c>
      <c r="BD28" s="24">
        <f>IF(AP28="",0,VLOOKUP(AP28,[1]BD_CUSTO!I:J,2,0)*AQ28/E28)</f>
        <v>53.096330275229356</v>
      </c>
      <c r="BE28" s="24">
        <f>IF(AR28="",0,VLOOKUP(AR28,CUSTO!I:J,2,0)*AS28/E28)</f>
        <v>52.018348623853214</v>
      </c>
      <c r="BF28" s="24">
        <f>IF(AT28="",0,VLOOKUP(AT28,[1]BD_CUSTO!I:J,2,0)*AU28/E28)</f>
        <v>0</v>
      </c>
      <c r="BG28" s="24">
        <f>IF(Tabela1[[#This Row],[LZ 10]]="",0,VLOOKUP(Tabela1[[#This Row],[LZ 10]],[1]BD_CUSTO!I:J,2,0)*Tabela1[[#This Row],[QTD922]]/E28)</f>
        <v>0</v>
      </c>
      <c r="BH28" s="22" t="s">
        <v>112</v>
      </c>
      <c r="BI28" s="25">
        <f>156/Tabela1[[#This Row],[Nº UNDS]]</f>
        <v>0.3577981651376147</v>
      </c>
      <c r="BJ28" s="22" t="s">
        <v>113</v>
      </c>
      <c r="BK28" s="25">
        <v>0</v>
      </c>
      <c r="BL28" s="24">
        <f>IF(BH28=[1]BD_CUSTO!$M$6,[1]BD_CUSTO!$N$6)*BI28</f>
        <v>1073.3944954128442</v>
      </c>
      <c r="BM28" s="24">
        <f>IF(BJ28=[1]BD_CUSTO!$M$4,[1]BD_CUSTO!$N$4,[1]BD_CUSTO!$N$5)*BK28</f>
        <v>0</v>
      </c>
      <c r="BN28" s="22" t="s">
        <v>114</v>
      </c>
      <c r="BO28" s="22">
        <v>436</v>
      </c>
      <c r="BP28" s="25">
        <f>Tabela1[[#This Row],[QTD ]]/Tabela1[[#This Row],[Nº UNDS]]</f>
        <v>1</v>
      </c>
      <c r="BQ28" s="22" t="s">
        <v>115</v>
      </c>
      <c r="BR28" s="22">
        <v>0</v>
      </c>
      <c r="BS28" s="22" t="s">
        <v>116</v>
      </c>
      <c r="BT28" s="22">
        <v>0</v>
      </c>
      <c r="BU28" s="22" t="s">
        <v>16</v>
      </c>
      <c r="BV28" s="22">
        <v>0</v>
      </c>
      <c r="BW28" s="24">
        <f>IF(BN28=[1]BD_CUSTO!$Q$7,[1]BD_CUSTO!$R$7,[1]BD_CUSTO!$R$8)*BO28/E28</f>
        <v>2000</v>
      </c>
      <c r="BX28" s="24">
        <f>IF(BQ28=[1]BD_CUSTO!$Q$4,[1]BD_CUSTO!$R$4,[1]BD_CUSTO!$R$5)*BR28/E28</f>
        <v>0</v>
      </c>
      <c r="BY28" s="22">
        <f>IF(BS28=[1]BD_CUSTO!$Q$13,[1]BD_CUSTO!$R$13,[1]BD_CUSTO!$R$14)*BT28/E28</f>
        <v>0</v>
      </c>
      <c r="BZ28" s="24">
        <f>BV28*CUSTO!$R$10/E28</f>
        <v>0</v>
      </c>
      <c r="CA28" s="26">
        <f>SUM(Tabela1[[#This Row],[SOMA_PISO SALA E QUARTO]],Tabela1[[#This Row],[SOMA_PAREDE HIDR]],Tabela1[[#This Row],[SOMA_TETO]],Tabela1[[#This Row],[SOMA_BANCADA]],Tabela1[[#This Row],[SOMA_PEDRAS]])</f>
        <v>2390</v>
      </c>
      <c r="CB28" s="27" t="str">
        <f>IF(CA28&lt;=RÉGUAS!$D$4,"ACAB 01",IF(CA28&lt;=RÉGUAS!$F$4,"ACAB 02",IF(CA28&gt;RÉGUAS!$F$4,"ACAB 03",)))</f>
        <v>ACAB 01</v>
      </c>
      <c r="CC28" s="26">
        <f>SUM(Tabela1[[#This Row],[SOMA_LZ 01]:[SOMA_LZ 10]])</f>
        <v>1420.7931651376146</v>
      </c>
      <c r="CD28" s="22" t="str">
        <f>IF(CC28&lt;=RÉGUAS!$D$13,"LZ 01",IF(CC28&lt;=RÉGUAS!$F$13,"LZ 02",IF(CC28&lt;=RÉGUAS!$H$13,"LZ 03",IF(CC28&gt;RÉGUAS!$H$13,"LZ 04",))))</f>
        <v>LZ 02</v>
      </c>
      <c r="CE28" s="28">
        <f t="shared" si="1"/>
        <v>1073.3944954128442</v>
      </c>
      <c r="CF28" s="22" t="str">
        <f>IF(CE28&lt;=RÉGUAS!$D$22,"TIP 01",IF(CE28&lt;=RÉGUAS!$F$22,"TIP 02",IF(CE28&gt;RÉGUAS!$F$22,"TIP 03",)))</f>
        <v>TIP 01</v>
      </c>
      <c r="CG28" s="28">
        <f t="shared" si="2"/>
        <v>2000</v>
      </c>
      <c r="CH28" s="22" t="str">
        <f>IF(CG28&lt;=RÉGUAS!$D$32,"VAGA 01",IF(CG28&lt;=RÉGUAS!$F$32,"VAGA 02",IF(CG28&gt;RÉGUAS!$F$32,"VAGA 03",)))</f>
        <v>VAGA 02</v>
      </c>
      <c r="CI28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344.35779816513764</v>
      </c>
      <c r="CJ28" s="85" t="str">
        <f>IF(AND(G28="BLOCO",CI28&lt;=RÉGUAS!$D$40),"ELEV 01",IF(AND(G28="BLOCO",CI28&gt;RÉGUAS!$D$40),"ELEV 02",IF(AND(G28="TORRE",CI28&lt;=RÉGUAS!$K$40),"ELEV 01",IF(AND(G28="TORRE",CI28&lt;=RÉGUAS!$M$40),"ELEV 02",IF(AND(G28="TORRE",CI28&gt;RÉGUAS!$M$40),"ELEV 03",)))))</f>
        <v>ELEV 02</v>
      </c>
      <c r="CK28" s="85">
        <f>SUM(Tabela1[[#This Row],[TOTAL  ACAB]],Tabela1[[#This Row],[TOTAL LAZER ]],Tabela1[[#This Row],[TOTAL TIPOLOGIA]],Tabela1[[#This Row],[TOTAL VAGA]],Tabela1[[#This Row],[TOTAL ELEVADOR]])</f>
        <v>7228.5454587155964</v>
      </c>
      <c r="CL28" s="72" t="str">
        <f>IF(AND(G28="BLOCO",CK28&lt;=RÉGUAS!$D$50),"ESSENCIAL",IF(AND(G28="BLOCO",CK28&lt;=RÉGUAS!$F$50),"ECO",IF(AND(G28="BLOCO",CK28&gt;RÉGUAS!$F$50),"BIO",IF(AND(G28="TORRE",CK28&lt;=RÉGUAS!$K$50),"ESSENCIAL",IF(AND(G28="TORRE",CK28&lt;=RÉGUAS!$M$50),"ECO",IF(AND(G28="TORRE",CK28&gt;RÉGUAS!$M$50),"BIO",))))))</f>
        <v>ESSENCIAL</v>
      </c>
      <c r="CM28" s="28" t="str">
        <f>IF(AND(G28="BLOCO",CK28&gt;=RÉGUAS!$D$51,CK28&lt;=RÉGUAS!$D$50),"ESSENCIAL-10%",IF(AND(G28="BLOCO",CK28&gt;RÉGUAS!$D$50,CK28&lt;=RÉGUAS!$E$51),"ECO+10%",IF(AND(G28="BLOCO",CK28&gt;=RÉGUAS!$F$51,CK28&lt;=RÉGUAS!$F$50),"ECO-10%",IF(AND(G28="BLOCO",CK28&gt;RÉGUAS!$F$50,CK28&lt;=RÉGUAS!$G$51),"BIO+10%",IF(AND(G28="TORRE",CK28&gt;=RÉGUAS!$K$51,CK28&lt;=RÉGUAS!$K$50),"ESSENCIAL-10%",IF(AND(G28="TORRE",CK28&gt;RÉGUAS!$K$50,CK28&lt;=RÉGUAS!$L$51),"ECO+10%",IF(AND(G28="TORRE",CK28&gt;=RÉGUAS!$M$51,CK28&lt;=RÉGUAS!$M$50),"ECO-10%",IF(AND(G28="TORRE",CK28&gt;RÉGUAS!$M$50,CK28&lt;=RÉGUAS!$N$51),"BIO+10%","-"))))))))</f>
        <v>ESSENCIAL-10%</v>
      </c>
      <c r="CN28" s="73">
        <f t="shared" si="3"/>
        <v>6884.1876605504585</v>
      </c>
      <c r="CO28" s="72" t="str">
        <f>IF(CN28&lt;=RÉGUAS!$D$58,"ESSENCIAL",IF(CN28&lt;=RÉGUAS!$F$58,"ECO",IF(CN28&gt;RÉGUAS!$F$58,"BIO",)))</f>
        <v>ECO</v>
      </c>
      <c r="CP28" s="72" t="str">
        <f>IF(Tabela1[[#This Row],[INTERVALO DE INTERSEÇÃO 5D]]="-",Tabela1[[#This Row],[CLASSIFICAÇÃO 
5D ]],Tabela1[[#This Row],[CLASSIFICAÇÃO 
4D]])</f>
        <v>ECO</v>
      </c>
      <c r="CQ28" s="72" t="str">
        <f t="shared" si="4"/>
        <v>-</v>
      </c>
      <c r="CR28" s="72" t="str">
        <f t="shared" si="5"/>
        <v>ECO</v>
      </c>
      <c r="CS28" s="22" t="str">
        <f>IF(Tabela1[[#This Row],[PRODUTO ATUAL ]]=Tabela1[[#This Row],[CLASSIFICAÇÃO FINAL 5D]],"ADERÊNTE","NÃO ADERÊNTE")</f>
        <v>NÃO ADERÊNTE</v>
      </c>
      <c r="CT28" s="24">
        <f>SUM(Tabela1[[#This Row],[TOTAL  ACAB]],Tabela1[[#This Row],[TOTAL LAZER ]],Tabela1[[#This Row],[TOTAL TIPOLOGIA]],Tabela1[[#This Row],[TOTAL VAGA]])</f>
        <v>6884.1876605504585</v>
      </c>
      <c r="CU28" s="22" t="str">
        <f>IF(CT28&lt;=RÉGUAS!$D$58,"ESSENCIAL",IF(CT28&lt;=RÉGUAS!$F$58,"ECO",IF(CT28&gt;RÉGUAS!$F$58,"BIO",)))</f>
        <v>ECO</v>
      </c>
      <c r="CV28" s="22" t="str">
        <f>IF(AND(CT28&gt;=RÉGUAS!$D$59,CT28&lt;=RÉGUAS!$E$59),"ESSENCIAL/ECO",IF(AND(CT28&gt;=RÉGUAS!$F$59,CT28&lt;=RÉGUAS!$G$59),"ECO/BIO","-"))</f>
        <v>ESSENCIAL/ECO</v>
      </c>
      <c r="CW28" s="85">
        <f>SUM(Tabela1[[#This Row],[TOTAL LAZER ]],Tabela1[[#This Row],[TOTAL TIPOLOGIA]])</f>
        <v>2494.1876605504585</v>
      </c>
      <c r="CX28" s="22" t="str">
        <f>IF(CW28&lt;=RÉGUAS!$D$72,"ESSENCIAL",IF(CW28&lt;=RÉGUAS!$F$72,"ECO",IF(CN28&gt;RÉGUAS!$F$72,"BIO",)))</f>
        <v>ECO</v>
      </c>
      <c r="CY28" s="22" t="str">
        <f t="shared" si="6"/>
        <v>ECO</v>
      </c>
      <c r="CZ28" s="22" t="str">
        <f>IF(Tabela1[[#This Row],[PRODUTO ATUAL ]]=CY28,"ADERENTE","NÃO ADERENTE")</f>
        <v>NÃO ADERENTE</v>
      </c>
      <c r="DA28" s="22" t="str">
        <f>IF(Tabela1[[#This Row],[PRODUTO ATUAL ]]=Tabela1[[#This Row],[CLASSIFICAÇÃO 
4D2]],"ADERENTE","NÃO ADERENTE")</f>
        <v>NÃO ADERENTE</v>
      </c>
    </row>
    <row r="29" spans="2:105" hidden="1" x14ac:dyDescent="0.35">
      <c r="B29" s="27">
        <v>31</v>
      </c>
      <c r="C29" s="22" t="s">
        <v>152</v>
      </c>
      <c r="D29" s="22" t="s">
        <v>147</v>
      </c>
      <c r="E29" s="23">
        <v>240</v>
      </c>
      <c r="F29" s="22" t="str">
        <f t="shared" si="0"/>
        <v>De 200 a 400 und</v>
      </c>
      <c r="G29" s="22" t="s">
        <v>1</v>
      </c>
      <c r="H29" s="36">
        <v>12</v>
      </c>
      <c r="I29" s="36">
        <v>5</v>
      </c>
      <c r="J29" s="36"/>
      <c r="K29" s="36"/>
      <c r="L29" s="36">
        <f>SUM(Tabela1[[#This Row],[QTD DE B/T 2]],Tabela1[[#This Row],[QTD DE B/T]])</f>
        <v>12</v>
      </c>
      <c r="M29" s="22">
        <v>0</v>
      </c>
      <c r="N29" s="22">
        <f>Tabela1[[#This Row],[ELEVADOR]]/Tabela1[[#This Row],[BLOCO TOTAL]]</f>
        <v>0</v>
      </c>
      <c r="O29" s="22" t="s">
        <v>6</v>
      </c>
      <c r="P29" s="22" t="s">
        <v>119</v>
      </c>
      <c r="Q29" s="22" t="s">
        <v>101</v>
      </c>
      <c r="R29" s="22" t="s">
        <v>142</v>
      </c>
      <c r="S29" s="22" t="s">
        <v>103</v>
      </c>
      <c r="T29" s="22" t="s">
        <v>104</v>
      </c>
      <c r="U29" s="22" t="s">
        <v>105</v>
      </c>
      <c r="V29" s="22" t="s">
        <v>106</v>
      </c>
      <c r="W29" s="24">
        <f>IF(P29=[1]BD_CUSTO!$E$4,[1]BD_CUSTO!$F$4,[1]BD_CUSTO!$F$5)</f>
        <v>530</v>
      </c>
      <c r="X29" s="24">
        <f>IF(Q29=[1]BD_CUSTO!$E$6,[1]BD_CUSTO!$F$6,[1]BD_CUSTO!$F$7)</f>
        <v>260</v>
      </c>
      <c r="Y29" s="24">
        <f>IF(R29=[1]BD_CUSTO!$E$8,[1]BD_CUSTO!$F$8,[1]BD_CUSTO!$F$9)</f>
        <v>900</v>
      </c>
      <c r="Z29" s="24">
        <f>IF(S29=[1]BD_CUSTO!$E$10,[1]BD_CUSTO!$F$10,[1]BD_CUSTO!$F$11)</f>
        <v>500</v>
      </c>
      <c r="AA29" s="24">
        <f>IF(T29=[1]BD_CUSTO!$E$12,[1]BD_CUSTO!$F$12,[1]BD_CUSTO!$F$13)</f>
        <v>370</v>
      </c>
      <c r="AB29" s="24">
        <f>IF(U29=[1]BD_CUSTO!$E$14,[1]BD_CUSTO!$F$14,[1]BD_CUSTO!$F$15)</f>
        <v>90</v>
      </c>
      <c r="AC29" s="24">
        <f>IF(V29=[1]BD_CUSTO!$E$16,[1]BD_CUSTO!$F$16,[1]BD_CUSTO!$F$17)</f>
        <v>720</v>
      </c>
      <c r="AD29" s="22" t="s">
        <v>126</v>
      </c>
      <c r="AE29" s="22">
        <v>2</v>
      </c>
      <c r="AF29" s="22" t="s">
        <v>111</v>
      </c>
      <c r="AG29" s="22">
        <v>4</v>
      </c>
      <c r="AH29" s="22" t="s">
        <v>108</v>
      </c>
      <c r="AI29" s="22">
        <v>1</v>
      </c>
      <c r="AJ29" s="22" t="s">
        <v>109</v>
      </c>
      <c r="AK29" s="22">
        <v>1</v>
      </c>
      <c r="AL29" s="22" t="s">
        <v>110</v>
      </c>
      <c r="AM29" s="22">
        <v>1</v>
      </c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4">
        <f>IF(AD29="",0,VLOOKUP(AD29,[1]BD_CUSTO!I:J,2,0)*AE29/E29)</f>
        <v>63</v>
      </c>
      <c r="AY29" s="24">
        <f>IF(AF29="",0,VLOOKUP(AF29,[1]BD_CUSTO!I:J,2,0)*AG29/E29)</f>
        <v>270</v>
      </c>
      <c r="AZ29" s="24">
        <f>IF(AH29="",0,VLOOKUP(AH29,[1]BD_CUSTO!I:J,2,0)*AI29/E29)</f>
        <v>96.458333333333329</v>
      </c>
      <c r="BA29" s="24">
        <f>IF(AJ29="",0,VLOOKUP(AJ29,[1]BD_CUSTO!I:J,2,0)*AK29/E29)</f>
        <v>28.958333333333332</v>
      </c>
      <c r="BB29" s="24">
        <f>IF(AL29="",0,VLOOKUP(AL29,[1]BD_CUSTO!I:J,2,0)*AM29/E29)</f>
        <v>22.083333333333332</v>
      </c>
      <c r="BC29" s="24">
        <f>IF(AN29="",0,VLOOKUP(AN29,[1]BD_CUSTO!I:J,2,0)*AO29/E29)</f>
        <v>0</v>
      </c>
      <c r="BD29" s="24">
        <f>IF(AP29="",0,VLOOKUP(AP29,[1]BD_CUSTO!I:J,2,0)*AQ29/E29)</f>
        <v>0</v>
      </c>
      <c r="BE29" s="24">
        <f>IF(AR29="",0,VLOOKUP(AR29,CUSTO!I:J,2,0)*AS29/E29)</f>
        <v>0</v>
      </c>
      <c r="BF29" s="24">
        <f>IF(AT29="",0,VLOOKUP(AT29,[1]BD_CUSTO!I:J,2,0)*AU29/E29)</f>
        <v>0</v>
      </c>
      <c r="BG29" s="24">
        <f>IF(Tabela1[[#This Row],[LZ 10]]="",0,VLOOKUP(Tabela1[[#This Row],[LZ 10]],[1]BD_CUSTO!I:J,2,0)*Tabela1[[#This Row],[QTD922]]/E29)</f>
        <v>0</v>
      </c>
      <c r="BH29" s="22" t="s">
        <v>122</v>
      </c>
      <c r="BI29" s="25">
        <v>0</v>
      </c>
      <c r="BJ29" s="22" t="s">
        <v>113</v>
      </c>
      <c r="BK29" s="25">
        <v>0</v>
      </c>
      <c r="BL29" s="24">
        <f>IF(BH29=[1]BD_CUSTO!$M$6,[1]BD_CUSTO!$N$6)*BI29</f>
        <v>0</v>
      </c>
      <c r="BM29" s="24">
        <f>IF(BJ29=[1]BD_CUSTO!$M$4,[1]BD_CUSTO!$N$4,[1]BD_CUSTO!$N$5)*BK29</f>
        <v>0</v>
      </c>
      <c r="BN29" s="22" t="s">
        <v>114</v>
      </c>
      <c r="BO29" s="22">
        <f>227+13+7</f>
        <v>247</v>
      </c>
      <c r="BP29" s="25">
        <f>Tabela1[[#This Row],[QTD ]]/Tabela1[[#This Row],[Nº UNDS]]</f>
        <v>1.0291666666666666</v>
      </c>
      <c r="BQ29" s="22" t="s">
        <v>123</v>
      </c>
      <c r="BR29" s="22">
        <v>8</v>
      </c>
      <c r="BS29" s="22" t="s">
        <v>116</v>
      </c>
      <c r="BT29" s="22">
        <v>0</v>
      </c>
      <c r="BU29" s="22" t="s">
        <v>16</v>
      </c>
      <c r="BV29" s="22">
        <v>0</v>
      </c>
      <c r="BW29" s="24">
        <f>IF(BN29=[1]BD_CUSTO!$Q$7,[1]BD_CUSTO!$R$7,[1]BD_CUSTO!$R$8)*BO29/E29</f>
        <v>2058.3333333333335</v>
      </c>
      <c r="BX29" s="24">
        <f>IF(BQ29=[1]BD_CUSTO!$Q$4,[1]BD_CUSTO!$R$4,[1]BD_CUSTO!$R$5)*BR29/E29</f>
        <v>33.333333333333336</v>
      </c>
      <c r="BY29" s="22">
        <f>IF(BS29=[1]BD_CUSTO!$Q$13,[1]BD_CUSTO!$R$13,[1]BD_CUSTO!$R$14)*BT29/E29</f>
        <v>0</v>
      </c>
      <c r="BZ29" s="24">
        <f>BV29*CUSTO!$R$10/E29</f>
        <v>0</v>
      </c>
      <c r="CA29" s="26">
        <f>SUM(Tabela1[[#This Row],[SOMA_PISO SALA E QUARTO]],Tabela1[[#This Row],[SOMA_PAREDE HIDR]],Tabela1[[#This Row],[SOMA_TETO]],Tabela1[[#This Row],[SOMA_BANCADA]],Tabela1[[#This Row],[SOMA_PEDRAS]])</f>
        <v>2390</v>
      </c>
      <c r="CB29" s="27" t="str">
        <f>IF(CA29&lt;=RÉGUAS!$D$4,"ACAB 01",IF(CA29&lt;=RÉGUAS!$F$4,"ACAB 02",IF(CA29&gt;RÉGUAS!$F$4,"ACAB 03",)))</f>
        <v>ACAB 01</v>
      </c>
      <c r="CC29" s="26">
        <f>SUM(Tabela1[[#This Row],[SOMA_LZ 01]:[SOMA_LZ 10]])</f>
        <v>480.49999999999994</v>
      </c>
      <c r="CD29" s="22" t="str">
        <f>IF(CC29&lt;=RÉGUAS!$D$13,"LZ 01",IF(CC29&lt;=RÉGUAS!$F$13,"LZ 02",IF(CC29&lt;=RÉGUAS!$H$13,"LZ 03",IF(CC29&gt;RÉGUAS!$H$13,"LZ 04",))))</f>
        <v>LZ 01</v>
      </c>
      <c r="CE29" s="28">
        <f t="shared" si="1"/>
        <v>0</v>
      </c>
      <c r="CF29" s="22" t="str">
        <f>IF(CE29&lt;=RÉGUAS!$D$22,"TIP 01",IF(CE29&lt;=RÉGUAS!$F$22,"TIP 02",IF(CE29&gt;RÉGUAS!$F$22,"TIP 03",)))</f>
        <v>TIP 01</v>
      </c>
      <c r="CG29" s="28">
        <f t="shared" si="2"/>
        <v>2091.666666666667</v>
      </c>
      <c r="CH29" s="22" t="str">
        <f>IF(CG29&lt;=RÉGUAS!$D$32,"VAGA 01",IF(CG29&lt;=RÉGUAS!$F$32,"VAGA 02",IF(CG29&gt;RÉGUAS!$F$32,"VAGA 03",)))</f>
        <v>VAGA 02</v>
      </c>
      <c r="CI29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29" s="85" t="str">
        <f>IF(AND(G29="BLOCO",CI29&lt;=RÉGUAS!$D$40),"ELEV 01",IF(AND(G29="BLOCO",CI29&gt;RÉGUAS!$D$40),"ELEV 02",IF(AND(G29="TORRE",CI29&lt;=RÉGUAS!$K$40),"ELEV 01",IF(AND(G29="TORRE",CI29&lt;=RÉGUAS!$M$40),"ELEV 02",IF(AND(G29="TORRE",CI29&gt;RÉGUAS!$M$40),"ELEV 03",)))))</f>
        <v>ELEV 01</v>
      </c>
      <c r="CK29" s="85">
        <f>SUM(Tabela1[[#This Row],[TOTAL  ACAB]],Tabela1[[#This Row],[TOTAL LAZER ]],Tabela1[[#This Row],[TOTAL TIPOLOGIA]],Tabela1[[#This Row],[TOTAL VAGA]],Tabela1[[#This Row],[TOTAL ELEVADOR]])</f>
        <v>4962.166666666667</v>
      </c>
      <c r="CL29" s="72" t="str">
        <f>IF(AND(G29="BLOCO",CK29&lt;=RÉGUAS!$D$50),"ESSENCIAL",IF(AND(G29="BLOCO",CK29&lt;=RÉGUAS!$F$50),"ECO",IF(AND(G29="BLOCO",CK29&gt;RÉGUAS!$F$50),"BIO",IF(AND(G29="TORRE",CK29&lt;=RÉGUAS!$K$50),"ESSENCIAL",IF(AND(G29="TORRE",CK29&lt;=RÉGUAS!$M$50),"ECO",IF(AND(G29="TORRE",CK29&gt;RÉGUAS!$M$50),"BIO",))))))</f>
        <v>ESSENCIAL</v>
      </c>
      <c r="CM29" s="28" t="str">
        <f>IF(AND(G29="BLOCO",CK29&gt;=RÉGUAS!$D$51,CK29&lt;=RÉGUAS!$D$50),"ESSENCIAL-10%",IF(AND(G29="BLOCO",CK29&gt;RÉGUAS!$D$50,CK29&lt;=RÉGUAS!$E$51),"ECO+10%",IF(AND(G29="BLOCO",CK29&gt;=RÉGUAS!$F$51,CK29&lt;=RÉGUAS!$F$50),"ECO-10%",IF(AND(G29="BLOCO",CK29&gt;RÉGUAS!$F$50,CK29&lt;=RÉGUAS!$G$51),"BIO+10%",IF(AND(G29="TORRE",CK29&gt;=RÉGUAS!$K$51,CK29&lt;=RÉGUAS!$K$50),"ESSENCIAL-10%",IF(AND(G29="TORRE",CK29&gt;RÉGUAS!$K$50,CK29&lt;=RÉGUAS!$L$51),"ECO+10%",IF(AND(G29="TORRE",CK29&gt;=RÉGUAS!$M$51,CK29&lt;=RÉGUAS!$M$50),"ECO-10%",IF(AND(G29="TORRE",CK29&gt;RÉGUAS!$M$50,CK29&lt;=RÉGUAS!$N$51),"BIO+10%","-"))))))))</f>
        <v>-</v>
      </c>
      <c r="CN29" s="73">
        <f t="shared" si="3"/>
        <v>4962.166666666667</v>
      </c>
      <c r="CO29" s="72" t="str">
        <f>IF(CN29&lt;=RÉGUAS!$D$58,"ESSENCIAL",IF(CN29&lt;=RÉGUAS!$F$58,"ECO",IF(CN29&gt;RÉGUAS!$F$58,"BIO",)))</f>
        <v>ESSENCIAL</v>
      </c>
      <c r="CP29" s="72" t="str">
        <f>IF(Tabela1[[#This Row],[INTERVALO DE INTERSEÇÃO 5D]]="-",Tabela1[[#This Row],[CLASSIFICAÇÃO 
5D ]],Tabela1[[#This Row],[CLASSIFICAÇÃO 
4D]])</f>
        <v>ESSENCIAL</v>
      </c>
      <c r="CQ29" s="72" t="str">
        <f t="shared" si="4"/>
        <v>-</v>
      </c>
      <c r="CR29" s="72" t="str">
        <f t="shared" si="5"/>
        <v>ESSENCIAL</v>
      </c>
      <c r="CS29" s="22" t="str">
        <f>IF(Tabela1[[#This Row],[PRODUTO ATUAL ]]=Tabela1[[#This Row],[CLASSIFICAÇÃO FINAL 5D]],"ADERÊNTE","NÃO ADERÊNTE")</f>
        <v>ADERÊNTE</v>
      </c>
      <c r="CT29" s="24">
        <f>SUM(Tabela1[[#This Row],[TOTAL  ACAB]],Tabela1[[#This Row],[TOTAL LAZER ]],Tabela1[[#This Row],[TOTAL TIPOLOGIA]],Tabela1[[#This Row],[TOTAL VAGA]])</f>
        <v>4962.166666666667</v>
      </c>
      <c r="CU29" s="22" t="str">
        <f>IF(CT29&lt;=RÉGUAS!$D$58,"ESSENCIAL",IF(CT29&lt;=RÉGUAS!$F$58,"ECO",IF(CT29&gt;RÉGUAS!$F$58,"BIO",)))</f>
        <v>ESSENCIAL</v>
      </c>
      <c r="CV29" s="22" t="str">
        <f>IF(AND(CT29&gt;=RÉGUAS!$D$59,CT29&lt;=RÉGUAS!$E$59),"ESSENCIAL/ECO",IF(AND(CT29&gt;=RÉGUAS!$F$59,CT29&lt;=RÉGUAS!$G$59),"ECO/BIO","-"))</f>
        <v>-</v>
      </c>
      <c r="CW29" s="85">
        <f>SUM(Tabela1[[#This Row],[TOTAL LAZER ]],Tabela1[[#This Row],[TOTAL TIPOLOGIA]])</f>
        <v>480.49999999999994</v>
      </c>
      <c r="CX29" s="22" t="str">
        <f>IF(CW29&lt;=RÉGUAS!$D$72,"ESSENCIAL",IF(CW29&lt;=RÉGUAS!$F$72,"ECO",IF(CN29&gt;RÉGUAS!$F$72,"BIO",)))</f>
        <v>ESSENCIAL</v>
      </c>
      <c r="CY29" s="22" t="str">
        <f t="shared" si="6"/>
        <v>ESSENCIAL</v>
      </c>
      <c r="CZ29" s="22" t="str">
        <f>IF(Tabela1[[#This Row],[PRODUTO ATUAL ]]=CY29,"ADERENTE","NÃO ADERENTE")</f>
        <v>ADERENTE</v>
      </c>
      <c r="DA29" s="22" t="str">
        <f>IF(Tabela1[[#This Row],[PRODUTO ATUAL ]]=Tabela1[[#This Row],[CLASSIFICAÇÃO 
4D2]],"ADERENTE","NÃO ADERENTE")</f>
        <v>ADERENTE</v>
      </c>
    </row>
    <row r="30" spans="2:105" hidden="1" x14ac:dyDescent="0.35">
      <c r="B30" s="27">
        <v>46</v>
      </c>
      <c r="C30" s="22" t="s">
        <v>160</v>
      </c>
      <c r="D30" s="22" t="s">
        <v>147</v>
      </c>
      <c r="E30" s="23">
        <v>496</v>
      </c>
      <c r="F30" s="22" t="str">
        <f t="shared" si="0"/>
        <v>Acima de 400 und</v>
      </c>
      <c r="G30" s="22" t="s">
        <v>1</v>
      </c>
      <c r="H30" s="36">
        <v>31</v>
      </c>
      <c r="I30" s="36">
        <v>4</v>
      </c>
      <c r="J30" s="36"/>
      <c r="K30" s="36"/>
      <c r="L30" s="36">
        <f>SUM(Tabela1[[#This Row],[QTD DE B/T 2]],Tabela1[[#This Row],[QTD DE B/T]])</f>
        <v>31</v>
      </c>
      <c r="M30" s="22">
        <v>1</v>
      </c>
      <c r="N30" s="22">
        <f>Tabela1[[#This Row],[ELEVADOR]]/Tabela1[[#This Row],[BLOCO TOTAL]]</f>
        <v>3.2258064516129031E-2</v>
      </c>
      <c r="O30" s="22" t="s">
        <v>6</v>
      </c>
      <c r="P30" s="22" t="s">
        <v>119</v>
      </c>
      <c r="Q30" s="22" t="s">
        <v>101</v>
      </c>
      <c r="R30" s="22" t="s">
        <v>142</v>
      </c>
      <c r="S30" s="22" t="s">
        <v>103</v>
      </c>
      <c r="T30" s="22" t="s">
        <v>104</v>
      </c>
      <c r="U30" s="22" t="s">
        <v>105</v>
      </c>
      <c r="V30" s="22" t="s">
        <v>106</v>
      </c>
      <c r="W30" s="24">
        <f>IF(P30=[1]BD_CUSTO!$E$4,[1]BD_CUSTO!$F$4,[1]BD_CUSTO!$F$5)</f>
        <v>530</v>
      </c>
      <c r="X30" s="24">
        <f>IF(Q30=[1]BD_CUSTO!$E$6,[1]BD_CUSTO!$F$6,[1]BD_CUSTO!$F$7)</f>
        <v>260</v>
      </c>
      <c r="Y30" s="24">
        <f>IF(R30=[1]BD_CUSTO!$E$8,[1]BD_CUSTO!$F$8,[1]BD_CUSTO!$F$9)</f>
        <v>900</v>
      </c>
      <c r="Z30" s="24">
        <f>IF(S30=[1]BD_CUSTO!$E$10,[1]BD_CUSTO!$F$10,[1]BD_CUSTO!$F$11)</f>
        <v>500</v>
      </c>
      <c r="AA30" s="24">
        <f>IF(T30=[1]BD_CUSTO!$E$12,[1]BD_CUSTO!$F$12,[1]BD_CUSTO!$F$13)</f>
        <v>370</v>
      </c>
      <c r="AB30" s="24">
        <f>IF(U30=[1]BD_CUSTO!$E$14,[1]BD_CUSTO!$F$14,[1]BD_CUSTO!$F$15)</f>
        <v>90</v>
      </c>
      <c r="AC30" s="24">
        <f>IF(V30=[1]BD_CUSTO!$E$16,[1]BD_CUSTO!$F$16,[1]BD_CUSTO!$F$17)</f>
        <v>720</v>
      </c>
      <c r="AD30" s="22" t="s">
        <v>110</v>
      </c>
      <c r="AE30" s="22">
        <v>1</v>
      </c>
      <c r="AF30" s="22" t="s">
        <v>107</v>
      </c>
      <c r="AG30" s="22">
        <v>2</v>
      </c>
      <c r="AH30" s="22" t="s">
        <v>109</v>
      </c>
      <c r="AI30" s="22">
        <v>1</v>
      </c>
      <c r="AJ30" s="22" t="s">
        <v>129</v>
      </c>
      <c r="AK30" s="22">
        <v>1</v>
      </c>
      <c r="AL30" s="22" t="s">
        <v>108</v>
      </c>
      <c r="AM30" s="22">
        <v>1</v>
      </c>
      <c r="AN30" s="22" t="s">
        <v>120</v>
      </c>
      <c r="AO30" s="22">
        <v>1</v>
      </c>
      <c r="AP30" s="22"/>
      <c r="AQ30" s="22"/>
      <c r="AR30" s="22"/>
      <c r="AS30" s="22"/>
      <c r="AT30" s="22"/>
      <c r="AU30" s="22"/>
      <c r="AV30" s="22"/>
      <c r="AW30" s="22"/>
      <c r="AX30" s="24">
        <f>IF(AD30="",0,VLOOKUP(AD30,[1]BD_CUSTO!I:J,2,0)*AE30/E30)</f>
        <v>10.685483870967742</v>
      </c>
      <c r="AY30" s="24">
        <f>IF(AF30="",0,VLOOKUP(AF30,[1]BD_CUSTO!I:J,2,0)*AG30/E30)</f>
        <v>343.34322580645158</v>
      </c>
      <c r="AZ30" s="24">
        <f>IF(AH30="",0,VLOOKUP(AH30,[1]BD_CUSTO!I:J,2,0)*AI30/E30)</f>
        <v>14.012096774193548</v>
      </c>
      <c r="BA30" s="24">
        <f>IF(AJ30="",0,VLOOKUP(AJ30,[1]BD_CUSTO!I:J,2,0)*AK30/E30)</f>
        <v>554.77334677419356</v>
      </c>
      <c r="BB30" s="24">
        <f>IF(AL30="",0,VLOOKUP(AL30,[1]BD_CUSTO!I:J,2,0)*AM30/E30)</f>
        <v>46.673387096774192</v>
      </c>
      <c r="BC30" s="24">
        <f>IF(AN30="",0,VLOOKUP(AN30,[1]BD_CUSTO!I:J,2,0)*AO30/E30)</f>
        <v>114.73564516129032</v>
      </c>
      <c r="BD30" s="24">
        <f>IF(AP30="",0,VLOOKUP(AP30,[1]BD_CUSTO!I:J,2,0)*AQ30/E30)</f>
        <v>0</v>
      </c>
      <c r="BE30" s="24">
        <f>IF(AR30="",0,VLOOKUP(AR30,CUSTO!I:J,2,0)*AS30/E30)</f>
        <v>0</v>
      </c>
      <c r="BF30" s="24">
        <f>IF(AT30="",0,VLOOKUP(AT30,[1]BD_CUSTO!I:J,2,0)*AU30/E30)</f>
        <v>0</v>
      </c>
      <c r="BG30" s="24">
        <f>IF(Tabela1[[#This Row],[LZ 10]]="",0,VLOOKUP(Tabela1[[#This Row],[LZ 10]],[1]BD_CUSTO!I:J,2,0)*Tabela1[[#This Row],[QTD922]]/E30)</f>
        <v>0</v>
      </c>
      <c r="BH30" s="22" t="s">
        <v>122</v>
      </c>
      <c r="BI30" s="25">
        <v>0</v>
      </c>
      <c r="BJ30" s="22" t="s">
        <v>113</v>
      </c>
      <c r="BK30" s="25">
        <v>0</v>
      </c>
      <c r="BL30" s="24">
        <f>IF(BH30=[1]BD_CUSTO!$M$6,[1]BD_CUSTO!$N$6)*BI30</f>
        <v>0</v>
      </c>
      <c r="BM30" s="24">
        <f>IF(BJ30=[1]BD_CUSTO!$M$4,[1]BD_CUSTO!$N$4,[1]BD_CUSTO!$N$5)*BK30</f>
        <v>0</v>
      </c>
      <c r="BN30" s="22" t="s">
        <v>114</v>
      </c>
      <c r="BO30" s="22">
        <v>511</v>
      </c>
      <c r="BP30" s="25">
        <f>Tabela1[[#This Row],[QTD ]]/Tabela1[[#This Row],[Nº UNDS]]</f>
        <v>1.030241935483871</v>
      </c>
      <c r="BQ30" s="22" t="s">
        <v>115</v>
      </c>
      <c r="BR30" s="22">
        <v>0</v>
      </c>
      <c r="BS30" s="22" t="s">
        <v>116</v>
      </c>
      <c r="BT30" s="22">
        <v>0</v>
      </c>
      <c r="BU30" s="22" t="s">
        <v>16</v>
      </c>
      <c r="BV30" s="22">
        <v>0</v>
      </c>
      <c r="BW30" s="24">
        <f>IF(BN30=[1]BD_CUSTO!$Q$7,[1]BD_CUSTO!$R$7,[1]BD_CUSTO!$R$8)*BO30/E30</f>
        <v>2060.483870967742</v>
      </c>
      <c r="BX30" s="24">
        <f>IF(BQ30=[1]BD_CUSTO!$Q$4,[1]BD_CUSTO!$R$4,[1]BD_CUSTO!$R$5)*BR30/E30</f>
        <v>0</v>
      </c>
      <c r="BY30" s="22">
        <f>IF(BS30=[1]BD_CUSTO!$Q$13,[1]BD_CUSTO!$R$13,[1]BD_CUSTO!$R$14)*BT30/E30</f>
        <v>0</v>
      </c>
      <c r="BZ30" s="24">
        <f>BV30*CUSTO!$R$10/E30</f>
        <v>0</v>
      </c>
      <c r="CA30" s="26">
        <f>SUM(Tabela1[[#This Row],[SOMA_PISO SALA E QUARTO]],Tabela1[[#This Row],[SOMA_PAREDE HIDR]],Tabela1[[#This Row],[SOMA_TETO]],Tabela1[[#This Row],[SOMA_BANCADA]],Tabela1[[#This Row],[SOMA_PEDRAS]])</f>
        <v>2390</v>
      </c>
      <c r="CB30" s="27" t="str">
        <f>IF(CA30&lt;=RÉGUAS!$D$4,"ACAB 01",IF(CA30&lt;=RÉGUAS!$F$4,"ACAB 02",IF(CA30&gt;RÉGUAS!$F$4,"ACAB 03",)))</f>
        <v>ACAB 01</v>
      </c>
      <c r="CC30" s="26">
        <f>SUM(Tabela1[[#This Row],[SOMA_LZ 01]:[SOMA_LZ 10]])</f>
        <v>1084.2231854838708</v>
      </c>
      <c r="CD30" s="22" t="str">
        <f>IF(CC30&lt;=RÉGUAS!$D$13,"LZ 01",IF(CC30&lt;=RÉGUAS!$F$13,"LZ 02",IF(CC30&lt;=RÉGUAS!$H$13,"LZ 03",IF(CC30&gt;RÉGUAS!$H$13,"LZ 04",))))</f>
        <v>LZ 02</v>
      </c>
      <c r="CE30" s="28">
        <f t="shared" si="1"/>
        <v>0</v>
      </c>
      <c r="CF30" s="22" t="str">
        <f>IF(CE30&lt;=RÉGUAS!$D$22,"TIP 01",IF(CE30&lt;=RÉGUAS!$F$22,"TIP 02",IF(CE30&gt;RÉGUAS!$F$22,"TIP 03",)))</f>
        <v>TIP 01</v>
      </c>
      <c r="CG30" s="28">
        <f t="shared" si="2"/>
        <v>2060.483870967742</v>
      </c>
      <c r="CH30" s="22" t="str">
        <f>IF(CG30&lt;=RÉGUAS!$D$32,"VAGA 01",IF(CG30&lt;=RÉGUAS!$F$32,"VAGA 02",IF(CG30&gt;RÉGUAS!$F$32,"VAGA 03",)))</f>
        <v>VAGA 02</v>
      </c>
      <c r="CI30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242.16129032258064</v>
      </c>
      <c r="CJ30" s="85" t="str">
        <f>IF(AND(G30="BLOCO",CI30&lt;=RÉGUAS!$D$40),"ELEV 01",IF(AND(G30="BLOCO",CI30&gt;RÉGUAS!$D$40),"ELEV 02",IF(AND(G30="TORRE",CI30&lt;=RÉGUAS!$K$40),"ELEV 01",IF(AND(G30="TORRE",CI30&lt;=RÉGUAS!$M$40),"ELEV 02",IF(AND(G30="TORRE",CI30&gt;RÉGUAS!$M$40),"ELEV 03",)))))</f>
        <v>ELEV 02</v>
      </c>
      <c r="CK30" s="85">
        <f>SUM(Tabela1[[#This Row],[TOTAL  ACAB]],Tabela1[[#This Row],[TOTAL LAZER ]],Tabela1[[#This Row],[TOTAL TIPOLOGIA]],Tabela1[[#This Row],[TOTAL VAGA]],Tabela1[[#This Row],[TOTAL ELEVADOR]])</f>
        <v>5776.868346774193</v>
      </c>
      <c r="CL30" s="72" t="str">
        <f>IF(AND(G30="BLOCO",CK30&lt;=RÉGUAS!$D$50),"ESSENCIAL",IF(AND(G30="BLOCO",CK30&lt;=RÉGUAS!$F$50),"ECO",IF(AND(G30="BLOCO",CK30&gt;RÉGUAS!$F$50),"BIO",IF(AND(G30="TORRE",CK30&lt;=RÉGUAS!$K$50),"ESSENCIAL",IF(AND(G30="TORRE",CK30&lt;=RÉGUAS!$M$50),"ECO",IF(AND(G30="TORRE",CK30&gt;RÉGUAS!$M$50),"BIO",))))))</f>
        <v>ESSENCIAL</v>
      </c>
      <c r="CM30" s="28" t="str">
        <f>IF(AND(G30="BLOCO",CK30&gt;=RÉGUAS!$D$51,CK30&lt;=RÉGUAS!$D$50),"ESSENCIAL-10%",IF(AND(G30="BLOCO",CK30&gt;RÉGUAS!$D$50,CK30&lt;=RÉGUAS!$E$51),"ECO+10%",IF(AND(G30="BLOCO",CK30&gt;=RÉGUAS!$F$51,CK30&lt;=RÉGUAS!$F$50),"ECO-10%",IF(AND(G30="BLOCO",CK30&gt;RÉGUAS!$F$50,CK30&lt;=RÉGUAS!$G$51),"BIO+10%",IF(AND(G30="TORRE",CK30&gt;=RÉGUAS!$K$51,CK30&lt;=RÉGUAS!$K$50),"ESSENCIAL-10%",IF(AND(G30="TORRE",CK30&gt;RÉGUAS!$K$50,CK30&lt;=RÉGUAS!$L$51),"ECO+10%",IF(AND(G30="TORRE",CK30&gt;=RÉGUAS!$M$51,CK30&lt;=RÉGUAS!$M$50),"ECO-10%",IF(AND(G30="TORRE",CK30&gt;RÉGUAS!$M$50,CK30&lt;=RÉGUAS!$N$51),"BIO+10%","-"))))))))</f>
        <v>-</v>
      </c>
      <c r="CN30" s="73">
        <f t="shared" si="3"/>
        <v>5534.7070564516125</v>
      </c>
      <c r="CO30" s="72" t="str">
        <f>IF(CN30&lt;=RÉGUAS!$D$58,"ESSENCIAL",IF(CN30&lt;=RÉGUAS!$F$58,"ECO",IF(CN30&gt;RÉGUAS!$F$58,"BIO",)))</f>
        <v>ESSENCIAL</v>
      </c>
      <c r="CP30" s="72" t="str">
        <f>IF(Tabela1[[#This Row],[INTERVALO DE INTERSEÇÃO 5D]]="-",Tabela1[[#This Row],[CLASSIFICAÇÃO 
5D ]],Tabela1[[#This Row],[CLASSIFICAÇÃO 
4D]])</f>
        <v>ESSENCIAL</v>
      </c>
      <c r="CQ30" s="72" t="str">
        <f t="shared" si="4"/>
        <v>-</v>
      </c>
      <c r="CR30" s="72" t="str">
        <f t="shared" si="5"/>
        <v>ESSENCIAL</v>
      </c>
      <c r="CS30" s="22" t="str">
        <f>IF(Tabela1[[#This Row],[PRODUTO ATUAL ]]=Tabela1[[#This Row],[CLASSIFICAÇÃO FINAL 5D]],"ADERÊNTE","NÃO ADERÊNTE")</f>
        <v>ADERÊNTE</v>
      </c>
      <c r="CT30" s="24">
        <f>SUM(Tabela1[[#This Row],[TOTAL  ACAB]],Tabela1[[#This Row],[TOTAL LAZER ]],Tabela1[[#This Row],[TOTAL TIPOLOGIA]],Tabela1[[#This Row],[TOTAL VAGA]])</f>
        <v>5534.7070564516125</v>
      </c>
      <c r="CU30" s="22" t="str">
        <f>IF(CT30&lt;=RÉGUAS!$D$58,"ESSENCIAL",IF(CT30&lt;=RÉGUAS!$F$58,"ECO",IF(CT30&gt;RÉGUAS!$F$58,"BIO",)))</f>
        <v>ESSENCIAL</v>
      </c>
      <c r="CV30" s="22" t="str">
        <f>IF(AND(CT30&gt;=RÉGUAS!$D$59,CT30&lt;=RÉGUAS!$E$59),"ESSENCIAL/ECO",IF(AND(CT30&gt;=RÉGUAS!$F$59,CT30&lt;=RÉGUAS!$G$59),"ECO/BIO","-"))</f>
        <v>-</v>
      </c>
      <c r="CW30" s="85">
        <f>SUM(Tabela1[[#This Row],[TOTAL LAZER ]],Tabela1[[#This Row],[TOTAL TIPOLOGIA]])</f>
        <v>1084.2231854838708</v>
      </c>
      <c r="CX30" s="22" t="str">
        <f>IF(CW30&lt;=RÉGUAS!$D$72,"ESSENCIAL",IF(CW30&lt;=RÉGUAS!$F$72,"ECO",IF(CN30&gt;RÉGUAS!$F$72,"BIO",)))</f>
        <v>ESSENCIAL</v>
      </c>
      <c r="CY30" s="22" t="str">
        <f t="shared" si="6"/>
        <v>ESSENCIAL</v>
      </c>
      <c r="CZ30" s="22" t="str">
        <f>IF(Tabela1[[#This Row],[PRODUTO ATUAL ]]=CY30,"ADERENTE","NÃO ADERENTE")</f>
        <v>ADERENTE</v>
      </c>
      <c r="DA30" s="22" t="str">
        <f>IF(Tabela1[[#This Row],[PRODUTO ATUAL ]]=Tabela1[[#This Row],[CLASSIFICAÇÃO 
4D2]],"ADERENTE","NÃO ADERENTE")</f>
        <v>ADERENTE</v>
      </c>
    </row>
    <row r="31" spans="2:105" hidden="1" x14ac:dyDescent="0.35">
      <c r="B31" s="27">
        <v>34</v>
      </c>
      <c r="C31" s="22" t="s">
        <v>155</v>
      </c>
      <c r="D31" s="22" t="s">
        <v>125</v>
      </c>
      <c r="E31" s="23">
        <v>176</v>
      </c>
      <c r="F31" s="22" t="str">
        <f t="shared" si="0"/>
        <v>Até 200 und</v>
      </c>
      <c r="G31" s="22" t="s">
        <v>1</v>
      </c>
      <c r="H31" s="36">
        <v>9</v>
      </c>
      <c r="I31" s="36">
        <v>5</v>
      </c>
      <c r="J31" s="36"/>
      <c r="K31" s="36"/>
      <c r="L31" s="36">
        <f>SUM(Tabela1[[#This Row],[QTD DE B/T 2]],Tabela1[[#This Row],[QTD DE B/T]])</f>
        <v>9</v>
      </c>
      <c r="M31" s="22">
        <v>0</v>
      </c>
      <c r="N31" s="22">
        <f>Tabela1[[#This Row],[ELEVADOR]]/Tabela1[[#This Row],[BLOCO TOTAL]]</f>
        <v>0</v>
      </c>
      <c r="O31" s="22" t="s">
        <v>6</v>
      </c>
      <c r="P31" s="22" t="s">
        <v>119</v>
      </c>
      <c r="Q31" s="22" t="s">
        <v>101</v>
      </c>
      <c r="R31" s="22" t="s">
        <v>142</v>
      </c>
      <c r="S31" s="22" t="s">
        <v>103</v>
      </c>
      <c r="T31" s="22" t="s">
        <v>104</v>
      </c>
      <c r="U31" s="22" t="s">
        <v>105</v>
      </c>
      <c r="V31" s="22" t="s">
        <v>106</v>
      </c>
      <c r="W31" s="24">
        <f>IF(P31=[1]BD_CUSTO!$E$4,[1]BD_CUSTO!$F$4,[1]BD_CUSTO!$F$5)</f>
        <v>530</v>
      </c>
      <c r="X31" s="24">
        <f>IF(Q31=[1]BD_CUSTO!$E$6,[1]BD_CUSTO!$F$6,[1]BD_CUSTO!$F$7)</f>
        <v>260</v>
      </c>
      <c r="Y31" s="24">
        <f>IF(R31=[1]BD_CUSTO!$E$8,[1]BD_CUSTO!$F$8,[1]BD_CUSTO!$F$9)</f>
        <v>900</v>
      </c>
      <c r="Z31" s="24">
        <f>IF(S31=[1]BD_CUSTO!$E$10,[1]BD_CUSTO!$F$10,[1]BD_CUSTO!$F$11)</f>
        <v>500</v>
      </c>
      <c r="AA31" s="24">
        <f>IF(T31=[1]BD_CUSTO!$E$12,[1]BD_CUSTO!$F$12,[1]BD_CUSTO!$F$13)</f>
        <v>370</v>
      </c>
      <c r="AB31" s="24">
        <f>IF(U31=[1]BD_CUSTO!$E$14,[1]BD_CUSTO!$F$14,[1]BD_CUSTO!$F$15)</f>
        <v>90</v>
      </c>
      <c r="AC31" s="24">
        <f>IF(V31=[1]BD_CUSTO!$E$16,[1]BD_CUSTO!$F$16,[1]BD_CUSTO!$F$17)</f>
        <v>720</v>
      </c>
      <c r="AD31" s="22" t="s">
        <v>109</v>
      </c>
      <c r="AE31" s="22">
        <v>1</v>
      </c>
      <c r="AF31" s="22" t="s">
        <v>111</v>
      </c>
      <c r="AG31" s="22">
        <v>1</v>
      </c>
      <c r="AH31" s="22" t="s">
        <v>110</v>
      </c>
      <c r="AI31" s="22">
        <v>1</v>
      </c>
      <c r="AJ31" s="22" t="s">
        <v>156</v>
      </c>
      <c r="AK31" s="22">
        <v>1</v>
      </c>
      <c r="AL31" s="22" t="s">
        <v>108</v>
      </c>
      <c r="AM31" s="22">
        <v>1</v>
      </c>
      <c r="AN31" s="22" t="s">
        <v>107</v>
      </c>
      <c r="AO31" s="22">
        <v>1</v>
      </c>
      <c r="AP31" s="22" t="s">
        <v>133</v>
      </c>
      <c r="AQ31" s="22">
        <v>1</v>
      </c>
      <c r="AR31" s="22"/>
      <c r="AS31" s="22"/>
      <c r="AT31" s="22"/>
      <c r="AU31" s="22"/>
      <c r="AV31" s="22"/>
      <c r="AW31" s="22"/>
      <c r="AX31" s="24">
        <f>IF(AD31="",0,VLOOKUP(AD31,[1]BD_CUSTO!I:J,2,0)*AE31/E31)</f>
        <v>39.488636363636367</v>
      </c>
      <c r="AY31" s="24">
        <f>IF(AF31="",0,VLOOKUP(AF31,[1]BD_CUSTO!I:J,2,0)*AG31/E31)</f>
        <v>92.045454545454547</v>
      </c>
      <c r="AZ31" s="24">
        <f>IF(AH31="",0,VLOOKUP(AH31,[1]BD_CUSTO!I:J,2,0)*AI31/E31)</f>
        <v>30.113636363636363</v>
      </c>
      <c r="BA31" s="24">
        <f>IF(AJ31="",0,VLOOKUP(AJ31,[1]BD_CUSTO!I:J,2,0)*AK31/E31)</f>
        <v>557.10227272727275</v>
      </c>
      <c r="BB31" s="24">
        <f>IF(AL31="",0,VLOOKUP(AL31,[1]BD_CUSTO!I:J,2,0)*AM31/E31)</f>
        <v>131.53409090909091</v>
      </c>
      <c r="BC31" s="24">
        <f>IF(AN31="",0,VLOOKUP(AN31,[1]BD_CUSTO!I:J,2,0)*AO31/E31)</f>
        <v>483.80181818181813</v>
      </c>
      <c r="BD31" s="24">
        <f>IF(AP31="",0,VLOOKUP(AP31,[1]BD_CUSTO!I:J,2,0)*AQ31/E31)</f>
        <v>39.545454545454547</v>
      </c>
      <c r="BE31" s="24">
        <f>IF(AR31="",0,VLOOKUP(AR31,CUSTO!I:J,2,0)*AS31/E31)</f>
        <v>0</v>
      </c>
      <c r="BF31" s="24">
        <f>IF(AT31="",0,VLOOKUP(AT31,[1]BD_CUSTO!I:J,2,0)*AU31/E31)</f>
        <v>0</v>
      </c>
      <c r="BG31" s="24">
        <f>IF(Tabela1[[#This Row],[LZ 10]]="",0,VLOOKUP(Tabela1[[#This Row],[LZ 10]],[1]BD_CUSTO!I:J,2,0)*Tabela1[[#This Row],[QTD922]]/E31)</f>
        <v>0</v>
      </c>
      <c r="BH31" s="22" t="s">
        <v>122</v>
      </c>
      <c r="BI31" s="25">
        <v>0</v>
      </c>
      <c r="BJ31" s="22" t="s">
        <v>113</v>
      </c>
      <c r="BK31" s="25">
        <v>0</v>
      </c>
      <c r="BL31" s="24">
        <f>IF(BH31=[1]BD_CUSTO!$M$6,[1]BD_CUSTO!$N$6)*BI31</f>
        <v>0</v>
      </c>
      <c r="BM31" s="24">
        <f>IF(BJ31=[1]BD_CUSTO!$M$4,[1]BD_CUSTO!$N$4,[1]BD_CUSTO!$N$5)*BK31</f>
        <v>0</v>
      </c>
      <c r="BN31" s="22" t="s">
        <v>114</v>
      </c>
      <c r="BO31" s="22">
        <v>182</v>
      </c>
      <c r="BP31" s="25">
        <f>Tabela1[[#This Row],[QTD ]]/Tabela1[[#This Row],[Nº UNDS]]</f>
        <v>1.0340909090909092</v>
      </c>
      <c r="BQ31" s="22" t="s">
        <v>115</v>
      </c>
      <c r="BR31" s="22">
        <v>0</v>
      </c>
      <c r="BS31" s="22" t="s">
        <v>116</v>
      </c>
      <c r="BT31" s="22">
        <v>0</v>
      </c>
      <c r="BU31" s="22" t="s">
        <v>16</v>
      </c>
      <c r="BV31" s="22">
        <v>0</v>
      </c>
      <c r="BW31" s="24">
        <f>IF(BN31=[1]BD_CUSTO!$Q$7,[1]BD_CUSTO!$R$7,[1]BD_CUSTO!$R$8)*BO31/E31</f>
        <v>2068.181818181818</v>
      </c>
      <c r="BX31" s="24">
        <f>IF(BQ31=[1]BD_CUSTO!$Q$4,[1]BD_CUSTO!$R$4,[1]BD_CUSTO!$R$5)*BR31/E31</f>
        <v>0</v>
      </c>
      <c r="BY31" s="22">
        <f>IF(BS31=[1]BD_CUSTO!$Q$13,[1]BD_CUSTO!$R$13,[1]BD_CUSTO!$R$14)*BT31/E31</f>
        <v>0</v>
      </c>
      <c r="BZ31" s="24">
        <f>BV31*CUSTO!$R$10/E31</f>
        <v>0</v>
      </c>
      <c r="CA31" s="26">
        <f>SUM(Tabela1[[#This Row],[SOMA_PISO SALA E QUARTO]],Tabela1[[#This Row],[SOMA_PAREDE HIDR]],Tabela1[[#This Row],[SOMA_TETO]],Tabela1[[#This Row],[SOMA_BANCADA]],Tabela1[[#This Row],[SOMA_PEDRAS]])</f>
        <v>2390</v>
      </c>
      <c r="CB31" s="27" t="str">
        <f>IF(CA31&lt;=RÉGUAS!$D$4,"ACAB 01",IF(CA31&lt;=RÉGUAS!$F$4,"ACAB 02",IF(CA31&gt;RÉGUAS!$F$4,"ACAB 03",)))</f>
        <v>ACAB 01</v>
      </c>
      <c r="CC31" s="26">
        <f>SUM(Tabela1[[#This Row],[SOMA_LZ 01]:[SOMA_LZ 10]])</f>
        <v>1373.6313636363634</v>
      </c>
      <c r="CD31" s="22" t="str">
        <f>IF(CC31&lt;=RÉGUAS!$D$13,"LZ 01",IF(CC31&lt;=RÉGUAS!$F$13,"LZ 02",IF(CC31&lt;=RÉGUAS!$H$13,"LZ 03",IF(CC31&gt;RÉGUAS!$H$13,"LZ 04",))))</f>
        <v>LZ 02</v>
      </c>
      <c r="CE31" s="28">
        <f t="shared" si="1"/>
        <v>0</v>
      </c>
      <c r="CF31" s="22" t="str">
        <f>IF(CE31&lt;=RÉGUAS!$D$22,"TIP 01",IF(CE31&lt;=RÉGUAS!$F$22,"TIP 02",IF(CE31&gt;RÉGUAS!$F$22,"TIP 03",)))</f>
        <v>TIP 01</v>
      </c>
      <c r="CG31" s="28">
        <f t="shared" si="2"/>
        <v>2068.181818181818</v>
      </c>
      <c r="CH31" s="22" t="str">
        <f>IF(CG31&lt;=RÉGUAS!$D$32,"VAGA 01",IF(CG31&lt;=RÉGUAS!$F$32,"VAGA 02",IF(CG31&gt;RÉGUAS!$F$32,"VAGA 03",)))</f>
        <v>VAGA 02</v>
      </c>
      <c r="CI31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31" s="85" t="str">
        <f>IF(AND(G31="BLOCO",CI31&lt;=RÉGUAS!$D$40),"ELEV 01",IF(AND(G31="BLOCO",CI31&gt;RÉGUAS!$D$40),"ELEV 02",IF(AND(G31="TORRE",CI31&lt;=RÉGUAS!$K$40),"ELEV 01",IF(AND(G31="TORRE",CI31&lt;=RÉGUAS!$M$40),"ELEV 02",IF(AND(G31="TORRE",CI31&gt;RÉGUAS!$M$40),"ELEV 03",)))))</f>
        <v>ELEV 01</v>
      </c>
      <c r="CK31" s="85">
        <f>SUM(Tabela1[[#This Row],[TOTAL  ACAB]],Tabela1[[#This Row],[TOTAL LAZER ]],Tabela1[[#This Row],[TOTAL TIPOLOGIA]],Tabela1[[#This Row],[TOTAL VAGA]],Tabela1[[#This Row],[TOTAL ELEVADOR]])</f>
        <v>5831.813181818181</v>
      </c>
      <c r="CL31" s="72" t="str">
        <f>IF(AND(G31="BLOCO",CK31&lt;=RÉGUAS!$D$50),"ESSENCIAL",IF(AND(G31="BLOCO",CK31&lt;=RÉGUAS!$F$50),"ECO",IF(AND(G31="BLOCO",CK31&gt;RÉGUAS!$F$50),"BIO",IF(AND(G31="TORRE",CK31&lt;=RÉGUAS!$K$50),"ESSENCIAL",IF(AND(G31="TORRE",CK31&lt;=RÉGUAS!$M$50),"ECO",IF(AND(G31="TORRE",CK31&gt;RÉGUAS!$M$50),"BIO",))))))</f>
        <v>ESSENCIAL</v>
      </c>
      <c r="CM31" s="28" t="str">
        <f>IF(AND(G31="BLOCO",CK31&gt;=RÉGUAS!$D$51,CK31&lt;=RÉGUAS!$D$50),"ESSENCIAL-10%",IF(AND(G31="BLOCO",CK31&gt;RÉGUAS!$D$50,CK31&lt;=RÉGUAS!$E$51),"ECO+10%",IF(AND(G31="BLOCO",CK31&gt;=RÉGUAS!$F$51,CK31&lt;=RÉGUAS!$F$50),"ECO-10%",IF(AND(G31="BLOCO",CK31&gt;RÉGUAS!$F$50,CK31&lt;=RÉGUAS!$G$51),"BIO+10%",IF(AND(G31="TORRE",CK31&gt;=RÉGUAS!$K$51,CK31&lt;=RÉGUAS!$K$50),"ESSENCIAL-10%",IF(AND(G31="TORRE",CK31&gt;RÉGUAS!$K$50,CK31&lt;=RÉGUAS!$L$51),"ECO+10%",IF(AND(G31="TORRE",CK31&gt;=RÉGUAS!$M$51,CK31&lt;=RÉGUAS!$M$50),"ECO-10%",IF(AND(G31="TORRE",CK31&gt;RÉGUAS!$M$50,CK31&lt;=RÉGUAS!$N$51),"BIO+10%","-"))))))))</f>
        <v>-</v>
      </c>
      <c r="CN31" s="73">
        <f t="shared" si="3"/>
        <v>5831.813181818181</v>
      </c>
      <c r="CO31" s="72" t="str">
        <f>IF(CN31&lt;=RÉGUAS!$D$58,"ESSENCIAL",IF(CN31&lt;=RÉGUAS!$F$58,"ECO",IF(CN31&gt;RÉGUAS!$F$58,"BIO",)))</f>
        <v>ESSENCIAL</v>
      </c>
      <c r="CP31" s="72" t="str">
        <f>IF(Tabela1[[#This Row],[INTERVALO DE INTERSEÇÃO 5D]]="-",Tabela1[[#This Row],[CLASSIFICAÇÃO 
5D ]],Tabela1[[#This Row],[CLASSIFICAÇÃO 
4D]])</f>
        <v>ESSENCIAL</v>
      </c>
      <c r="CQ31" s="72" t="str">
        <f t="shared" si="4"/>
        <v>-</v>
      </c>
      <c r="CR31" s="72" t="str">
        <f t="shared" si="5"/>
        <v>ESSENCIAL</v>
      </c>
      <c r="CS31" s="22" t="str">
        <f>IF(Tabela1[[#This Row],[PRODUTO ATUAL ]]=Tabela1[[#This Row],[CLASSIFICAÇÃO FINAL 5D]],"ADERÊNTE","NÃO ADERÊNTE")</f>
        <v>ADERÊNTE</v>
      </c>
      <c r="CT31" s="24">
        <f>SUM(Tabela1[[#This Row],[TOTAL  ACAB]],Tabela1[[#This Row],[TOTAL LAZER ]],Tabela1[[#This Row],[TOTAL TIPOLOGIA]],Tabela1[[#This Row],[TOTAL VAGA]])</f>
        <v>5831.813181818181</v>
      </c>
      <c r="CU31" s="22" t="str">
        <f>IF(CT31&lt;=RÉGUAS!$D$58,"ESSENCIAL",IF(CT31&lt;=RÉGUAS!$F$58,"ECO",IF(CT31&gt;RÉGUAS!$F$58,"BIO",)))</f>
        <v>ESSENCIAL</v>
      </c>
      <c r="CV31" s="22" t="str">
        <f>IF(AND(CT31&gt;=RÉGUAS!$D$59,CT31&lt;=RÉGUAS!$E$59),"ESSENCIAL/ECO",IF(AND(CT31&gt;=RÉGUAS!$F$59,CT31&lt;=RÉGUAS!$G$59),"ECO/BIO","-"))</f>
        <v>-</v>
      </c>
      <c r="CW31" s="85">
        <f>SUM(Tabela1[[#This Row],[TOTAL LAZER ]],Tabela1[[#This Row],[TOTAL TIPOLOGIA]])</f>
        <v>1373.6313636363634</v>
      </c>
      <c r="CX31" s="22" t="str">
        <f>IF(CW31&lt;=RÉGUAS!$D$72,"ESSENCIAL",IF(CW31&lt;=RÉGUAS!$F$72,"ECO",IF(CN31&gt;RÉGUAS!$F$72,"BIO",)))</f>
        <v>ESSENCIAL</v>
      </c>
      <c r="CY31" s="22" t="str">
        <f t="shared" si="6"/>
        <v>ESSENCIAL</v>
      </c>
      <c r="CZ31" s="22" t="str">
        <f>IF(Tabela1[[#This Row],[PRODUTO ATUAL ]]=CY31,"ADERENTE","NÃO ADERENTE")</f>
        <v>ADERENTE</v>
      </c>
      <c r="DA31" s="22" t="str">
        <f>IF(Tabela1[[#This Row],[PRODUTO ATUAL ]]=Tabela1[[#This Row],[CLASSIFICAÇÃO 
4D2]],"ADERENTE","NÃO ADERENTE")</f>
        <v>ADERENTE</v>
      </c>
    </row>
    <row r="32" spans="2:105" hidden="1" x14ac:dyDescent="0.35">
      <c r="B32" s="27">
        <v>36</v>
      </c>
      <c r="C32" s="22" t="s">
        <v>157</v>
      </c>
      <c r="D32" s="22" t="s">
        <v>147</v>
      </c>
      <c r="E32" s="23">
        <v>292</v>
      </c>
      <c r="F32" s="22" t="str">
        <f t="shared" si="0"/>
        <v>De 200 a 400 und</v>
      </c>
      <c r="G32" s="22" t="s">
        <v>1</v>
      </c>
      <c r="H32" s="36">
        <v>18</v>
      </c>
      <c r="I32" s="36">
        <v>5</v>
      </c>
      <c r="J32" s="36"/>
      <c r="K32" s="36"/>
      <c r="L32" s="36">
        <f>SUM(Tabela1[[#This Row],[QTD DE B/T 2]],Tabela1[[#This Row],[QTD DE B/T]])</f>
        <v>18</v>
      </c>
      <c r="M32" s="22">
        <v>1</v>
      </c>
      <c r="N32" s="22">
        <f>Tabela1[[#This Row],[ELEVADOR]]/Tabela1[[#This Row],[BLOCO TOTAL]]</f>
        <v>5.5555555555555552E-2</v>
      </c>
      <c r="O32" s="22" t="s">
        <v>6</v>
      </c>
      <c r="P32" s="22" t="s">
        <v>119</v>
      </c>
      <c r="Q32" s="22" t="s">
        <v>101</v>
      </c>
      <c r="R32" s="22" t="s">
        <v>142</v>
      </c>
      <c r="S32" s="22" t="s">
        <v>103</v>
      </c>
      <c r="T32" s="22" t="s">
        <v>104</v>
      </c>
      <c r="U32" s="22" t="s">
        <v>105</v>
      </c>
      <c r="V32" s="22" t="s">
        <v>106</v>
      </c>
      <c r="W32" s="24">
        <f>IF(P32=[1]BD_CUSTO!$E$4,[1]BD_CUSTO!$F$4,[1]BD_CUSTO!$F$5)</f>
        <v>530</v>
      </c>
      <c r="X32" s="24">
        <f>IF(Q32=[1]BD_CUSTO!$E$6,[1]BD_CUSTO!$F$6,[1]BD_CUSTO!$F$7)</f>
        <v>260</v>
      </c>
      <c r="Y32" s="24">
        <f>IF(R32=[1]BD_CUSTO!$E$8,[1]BD_CUSTO!$F$8,[1]BD_CUSTO!$F$9)</f>
        <v>900</v>
      </c>
      <c r="Z32" s="24">
        <f>IF(S32=[1]BD_CUSTO!$E$10,[1]BD_CUSTO!$F$10,[1]BD_CUSTO!$F$11)</f>
        <v>500</v>
      </c>
      <c r="AA32" s="24">
        <f>IF(T32=[1]BD_CUSTO!$E$12,[1]BD_CUSTO!$F$12,[1]BD_CUSTO!$F$13)</f>
        <v>370</v>
      </c>
      <c r="AB32" s="24">
        <f>IF(U32=[1]BD_CUSTO!$E$14,[1]BD_CUSTO!$F$14,[1]BD_CUSTO!$F$15)</f>
        <v>90</v>
      </c>
      <c r="AC32" s="24">
        <f>IF(V32=[1]BD_CUSTO!$E$16,[1]BD_CUSTO!$F$16,[1]BD_CUSTO!$F$17)</f>
        <v>720</v>
      </c>
      <c r="AD32" s="22" t="s">
        <v>108</v>
      </c>
      <c r="AE32" s="22">
        <v>1</v>
      </c>
      <c r="AF32" s="22" t="s">
        <v>109</v>
      </c>
      <c r="AG32" s="22">
        <v>1</v>
      </c>
      <c r="AH32" s="22" t="s">
        <v>110</v>
      </c>
      <c r="AI32" s="22">
        <v>1</v>
      </c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4">
        <f>IF(AD32="",0,VLOOKUP(AD32,[1]BD_CUSTO!I:J,2,0)*AE32/E32)</f>
        <v>79.280821917808225</v>
      </c>
      <c r="AY32" s="24">
        <f>IF(AF32="",0,VLOOKUP(AF32,[1]BD_CUSTO!I:J,2,0)*AG32/E32)</f>
        <v>23.801369863013697</v>
      </c>
      <c r="AZ32" s="24">
        <f>IF(AH32="",0,VLOOKUP(AH32,[1]BD_CUSTO!I:J,2,0)*AI32/E32)</f>
        <v>18.150684931506849</v>
      </c>
      <c r="BA32" s="24">
        <f>IF(AJ32="",0,VLOOKUP(AJ32,[1]BD_CUSTO!I:J,2,0)*AK32/E32)</f>
        <v>0</v>
      </c>
      <c r="BB32" s="24">
        <f>IF(AL32="",0,VLOOKUP(AL32,[1]BD_CUSTO!I:J,2,0)*AM32/E32)</f>
        <v>0</v>
      </c>
      <c r="BC32" s="24">
        <f>IF(AN32="",0,VLOOKUP(AN32,[1]BD_CUSTO!I:J,2,0)*AO32/E32)</f>
        <v>0</v>
      </c>
      <c r="BD32" s="24">
        <f>IF(AP32="",0,VLOOKUP(AP32,[1]BD_CUSTO!I:J,2,0)*AQ32/E32)</f>
        <v>0</v>
      </c>
      <c r="BE32" s="24">
        <f>IF(AR32="",0,VLOOKUP(AR32,CUSTO!I:J,2,0)*AS32/E32)</f>
        <v>0</v>
      </c>
      <c r="BF32" s="24">
        <f>IF(AT32="",0,VLOOKUP(AT32,[1]BD_CUSTO!I:J,2,0)*AU32/E32)</f>
        <v>0</v>
      </c>
      <c r="BG32" s="24">
        <f>IF(Tabela1[[#This Row],[LZ 10]]="",0,VLOOKUP(Tabela1[[#This Row],[LZ 10]],[1]BD_CUSTO!I:J,2,0)*Tabela1[[#This Row],[QTD922]]/E32)</f>
        <v>0</v>
      </c>
      <c r="BH32" s="22" t="s">
        <v>122</v>
      </c>
      <c r="BI32" s="25">
        <v>0</v>
      </c>
      <c r="BJ32" s="22" t="s">
        <v>113</v>
      </c>
      <c r="BK32" s="25">
        <v>0</v>
      </c>
      <c r="BL32" s="24">
        <f>IF(BH32=[1]BD_CUSTO!$M$6,[1]BD_CUSTO!$N$6)*BI32</f>
        <v>0</v>
      </c>
      <c r="BM32" s="24">
        <f>IF(BJ32=[1]BD_CUSTO!$M$4,[1]BD_CUSTO!$N$4,[1]BD_CUSTO!$N$5)*BK32</f>
        <v>0</v>
      </c>
      <c r="BN32" s="22" t="s">
        <v>114</v>
      </c>
      <c r="BO32" s="22">
        <f>283+13+10</f>
        <v>306</v>
      </c>
      <c r="BP32" s="25">
        <f>Tabela1[[#This Row],[QTD ]]/Tabela1[[#This Row],[Nº UNDS]]</f>
        <v>1.047945205479452</v>
      </c>
      <c r="BQ32" s="22" t="s">
        <v>123</v>
      </c>
      <c r="BR32" s="22">
        <v>9</v>
      </c>
      <c r="BS32" s="22" t="s">
        <v>116</v>
      </c>
      <c r="BT32" s="22">
        <v>0</v>
      </c>
      <c r="BU32" s="22" t="s">
        <v>16</v>
      </c>
      <c r="BV32" s="22">
        <v>0</v>
      </c>
      <c r="BW32" s="24">
        <f>IF(BN32=[1]BD_CUSTO!$Q$7,[1]BD_CUSTO!$R$7,[1]BD_CUSTO!$R$8)*BO32/E32</f>
        <v>2095.8904109589039</v>
      </c>
      <c r="BX32" s="24">
        <f>IF(BQ32=[1]BD_CUSTO!$Q$4,[1]BD_CUSTO!$R$4,[1]BD_CUSTO!$R$5)*BR32/E32</f>
        <v>30.82191780821918</v>
      </c>
      <c r="BY32" s="22">
        <f>IF(BS32=[1]BD_CUSTO!$Q$13,[1]BD_CUSTO!$R$13,[1]BD_CUSTO!$R$14)*BT32/E32</f>
        <v>0</v>
      </c>
      <c r="BZ32" s="24">
        <f>BV32*CUSTO!$R$10/E32</f>
        <v>0</v>
      </c>
      <c r="CA32" s="26">
        <f>SUM(Tabela1[[#This Row],[SOMA_PISO SALA E QUARTO]],Tabela1[[#This Row],[SOMA_PAREDE HIDR]],Tabela1[[#This Row],[SOMA_TETO]],Tabela1[[#This Row],[SOMA_BANCADA]],Tabela1[[#This Row],[SOMA_PEDRAS]])</f>
        <v>2390</v>
      </c>
      <c r="CB32" s="27" t="str">
        <f>IF(CA32&lt;=RÉGUAS!$D$4,"ACAB 01",IF(CA32&lt;=RÉGUAS!$F$4,"ACAB 02",IF(CA32&gt;RÉGUAS!$F$4,"ACAB 03",)))</f>
        <v>ACAB 01</v>
      </c>
      <c r="CC32" s="26">
        <f>SUM(Tabela1[[#This Row],[SOMA_LZ 01]:[SOMA_LZ 10]])</f>
        <v>121.23287671232876</v>
      </c>
      <c r="CD32" s="22" t="str">
        <f>IF(CC32&lt;=RÉGUAS!$D$13,"LZ 01",IF(CC32&lt;=RÉGUAS!$F$13,"LZ 02",IF(CC32&lt;=RÉGUAS!$H$13,"LZ 03",IF(CC32&gt;RÉGUAS!$H$13,"LZ 04",))))</f>
        <v>LZ 01</v>
      </c>
      <c r="CE32" s="28">
        <f t="shared" si="1"/>
        <v>0</v>
      </c>
      <c r="CF32" s="22" t="str">
        <f>IF(CE32&lt;=RÉGUAS!$D$22,"TIP 01",IF(CE32&lt;=RÉGUAS!$F$22,"TIP 02",IF(CE32&gt;RÉGUAS!$F$22,"TIP 03",)))</f>
        <v>TIP 01</v>
      </c>
      <c r="CG32" s="28">
        <f t="shared" si="2"/>
        <v>2126.7123287671229</v>
      </c>
      <c r="CH32" s="22" t="str">
        <f>IF(CG32&lt;=RÉGUAS!$D$32,"VAGA 01",IF(CG32&lt;=RÉGUAS!$F$32,"VAGA 02",IF(CG32&gt;RÉGUAS!$F$32,"VAGA 03",)))</f>
        <v>VAGA 02</v>
      </c>
      <c r="CI32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514.17808219178085</v>
      </c>
      <c r="CJ32" s="85" t="str">
        <f>IF(AND(G32="BLOCO",CI32&lt;=RÉGUAS!$D$40),"ELEV 01",IF(AND(G32="BLOCO",CI32&gt;RÉGUAS!$D$40),"ELEV 02",IF(AND(G32="TORRE",CI32&lt;=RÉGUAS!$K$40),"ELEV 01",IF(AND(G32="TORRE",CI32&lt;=RÉGUAS!$M$40),"ELEV 02",IF(AND(G32="TORRE",CI32&gt;RÉGUAS!$M$40),"ELEV 03",)))))</f>
        <v>ELEV 02</v>
      </c>
      <c r="CK32" s="85">
        <f>SUM(Tabela1[[#This Row],[TOTAL  ACAB]],Tabela1[[#This Row],[TOTAL LAZER ]],Tabela1[[#This Row],[TOTAL TIPOLOGIA]],Tabela1[[#This Row],[TOTAL VAGA]],Tabela1[[#This Row],[TOTAL ELEVADOR]])</f>
        <v>5152.123287671232</v>
      </c>
      <c r="CL32" s="72" t="str">
        <f>IF(AND(G32="BLOCO",CK32&lt;=RÉGUAS!$D$50),"ESSENCIAL",IF(AND(G32="BLOCO",CK32&lt;=RÉGUAS!$F$50),"ECO",IF(AND(G32="BLOCO",CK32&gt;RÉGUAS!$F$50),"BIO",IF(AND(G32="TORRE",CK32&lt;=RÉGUAS!$K$50),"ESSENCIAL",IF(AND(G32="TORRE",CK32&lt;=RÉGUAS!$M$50),"ECO",IF(AND(G32="TORRE",CK32&gt;RÉGUAS!$M$50),"BIO",))))))</f>
        <v>ESSENCIAL</v>
      </c>
      <c r="CM32" s="28" t="str">
        <f>IF(AND(G32="BLOCO",CK32&gt;=RÉGUAS!$D$51,CK32&lt;=RÉGUAS!$D$50),"ESSENCIAL-10%",IF(AND(G32="BLOCO",CK32&gt;RÉGUAS!$D$50,CK32&lt;=RÉGUAS!$E$51),"ECO+10%",IF(AND(G32="BLOCO",CK32&gt;=RÉGUAS!$F$51,CK32&lt;=RÉGUAS!$F$50),"ECO-10%",IF(AND(G32="BLOCO",CK32&gt;RÉGUAS!$F$50,CK32&lt;=RÉGUAS!$G$51),"BIO+10%",IF(AND(G32="TORRE",CK32&gt;=RÉGUAS!$K$51,CK32&lt;=RÉGUAS!$K$50),"ESSENCIAL-10%",IF(AND(G32="TORRE",CK32&gt;RÉGUAS!$K$50,CK32&lt;=RÉGUAS!$L$51),"ECO+10%",IF(AND(G32="TORRE",CK32&gt;=RÉGUAS!$M$51,CK32&lt;=RÉGUAS!$M$50),"ECO-10%",IF(AND(G32="TORRE",CK32&gt;RÉGUAS!$M$50,CK32&lt;=RÉGUAS!$N$51),"BIO+10%","-"))))))))</f>
        <v>-</v>
      </c>
      <c r="CN32" s="73">
        <f t="shared" si="3"/>
        <v>4637.945205479451</v>
      </c>
      <c r="CO32" s="72" t="str">
        <f>IF(CN32&lt;=RÉGUAS!$D$58,"ESSENCIAL",IF(CN32&lt;=RÉGUAS!$F$58,"ECO",IF(CN32&gt;RÉGUAS!$F$58,"BIO",)))</f>
        <v>ESSENCIAL</v>
      </c>
      <c r="CP32" s="72" t="str">
        <f>IF(Tabela1[[#This Row],[INTERVALO DE INTERSEÇÃO 5D]]="-",Tabela1[[#This Row],[CLASSIFICAÇÃO 
5D ]],Tabela1[[#This Row],[CLASSIFICAÇÃO 
4D]])</f>
        <v>ESSENCIAL</v>
      </c>
      <c r="CQ32" s="72" t="str">
        <f t="shared" si="4"/>
        <v>-</v>
      </c>
      <c r="CR32" s="72" t="str">
        <f t="shared" si="5"/>
        <v>ESSENCIAL</v>
      </c>
      <c r="CS32" s="22" t="str">
        <f>IF(Tabela1[[#This Row],[PRODUTO ATUAL ]]=Tabela1[[#This Row],[CLASSIFICAÇÃO FINAL 5D]],"ADERÊNTE","NÃO ADERÊNTE")</f>
        <v>ADERÊNTE</v>
      </c>
      <c r="CT32" s="24">
        <f>SUM(Tabela1[[#This Row],[TOTAL  ACAB]],Tabela1[[#This Row],[TOTAL LAZER ]],Tabela1[[#This Row],[TOTAL TIPOLOGIA]],Tabela1[[#This Row],[TOTAL VAGA]])</f>
        <v>4637.945205479451</v>
      </c>
      <c r="CU32" s="22" t="str">
        <f>IF(CT32&lt;=RÉGUAS!$D$58,"ESSENCIAL",IF(CT32&lt;=RÉGUAS!$F$58,"ECO",IF(CT32&gt;RÉGUAS!$F$58,"BIO",)))</f>
        <v>ESSENCIAL</v>
      </c>
      <c r="CV32" s="22" t="str">
        <f>IF(AND(CT32&gt;=RÉGUAS!$D$59,CT32&lt;=RÉGUAS!$E$59),"ESSENCIAL/ECO",IF(AND(CT32&gt;=RÉGUAS!$F$59,CT32&lt;=RÉGUAS!$G$59),"ECO/BIO","-"))</f>
        <v>-</v>
      </c>
      <c r="CW32" s="85">
        <f>SUM(Tabela1[[#This Row],[TOTAL LAZER ]],Tabela1[[#This Row],[TOTAL TIPOLOGIA]])</f>
        <v>121.23287671232876</v>
      </c>
      <c r="CX32" s="22" t="str">
        <f>IF(CW32&lt;=RÉGUAS!$D$72,"ESSENCIAL",IF(CW32&lt;=RÉGUAS!$F$72,"ECO",IF(CN32&gt;RÉGUAS!$F$72,"BIO",)))</f>
        <v>ESSENCIAL</v>
      </c>
      <c r="CY32" s="22" t="str">
        <f t="shared" si="6"/>
        <v>ESSENCIAL</v>
      </c>
      <c r="CZ32" s="22" t="str">
        <f>IF(Tabela1[[#This Row],[PRODUTO ATUAL ]]=CY32,"ADERENTE","NÃO ADERENTE")</f>
        <v>ADERENTE</v>
      </c>
      <c r="DA32" s="22" t="str">
        <f>IF(Tabela1[[#This Row],[PRODUTO ATUAL ]]=Tabela1[[#This Row],[CLASSIFICAÇÃO 
4D2]],"ADERENTE","NÃO ADERENTE")</f>
        <v>ADERENTE</v>
      </c>
    </row>
    <row r="33" spans="2:105" s="212" customFormat="1" x14ac:dyDescent="0.35">
      <c r="B33" s="213">
        <v>48</v>
      </c>
      <c r="C33" s="170" t="s">
        <v>161</v>
      </c>
      <c r="D33" s="170" t="s">
        <v>147</v>
      </c>
      <c r="E33" s="214">
        <v>120</v>
      </c>
      <c r="F33" s="170" t="str">
        <f t="shared" si="0"/>
        <v>Até 200 und</v>
      </c>
      <c r="G33" s="170" t="s">
        <v>1</v>
      </c>
      <c r="H33" s="215">
        <v>6</v>
      </c>
      <c r="I33" s="215">
        <v>5</v>
      </c>
      <c r="J33" s="215"/>
      <c r="K33" s="215"/>
      <c r="L33" s="215">
        <f>SUM(Tabela1[[#This Row],[QTD DE B/T 2]],Tabela1[[#This Row],[QTD DE B/T]])</f>
        <v>6</v>
      </c>
      <c r="M33" s="170">
        <v>0</v>
      </c>
      <c r="N33" s="170">
        <f>Tabela1[[#This Row],[ELEVADOR]]/Tabela1[[#This Row],[BLOCO TOTAL]]</f>
        <v>0</v>
      </c>
      <c r="O33" s="170" t="s">
        <v>6</v>
      </c>
      <c r="P33" s="170" t="s">
        <v>119</v>
      </c>
      <c r="Q33" s="170" t="s">
        <v>101</v>
      </c>
      <c r="R33" s="170" t="s">
        <v>142</v>
      </c>
      <c r="S33" s="170" t="s">
        <v>103</v>
      </c>
      <c r="T33" s="170" t="s">
        <v>104</v>
      </c>
      <c r="U33" s="170" t="s">
        <v>105</v>
      </c>
      <c r="V33" s="170" t="s">
        <v>106</v>
      </c>
      <c r="W33" s="173">
        <f>IF(P33=[1]BD_CUSTO!$E$4,[1]BD_CUSTO!$F$4,[1]BD_CUSTO!$F$5)</f>
        <v>530</v>
      </c>
      <c r="X33" s="173">
        <f>IF(Q33=[1]BD_CUSTO!$E$6,[1]BD_CUSTO!$F$6,[1]BD_CUSTO!$F$7)</f>
        <v>260</v>
      </c>
      <c r="Y33" s="173">
        <f>IF(R33=[1]BD_CUSTO!$E$8,[1]BD_CUSTO!$F$8,[1]BD_CUSTO!$F$9)</f>
        <v>900</v>
      </c>
      <c r="Z33" s="173">
        <f>IF(S33=[1]BD_CUSTO!$E$10,[1]BD_CUSTO!$F$10,[1]BD_CUSTO!$F$11)</f>
        <v>500</v>
      </c>
      <c r="AA33" s="173">
        <f>IF(T33=[1]BD_CUSTO!$E$12,[1]BD_CUSTO!$F$12,[1]BD_CUSTO!$F$13)</f>
        <v>370</v>
      </c>
      <c r="AB33" s="173">
        <f>IF(U33=[1]BD_CUSTO!$E$14,[1]BD_CUSTO!$F$14,[1]BD_CUSTO!$F$15)</f>
        <v>90</v>
      </c>
      <c r="AC33" s="173">
        <f>IF(V33=[1]BD_CUSTO!$E$16,[1]BD_CUSTO!$F$16,[1]BD_CUSTO!$F$17)</f>
        <v>720</v>
      </c>
      <c r="AD33" s="170" t="s">
        <v>110</v>
      </c>
      <c r="AE33" s="170">
        <v>1</v>
      </c>
      <c r="AF33" s="170" t="s">
        <v>107</v>
      </c>
      <c r="AG33" s="170">
        <v>1</v>
      </c>
      <c r="AH33" s="170" t="s">
        <v>109</v>
      </c>
      <c r="AI33" s="170">
        <v>1</v>
      </c>
      <c r="AJ33" s="170" t="s">
        <v>108</v>
      </c>
      <c r="AK33" s="170">
        <v>1</v>
      </c>
      <c r="AL33" s="170"/>
      <c r="AM33" s="170"/>
      <c r="AN33" s="170"/>
      <c r="AO33" s="170"/>
      <c r="AP33" s="170"/>
      <c r="AQ33" s="170"/>
      <c r="AR33" s="170"/>
      <c r="AS33" s="170"/>
      <c r="AT33" s="170"/>
      <c r="AU33" s="170"/>
      <c r="AV33" s="170"/>
      <c r="AW33" s="170"/>
      <c r="AX33" s="173">
        <f>IF(AD33="",0,VLOOKUP(AD33,[1]BD_CUSTO!I:J,2,0)*AE33/E33)</f>
        <v>44.166666666666664</v>
      </c>
      <c r="AY33" s="173">
        <f>IF(AF33="",0,VLOOKUP(AF33,[1]BD_CUSTO!I:J,2,0)*AG33/E33)</f>
        <v>709.57599999999991</v>
      </c>
      <c r="AZ33" s="173">
        <f>IF(AH33="",0,VLOOKUP(AH33,[1]BD_CUSTO!I:J,2,0)*AI33/E33)</f>
        <v>57.916666666666664</v>
      </c>
      <c r="BA33" s="173">
        <f>IF(AJ33="",0,VLOOKUP(AJ33,[1]BD_CUSTO!I:J,2,0)*AK33/E33)</f>
        <v>192.91666666666666</v>
      </c>
      <c r="BB33" s="173">
        <f>IF(AL33="",0,VLOOKUP(AL33,[1]BD_CUSTO!I:J,2,0)*AM33/E33)</f>
        <v>0</v>
      </c>
      <c r="BC33" s="173">
        <f>IF(AN33="",0,VLOOKUP(AN33,[1]BD_CUSTO!I:J,2,0)*AO33/E33)</f>
        <v>0</v>
      </c>
      <c r="BD33" s="173">
        <f>IF(AP33="",0,VLOOKUP(AP33,[1]BD_CUSTO!I:J,2,0)*AQ33/E33)</f>
        <v>0</v>
      </c>
      <c r="BE33" s="173">
        <f>IF(AR33="",0,VLOOKUP(AR33,CUSTO!I:J,2,0)*AS33/E33)</f>
        <v>0</v>
      </c>
      <c r="BF33" s="173">
        <f>IF(AT33="",0,VLOOKUP(AT33,[1]BD_CUSTO!I:J,2,0)*AU33/E33)</f>
        <v>0</v>
      </c>
      <c r="BG33" s="173">
        <f>IF(Tabela1[[#This Row],[LZ 10]]="",0,VLOOKUP(Tabela1[[#This Row],[LZ 10]],[1]BD_CUSTO!I:J,2,0)*Tabela1[[#This Row],[QTD922]]/E33)</f>
        <v>0</v>
      </c>
      <c r="BH33" s="170" t="s">
        <v>112</v>
      </c>
      <c r="BI33" s="216">
        <f>48/Tabela1[[#This Row],[Nº UNDS]]</f>
        <v>0.4</v>
      </c>
      <c r="BJ33" s="170" t="s">
        <v>113</v>
      </c>
      <c r="BK33" s="216">
        <v>0</v>
      </c>
      <c r="BL33" s="173">
        <f>IF(BH33=[1]BD_CUSTO!$M$6,[1]BD_CUSTO!$N$6)*BI33</f>
        <v>1200</v>
      </c>
      <c r="BM33" s="173">
        <f>IF(BJ33=[1]BD_CUSTO!$M$4,[1]BD_CUSTO!$N$4,[1]BD_CUSTO!$N$5)*BK33</f>
        <v>0</v>
      </c>
      <c r="BN33" s="170" t="s">
        <v>114</v>
      </c>
      <c r="BO33" s="170">
        <v>127</v>
      </c>
      <c r="BP33" s="216">
        <f>Tabela1[[#This Row],[QTD ]]/Tabela1[[#This Row],[Nº UNDS]]</f>
        <v>1.0583333333333333</v>
      </c>
      <c r="BQ33" s="170" t="s">
        <v>115</v>
      </c>
      <c r="BR33" s="170">
        <v>0</v>
      </c>
      <c r="BS33" s="170" t="s">
        <v>116</v>
      </c>
      <c r="BT33" s="170">
        <v>0</v>
      </c>
      <c r="BU33" s="170" t="s">
        <v>16</v>
      </c>
      <c r="BV33" s="170">
        <v>0</v>
      </c>
      <c r="BW33" s="173">
        <f>IF(BN33=[1]BD_CUSTO!$Q$7,[1]BD_CUSTO!$R$7,[1]BD_CUSTO!$R$8)*BO33/E33</f>
        <v>2116.6666666666665</v>
      </c>
      <c r="BX33" s="173">
        <f>IF(BQ33=[1]BD_CUSTO!$Q$4,[1]BD_CUSTO!$R$4,[1]BD_CUSTO!$R$5)*BR33/E33</f>
        <v>0</v>
      </c>
      <c r="BY33" s="170">
        <f>IF(BS33=[1]BD_CUSTO!$Q$13,[1]BD_CUSTO!$R$13,[1]BD_CUSTO!$R$14)*BT33/E33</f>
        <v>0</v>
      </c>
      <c r="BZ33" s="173">
        <f>BV33*CUSTO!$R$10/E33</f>
        <v>0</v>
      </c>
      <c r="CA33" s="169">
        <f>SUM(Tabela1[[#This Row],[SOMA_PISO SALA E QUARTO]],Tabela1[[#This Row],[SOMA_PAREDE HIDR]],Tabela1[[#This Row],[SOMA_TETO]],Tabela1[[#This Row],[SOMA_BANCADA]],Tabela1[[#This Row],[SOMA_PEDRAS]])</f>
        <v>2390</v>
      </c>
      <c r="CB33" s="213" t="str">
        <f>IF(CA33&lt;=RÉGUAS!$D$4,"ACAB 01",IF(CA33&lt;=RÉGUAS!$F$4,"ACAB 02",IF(CA33&gt;RÉGUAS!$F$4,"ACAB 03",)))</f>
        <v>ACAB 01</v>
      </c>
      <c r="CC33" s="169">
        <f>SUM(Tabela1[[#This Row],[SOMA_LZ 01]:[SOMA_LZ 10]])</f>
        <v>1004.5759999999998</v>
      </c>
      <c r="CD33" s="170" t="str">
        <f>IF(CC33&lt;=RÉGUAS!$D$13,"LZ 01",IF(CC33&lt;=RÉGUAS!$F$13,"LZ 02",IF(CC33&lt;=RÉGUAS!$H$13,"LZ 03",IF(CC33&gt;RÉGUAS!$H$13,"LZ 04",))))</f>
        <v>LZ 02</v>
      </c>
      <c r="CE33" s="171">
        <f t="shared" si="1"/>
        <v>1200</v>
      </c>
      <c r="CF33" s="170" t="str">
        <f>IF(CE33&lt;=RÉGUAS!$D$22,"TIP 01",IF(CE33&lt;=RÉGUAS!$F$22,"TIP 02",IF(CE33&gt;RÉGUAS!$F$22,"TIP 03",)))</f>
        <v>TIP 01</v>
      </c>
      <c r="CG33" s="171">
        <f t="shared" si="2"/>
        <v>2116.6666666666665</v>
      </c>
      <c r="CH33" s="170" t="str">
        <f>IF(CG33&lt;=RÉGUAS!$D$32,"VAGA 01",IF(CG33&lt;=RÉGUAS!$F$32,"VAGA 02",IF(CG33&gt;RÉGUAS!$F$32,"VAGA 03",)))</f>
        <v>VAGA 02</v>
      </c>
      <c r="CI33" s="172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33" s="172" t="str">
        <f>IF(AND(G33="BLOCO",CI33&lt;=RÉGUAS!$D$40),"ELEV 01",IF(AND(G33="BLOCO",CI33&gt;RÉGUAS!$D$40),"ELEV 02",IF(AND(G33="TORRE",CI33&lt;=RÉGUAS!$K$40),"ELEV 01",IF(AND(G33="TORRE",CI33&lt;=RÉGUAS!$M$40),"ELEV 02",IF(AND(G33="TORRE",CI33&gt;RÉGUAS!$M$40),"ELEV 03",)))))</f>
        <v>ELEV 01</v>
      </c>
      <c r="CK33" s="85">
        <f>SUM(Tabela1[[#This Row],[TOTAL  ACAB]],Tabela1[[#This Row],[TOTAL LAZER ]],Tabela1[[#This Row],[TOTAL TIPOLOGIA]],Tabela1[[#This Row],[TOTAL VAGA]],Tabela1[[#This Row],[TOTAL ELEVADOR]])</f>
        <v>6711.242666666667</v>
      </c>
      <c r="CL33" s="72" t="str">
        <f>IF(AND(G33="BLOCO",CK33&lt;=RÉGUAS!$D$50),"ESSENCIAL",IF(AND(G33="BLOCO",CK33&lt;=RÉGUAS!$F$50),"ECO",IF(AND(G33="BLOCO",CK33&gt;RÉGUAS!$F$50),"BIO",IF(AND(G33="TORRE",CK33&lt;=RÉGUAS!$K$50),"ESSENCIAL",IF(AND(G33="TORRE",CK33&lt;=RÉGUAS!$M$50),"ECO",IF(AND(G33="TORRE",CK33&gt;RÉGUAS!$M$50),"BIO",))))))</f>
        <v>ESSENCIAL</v>
      </c>
      <c r="CM33" s="28" t="str">
        <f>IF(AND(G33="BLOCO",CK33&gt;=RÉGUAS!$D$51,CK33&lt;=RÉGUAS!$D$50),"ESSENCIAL-10%",IF(AND(G33="BLOCO",CK33&gt;RÉGUAS!$D$50,CK33&lt;=RÉGUAS!$E$51),"ECO+10%",IF(AND(G33="BLOCO",CK33&gt;=RÉGUAS!$F$51,CK33&lt;=RÉGUAS!$F$50),"ECO-10%",IF(AND(G33="BLOCO",CK33&gt;RÉGUAS!$F$50,CK33&lt;=RÉGUAS!$G$51),"BIO+10%",IF(AND(G33="TORRE",CK33&gt;=RÉGUAS!$K$51,CK33&lt;=RÉGUAS!$K$50),"ESSENCIAL-10%",IF(AND(G33="TORRE",CK33&gt;RÉGUAS!$K$50,CK33&lt;=RÉGUAS!$L$51),"ECO+10%",IF(AND(G33="TORRE",CK33&gt;=RÉGUAS!$M$51,CK33&lt;=RÉGUAS!$M$50),"ECO-10%",IF(AND(G33="TORRE",CK33&gt;RÉGUAS!$M$50,CK33&lt;=RÉGUAS!$N$51),"BIO+10%","-"))))))))</f>
        <v>-</v>
      </c>
      <c r="CN33" s="73">
        <f t="shared" si="3"/>
        <v>6711.242666666667</v>
      </c>
      <c r="CO33" s="72" t="str">
        <f>IF(CN33&lt;=RÉGUAS!$D$58,"ESSENCIAL",IF(CN33&lt;=RÉGUAS!$F$58,"ECO",IF(CN33&gt;RÉGUAS!$F$58,"BIO",)))</f>
        <v>ESSENCIAL</v>
      </c>
      <c r="CP33" s="72" t="str">
        <f>IF(Tabela1[[#This Row],[INTERVALO DE INTERSEÇÃO 5D]]="-",Tabela1[[#This Row],[CLASSIFICAÇÃO 
5D ]],Tabela1[[#This Row],[CLASSIFICAÇÃO 
4D]])</f>
        <v>ESSENCIAL</v>
      </c>
      <c r="CQ33" s="72" t="str">
        <f t="shared" si="4"/>
        <v>-</v>
      </c>
      <c r="CR33" s="72" t="str">
        <f t="shared" si="5"/>
        <v>ESSENCIAL</v>
      </c>
      <c r="CS33" s="22" t="str">
        <f>IF(Tabela1[[#This Row],[PRODUTO ATUAL ]]=Tabela1[[#This Row],[CLASSIFICAÇÃO FINAL 5D]],"ADERÊNTE","NÃO ADERÊNTE")</f>
        <v>ADERÊNTE</v>
      </c>
      <c r="CT33" s="173">
        <f>SUM(Tabela1[[#This Row],[TOTAL  ACAB]],Tabela1[[#This Row],[TOTAL LAZER ]],Tabela1[[#This Row],[TOTAL TIPOLOGIA]],Tabela1[[#This Row],[TOTAL VAGA]])</f>
        <v>6711.242666666667</v>
      </c>
      <c r="CU33" s="170" t="str">
        <f>IF(CT33&lt;=RÉGUAS!$D$58,"ESSENCIAL",IF(CT33&lt;=RÉGUAS!$F$58,"ECO",IF(CT33&gt;RÉGUAS!$F$58,"BIO",)))</f>
        <v>ESSENCIAL</v>
      </c>
      <c r="CV33" s="170" t="str">
        <f>IF(AND(CT33&gt;=RÉGUAS!$D$59,CT33&lt;=RÉGUAS!$E$59),"ESSENCIAL/ECO",IF(AND(CT33&gt;=RÉGUAS!$F$59,CT33&lt;=RÉGUAS!$G$59),"ECO/BIO","-"))</f>
        <v>ESSENCIAL/ECO</v>
      </c>
      <c r="CW33" s="172">
        <f>SUM(Tabela1[[#This Row],[TOTAL LAZER ]],Tabela1[[#This Row],[TOTAL TIPOLOGIA]])</f>
        <v>2204.576</v>
      </c>
      <c r="CX33" s="170" t="str">
        <f>IF(CW33&lt;=RÉGUAS!$D$72,"ESSENCIAL",IF(CW33&lt;=RÉGUAS!$F$72,"ECO",IF(CN33&gt;RÉGUAS!$F$72,"BIO",)))</f>
        <v>ESSENCIAL</v>
      </c>
      <c r="CY33" s="170" t="str">
        <f t="shared" si="6"/>
        <v>ESSENCIAL</v>
      </c>
      <c r="CZ33" s="170" t="str">
        <f>IF(Tabela1[[#This Row],[PRODUTO ATUAL ]]=CY33,"ADERENTE","NÃO ADERENTE")</f>
        <v>ADERENTE</v>
      </c>
      <c r="DA33" s="170" t="str">
        <f>IF(Tabela1[[#This Row],[PRODUTO ATUAL ]]=Tabela1[[#This Row],[CLASSIFICAÇÃO 
4D2]],"ADERENTE","NÃO ADERENTE")</f>
        <v>ADERENTE</v>
      </c>
    </row>
    <row r="34" spans="2:105" x14ac:dyDescent="0.35">
      <c r="B34" s="27">
        <v>22</v>
      </c>
      <c r="C34" s="22" t="s">
        <v>179</v>
      </c>
      <c r="D34" s="22" t="s">
        <v>147</v>
      </c>
      <c r="E34" s="23">
        <v>224</v>
      </c>
      <c r="F34" s="22" t="str">
        <f t="shared" si="0"/>
        <v>De 200 a 400 und</v>
      </c>
      <c r="G34" s="22" t="s">
        <v>1</v>
      </c>
      <c r="H34" s="36">
        <v>13</v>
      </c>
      <c r="I34" s="36">
        <v>4</v>
      </c>
      <c r="J34" s="36"/>
      <c r="K34" s="36"/>
      <c r="L34" s="36">
        <f>SUM(Tabela1[[#This Row],[QTD DE B/T 2]],Tabela1[[#This Row],[QTD DE B/T]])</f>
        <v>13</v>
      </c>
      <c r="M34" s="22">
        <v>0</v>
      </c>
      <c r="N34" s="22">
        <f>Tabela1[[#This Row],[ELEVADOR]]/Tabela1[[#This Row],[BLOCO TOTAL]]</f>
        <v>0</v>
      </c>
      <c r="O34" s="22" t="s">
        <v>6</v>
      </c>
      <c r="P34" s="22" t="s">
        <v>101</v>
      </c>
      <c r="Q34" s="22" t="s">
        <v>101</v>
      </c>
      <c r="R34" s="22" t="s">
        <v>142</v>
      </c>
      <c r="S34" s="22" t="s">
        <v>103</v>
      </c>
      <c r="T34" s="22" t="s">
        <v>104</v>
      </c>
      <c r="U34" s="22" t="s">
        <v>105</v>
      </c>
      <c r="V34" s="22" t="s">
        <v>106</v>
      </c>
      <c r="W34" s="24">
        <f>IF(P34=[1]BD_CUSTO!$E$4,[1]BD_CUSTO!$F$4,[1]BD_CUSTO!$F$5)</f>
        <v>2430</v>
      </c>
      <c r="X34" s="24">
        <f>IF(Q34=[1]BD_CUSTO!$E$6,[1]BD_CUSTO!$F$6,[1]BD_CUSTO!$F$7)</f>
        <v>260</v>
      </c>
      <c r="Y34" s="24">
        <f>IF(R34=[1]BD_CUSTO!$E$8,[1]BD_CUSTO!$F$8,[1]BD_CUSTO!$F$9)</f>
        <v>900</v>
      </c>
      <c r="Z34" s="24">
        <f>IF(S34=[1]BD_CUSTO!$E$10,[1]BD_CUSTO!$F$10,[1]BD_CUSTO!$F$11)</f>
        <v>500</v>
      </c>
      <c r="AA34" s="24">
        <f>IF(T34=[1]BD_CUSTO!$E$12,[1]BD_CUSTO!$F$12,[1]BD_CUSTO!$F$13)</f>
        <v>370</v>
      </c>
      <c r="AB34" s="24">
        <f>IF(U34=[1]BD_CUSTO!$E$14,[1]BD_CUSTO!$F$14,[1]BD_CUSTO!$F$15)</f>
        <v>90</v>
      </c>
      <c r="AC34" s="24">
        <f>IF(V34=[1]BD_CUSTO!$E$16,[1]BD_CUSTO!$F$16,[1]BD_CUSTO!$F$17)</f>
        <v>720</v>
      </c>
      <c r="AD34" s="22" t="s">
        <v>107</v>
      </c>
      <c r="AE34" s="22">
        <v>1</v>
      </c>
      <c r="AF34" s="22" t="s">
        <v>108</v>
      </c>
      <c r="AG34" s="22">
        <v>1</v>
      </c>
      <c r="AH34" s="22" t="s">
        <v>109</v>
      </c>
      <c r="AI34" s="22">
        <v>1</v>
      </c>
      <c r="AJ34" s="22" t="s">
        <v>110</v>
      </c>
      <c r="AK34" s="22">
        <v>1</v>
      </c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4">
        <f>IF(AD34="",0,VLOOKUP(AD34,[1]BD_CUSTO!I:J,2,0)*AE34/E34)</f>
        <v>380.13</v>
      </c>
      <c r="AY34" s="24">
        <f>IF(AF34="",0,VLOOKUP(AF34,[1]BD_CUSTO!I:J,2,0)*AG34/E34)</f>
        <v>103.34821428571429</v>
      </c>
      <c r="AZ34" s="24">
        <f>IF(AH34="",0,VLOOKUP(AH34,[1]BD_CUSTO!I:J,2,0)*AI34/E34)</f>
        <v>31.026785714285715</v>
      </c>
      <c r="BA34" s="24">
        <f>IF(AJ34="",0,VLOOKUP(AJ34,[1]BD_CUSTO!I:J,2,0)*AK34/E34)</f>
        <v>23.660714285714285</v>
      </c>
      <c r="BB34" s="24">
        <f>IF(AL34="",0,VLOOKUP(AL34,[1]BD_CUSTO!I:J,2,0)*AM34/E34)</f>
        <v>0</v>
      </c>
      <c r="BC34" s="24">
        <f>IF(AN34="",0,VLOOKUP(AN34,[1]BD_CUSTO!I:J,2,0)*AO34/E34)</f>
        <v>0</v>
      </c>
      <c r="BD34" s="24">
        <f>IF(AP34="",0,VLOOKUP(AP34,[1]BD_CUSTO!I:J,2,0)*AQ34/E34)</f>
        <v>0</v>
      </c>
      <c r="BE34" s="24">
        <f>IF(AR34="",0,VLOOKUP(AR34,CUSTO!I:J,2,0)*AS34/E34)</f>
        <v>0</v>
      </c>
      <c r="BF34" s="24">
        <f>IF(AT34="",0,VLOOKUP(AT34,[1]BD_CUSTO!I:J,2,0)*AU34/E34)</f>
        <v>0</v>
      </c>
      <c r="BG34" s="24">
        <f>IF(Tabela1[[#This Row],[LZ 10]]="",0,VLOOKUP(Tabela1[[#This Row],[LZ 10]],[1]BD_CUSTO!I:J,2,0)*Tabela1[[#This Row],[QTD922]]/E34)</f>
        <v>0</v>
      </c>
      <c r="BH34" s="22" t="s">
        <v>122</v>
      </c>
      <c r="BI34" s="25">
        <v>0</v>
      </c>
      <c r="BJ34" s="22" t="s">
        <v>113</v>
      </c>
      <c r="BK34" s="25">
        <v>0</v>
      </c>
      <c r="BL34" s="24">
        <f>IF(BH34=[1]BD_CUSTO!$M$6,[1]BD_CUSTO!$N$6)*BI34</f>
        <v>0</v>
      </c>
      <c r="BM34" s="24">
        <f>IF(BJ34=[1]BD_CUSTO!$M$4,[1]BD_CUSTO!$N$4,[1]BD_CUSTO!$N$5)*BK34</f>
        <v>0</v>
      </c>
      <c r="BN34" s="22" t="s">
        <v>114</v>
      </c>
      <c r="BO34" s="22">
        <v>240</v>
      </c>
      <c r="BP34" s="25">
        <f>Tabela1[[#This Row],[QTD ]]/Tabela1[[#This Row],[Nº UNDS]]</f>
        <v>1.0714285714285714</v>
      </c>
      <c r="BQ34" s="22" t="s">
        <v>115</v>
      </c>
      <c r="BR34" s="22">
        <v>0</v>
      </c>
      <c r="BS34" s="22" t="s">
        <v>116</v>
      </c>
      <c r="BT34" s="22">
        <v>0</v>
      </c>
      <c r="BU34" s="22" t="s">
        <v>16</v>
      </c>
      <c r="BV34" s="22">
        <v>0</v>
      </c>
      <c r="BW34" s="24">
        <f>IF(BN34=[1]BD_CUSTO!$Q$7,[1]BD_CUSTO!$R$7,[1]BD_CUSTO!$R$8)*BO34/E34</f>
        <v>2142.8571428571427</v>
      </c>
      <c r="BX34" s="24">
        <f>IF(BQ34=[1]BD_CUSTO!$Q$4,[1]BD_CUSTO!$R$4,[1]BD_CUSTO!$R$5)*BR34/E34</f>
        <v>0</v>
      </c>
      <c r="BY34" s="22">
        <f>IF(BS34=[1]BD_CUSTO!$Q$13,[1]BD_CUSTO!$R$13,[1]BD_CUSTO!$R$14)*BT34/E34</f>
        <v>0</v>
      </c>
      <c r="BZ34" s="24">
        <f>BV34*CUSTO!$R$10/E34</f>
        <v>0</v>
      </c>
      <c r="CA34" s="26">
        <f>SUM(Tabela1[[#This Row],[SOMA_PISO SALA E QUARTO]],Tabela1[[#This Row],[SOMA_PAREDE HIDR]],Tabela1[[#This Row],[SOMA_TETO]],Tabela1[[#This Row],[SOMA_BANCADA]],Tabela1[[#This Row],[SOMA_PEDRAS]])</f>
        <v>4290</v>
      </c>
      <c r="CB34" s="27" t="str">
        <f>IF(CA34&lt;=RÉGUAS!$D$4,"ACAB 01",IF(CA34&lt;=RÉGUAS!$F$4,"ACAB 02",IF(CA34&gt;RÉGUAS!$F$4,"ACAB 03",)))</f>
        <v>ACAB 02</v>
      </c>
      <c r="CC34" s="26">
        <f>SUM(Tabela1[[#This Row],[SOMA_LZ 01]:[SOMA_LZ 10]])</f>
        <v>538.16571428571433</v>
      </c>
      <c r="CD34" s="22" t="str">
        <f>IF(CC34&lt;=RÉGUAS!$D$13,"LZ 01",IF(CC34&lt;=RÉGUAS!$F$13,"LZ 02",IF(CC34&lt;=RÉGUAS!$H$13,"LZ 03",IF(CC34&gt;RÉGUAS!$H$13,"LZ 04",))))</f>
        <v>LZ 01</v>
      </c>
      <c r="CE34" s="28">
        <f t="shared" si="1"/>
        <v>0</v>
      </c>
      <c r="CF34" s="22" t="str">
        <f>IF(CE34&lt;=RÉGUAS!$D$22,"TIP 01",IF(CE34&lt;=RÉGUAS!$F$22,"TIP 02",IF(CE34&gt;RÉGUAS!$F$22,"TIP 03",)))</f>
        <v>TIP 01</v>
      </c>
      <c r="CG34" s="28">
        <f t="shared" si="2"/>
        <v>2142.8571428571427</v>
      </c>
      <c r="CH34" s="22" t="str">
        <f>IF(CG34&lt;=RÉGUAS!$D$32,"VAGA 01",IF(CG34&lt;=RÉGUAS!$F$32,"VAGA 02",IF(CG34&gt;RÉGUAS!$F$32,"VAGA 03",)))</f>
        <v>VAGA 02</v>
      </c>
      <c r="CI34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34" s="85" t="str">
        <f>IF(AND(G34="BLOCO",CI34&lt;=RÉGUAS!$D$40),"ELEV 01",IF(AND(G34="BLOCO",CI34&gt;RÉGUAS!$D$40),"ELEV 02",IF(AND(G34="TORRE",CI34&lt;=RÉGUAS!$K$40),"ELEV 01",IF(AND(G34="TORRE",CI34&lt;=RÉGUAS!$M$40),"ELEV 02",IF(AND(G34="TORRE",CI34&gt;RÉGUAS!$M$40),"ELEV 03",)))))</f>
        <v>ELEV 01</v>
      </c>
      <c r="CK34" s="85">
        <f>SUM(Tabela1[[#This Row],[TOTAL  ACAB]],Tabela1[[#This Row],[TOTAL LAZER ]],Tabela1[[#This Row],[TOTAL TIPOLOGIA]],Tabela1[[#This Row],[TOTAL VAGA]],Tabela1[[#This Row],[TOTAL ELEVADOR]])</f>
        <v>6971.0228571428579</v>
      </c>
      <c r="CL34" s="72" t="str">
        <f>IF(AND(G34="BLOCO",CK34&lt;=RÉGUAS!$D$50),"ESSENCIAL",IF(AND(G34="BLOCO",CK34&lt;=RÉGUAS!$F$50),"ECO",IF(AND(G34="BLOCO",CK34&gt;RÉGUAS!$F$50),"BIO",IF(AND(G34="TORRE",CK34&lt;=RÉGUAS!$K$50),"ESSENCIAL",IF(AND(G34="TORRE",CK34&lt;=RÉGUAS!$M$50),"ECO",IF(AND(G34="TORRE",CK34&gt;RÉGUAS!$M$50),"BIO",))))))</f>
        <v>ESSENCIAL</v>
      </c>
      <c r="CM34" s="28" t="str">
        <f>IF(AND(G34="BLOCO",CK34&gt;=RÉGUAS!$D$51,CK34&lt;=RÉGUAS!$D$50),"ESSENCIAL-10%",IF(AND(G34="BLOCO",CK34&gt;RÉGUAS!$D$50,CK34&lt;=RÉGUAS!$E$51),"ECO+10%",IF(AND(G34="BLOCO",CK34&gt;=RÉGUAS!$F$51,CK34&lt;=RÉGUAS!$F$50),"ECO-10%",IF(AND(G34="BLOCO",CK34&gt;RÉGUAS!$F$50,CK34&lt;=RÉGUAS!$G$51),"BIO+10%",IF(AND(G34="TORRE",CK34&gt;=RÉGUAS!$K$51,CK34&lt;=RÉGUAS!$K$50),"ESSENCIAL-10%",IF(AND(G34="TORRE",CK34&gt;RÉGUAS!$K$50,CK34&lt;=RÉGUAS!$L$51),"ECO+10%",IF(AND(G34="TORRE",CK34&gt;=RÉGUAS!$M$51,CK34&lt;=RÉGUAS!$M$50),"ECO-10%",IF(AND(G34="TORRE",CK34&gt;RÉGUAS!$M$50,CK34&lt;=RÉGUAS!$N$51),"BIO+10%","-"))))))))</f>
        <v>-</v>
      </c>
      <c r="CN34" s="73">
        <f t="shared" si="3"/>
        <v>6971.0228571428579</v>
      </c>
      <c r="CO34" s="72" t="str">
        <f>IF(CN34&lt;=RÉGUAS!$D$58,"ESSENCIAL",IF(CN34&lt;=RÉGUAS!$F$58,"ECO",IF(CN34&gt;RÉGUAS!$F$58,"BIO",)))</f>
        <v>ECO</v>
      </c>
      <c r="CP34" s="72" t="str">
        <f>IF(Tabela1[[#This Row],[INTERVALO DE INTERSEÇÃO 5D]]="-",Tabela1[[#This Row],[CLASSIFICAÇÃO 
5D ]],Tabela1[[#This Row],[CLASSIFICAÇÃO 
4D]])</f>
        <v>ESSENCIAL</v>
      </c>
      <c r="CQ34" s="72" t="str">
        <f t="shared" si="4"/>
        <v>-</v>
      </c>
      <c r="CR34" s="72" t="str">
        <f t="shared" si="5"/>
        <v>ESSENCIAL</v>
      </c>
      <c r="CS34" s="22" t="str">
        <f>IF(Tabela1[[#This Row],[PRODUTO ATUAL ]]=Tabela1[[#This Row],[CLASSIFICAÇÃO FINAL 5D]],"ADERÊNTE","NÃO ADERÊNTE")</f>
        <v>ADERÊNTE</v>
      </c>
      <c r="CT34" s="24">
        <f>SUM(Tabela1[[#This Row],[TOTAL  ACAB]],Tabela1[[#This Row],[TOTAL LAZER ]],Tabela1[[#This Row],[TOTAL TIPOLOGIA]],Tabela1[[#This Row],[TOTAL VAGA]])</f>
        <v>6971.0228571428579</v>
      </c>
      <c r="CU34" s="22" t="str">
        <f>IF(CT34&lt;=RÉGUAS!$D$58,"ESSENCIAL",IF(CT34&lt;=RÉGUAS!$F$58,"ECO",IF(CT34&gt;RÉGUAS!$F$58,"BIO",)))</f>
        <v>ECO</v>
      </c>
      <c r="CV34" s="22" t="str">
        <f>IF(AND(CT34&gt;=RÉGUAS!$D$59,CT34&lt;=RÉGUAS!$E$59),"ESSENCIAL/ECO",IF(AND(CT34&gt;=RÉGUAS!$F$59,CT34&lt;=RÉGUAS!$G$59),"ECO/BIO","-"))</f>
        <v>ESSENCIAL/ECO</v>
      </c>
      <c r="CW34" s="85">
        <f>SUM(Tabela1[[#This Row],[TOTAL LAZER ]],Tabela1[[#This Row],[TOTAL TIPOLOGIA]])</f>
        <v>538.16571428571433</v>
      </c>
      <c r="CX34" s="22" t="str">
        <f>IF(CW34&lt;=RÉGUAS!$D$72,"ESSENCIAL",IF(CW34&lt;=RÉGUAS!$F$72,"ECO",IF(CN34&gt;RÉGUAS!$F$72,"BIO",)))</f>
        <v>ESSENCIAL</v>
      </c>
      <c r="CY34" s="22" t="str">
        <f t="shared" si="6"/>
        <v>ESSENCIAL</v>
      </c>
      <c r="CZ34" s="22" t="str">
        <f>IF(Tabela1[[#This Row],[PRODUTO ATUAL ]]=CY34,"ADERENTE","NÃO ADERENTE")</f>
        <v>ADERENTE</v>
      </c>
      <c r="DA34" s="22" t="str">
        <f>IF(Tabela1[[#This Row],[PRODUTO ATUAL ]]=Tabela1[[#This Row],[CLASSIFICAÇÃO 
4D2]],"ADERENTE","NÃO ADERENTE")</f>
        <v>NÃO ADERENTE</v>
      </c>
    </row>
    <row r="35" spans="2:105" x14ac:dyDescent="0.35">
      <c r="B35" s="27">
        <v>12</v>
      </c>
      <c r="C35" s="22" t="s">
        <v>170</v>
      </c>
      <c r="D35" s="22" t="s">
        <v>100</v>
      </c>
      <c r="E35" s="23">
        <v>384</v>
      </c>
      <c r="F35" s="22" t="str">
        <f t="shared" ref="F35:F66" si="7">IF(E35&lt;=200,"Até 200 und",IF(E35&lt;=400,"De 200 a 400 und",IF(E35&gt;=401,"Acima de 400 und")))</f>
        <v>De 200 a 400 und</v>
      </c>
      <c r="G35" s="22" t="s">
        <v>1</v>
      </c>
      <c r="H35" s="36">
        <v>24</v>
      </c>
      <c r="I35" s="36">
        <v>4</v>
      </c>
      <c r="J35" s="36"/>
      <c r="K35" s="36"/>
      <c r="L35" s="36">
        <f>SUM(Tabela1[[#This Row],[QTD DE B/T 2]],Tabela1[[#This Row],[QTD DE B/T]])</f>
        <v>24</v>
      </c>
      <c r="M35" s="22">
        <v>0</v>
      </c>
      <c r="N35" s="22">
        <f>Tabela1[[#This Row],[ELEVADOR]]/Tabela1[[#This Row],[BLOCO TOTAL]]</f>
        <v>0</v>
      </c>
      <c r="O35" s="22" t="s">
        <v>6</v>
      </c>
      <c r="P35" s="22" t="s">
        <v>101</v>
      </c>
      <c r="Q35" s="22" t="s">
        <v>101</v>
      </c>
      <c r="R35" s="22" t="s">
        <v>102</v>
      </c>
      <c r="S35" s="22" t="s">
        <v>103</v>
      </c>
      <c r="T35" s="22" t="s">
        <v>104</v>
      </c>
      <c r="U35" s="22" t="s">
        <v>105</v>
      </c>
      <c r="V35" s="22" t="s">
        <v>106</v>
      </c>
      <c r="W35" s="24">
        <f>IF(P35=[1]BD_CUSTO!$E$4,[1]BD_CUSTO!$F$4,[1]BD_CUSTO!$F$5)</f>
        <v>2430</v>
      </c>
      <c r="X35" s="24">
        <f>IF(Q35=[1]BD_CUSTO!$E$6,[1]BD_CUSTO!$F$6,[1]BD_CUSTO!$F$7)</f>
        <v>260</v>
      </c>
      <c r="Y35" s="24">
        <f>IF(R35=[1]BD_CUSTO!$E$8,[1]BD_CUSTO!$F$8,[1]BD_CUSTO!$F$9)</f>
        <v>600</v>
      </c>
      <c r="Z35" s="24">
        <f>IF(S35=[1]BD_CUSTO!$E$10,[1]BD_CUSTO!$F$10,[1]BD_CUSTO!$F$11)</f>
        <v>500</v>
      </c>
      <c r="AA35" s="24">
        <f>IF(T35=[1]BD_CUSTO!$E$12,[1]BD_CUSTO!$F$12,[1]BD_CUSTO!$F$13)</f>
        <v>370</v>
      </c>
      <c r="AB35" s="24">
        <f>IF(U35=[1]BD_CUSTO!$E$14,[1]BD_CUSTO!$F$14,[1]BD_CUSTO!$F$15)</f>
        <v>90</v>
      </c>
      <c r="AC35" s="24">
        <f>IF(V35=[1]BD_CUSTO!$E$16,[1]BD_CUSTO!$F$16,[1]BD_CUSTO!$F$17)</f>
        <v>720</v>
      </c>
      <c r="AD35" s="22" t="s">
        <v>107</v>
      </c>
      <c r="AE35" s="22">
        <v>2</v>
      </c>
      <c r="AF35" s="22" t="s">
        <v>110</v>
      </c>
      <c r="AG35" s="22">
        <v>1</v>
      </c>
      <c r="AH35" s="22" t="s">
        <v>111</v>
      </c>
      <c r="AI35" s="22">
        <v>1</v>
      </c>
      <c r="AJ35" s="22" t="s">
        <v>108</v>
      </c>
      <c r="AK35" s="22">
        <v>1</v>
      </c>
      <c r="AL35" s="22" t="s">
        <v>135</v>
      </c>
      <c r="AM35" s="22">
        <v>1</v>
      </c>
      <c r="AN35" s="22" t="s">
        <v>109</v>
      </c>
      <c r="AO35" s="22">
        <v>1</v>
      </c>
      <c r="AP35" s="22"/>
      <c r="AQ35" s="22"/>
      <c r="AR35" s="22"/>
      <c r="AS35" s="22"/>
      <c r="AT35" s="22"/>
      <c r="AU35" s="22"/>
      <c r="AV35" s="22"/>
      <c r="AW35" s="22"/>
      <c r="AX35" s="24">
        <f>IF(AD35="",0,VLOOKUP(AD35,[1]BD_CUSTO!I:J,2,0)*AE35/E35)</f>
        <v>443.48499999999996</v>
      </c>
      <c r="AY35" s="24">
        <f>IF(AF35="",0,VLOOKUP(AF35,[1]BD_CUSTO!I:J,2,0)*AG35/E35)</f>
        <v>13.802083333333334</v>
      </c>
      <c r="AZ35" s="24">
        <f>IF(AH35="",0,VLOOKUP(AH35,[1]BD_CUSTO!I:J,2,0)*AI35/E35)</f>
        <v>42.1875</v>
      </c>
      <c r="BA35" s="24">
        <f>IF(AJ35="",0,VLOOKUP(AJ35,[1]BD_CUSTO!I:J,2,0)*AK35/E35)</f>
        <v>60.286458333333336</v>
      </c>
      <c r="BB35" s="24">
        <f>IF(AL35="",0,VLOOKUP(AL35,[1]BD_CUSTO!I:J,2,0)*AM35/E35)</f>
        <v>328.30374999999998</v>
      </c>
      <c r="BC35" s="24">
        <f>IF(AN35="",0,VLOOKUP(AN35,[1]BD_CUSTO!I:J,2,0)*AO35/E35)</f>
        <v>18.098958333333332</v>
      </c>
      <c r="BD35" s="24">
        <f>IF(AP35="",0,VLOOKUP(AP35,[1]BD_CUSTO!I:J,2,0)*AQ35/E35)</f>
        <v>0</v>
      </c>
      <c r="BE35" s="24">
        <f>IF(AR35="",0,VLOOKUP(AR35,CUSTO!I:J,2,0)*AS35/E35)</f>
        <v>0</v>
      </c>
      <c r="BF35" s="24">
        <f>IF(AT35="",0,VLOOKUP(AT35,[1]BD_CUSTO!I:J,2,0)*AU35/E35)</f>
        <v>0</v>
      </c>
      <c r="BG35" s="24">
        <f>IF(Tabela1[[#This Row],[LZ 10]]="",0,VLOOKUP(Tabela1[[#This Row],[LZ 10]],[1]BD_CUSTO!I:J,2,0)*Tabela1[[#This Row],[QTD922]]/E35)</f>
        <v>0</v>
      </c>
      <c r="BH35" s="22" t="s">
        <v>122</v>
      </c>
      <c r="BI35" s="25">
        <v>0</v>
      </c>
      <c r="BJ35" s="22" t="s">
        <v>113</v>
      </c>
      <c r="BK35" s="25">
        <v>0</v>
      </c>
      <c r="BL35" s="24">
        <f>IF(BH35=[1]BD_CUSTO!$M$6,[1]BD_CUSTO!$N$6)*BI35</f>
        <v>0</v>
      </c>
      <c r="BM35" s="24">
        <f>IF(BJ35=[1]BD_CUSTO!$M$4,[1]BD_CUSTO!$N$4,[1]BD_CUSTO!$N$5)*BK35</f>
        <v>0</v>
      </c>
      <c r="BN35" s="22" t="s">
        <v>114</v>
      </c>
      <c r="BO35" s="22">
        <v>439</v>
      </c>
      <c r="BP35" s="25">
        <f>Tabela1[[#This Row],[QTD ]]/Tabela1[[#This Row],[Nº UNDS]]</f>
        <v>1.1432291666666667</v>
      </c>
      <c r="BQ35" s="22" t="s">
        <v>115</v>
      </c>
      <c r="BR35" s="22">
        <v>0</v>
      </c>
      <c r="BS35" s="22" t="s">
        <v>116</v>
      </c>
      <c r="BT35" s="22">
        <v>0</v>
      </c>
      <c r="BU35" s="22" t="s">
        <v>16</v>
      </c>
      <c r="BV35" s="22">
        <v>0</v>
      </c>
      <c r="BW35" s="24">
        <f>IF(BN35=[1]BD_CUSTO!$Q$7,[1]BD_CUSTO!$R$7,[1]BD_CUSTO!$R$8)*BO35/E35</f>
        <v>2286.4583333333335</v>
      </c>
      <c r="BX35" s="24">
        <f>IF(BQ35=[1]BD_CUSTO!$Q$4,[1]BD_CUSTO!$R$4,[1]BD_CUSTO!$R$5)*BR35/E35</f>
        <v>0</v>
      </c>
      <c r="BY35" s="22">
        <f>IF(BS35=[1]BD_CUSTO!$Q$13,[1]BD_CUSTO!$R$13,[1]BD_CUSTO!$R$14)*BT35/E35</f>
        <v>0</v>
      </c>
      <c r="BZ35" s="24">
        <f>BV35*CUSTO!$R$10/E35</f>
        <v>0</v>
      </c>
      <c r="CA35" s="26">
        <f>SUM(Tabela1[[#This Row],[SOMA_PISO SALA E QUARTO]],Tabela1[[#This Row],[SOMA_PAREDE HIDR]],Tabela1[[#This Row],[SOMA_TETO]],Tabela1[[#This Row],[SOMA_BANCADA]],Tabela1[[#This Row],[SOMA_PEDRAS]])</f>
        <v>3990</v>
      </c>
      <c r="CB35" s="27" t="str">
        <f>IF(CA35&lt;=RÉGUAS!$D$4,"ACAB 01",IF(CA35&lt;=RÉGUAS!$F$4,"ACAB 02",IF(CA35&gt;RÉGUAS!$F$4,"ACAB 03",)))</f>
        <v>ACAB 02</v>
      </c>
      <c r="CC35" s="26">
        <f>SUM(Tabela1[[#This Row],[SOMA_LZ 01]:[SOMA_LZ 10]])</f>
        <v>906.16375000000005</v>
      </c>
      <c r="CD35" s="22" t="str">
        <f>IF(CC35&lt;=RÉGUAS!$D$13,"LZ 01",IF(CC35&lt;=RÉGUAS!$F$13,"LZ 02",IF(CC35&lt;=RÉGUAS!$H$13,"LZ 03",IF(CC35&gt;RÉGUAS!$H$13,"LZ 04",))))</f>
        <v>LZ 02</v>
      </c>
      <c r="CE35" s="28">
        <f t="shared" ref="CE35:CE66" si="8">SUM(BL35:BM35)</f>
        <v>0</v>
      </c>
      <c r="CF35" s="22" t="str">
        <f>IF(CE35&lt;=RÉGUAS!$D$22,"TIP 01",IF(CE35&lt;=RÉGUAS!$F$22,"TIP 02",IF(CE35&gt;RÉGUAS!$F$22,"TIP 03",)))</f>
        <v>TIP 01</v>
      </c>
      <c r="CG35" s="28">
        <f t="shared" ref="CG35:CG66" si="9">SUM(BW35:BZ35)</f>
        <v>2286.4583333333335</v>
      </c>
      <c r="CH35" s="22" t="str">
        <f>IF(CG35&lt;=RÉGUAS!$D$32,"VAGA 01",IF(CG35&lt;=RÉGUAS!$F$32,"VAGA 02",IF(CG35&gt;RÉGUAS!$F$32,"VAGA 03",)))</f>
        <v>VAGA 02</v>
      </c>
      <c r="CI35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35" s="85" t="str">
        <f>IF(AND(G35="BLOCO",CI35&lt;=RÉGUAS!$D$40),"ELEV 01",IF(AND(G35="BLOCO",CI35&gt;RÉGUAS!$D$40),"ELEV 02",IF(AND(G35="TORRE",CI35&lt;=RÉGUAS!$K$40),"ELEV 01",IF(AND(G35="TORRE",CI35&lt;=RÉGUAS!$M$40),"ELEV 02",IF(AND(G35="TORRE",CI35&gt;RÉGUAS!$M$40),"ELEV 03",)))))</f>
        <v>ELEV 01</v>
      </c>
      <c r="CK35" s="85">
        <f>SUM(Tabela1[[#This Row],[TOTAL  ACAB]],Tabela1[[#This Row],[TOTAL LAZER ]],Tabela1[[#This Row],[TOTAL TIPOLOGIA]],Tabela1[[#This Row],[TOTAL VAGA]],Tabela1[[#This Row],[TOTAL ELEVADOR]])</f>
        <v>7182.6220833333336</v>
      </c>
      <c r="CL35" s="72" t="str">
        <f>IF(AND(G35="BLOCO",CK35&lt;=RÉGUAS!$D$50),"ESSENCIAL",IF(AND(G35="BLOCO",CK35&lt;=RÉGUAS!$F$50),"ECO",IF(AND(G35="BLOCO",CK35&gt;RÉGUAS!$F$50),"BIO",IF(AND(G35="TORRE",CK35&lt;=RÉGUAS!$K$50),"ESSENCIAL",IF(AND(G35="TORRE",CK35&lt;=RÉGUAS!$M$50),"ECO",IF(AND(G35="TORRE",CK35&gt;RÉGUAS!$M$50),"BIO",))))))</f>
        <v>ESSENCIAL</v>
      </c>
      <c r="CM35" s="28" t="str">
        <f>IF(AND(G35="BLOCO",CK35&gt;=RÉGUAS!$D$51,CK35&lt;=RÉGUAS!$D$50),"ESSENCIAL-10%",IF(AND(G35="BLOCO",CK35&gt;RÉGUAS!$D$50,CK35&lt;=RÉGUAS!$E$51),"ECO+10%",IF(AND(G35="BLOCO",CK35&gt;=RÉGUAS!$F$51,CK35&lt;=RÉGUAS!$F$50),"ECO-10%",IF(AND(G35="BLOCO",CK35&gt;RÉGUAS!$F$50,CK35&lt;=RÉGUAS!$G$51),"BIO+10%",IF(AND(G35="TORRE",CK35&gt;=RÉGUAS!$K$51,CK35&lt;=RÉGUAS!$K$50),"ESSENCIAL-10%",IF(AND(G35="TORRE",CK35&gt;RÉGUAS!$K$50,CK35&lt;=RÉGUAS!$L$51),"ECO+10%",IF(AND(G35="TORRE",CK35&gt;=RÉGUAS!$M$51,CK35&lt;=RÉGUAS!$M$50),"ECO-10%",IF(AND(G35="TORRE",CK35&gt;RÉGUAS!$M$50,CK35&lt;=RÉGUAS!$N$51),"BIO+10%","-"))))))))</f>
        <v>-</v>
      </c>
      <c r="CN35" s="73">
        <f t="shared" ref="CN35:CN66" si="10">SUM(CA35,CC35,CE35,CG35)</f>
        <v>7182.6220833333336</v>
      </c>
      <c r="CO35" s="72" t="str">
        <f>IF(CN35&lt;=RÉGUAS!$D$58,"ESSENCIAL",IF(CN35&lt;=RÉGUAS!$F$58,"ECO",IF(CN35&gt;RÉGUAS!$F$58,"BIO",)))</f>
        <v>ECO</v>
      </c>
      <c r="CP35" s="72" t="str">
        <f>IF(Tabela1[[#This Row],[INTERVALO DE INTERSEÇÃO 5D]]="-",Tabela1[[#This Row],[CLASSIFICAÇÃO 
5D ]],Tabela1[[#This Row],[CLASSIFICAÇÃO 
4D]])</f>
        <v>ESSENCIAL</v>
      </c>
      <c r="CQ35" s="72" t="str">
        <f t="shared" ref="CQ35:CQ66" si="11">IF(AND(CL35="ESSENCIAL",CO35="BIO"),"OPOSTO",IF(AND(CL35="BIO",CO35="ESSENCIAL"),"OPOSTO","-"))</f>
        <v>-</v>
      </c>
      <c r="CR35" s="72" t="str">
        <f t="shared" ref="CR35:CR66" si="12">IF(AND(CL35="ESSENCIAL",CO35="BIO"),"ECO",IF(AND(CL35="BIO",CO35="ESSENCIAL"),"ECO",CP35))</f>
        <v>ESSENCIAL</v>
      </c>
      <c r="CS35" s="22" t="str">
        <f>IF(Tabela1[[#This Row],[PRODUTO ATUAL ]]=Tabela1[[#This Row],[CLASSIFICAÇÃO FINAL 5D]],"ADERÊNTE","NÃO ADERÊNTE")</f>
        <v>ADERÊNTE</v>
      </c>
      <c r="CT35" s="24">
        <f>SUM(Tabela1[[#This Row],[TOTAL  ACAB]],Tabela1[[#This Row],[TOTAL LAZER ]],Tabela1[[#This Row],[TOTAL TIPOLOGIA]],Tabela1[[#This Row],[TOTAL VAGA]])</f>
        <v>7182.6220833333336</v>
      </c>
      <c r="CU35" s="22" t="str">
        <f>IF(CT35&lt;=RÉGUAS!$D$58,"ESSENCIAL",IF(CT35&lt;=RÉGUAS!$F$58,"ECO",IF(CT35&gt;RÉGUAS!$F$58,"BIO",)))</f>
        <v>ECO</v>
      </c>
      <c r="CV35" s="22" t="str">
        <f>IF(AND(CT35&gt;=RÉGUAS!$D$59,CT35&lt;=RÉGUAS!$E$59),"ESSENCIAL/ECO",IF(AND(CT35&gt;=RÉGUAS!$F$59,CT35&lt;=RÉGUAS!$G$59),"ECO/BIO","-"))</f>
        <v>ESSENCIAL/ECO</v>
      </c>
      <c r="CW35" s="85">
        <f>SUM(Tabela1[[#This Row],[TOTAL LAZER ]],Tabela1[[#This Row],[TOTAL TIPOLOGIA]])</f>
        <v>906.16375000000005</v>
      </c>
      <c r="CX35" s="22" t="str">
        <f>IF(CW35&lt;=RÉGUAS!$D$72,"ESSENCIAL",IF(CW35&lt;=RÉGUAS!$F$72,"ECO",IF(CN35&gt;RÉGUAS!$F$72,"BIO",)))</f>
        <v>ESSENCIAL</v>
      </c>
      <c r="CY35" s="22" t="str">
        <f t="shared" ref="CY35:CY66" si="13">IF(CV35="-",CU35,CX35)</f>
        <v>ESSENCIAL</v>
      </c>
      <c r="CZ35" s="22" t="str">
        <f>IF(Tabela1[[#This Row],[PRODUTO ATUAL ]]=CY35,"ADERENTE","NÃO ADERENTE")</f>
        <v>ADERENTE</v>
      </c>
      <c r="DA35" s="22" t="str">
        <f>IF(Tabela1[[#This Row],[PRODUTO ATUAL ]]=Tabela1[[#This Row],[CLASSIFICAÇÃO 
4D2]],"ADERENTE","NÃO ADERENTE")</f>
        <v>NÃO ADERENTE</v>
      </c>
    </row>
    <row r="36" spans="2:105" hidden="1" x14ac:dyDescent="0.35">
      <c r="B36" s="27">
        <v>21</v>
      </c>
      <c r="C36" s="22" t="s">
        <v>148</v>
      </c>
      <c r="D36" s="22" t="s">
        <v>131</v>
      </c>
      <c r="E36" s="23">
        <v>160</v>
      </c>
      <c r="F36" s="22" t="str">
        <f t="shared" si="7"/>
        <v>Até 200 und</v>
      </c>
      <c r="G36" s="133" t="s">
        <v>1</v>
      </c>
      <c r="H36" s="135">
        <v>8</v>
      </c>
      <c r="I36" s="135">
        <v>5</v>
      </c>
      <c r="J36" s="36"/>
      <c r="K36" s="36"/>
      <c r="L36" s="36">
        <f>SUM(Tabela1[[#This Row],[QTD DE B/T 2]],Tabela1[[#This Row],[QTD DE B/T]])</f>
        <v>8</v>
      </c>
      <c r="M36" s="22">
        <v>0</v>
      </c>
      <c r="N36" s="22">
        <f>Tabela1[[#This Row],[ELEVADOR]]/Tabela1[[#This Row],[BLOCO TOTAL]]</f>
        <v>0</v>
      </c>
      <c r="O36" s="22" t="s">
        <v>6</v>
      </c>
      <c r="P36" s="22" t="s">
        <v>119</v>
      </c>
      <c r="Q36" s="22" t="s">
        <v>101</v>
      </c>
      <c r="R36" s="22" t="s">
        <v>142</v>
      </c>
      <c r="S36" s="22" t="s">
        <v>103</v>
      </c>
      <c r="T36" s="22" t="s">
        <v>104</v>
      </c>
      <c r="U36" s="22" t="s">
        <v>105</v>
      </c>
      <c r="V36" s="22" t="s">
        <v>106</v>
      </c>
      <c r="W36" s="24">
        <f>IF(P36=[1]BD_CUSTO!$E$4,[1]BD_CUSTO!$F$4,[1]BD_CUSTO!$F$5)</f>
        <v>530</v>
      </c>
      <c r="X36" s="24">
        <f>IF(Q36=[1]BD_CUSTO!$E$6,[1]BD_CUSTO!$F$6,[1]BD_CUSTO!$F$7)</f>
        <v>260</v>
      </c>
      <c r="Y36" s="24">
        <f>IF(R36=[1]BD_CUSTO!$E$8,[1]BD_CUSTO!$F$8,[1]BD_CUSTO!$F$9)</f>
        <v>900</v>
      </c>
      <c r="Z36" s="24">
        <f>IF(S36=[1]BD_CUSTO!$E$10,[1]BD_CUSTO!$F$10,[1]BD_CUSTO!$F$11)</f>
        <v>500</v>
      </c>
      <c r="AA36" s="24">
        <f>IF(T36=[1]BD_CUSTO!$E$12,[1]BD_CUSTO!$F$12,[1]BD_CUSTO!$F$13)</f>
        <v>370</v>
      </c>
      <c r="AB36" s="24">
        <f>IF(U36=[1]BD_CUSTO!$E$14,[1]BD_CUSTO!$F$14,[1]BD_CUSTO!$F$15)</f>
        <v>90</v>
      </c>
      <c r="AC36" s="24">
        <f>IF(V36=[1]BD_CUSTO!$E$16,[1]BD_CUSTO!$F$16,[1]BD_CUSTO!$F$17)</f>
        <v>720</v>
      </c>
      <c r="AD36" s="133" t="s">
        <v>110</v>
      </c>
      <c r="AE36" s="133">
        <v>1</v>
      </c>
      <c r="AF36" s="133" t="s">
        <v>108</v>
      </c>
      <c r="AG36" s="133">
        <v>1</v>
      </c>
      <c r="AH36" s="133" t="s">
        <v>107</v>
      </c>
      <c r="AI36" s="133">
        <v>1</v>
      </c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4">
        <f>IF(AD36="",0,VLOOKUP(AD36,[1]BD_CUSTO!I:J,2,0)*AE36/E36)</f>
        <v>33.125</v>
      </c>
      <c r="AY36" s="24">
        <f>IF(AF36="",0,VLOOKUP(AF36,[1]BD_CUSTO!I:J,2,0)*AG36/E36)</f>
        <v>144.6875</v>
      </c>
      <c r="AZ36" s="24">
        <f>IF(AH36="",0,VLOOKUP(AH36,[1]BD_CUSTO!I:J,2,0)*AI36/E36)</f>
        <v>532.18200000000002</v>
      </c>
      <c r="BA36" s="24">
        <f>IF(AJ36="",0,VLOOKUP(AJ36,[1]BD_CUSTO!I:J,2,0)*AK36/E36)</f>
        <v>0</v>
      </c>
      <c r="BB36" s="24">
        <f>IF(AL36="",0,VLOOKUP(AL36,[1]BD_CUSTO!I:J,2,0)*AM36/E36)</f>
        <v>0</v>
      </c>
      <c r="BC36" s="24">
        <f>IF(AN36="",0,VLOOKUP(AN36,[1]BD_CUSTO!I:J,2,0)*AO36/E36)</f>
        <v>0</v>
      </c>
      <c r="BD36" s="24">
        <f>IF(AP36="",0,VLOOKUP(AP36,[1]BD_CUSTO!I:J,2,0)*AQ36/E36)</f>
        <v>0</v>
      </c>
      <c r="BE36" s="24">
        <f>IF(AR36="",0,VLOOKUP(AR36,CUSTO!I:J,2,0)*AS36/E36)</f>
        <v>0</v>
      </c>
      <c r="BF36" s="24">
        <f>IF(AT36="",0,VLOOKUP(AT36,[1]BD_CUSTO!I:J,2,0)*AU36/E36)</f>
        <v>0</v>
      </c>
      <c r="BG36" s="24">
        <f>IF(Tabela1[[#This Row],[LZ 10]]="",0,VLOOKUP(Tabela1[[#This Row],[LZ 10]],[1]BD_CUSTO!I:J,2,0)*Tabela1[[#This Row],[QTD922]]/E36)</f>
        <v>0</v>
      </c>
      <c r="BH36" s="133" t="s">
        <v>122</v>
      </c>
      <c r="BI36" s="136">
        <v>0</v>
      </c>
      <c r="BJ36" s="133" t="s">
        <v>113</v>
      </c>
      <c r="BK36" s="136">
        <v>0</v>
      </c>
      <c r="BL36" s="24">
        <f>IF(BH36=[1]BD_CUSTO!$M$6,[1]BD_CUSTO!$N$6)*BI36</f>
        <v>0</v>
      </c>
      <c r="BM36" s="24">
        <f>IF(BJ36=[1]BD_CUSTO!$M$4,[1]BD_CUSTO!$N$4,[1]BD_CUSTO!$N$5)*BK36</f>
        <v>0</v>
      </c>
      <c r="BN36" s="22" t="s">
        <v>114</v>
      </c>
      <c r="BO36" s="22">
        <v>110</v>
      </c>
      <c r="BP36" s="25">
        <f>Tabela1[[#This Row],[QTD ]]/Tabela1[[#This Row],[Nº UNDS]]</f>
        <v>0.6875</v>
      </c>
      <c r="BQ36" s="133" t="s">
        <v>115</v>
      </c>
      <c r="BR36" s="133">
        <v>0</v>
      </c>
      <c r="BS36" s="22" t="s">
        <v>116</v>
      </c>
      <c r="BT36" s="22">
        <v>0</v>
      </c>
      <c r="BU36" s="22" t="s">
        <v>16</v>
      </c>
      <c r="BV36" s="22">
        <v>0</v>
      </c>
      <c r="BW36" s="24">
        <f>IF(BN36=[1]BD_CUSTO!$Q$7,[1]BD_CUSTO!$R$7,[1]BD_CUSTO!$R$8)*BO36/E36</f>
        <v>1375</v>
      </c>
      <c r="BX36" s="24">
        <f>IF(BQ36=[1]BD_CUSTO!$Q$4,[1]BD_CUSTO!$R$4,[1]BD_CUSTO!$R$5)*BR36/E36</f>
        <v>0</v>
      </c>
      <c r="BY36" s="22">
        <f>IF(BS36=[1]BD_CUSTO!$Q$13,[1]BD_CUSTO!$R$13,[1]BD_CUSTO!$R$14)*BT36/E36</f>
        <v>0</v>
      </c>
      <c r="BZ36" s="24">
        <f>BV36*CUSTO!$R$10/E36</f>
        <v>0</v>
      </c>
      <c r="CA36" s="26">
        <f>SUM(Tabela1[[#This Row],[SOMA_PISO SALA E QUARTO]],Tabela1[[#This Row],[SOMA_PAREDE HIDR]],Tabela1[[#This Row],[SOMA_TETO]],Tabela1[[#This Row],[SOMA_BANCADA]],Tabela1[[#This Row],[SOMA_PEDRAS]])</f>
        <v>2390</v>
      </c>
      <c r="CB36" s="27" t="str">
        <f>IF(CA36&lt;=RÉGUAS!$D$4,"ACAB 01",IF(CA36&lt;=RÉGUAS!$F$4,"ACAB 02",IF(CA36&gt;RÉGUAS!$F$4,"ACAB 03",)))</f>
        <v>ACAB 01</v>
      </c>
      <c r="CC36" s="26">
        <f>SUM(Tabela1[[#This Row],[SOMA_LZ 01]:[SOMA_LZ 10]])</f>
        <v>709.99450000000002</v>
      </c>
      <c r="CD36" s="22" t="str">
        <f>IF(CC36&lt;=RÉGUAS!$D$13,"LZ 01",IF(CC36&lt;=RÉGUAS!$F$13,"LZ 02",IF(CC36&lt;=RÉGUAS!$H$13,"LZ 03",IF(CC36&gt;RÉGUAS!$H$13,"LZ 04",))))</f>
        <v>LZ 01</v>
      </c>
      <c r="CE36" s="28">
        <f t="shared" si="8"/>
        <v>0</v>
      </c>
      <c r="CF36" s="22" t="str">
        <f>IF(CE36&lt;=RÉGUAS!$D$22,"TIP 01",IF(CE36&lt;=RÉGUAS!$F$22,"TIP 02",IF(CE36&gt;RÉGUAS!$F$22,"TIP 03",)))</f>
        <v>TIP 01</v>
      </c>
      <c r="CG36" s="28">
        <f t="shared" si="9"/>
        <v>1375</v>
      </c>
      <c r="CH36" s="22" t="str">
        <f>IF(CG36&lt;=RÉGUAS!$D$32,"VAGA 01",IF(CG36&lt;=RÉGUAS!$F$32,"VAGA 02",IF(CG36&gt;RÉGUAS!$F$32,"VAGA 03",)))</f>
        <v>VAGA 02</v>
      </c>
      <c r="CI36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36" s="85" t="str">
        <f>IF(AND(G36="BLOCO",CI36&lt;=RÉGUAS!$D$40),"ELEV 01",IF(AND(G36="BLOCO",CI36&gt;RÉGUAS!$D$40),"ELEV 02",IF(AND(G36="TORRE",CI36&lt;=RÉGUAS!$K$40),"ELEV 01",IF(AND(G36="TORRE",CI36&lt;=RÉGUAS!$M$40),"ELEV 02",IF(AND(G36="TORRE",CI36&gt;RÉGUAS!$M$40),"ELEV 03",)))))</f>
        <v>ELEV 01</v>
      </c>
      <c r="CK36" s="85">
        <f>SUM(Tabela1[[#This Row],[TOTAL  ACAB]],Tabela1[[#This Row],[TOTAL LAZER ]],Tabela1[[#This Row],[TOTAL TIPOLOGIA]],Tabela1[[#This Row],[TOTAL VAGA]],Tabela1[[#This Row],[TOTAL ELEVADOR]])</f>
        <v>4474.9944999999998</v>
      </c>
      <c r="CL36" s="72" t="str">
        <f>IF(AND(G36="BLOCO",CK36&lt;=RÉGUAS!$D$50),"ESSENCIAL",IF(AND(G36="BLOCO",CK36&lt;=RÉGUAS!$F$50),"ECO",IF(AND(G36="BLOCO",CK36&gt;RÉGUAS!$F$50),"BIO",IF(AND(G36="TORRE",CK36&lt;=RÉGUAS!$K$50),"ESSENCIAL",IF(AND(G36="TORRE",CK36&lt;=RÉGUAS!$M$50),"ECO",IF(AND(G36="TORRE",CK36&gt;RÉGUAS!$M$50),"BIO",))))))</f>
        <v>ESSENCIAL</v>
      </c>
      <c r="CM36" s="28" t="str">
        <f>IF(AND(G36="BLOCO",CK36&gt;=RÉGUAS!$D$51,CK36&lt;=RÉGUAS!$D$50),"ESSENCIAL-10%",IF(AND(G36="BLOCO",CK36&gt;RÉGUAS!$D$50,CK36&lt;=RÉGUAS!$E$51),"ECO+10%",IF(AND(G36="BLOCO",CK36&gt;=RÉGUAS!$F$51,CK36&lt;=RÉGUAS!$F$50),"ECO-10%",IF(AND(G36="BLOCO",CK36&gt;RÉGUAS!$F$50,CK36&lt;=RÉGUAS!$G$51),"BIO+10%",IF(AND(G36="TORRE",CK36&gt;=RÉGUAS!$K$51,CK36&lt;=RÉGUAS!$K$50),"ESSENCIAL-10%",IF(AND(G36="TORRE",CK36&gt;RÉGUAS!$K$50,CK36&lt;=RÉGUAS!$L$51),"ECO+10%",IF(AND(G36="TORRE",CK36&gt;=RÉGUAS!$M$51,CK36&lt;=RÉGUAS!$M$50),"ECO-10%",IF(AND(G36="TORRE",CK36&gt;RÉGUAS!$M$50,CK36&lt;=RÉGUAS!$N$51),"BIO+10%","-"))))))))</f>
        <v>-</v>
      </c>
      <c r="CN36" s="73">
        <f t="shared" si="10"/>
        <v>4474.9944999999998</v>
      </c>
      <c r="CO36" s="72" t="str">
        <f>IF(CN36&lt;=RÉGUAS!$D$58,"ESSENCIAL",IF(CN36&lt;=RÉGUAS!$F$58,"ECO",IF(CN36&gt;RÉGUAS!$F$58,"BIO",)))</f>
        <v>ESSENCIAL</v>
      </c>
      <c r="CP36" s="72" t="str">
        <f>IF(Tabela1[[#This Row],[INTERVALO DE INTERSEÇÃO 5D]]="-",Tabela1[[#This Row],[CLASSIFICAÇÃO 
5D ]],Tabela1[[#This Row],[CLASSIFICAÇÃO 
4D]])</f>
        <v>ESSENCIAL</v>
      </c>
      <c r="CQ36" s="72" t="str">
        <f t="shared" si="11"/>
        <v>-</v>
      </c>
      <c r="CR36" s="72" t="str">
        <f t="shared" si="12"/>
        <v>ESSENCIAL</v>
      </c>
      <c r="CS36" s="22" t="str">
        <f>IF(Tabela1[[#This Row],[PRODUTO ATUAL ]]=Tabela1[[#This Row],[CLASSIFICAÇÃO FINAL 5D]],"ADERÊNTE","NÃO ADERÊNTE")</f>
        <v>ADERÊNTE</v>
      </c>
      <c r="CT36" s="24">
        <f>SUM(Tabela1[[#This Row],[TOTAL  ACAB]],Tabela1[[#This Row],[TOTAL LAZER ]],Tabela1[[#This Row],[TOTAL TIPOLOGIA]],Tabela1[[#This Row],[TOTAL VAGA]])</f>
        <v>4474.9944999999998</v>
      </c>
      <c r="CU36" s="22" t="str">
        <f>IF(CT36&lt;=RÉGUAS!$D$58,"ESSENCIAL",IF(CT36&lt;=RÉGUAS!$F$58,"ECO",IF(CT36&gt;RÉGUAS!$F$58,"BIO",)))</f>
        <v>ESSENCIAL</v>
      </c>
      <c r="CV36" s="22" t="str">
        <f>IF(AND(CT36&gt;=RÉGUAS!$D$59,CT36&lt;=RÉGUAS!$E$59),"ESSENCIAL/ECO",IF(AND(CT36&gt;=RÉGUAS!$F$59,CT36&lt;=RÉGUAS!$G$59),"ECO/BIO","-"))</f>
        <v>-</v>
      </c>
      <c r="CW36" s="85">
        <f>SUM(Tabela1[[#This Row],[TOTAL LAZER ]],Tabela1[[#This Row],[TOTAL TIPOLOGIA]])</f>
        <v>709.99450000000002</v>
      </c>
      <c r="CX36" s="22" t="str">
        <f>IF(CW36&lt;=RÉGUAS!$D$72,"ESSENCIAL",IF(CW36&lt;=RÉGUAS!$F$72,"ECO",IF(CN36&gt;RÉGUAS!$F$72,"BIO",)))</f>
        <v>ESSENCIAL</v>
      </c>
      <c r="CY36" s="22" t="str">
        <f t="shared" si="13"/>
        <v>ESSENCIAL</v>
      </c>
      <c r="CZ36" s="22" t="str">
        <f>IF(Tabela1[[#This Row],[PRODUTO ATUAL ]]=CY36,"ADERENTE","NÃO ADERENTE")</f>
        <v>ADERENTE</v>
      </c>
      <c r="DA36" s="22" t="str">
        <f>IF(Tabela1[[#This Row],[PRODUTO ATUAL ]]=Tabela1[[#This Row],[CLASSIFICAÇÃO 
4D2]],"ADERENTE","NÃO ADERENTE")</f>
        <v>ADERENTE</v>
      </c>
    </row>
    <row r="37" spans="2:105" x14ac:dyDescent="0.35">
      <c r="B37" s="27">
        <v>43</v>
      </c>
      <c r="C37" s="22" t="s">
        <v>168</v>
      </c>
      <c r="D37" s="22" t="s">
        <v>118</v>
      </c>
      <c r="E37" s="128">
        <v>384</v>
      </c>
      <c r="F37" s="22" t="str">
        <f t="shared" si="7"/>
        <v>De 200 a 400 und</v>
      </c>
      <c r="G37" s="76" t="s">
        <v>14</v>
      </c>
      <c r="H37" s="129">
        <v>2</v>
      </c>
      <c r="I37" s="36">
        <v>24</v>
      </c>
      <c r="J37" s="36"/>
      <c r="K37" s="36"/>
      <c r="L37" s="36">
        <f>SUM(Tabela1[[#This Row],[QTD DE B/T 2]],Tabela1[[#This Row],[QTD DE B/T]])</f>
        <v>2</v>
      </c>
      <c r="M37" s="22">
        <v>8</v>
      </c>
      <c r="N37" s="22">
        <f>Tabela1[[#This Row],[ELEVADOR]]/Tabela1[[#This Row],[BLOCO TOTAL]]</f>
        <v>4</v>
      </c>
      <c r="O37" s="22" t="s">
        <v>6</v>
      </c>
      <c r="P37" s="76" t="s">
        <v>119</v>
      </c>
      <c r="Q37" s="76" t="s">
        <v>119</v>
      </c>
      <c r="R37" s="76" t="s">
        <v>102</v>
      </c>
      <c r="S37" s="76" t="s">
        <v>103</v>
      </c>
      <c r="T37" s="76" t="s">
        <v>104</v>
      </c>
      <c r="U37" s="76" t="s">
        <v>105</v>
      </c>
      <c r="V37" s="22" t="s">
        <v>106</v>
      </c>
      <c r="W37" s="24">
        <f>IF(P37=[1]BD_CUSTO!$E$4,[1]BD_CUSTO!$F$4,[1]BD_CUSTO!$F$5)</f>
        <v>530</v>
      </c>
      <c r="X37" s="24">
        <f>IF(Q37=[1]BD_CUSTO!$E$6,[1]BD_CUSTO!$F$6,[1]BD_CUSTO!$F$7)</f>
        <v>70</v>
      </c>
      <c r="Y37" s="24">
        <f>IF(R37=[1]BD_CUSTO!$E$8,[1]BD_CUSTO!$F$8,[1]BD_CUSTO!$F$9)</f>
        <v>600</v>
      </c>
      <c r="Z37" s="24">
        <f>IF(S37=[1]BD_CUSTO!$E$10,[1]BD_CUSTO!$F$10,[1]BD_CUSTO!$F$11)</f>
        <v>500</v>
      </c>
      <c r="AA37" s="24">
        <f>IF(T37=[1]BD_CUSTO!$E$12,[1]BD_CUSTO!$F$12,[1]BD_CUSTO!$F$13)</f>
        <v>370</v>
      </c>
      <c r="AB37" s="24">
        <f>IF(U37=[1]BD_CUSTO!$E$14,[1]BD_CUSTO!$F$14,[1]BD_CUSTO!$F$15)</f>
        <v>90</v>
      </c>
      <c r="AC37" s="24">
        <f>IF(V37=[1]BD_CUSTO!$E$16,[1]BD_CUSTO!$F$16,[1]BD_CUSTO!$F$17)</f>
        <v>720</v>
      </c>
      <c r="AD37" s="76" t="s">
        <v>110</v>
      </c>
      <c r="AE37" s="76">
        <v>1</v>
      </c>
      <c r="AF37" s="76" t="s">
        <v>108</v>
      </c>
      <c r="AG37" s="76">
        <v>1</v>
      </c>
      <c r="AH37" s="76" t="s">
        <v>121</v>
      </c>
      <c r="AI37" s="76">
        <v>1</v>
      </c>
      <c r="AJ37" s="76" t="s">
        <v>151</v>
      </c>
      <c r="AK37" s="76">
        <v>1</v>
      </c>
      <c r="AL37" s="76" t="s">
        <v>107</v>
      </c>
      <c r="AM37" s="76">
        <v>1</v>
      </c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4">
        <f>IF(AD37="",0,VLOOKUP(AD37,[1]BD_CUSTO!I:J,2,0)*AE37/E37)</f>
        <v>13.802083333333334</v>
      </c>
      <c r="AY37" s="24">
        <f>IF(AF37="",0,VLOOKUP(AF37,[1]BD_CUSTO!I:J,2,0)*AG37/E37)</f>
        <v>60.286458333333336</v>
      </c>
      <c r="AZ37" s="24">
        <f>IF(AH37="",0,VLOOKUP(AH37,[1]BD_CUSTO!I:J,2,0)*AI37/E37)</f>
        <v>320.72109374999997</v>
      </c>
      <c r="BA37" s="24">
        <f>IF(AJ37="",0,VLOOKUP(AJ37,[1]BD_CUSTO!I:J,2,0)*AK37/E37)</f>
        <v>207.638515625</v>
      </c>
      <c r="BB37" s="24">
        <f>IF(AL37="",0,VLOOKUP(AL37,[1]BD_CUSTO!I:J,2,0)*AM37/E37)</f>
        <v>221.74249999999998</v>
      </c>
      <c r="BC37" s="24">
        <f>IF(AN37="",0,VLOOKUP(AN37,[1]BD_CUSTO!I:J,2,0)*AO37/E37)</f>
        <v>0</v>
      </c>
      <c r="BD37" s="24">
        <f>IF(AP37="",0,VLOOKUP(AP37,[1]BD_CUSTO!I:J,2,0)*AQ37/E37)</f>
        <v>0</v>
      </c>
      <c r="BE37" s="24">
        <f>IF(AR37="",0,VLOOKUP(AR37,CUSTO!I:J,2,0)*AS37/E37)</f>
        <v>0</v>
      </c>
      <c r="BF37" s="24">
        <f>IF(AT37="",0,VLOOKUP(AT37,[1]BD_CUSTO!I:J,2,0)*AU37/E37)</f>
        <v>0</v>
      </c>
      <c r="BG37" s="24">
        <f>IF(Tabela1[[#This Row],[LZ 10]]="",0,VLOOKUP(Tabela1[[#This Row],[LZ 10]],[1]BD_CUSTO!I:J,2,0)*Tabela1[[#This Row],[QTD922]]/E37)</f>
        <v>0</v>
      </c>
      <c r="BH37" s="76" t="s">
        <v>112</v>
      </c>
      <c r="BI37" s="127">
        <f>368/Tabela1[[#This Row],[Nº UNDS]]</f>
        <v>0.95833333333333337</v>
      </c>
      <c r="BJ37" s="76" t="s">
        <v>113</v>
      </c>
      <c r="BK37" s="127">
        <v>0</v>
      </c>
      <c r="BL37" s="24">
        <f>IF(BH37=[1]BD_CUSTO!$M$6,[1]BD_CUSTO!$N$6)*BI37</f>
        <v>2875</v>
      </c>
      <c r="BM37" s="24">
        <f>IF(BJ37=[1]BD_CUSTO!$M$4,[1]BD_CUSTO!$N$4,[1]BD_CUSTO!$N$5)*BK37</f>
        <v>0</v>
      </c>
      <c r="BN37" s="76" t="s">
        <v>114</v>
      </c>
      <c r="BO37" s="76">
        <v>81</v>
      </c>
      <c r="BP37" s="25">
        <f>Tabela1[[#This Row],[QTD ]]/Tabela1[[#This Row],[Nº UNDS]]</f>
        <v>0.2109375</v>
      </c>
      <c r="BQ37" s="22" t="s">
        <v>115</v>
      </c>
      <c r="BR37" s="22">
        <v>0</v>
      </c>
      <c r="BS37" s="22" t="s">
        <v>116</v>
      </c>
      <c r="BT37" s="22">
        <v>0</v>
      </c>
      <c r="BU37" s="22" t="s">
        <v>16</v>
      </c>
      <c r="BV37" s="22">
        <v>0</v>
      </c>
      <c r="BW37" s="24">
        <f>IF(BN37=[1]BD_CUSTO!$Q$7,[1]BD_CUSTO!$R$7,[1]BD_CUSTO!$R$8)*BO37/E37</f>
        <v>421.875</v>
      </c>
      <c r="BX37" s="24">
        <f>IF(BQ37=[1]BD_CUSTO!$Q$4,[1]BD_CUSTO!$R$4,[1]BD_CUSTO!$R$5)*BR37/E37</f>
        <v>0</v>
      </c>
      <c r="BY37" s="22">
        <f>IF(BS37=[1]BD_CUSTO!$Q$13,[1]BD_CUSTO!$R$13,[1]BD_CUSTO!$R$14)*BT37/E37</f>
        <v>0</v>
      </c>
      <c r="BZ37" s="24">
        <f>BV37*CUSTO!$R$10/E37</f>
        <v>0</v>
      </c>
      <c r="CA37" s="26">
        <f>SUM(Tabela1[[#This Row],[SOMA_PISO SALA E QUARTO]],Tabela1[[#This Row],[SOMA_PAREDE HIDR]],Tabela1[[#This Row],[SOMA_TETO]],Tabela1[[#This Row],[SOMA_BANCADA]],Tabela1[[#This Row],[SOMA_PEDRAS]])</f>
        <v>2090</v>
      </c>
      <c r="CB37" s="27" t="str">
        <f>IF(CA37&lt;=RÉGUAS!$D$4,"ACAB 01",IF(CA37&lt;=RÉGUAS!$F$4,"ACAB 02",IF(CA37&gt;RÉGUAS!$F$4,"ACAB 03",)))</f>
        <v>ACAB 01</v>
      </c>
      <c r="CC37" s="26">
        <f>SUM(Tabela1[[#This Row],[SOMA_LZ 01]:[SOMA_LZ 10]])</f>
        <v>824.19065104166657</v>
      </c>
      <c r="CD37" s="22" t="str">
        <f>IF(CC37&lt;=RÉGUAS!$D$13,"LZ 01",IF(CC37&lt;=RÉGUAS!$F$13,"LZ 02",IF(CC37&lt;=RÉGUAS!$H$13,"LZ 03",IF(CC37&gt;RÉGUAS!$H$13,"LZ 04",))))</f>
        <v>LZ 02</v>
      </c>
      <c r="CE37" s="28">
        <f t="shared" si="8"/>
        <v>2875</v>
      </c>
      <c r="CF37" s="22" t="str">
        <f>IF(CE37&lt;=RÉGUAS!$D$22,"TIP 01",IF(CE37&lt;=RÉGUAS!$F$22,"TIP 02",IF(CE37&gt;RÉGUAS!$F$22,"TIP 03",)))</f>
        <v>TIP 02</v>
      </c>
      <c r="CG37" s="28">
        <f t="shared" si="9"/>
        <v>421.875</v>
      </c>
      <c r="CH37" s="22" t="str">
        <f>IF(CG37&lt;=RÉGUAS!$D$32,"VAGA 01",IF(CG37&lt;=RÉGUAS!$F$32,"VAGA 02",IF(CG37&gt;RÉGUAS!$F$32,"VAGA 03",)))</f>
        <v>VAGA 01</v>
      </c>
      <c r="CI37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8389.5</v>
      </c>
      <c r="CJ37" s="85" t="str">
        <f>IF(AND(G37="BLOCO",CI37&lt;=RÉGUAS!$D$40),"ELEV 01",IF(AND(G37="BLOCO",CI37&gt;RÉGUAS!$D$40),"ELEV 02",IF(AND(G37="TORRE",CI37&lt;=RÉGUAS!$K$40),"ELEV 01",IF(AND(G37="TORRE",CI37&lt;=RÉGUAS!$M$40),"ELEV 02",IF(AND(G37="TORRE",CI37&gt;RÉGUAS!$M$40),"ELEV 03",)))))</f>
        <v>ELEV 03</v>
      </c>
      <c r="CK37" s="85">
        <f>SUM(Tabela1[[#This Row],[TOTAL  ACAB]],Tabela1[[#This Row],[TOTAL LAZER ]],Tabela1[[#This Row],[TOTAL TIPOLOGIA]],Tabela1[[#This Row],[TOTAL VAGA]],Tabela1[[#This Row],[TOTAL ELEVADOR]])</f>
        <v>14600.565651041667</v>
      </c>
      <c r="CL37" s="72" t="str">
        <f>IF(AND(G37="BLOCO",CK37&lt;=RÉGUAS!$D$50),"ESSENCIAL",IF(AND(G37="BLOCO",CK37&lt;=RÉGUAS!$F$50),"ECO",IF(AND(G37="BLOCO",CK37&gt;RÉGUAS!$F$50),"BIO",IF(AND(G37="TORRE",CK37&lt;=RÉGUAS!$K$50),"ESSENCIAL",IF(AND(G37="TORRE",CK37&lt;=RÉGUAS!$M$50),"ECO",IF(AND(G37="TORRE",CK37&gt;RÉGUAS!$M$50),"BIO",))))))</f>
        <v>BIO</v>
      </c>
      <c r="CM37" s="28" t="str">
        <f>IF(AND(G37="BLOCO",CK37&gt;=RÉGUAS!$D$51,CK37&lt;=RÉGUAS!$D$50),"ESSENCIAL-10%",IF(AND(G37="BLOCO",CK37&gt;RÉGUAS!$D$50,CK37&lt;=RÉGUAS!$E$51),"ECO+10%",IF(AND(G37="BLOCO",CK37&gt;=RÉGUAS!$F$51,CK37&lt;=RÉGUAS!$F$50),"ECO-10%",IF(AND(G37="BLOCO",CK37&gt;RÉGUAS!$F$50,CK37&lt;=RÉGUAS!$G$51),"BIO+10%",IF(AND(G37="TORRE",CK37&gt;=RÉGUAS!$K$51,CK37&lt;=RÉGUAS!$K$50),"ESSENCIAL-10%",IF(AND(G37="TORRE",CK37&gt;RÉGUAS!$K$50,CK37&lt;=RÉGUAS!$L$51),"ECO+10%",IF(AND(G37="TORRE",CK37&gt;=RÉGUAS!$M$51,CK37&lt;=RÉGUAS!$M$50),"ECO-10%",IF(AND(G37="TORRE",CK37&gt;RÉGUAS!$M$50,CK37&lt;=RÉGUAS!$N$51),"BIO+10%","-"))))))))</f>
        <v>BIO+10%</v>
      </c>
      <c r="CN37" s="73">
        <f t="shared" si="10"/>
        <v>6211.0656510416666</v>
      </c>
      <c r="CO37" s="72" t="str">
        <f>IF(CN37&lt;=RÉGUAS!$D$58,"ESSENCIAL",IF(CN37&lt;=RÉGUAS!$F$58,"ECO",IF(CN37&gt;RÉGUAS!$F$58,"BIO",)))</f>
        <v>ESSENCIAL</v>
      </c>
      <c r="CP37" s="72" t="str">
        <f>IF(Tabela1[[#This Row],[INTERVALO DE INTERSEÇÃO 5D]]="-",Tabela1[[#This Row],[CLASSIFICAÇÃO 
5D ]],Tabela1[[#This Row],[CLASSIFICAÇÃO 
4D]])</f>
        <v>ESSENCIAL</v>
      </c>
      <c r="CQ37" s="72" t="str">
        <f t="shared" si="11"/>
        <v>OPOSTO</v>
      </c>
      <c r="CR37" s="72" t="str">
        <f t="shared" si="12"/>
        <v>ECO</v>
      </c>
      <c r="CS37" s="22" t="str">
        <f>IF(Tabela1[[#This Row],[PRODUTO ATUAL ]]=Tabela1[[#This Row],[CLASSIFICAÇÃO FINAL 5D]],"ADERÊNTE","NÃO ADERÊNTE")</f>
        <v>NÃO ADERÊNTE</v>
      </c>
      <c r="CT37" s="24">
        <f>SUM(Tabela1[[#This Row],[TOTAL  ACAB]],Tabela1[[#This Row],[TOTAL LAZER ]],Tabela1[[#This Row],[TOTAL TIPOLOGIA]],Tabela1[[#This Row],[TOTAL VAGA]])</f>
        <v>6211.0656510416666</v>
      </c>
      <c r="CU37" s="22" t="str">
        <f>IF(CT37&lt;=RÉGUAS!$D$58,"ESSENCIAL",IF(CT37&lt;=RÉGUAS!$F$58,"ECO",IF(CT37&gt;RÉGUAS!$F$58,"BIO",)))</f>
        <v>ESSENCIAL</v>
      </c>
      <c r="CV37" s="22" t="str">
        <f>IF(AND(CT37&gt;=RÉGUAS!$D$59,CT37&lt;=RÉGUAS!$E$59),"ESSENCIAL/ECO",IF(AND(CT37&gt;=RÉGUAS!$F$59,CT37&lt;=RÉGUAS!$G$59),"ECO/BIO","-"))</f>
        <v>ESSENCIAL/ECO</v>
      </c>
      <c r="CW37" s="85">
        <f>SUM(Tabela1[[#This Row],[TOTAL LAZER ]],Tabela1[[#This Row],[TOTAL TIPOLOGIA]])</f>
        <v>3699.1906510416666</v>
      </c>
      <c r="CX37" s="22" t="str">
        <f>IF(CW37&lt;=RÉGUAS!$D$72,"ESSENCIAL",IF(CW37&lt;=RÉGUAS!$F$72,"ECO",IF(CN37&gt;RÉGUAS!$F$72,"BIO",)))</f>
        <v>ECO</v>
      </c>
      <c r="CY37" s="22" t="str">
        <f t="shared" si="13"/>
        <v>ECO</v>
      </c>
      <c r="CZ37" s="22" t="str">
        <f>IF(Tabela1[[#This Row],[PRODUTO ATUAL ]]=CY37,"ADERENTE","NÃO ADERENTE")</f>
        <v>NÃO ADERENTE</v>
      </c>
      <c r="DA37" s="22" t="str">
        <f>IF(Tabela1[[#This Row],[PRODUTO ATUAL ]]=Tabela1[[#This Row],[CLASSIFICAÇÃO 
4D2]],"ADERENTE","NÃO ADERENTE")</f>
        <v>ADERENTE</v>
      </c>
    </row>
    <row r="38" spans="2:105" hidden="1" x14ac:dyDescent="0.35">
      <c r="B38" s="27">
        <v>33</v>
      </c>
      <c r="C38" s="22" t="s">
        <v>189</v>
      </c>
      <c r="D38" s="76" t="s">
        <v>125</v>
      </c>
      <c r="E38" s="128">
        <v>96</v>
      </c>
      <c r="F38" s="22" t="str">
        <f t="shared" si="7"/>
        <v>Até 200 und</v>
      </c>
      <c r="G38" s="76" t="s">
        <v>1</v>
      </c>
      <c r="H38" s="129">
        <v>6</v>
      </c>
      <c r="I38" s="129">
        <v>4</v>
      </c>
      <c r="J38" s="129"/>
      <c r="K38" s="129"/>
      <c r="L38" s="129">
        <f>SUM(Tabela1[[#This Row],[QTD DE B/T 2]],Tabela1[[#This Row],[QTD DE B/T]])</f>
        <v>6</v>
      </c>
      <c r="M38" s="22">
        <v>0</v>
      </c>
      <c r="N38" s="22">
        <f>Tabela1[[#This Row],[ELEVADOR]]/Tabela1[[#This Row],[BLOCO TOTAL]]</f>
        <v>0</v>
      </c>
      <c r="O38" s="76" t="s">
        <v>6</v>
      </c>
      <c r="P38" s="76" t="s">
        <v>119</v>
      </c>
      <c r="Q38" s="76" t="s">
        <v>101</v>
      </c>
      <c r="R38" s="76" t="s">
        <v>102</v>
      </c>
      <c r="S38" s="76" t="s">
        <v>103</v>
      </c>
      <c r="T38" s="76" t="s">
        <v>104</v>
      </c>
      <c r="U38" s="76" t="s">
        <v>105</v>
      </c>
      <c r="V38" s="22" t="s">
        <v>106</v>
      </c>
      <c r="W38" s="24">
        <f>IF(P38=[1]BD_CUSTO!$E$4,[1]BD_CUSTO!$F$4,[1]BD_CUSTO!$F$5)</f>
        <v>530</v>
      </c>
      <c r="X38" s="24">
        <f>IF(Q38=[1]BD_CUSTO!$E$6,[1]BD_CUSTO!$F$6,[1]BD_CUSTO!$F$7)</f>
        <v>260</v>
      </c>
      <c r="Y38" s="24">
        <f>IF(R38=[1]BD_CUSTO!$E$8,[1]BD_CUSTO!$F$8,[1]BD_CUSTO!$F$9)</f>
        <v>600</v>
      </c>
      <c r="Z38" s="24">
        <f>IF(S38=[1]BD_CUSTO!$E$10,[1]BD_CUSTO!$F$10,[1]BD_CUSTO!$F$11)</f>
        <v>500</v>
      </c>
      <c r="AA38" s="24">
        <f>IF(T38=[1]BD_CUSTO!$E$12,[1]BD_CUSTO!$F$12,[1]BD_CUSTO!$F$13)</f>
        <v>370</v>
      </c>
      <c r="AB38" s="24">
        <f>IF(U38=[1]BD_CUSTO!$E$14,[1]BD_CUSTO!$F$14,[1]BD_CUSTO!$F$15)</f>
        <v>90</v>
      </c>
      <c r="AC38" s="24">
        <f>IF(V38=[1]BD_CUSTO!$E$16,[1]BD_CUSTO!$F$16,[1]BD_CUSTO!$F$17)</f>
        <v>720</v>
      </c>
      <c r="AD38" s="76" t="s">
        <v>129</v>
      </c>
      <c r="AE38" s="22">
        <v>1</v>
      </c>
      <c r="AF38" s="76" t="s">
        <v>108</v>
      </c>
      <c r="AG38" s="22">
        <v>1</v>
      </c>
      <c r="AH38" s="76" t="s">
        <v>107</v>
      </c>
      <c r="AI38" s="22">
        <v>1</v>
      </c>
      <c r="AJ38" s="76" t="s">
        <v>110</v>
      </c>
      <c r="AK38" s="22">
        <v>1</v>
      </c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4">
        <f>IF(AD38="",0,VLOOKUP(AD38,[1]BD_CUSTO!I:J,2,0)*AE38/E38)</f>
        <v>2866.3289583333335</v>
      </c>
      <c r="AY38" s="24">
        <f>IF(AF38="",0,VLOOKUP(AF38,[1]BD_CUSTO!I:J,2,0)*AG38/E38)</f>
        <v>241.14583333333334</v>
      </c>
      <c r="AZ38" s="24">
        <f>IF(AH38="",0,VLOOKUP(AH38,[1]BD_CUSTO!I:J,2,0)*AI38/E38)</f>
        <v>886.96999999999991</v>
      </c>
      <c r="BA38" s="24">
        <f>IF(AJ38="",0,VLOOKUP(AJ38,[1]BD_CUSTO!I:J,2,0)*AK38/E38)</f>
        <v>55.208333333333336</v>
      </c>
      <c r="BB38" s="24">
        <f>IF(AL38="",0,VLOOKUP(AL38,[1]BD_CUSTO!I:J,2,0)*AM38/E38)</f>
        <v>0</v>
      </c>
      <c r="BC38" s="24">
        <f>IF(AN38="",0,VLOOKUP(AN38,[1]BD_CUSTO!I:J,2,0)*AO38/E38)</f>
        <v>0</v>
      </c>
      <c r="BD38" s="24">
        <f>IF(AP38="",0,VLOOKUP(AP38,[1]BD_CUSTO!I:J,2,0)*AQ38/E38)</f>
        <v>0</v>
      </c>
      <c r="BE38" s="24">
        <f>IF(AR38="",0,VLOOKUP(AR38,CUSTO!I:J,2,0)*AS38/E38)</f>
        <v>0</v>
      </c>
      <c r="BF38" s="24">
        <f>IF(AT38="",0,VLOOKUP(AT38,[1]BD_CUSTO!I:J,2,0)*AU38/E38)</f>
        <v>0</v>
      </c>
      <c r="BG38" s="24">
        <f>IF(Tabela1[[#This Row],[LZ 10]]="",0,VLOOKUP(Tabela1[[#This Row],[LZ 10]],[1]BD_CUSTO!I:J,2,0)*Tabela1[[#This Row],[QTD922]]/E38)</f>
        <v>0</v>
      </c>
      <c r="BH38" s="76" t="s">
        <v>112</v>
      </c>
      <c r="BI38" s="127">
        <v>0.38</v>
      </c>
      <c r="BJ38" s="76" t="s">
        <v>113</v>
      </c>
      <c r="BK38" s="127">
        <v>0</v>
      </c>
      <c r="BL38" s="24">
        <f>IF(BH38=[1]BD_CUSTO!$M$6,[1]BD_CUSTO!$N$6)*BI38</f>
        <v>1140</v>
      </c>
      <c r="BM38" s="24">
        <f>IF(BJ38=[1]BD_CUSTO!$M$4,[1]BD_CUSTO!$N$4,[1]BD_CUSTO!$N$5)*BK38</f>
        <v>0</v>
      </c>
      <c r="BN38" s="76" t="s">
        <v>114</v>
      </c>
      <c r="BO38" s="76">
        <v>116</v>
      </c>
      <c r="BP38" s="25">
        <f>Tabela1[[#This Row],[QTD ]]/Tabela1[[#This Row],[Nº UNDS]]</f>
        <v>1.2083333333333333</v>
      </c>
      <c r="BQ38" s="22" t="s">
        <v>115</v>
      </c>
      <c r="BR38" s="22">
        <v>0</v>
      </c>
      <c r="BS38" s="22" t="s">
        <v>116</v>
      </c>
      <c r="BT38" s="22">
        <v>0</v>
      </c>
      <c r="BU38" s="22" t="s">
        <v>16</v>
      </c>
      <c r="BV38" s="22">
        <v>0</v>
      </c>
      <c r="BW38" s="24">
        <f>IF(BN38=[1]BD_CUSTO!$Q$7,[1]BD_CUSTO!$R$7,[1]BD_CUSTO!$R$8)*BO38/E38</f>
        <v>2416.6666666666665</v>
      </c>
      <c r="BX38" s="24">
        <f>IF(BQ38=[1]BD_CUSTO!$Q$4,[1]BD_CUSTO!$R$4,[1]BD_CUSTO!$R$5)*BR38/E38</f>
        <v>0</v>
      </c>
      <c r="BY38" s="22">
        <f>IF(BS38=[1]BD_CUSTO!$Q$13,[1]BD_CUSTO!$R$13,[1]BD_CUSTO!$R$14)*BT38/E38</f>
        <v>0</v>
      </c>
      <c r="BZ38" s="24">
        <f>BV38*CUSTO!$R$10/E38</f>
        <v>0</v>
      </c>
      <c r="CA38" s="26">
        <f>SUM(Tabela1[[#This Row],[SOMA_PISO SALA E QUARTO]],Tabela1[[#This Row],[SOMA_PAREDE HIDR]],Tabela1[[#This Row],[SOMA_TETO]],Tabela1[[#This Row],[SOMA_BANCADA]],Tabela1[[#This Row],[SOMA_PEDRAS]])</f>
        <v>2090</v>
      </c>
      <c r="CB38" s="27" t="str">
        <f>IF(CA38&lt;=RÉGUAS!$D$4,"ACAB 01",IF(CA38&lt;=RÉGUAS!$F$4,"ACAB 02",IF(CA38&gt;RÉGUAS!$F$4,"ACAB 03",)))</f>
        <v>ACAB 01</v>
      </c>
      <c r="CC38" s="26">
        <f>SUM(Tabela1[[#This Row],[SOMA_LZ 01]:[SOMA_LZ 10]])</f>
        <v>4049.6531250000003</v>
      </c>
      <c r="CD38" s="22" t="str">
        <f>IF(CC38&lt;=RÉGUAS!$D$13,"LZ 01",IF(CC38&lt;=RÉGUAS!$F$13,"LZ 02",IF(CC38&lt;=RÉGUAS!$H$13,"LZ 03",IF(CC38&gt;RÉGUAS!$H$13,"LZ 04",))))</f>
        <v>LZ 04</v>
      </c>
      <c r="CE38" s="28">
        <f t="shared" si="8"/>
        <v>1140</v>
      </c>
      <c r="CF38" s="22" t="str">
        <f>IF(CE38&lt;=RÉGUAS!$D$22,"TIP 01",IF(CE38&lt;=RÉGUAS!$F$22,"TIP 02",IF(CE38&gt;RÉGUAS!$F$22,"TIP 03",)))</f>
        <v>TIP 01</v>
      </c>
      <c r="CG38" s="28">
        <f t="shared" si="9"/>
        <v>2416.6666666666665</v>
      </c>
      <c r="CH38" s="22" t="str">
        <f>IF(CG38&lt;=RÉGUAS!$D$32,"VAGA 01",IF(CG38&lt;=RÉGUAS!$F$32,"VAGA 02",IF(CG38&gt;RÉGUAS!$F$32,"VAGA 03",)))</f>
        <v>VAGA 02</v>
      </c>
      <c r="CI38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38" s="85" t="str">
        <f>IF(AND(G38="BLOCO",CI38&lt;=RÉGUAS!$D$40),"ELEV 01",IF(AND(G38="BLOCO",CI38&gt;RÉGUAS!$D$40),"ELEV 02",IF(AND(G38="TORRE",CI38&lt;=RÉGUAS!$K$40),"ELEV 01",IF(AND(G38="TORRE",CI38&lt;=RÉGUAS!$M$40),"ELEV 02",IF(AND(G38="TORRE",CI38&gt;RÉGUAS!$M$40),"ELEV 03",)))))</f>
        <v>ELEV 01</v>
      </c>
      <c r="CK38" s="85">
        <f>SUM(Tabela1[[#This Row],[TOTAL  ACAB]],Tabela1[[#This Row],[TOTAL LAZER ]],Tabela1[[#This Row],[TOTAL TIPOLOGIA]],Tabela1[[#This Row],[TOTAL VAGA]],Tabela1[[#This Row],[TOTAL ELEVADOR]])</f>
        <v>9696.3197916666668</v>
      </c>
      <c r="CL38" s="72" t="str">
        <f>IF(AND(G38="BLOCO",CK38&lt;=RÉGUAS!$D$50),"ESSENCIAL",IF(AND(G38="BLOCO",CK38&lt;=RÉGUAS!$F$50),"ECO",IF(AND(G38="BLOCO",CK38&gt;RÉGUAS!$F$50),"BIO",IF(AND(G38="TORRE",CK38&lt;=RÉGUAS!$K$50),"ESSENCIAL",IF(AND(G38="TORRE",CK38&lt;=RÉGUAS!$M$50),"ECO",IF(AND(G38="TORRE",CK38&gt;RÉGUAS!$M$50),"BIO",))))))</f>
        <v>ECO</v>
      </c>
      <c r="CM38" s="28" t="str">
        <f>IF(AND(G38="BLOCO",CK38&gt;=RÉGUAS!$D$51,CK38&lt;=RÉGUAS!$D$50),"ESSENCIAL-10%",IF(AND(G38="BLOCO",CK38&gt;RÉGUAS!$D$50,CK38&lt;=RÉGUAS!$E$51),"ECO+10%",IF(AND(G38="BLOCO",CK38&gt;=RÉGUAS!$F$51,CK38&lt;=RÉGUAS!$F$50),"ECO-10%",IF(AND(G38="BLOCO",CK38&gt;RÉGUAS!$F$50,CK38&lt;=RÉGUAS!$G$51),"BIO+10%",IF(AND(G38="TORRE",CK38&gt;=RÉGUAS!$K$51,CK38&lt;=RÉGUAS!$K$50),"ESSENCIAL-10%",IF(AND(G38="TORRE",CK38&gt;RÉGUAS!$K$50,CK38&lt;=RÉGUAS!$L$51),"ECO+10%",IF(AND(G38="TORRE",CK38&gt;=RÉGUAS!$M$51,CK38&lt;=RÉGUAS!$M$50),"ECO-10%",IF(AND(G38="TORRE",CK38&gt;RÉGUAS!$M$50,CK38&lt;=RÉGUAS!$N$51),"BIO+10%","-"))))))))</f>
        <v>-</v>
      </c>
      <c r="CN38" s="73">
        <f t="shared" si="10"/>
        <v>9696.3197916666668</v>
      </c>
      <c r="CO38" s="72" t="str">
        <f>IF(CN38&lt;=RÉGUAS!$D$58,"ESSENCIAL",IF(CN38&lt;=RÉGUAS!$F$58,"ECO",IF(CN38&gt;RÉGUAS!$F$58,"BIO",)))</f>
        <v>ECO</v>
      </c>
      <c r="CP38" s="72" t="str">
        <f>IF(Tabela1[[#This Row],[INTERVALO DE INTERSEÇÃO 5D]]="-",Tabela1[[#This Row],[CLASSIFICAÇÃO 
5D ]],Tabela1[[#This Row],[CLASSIFICAÇÃO 
4D]])</f>
        <v>ECO</v>
      </c>
      <c r="CQ38" s="72" t="str">
        <f t="shared" si="11"/>
        <v>-</v>
      </c>
      <c r="CR38" s="72" t="str">
        <f t="shared" si="12"/>
        <v>ECO</v>
      </c>
      <c r="CS38" s="22" t="str">
        <f>IF(Tabela1[[#This Row],[PRODUTO ATUAL ]]=Tabela1[[#This Row],[CLASSIFICAÇÃO FINAL 5D]],"ADERÊNTE","NÃO ADERÊNTE")</f>
        <v>NÃO ADERÊNTE</v>
      </c>
      <c r="CT38" s="24">
        <f>SUM(Tabela1[[#This Row],[TOTAL  ACAB]],Tabela1[[#This Row],[TOTAL LAZER ]],Tabela1[[#This Row],[TOTAL TIPOLOGIA]],Tabela1[[#This Row],[TOTAL VAGA]])</f>
        <v>9696.3197916666668</v>
      </c>
      <c r="CU38" s="22" t="str">
        <f>IF(CT38&lt;=RÉGUAS!$D$58,"ESSENCIAL",IF(CT38&lt;=RÉGUAS!$F$58,"ECO",IF(CT38&gt;RÉGUAS!$F$58,"BIO",)))</f>
        <v>ECO</v>
      </c>
      <c r="CV38" s="22" t="str">
        <f>IF(AND(CT38&gt;=RÉGUAS!$D$59,CT38&lt;=RÉGUAS!$E$59),"ESSENCIAL/ECO",IF(AND(CT38&gt;=RÉGUAS!$F$59,CT38&lt;=RÉGUAS!$G$59),"ECO/BIO","-"))</f>
        <v>-</v>
      </c>
      <c r="CW38" s="85">
        <f>SUM(Tabela1[[#This Row],[TOTAL LAZER ]],Tabela1[[#This Row],[TOTAL TIPOLOGIA]])</f>
        <v>5189.6531250000007</v>
      </c>
      <c r="CX38" s="22" t="str">
        <f>IF(CW38&lt;=RÉGUAS!$D$72,"ESSENCIAL",IF(CW38&lt;=RÉGUAS!$F$72,"ECO",IF(CN38&gt;RÉGUAS!$F$72,"BIO",)))</f>
        <v>BIO</v>
      </c>
      <c r="CY38" s="22" t="str">
        <f t="shared" si="13"/>
        <v>ECO</v>
      </c>
      <c r="CZ38" s="22" t="str">
        <f>IF(Tabela1[[#This Row],[PRODUTO ATUAL ]]=CY38,"ADERENTE","NÃO ADERENTE")</f>
        <v>NÃO ADERENTE</v>
      </c>
      <c r="DA38" s="22" t="str">
        <f>IF(Tabela1[[#This Row],[PRODUTO ATUAL ]]=Tabela1[[#This Row],[CLASSIFICAÇÃO 
4D2]],"ADERENTE","NÃO ADERENTE")</f>
        <v>NÃO ADERENTE</v>
      </c>
    </row>
    <row r="39" spans="2:105" ht="13.75" customHeight="1" x14ac:dyDescent="0.35">
      <c r="B39" s="27">
        <v>41</v>
      </c>
      <c r="C39" s="22" t="s">
        <v>182</v>
      </c>
      <c r="D39" s="22" t="s">
        <v>128</v>
      </c>
      <c r="E39" s="23">
        <v>140</v>
      </c>
      <c r="F39" s="22" t="str">
        <f t="shared" si="7"/>
        <v>Até 200 und</v>
      </c>
      <c r="G39" s="22" t="s">
        <v>1</v>
      </c>
      <c r="H39" s="36">
        <v>7</v>
      </c>
      <c r="I39" s="36">
        <v>5</v>
      </c>
      <c r="J39" s="36"/>
      <c r="K39" s="36"/>
      <c r="L39" s="36">
        <f>SUM(Tabela1[[#This Row],[QTD DE B/T 2]],Tabela1[[#This Row],[QTD DE B/T]])</f>
        <v>7</v>
      </c>
      <c r="M39" s="22">
        <v>1</v>
      </c>
      <c r="N39" s="22">
        <f>Tabela1[[#This Row],[ELEVADOR]]/Tabela1[[#This Row],[BLOCO TOTAL]]</f>
        <v>0.14285714285714285</v>
      </c>
      <c r="O39" s="22" t="s">
        <v>6</v>
      </c>
      <c r="P39" s="22" t="s">
        <v>101</v>
      </c>
      <c r="Q39" s="22" t="s">
        <v>101</v>
      </c>
      <c r="R39" s="22" t="s">
        <v>102</v>
      </c>
      <c r="S39" s="22" t="s">
        <v>103</v>
      </c>
      <c r="T39" s="22" t="s">
        <v>104</v>
      </c>
      <c r="U39" s="22" t="s">
        <v>105</v>
      </c>
      <c r="V39" s="22" t="s">
        <v>106</v>
      </c>
      <c r="W39" s="24">
        <f>IF(P39=[1]BD_CUSTO!$E$4,[1]BD_CUSTO!$F$4,[1]BD_CUSTO!$F$5)</f>
        <v>2430</v>
      </c>
      <c r="X39" s="24">
        <f>IF(Q39=[1]BD_CUSTO!$E$6,[1]BD_CUSTO!$F$6,[1]BD_CUSTO!$F$7)</f>
        <v>260</v>
      </c>
      <c r="Y39" s="24">
        <f>IF(R39=[1]BD_CUSTO!$E$8,[1]BD_CUSTO!$F$8,[1]BD_CUSTO!$F$9)</f>
        <v>600</v>
      </c>
      <c r="Z39" s="24">
        <f>IF(S39=[1]BD_CUSTO!$E$10,[1]BD_CUSTO!$F$10,[1]BD_CUSTO!$F$11)</f>
        <v>500</v>
      </c>
      <c r="AA39" s="24">
        <f>IF(T39=[1]BD_CUSTO!$E$12,[1]BD_CUSTO!$F$12,[1]BD_CUSTO!$F$13)</f>
        <v>370</v>
      </c>
      <c r="AB39" s="24">
        <f>IF(U39=[1]BD_CUSTO!$E$14,[1]BD_CUSTO!$F$14,[1]BD_CUSTO!$F$15)</f>
        <v>90</v>
      </c>
      <c r="AC39" s="24">
        <f>IF(V39=[1]BD_CUSTO!$E$16,[1]BD_CUSTO!$F$16,[1]BD_CUSTO!$F$17)</f>
        <v>720</v>
      </c>
      <c r="AD39" s="22" t="s">
        <v>110</v>
      </c>
      <c r="AE39" s="22">
        <v>1</v>
      </c>
      <c r="AF39" s="22" t="s">
        <v>111</v>
      </c>
      <c r="AG39" s="22">
        <v>1</v>
      </c>
      <c r="AH39" s="22" t="s">
        <v>109</v>
      </c>
      <c r="AI39" s="22">
        <v>1</v>
      </c>
      <c r="AJ39" s="22" t="s">
        <v>108</v>
      </c>
      <c r="AK39" s="22">
        <v>1</v>
      </c>
      <c r="AL39" s="22" t="s">
        <v>126</v>
      </c>
      <c r="AM39" s="22">
        <v>1</v>
      </c>
      <c r="AN39" s="22" t="s">
        <v>121</v>
      </c>
      <c r="AO39" s="22">
        <v>1</v>
      </c>
      <c r="AP39" s="22"/>
      <c r="AQ39" s="22"/>
      <c r="AR39" s="22"/>
      <c r="AS39" s="22"/>
      <c r="AT39" s="22"/>
      <c r="AU39" s="22"/>
      <c r="AV39" s="22"/>
      <c r="AW39" s="22"/>
      <c r="AX39" s="24">
        <f>IF(AD39="",0,VLOOKUP(AD39,[1]BD_CUSTO!I:J,2,0)*AE39/E39)</f>
        <v>37.857142857142854</v>
      </c>
      <c r="AY39" s="24">
        <f>IF(AF39="",0,VLOOKUP(AF39,[1]BD_CUSTO!I:J,2,0)*AG39/E39)</f>
        <v>115.71428571428571</v>
      </c>
      <c r="AZ39" s="24">
        <f>IF(AH39="",0,VLOOKUP(AH39,[1]BD_CUSTO!I:J,2,0)*AI39/E39)</f>
        <v>49.642857142857146</v>
      </c>
      <c r="BA39" s="24">
        <f>IF(AJ39="",0,VLOOKUP(AJ39,[1]BD_CUSTO!I:J,2,0)*AK39/E39)</f>
        <v>165.35714285714286</v>
      </c>
      <c r="BB39" s="24">
        <f>IF(AL39="",0,VLOOKUP(AL39,[1]BD_CUSTO!I:J,2,0)*AM39/E39)</f>
        <v>54</v>
      </c>
      <c r="BC39" s="24">
        <f>IF(AN39="",0,VLOOKUP(AN39,[1]BD_CUSTO!I:J,2,0)*AO39/E39)</f>
        <v>879.69214285714281</v>
      </c>
      <c r="BD39" s="24">
        <f>IF(AP39="",0,VLOOKUP(AP39,[1]BD_CUSTO!I:J,2,0)*AQ39/E39)</f>
        <v>0</v>
      </c>
      <c r="BE39" s="24">
        <f>IF(AR39="",0,VLOOKUP(AR39,CUSTO!I:J,2,0)*AS39/E39)</f>
        <v>0</v>
      </c>
      <c r="BF39" s="24">
        <f>IF(AT39="",0,VLOOKUP(AT39,[1]BD_CUSTO!I:J,2,0)*AU39/E39)</f>
        <v>0</v>
      </c>
      <c r="BG39" s="24">
        <f>IF(Tabela1[[#This Row],[LZ 10]]="",0,VLOOKUP(Tabela1[[#This Row],[LZ 10]],[1]BD_CUSTO!I:J,2,0)*Tabela1[[#This Row],[QTD922]]/E39)</f>
        <v>0</v>
      </c>
      <c r="BH39" s="22" t="s">
        <v>112</v>
      </c>
      <c r="BI39" s="25">
        <f>48/Tabela1[[#This Row],[Nº UNDS]]</f>
        <v>0.34285714285714286</v>
      </c>
      <c r="BJ39" s="22" t="s">
        <v>113</v>
      </c>
      <c r="BK39" s="25">
        <v>0</v>
      </c>
      <c r="BL39" s="24">
        <f>IF(BH39=[1]BD_CUSTO!$M$6,[1]BD_CUSTO!$N$6)*BI39</f>
        <v>1028.5714285714287</v>
      </c>
      <c r="BM39" s="24">
        <f>IF(BJ39=[1]BD_CUSTO!$M$4,[1]BD_CUSTO!$N$4,[1]BD_CUSTO!$N$5)*BK39</f>
        <v>0</v>
      </c>
      <c r="BN39" s="22" t="s">
        <v>114</v>
      </c>
      <c r="BO39" s="22">
        <v>11</v>
      </c>
      <c r="BP39" s="25">
        <f>Tabela1[[#This Row],[QTD ]]/Tabela1[[#This Row],[Nº UNDS]]</f>
        <v>7.857142857142857E-2</v>
      </c>
      <c r="BQ39" s="22" t="s">
        <v>115</v>
      </c>
      <c r="BR39" s="22">
        <v>0</v>
      </c>
      <c r="BS39" s="22" t="s">
        <v>116</v>
      </c>
      <c r="BT39" s="22">
        <v>0</v>
      </c>
      <c r="BU39" s="22" t="s">
        <v>16</v>
      </c>
      <c r="BV39" s="22">
        <v>0</v>
      </c>
      <c r="BW39" s="24">
        <f>IF(BN39=[1]BD_CUSTO!$Q$7,[1]BD_CUSTO!$R$7,[1]BD_CUSTO!$R$8)*BO39/E39</f>
        <v>157.14285714285714</v>
      </c>
      <c r="BX39" s="24">
        <f>IF(BQ39=[1]BD_CUSTO!$Q$4,[1]BD_CUSTO!$R$4,[1]BD_CUSTO!$R$5)*BR39/E39</f>
        <v>0</v>
      </c>
      <c r="BY39" s="22">
        <f>IF(BS39=[1]BD_CUSTO!$Q$13,[1]BD_CUSTO!$R$13,[1]BD_CUSTO!$R$14)*BT39/E39</f>
        <v>0</v>
      </c>
      <c r="BZ39" s="24">
        <f>BV39*CUSTO!$R$10/E39</f>
        <v>0</v>
      </c>
      <c r="CA39" s="26">
        <f>SUM(Tabela1[[#This Row],[SOMA_PISO SALA E QUARTO]],Tabela1[[#This Row],[SOMA_PAREDE HIDR]],Tabela1[[#This Row],[SOMA_TETO]],Tabela1[[#This Row],[SOMA_BANCADA]],Tabela1[[#This Row],[SOMA_PEDRAS]])</f>
        <v>3990</v>
      </c>
      <c r="CB39" s="27" t="str">
        <f>IF(CA39&lt;=RÉGUAS!$D$4,"ACAB 01",IF(CA39&lt;=RÉGUAS!$F$4,"ACAB 02",IF(CA39&gt;RÉGUAS!$F$4,"ACAB 03",)))</f>
        <v>ACAB 02</v>
      </c>
      <c r="CC39" s="26">
        <f>SUM(Tabela1[[#This Row],[SOMA_LZ 01]:[SOMA_LZ 10]])</f>
        <v>1302.2635714285714</v>
      </c>
      <c r="CD39" s="22" t="str">
        <f>IF(CC39&lt;=RÉGUAS!$D$13,"LZ 01",IF(CC39&lt;=RÉGUAS!$F$13,"LZ 02",IF(CC39&lt;=RÉGUAS!$H$13,"LZ 03",IF(CC39&gt;RÉGUAS!$H$13,"LZ 04",))))</f>
        <v>LZ 02</v>
      </c>
      <c r="CE39" s="28">
        <f t="shared" si="8"/>
        <v>1028.5714285714287</v>
      </c>
      <c r="CF39" s="22" t="str">
        <f>IF(CE39&lt;=RÉGUAS!$D$22,"TIP 01",IF(CE39&lt;=RÉGUAS!$F$22,"TIP 02",IF(CE39&gt;RÉGUAS!$F$22,"TIP 03",)))</f>
        <v>TIP 01</v>
      </c>
      <c r="CG39" s="28">
        <f t="shared" si="9"/>
        <v>157.14285714285714</v>
      </c>
      <c r="CH39" s="22" t="str">
        <f>IF(CG39&lt;=RÉGUAS!$D$32,"VAGA 01",IF(CG39&lt;=RÉGUAS!$F$32,"VAGA 02",IF(CG39&gt;RÉGUAS!$F$32,"VAGA 03",)))</f>
        <v>VAGA 01</v>
      </c>
      <c r="CI39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1072.4285714285713</v>
      </c>
      <c r="CJ39" s="85" t="str">
        <f>IF(AND(G39="BLOCO",CI39&lt;=RÉGUAS!$D$40),"ELEV 01",IF(AND(G39="BLOCO",CI39&gt;RÉGUAS!$D$40),"ELEV 02",IF(AND(G39="TORRE",CI39&lt;=RÉGUAS!$K$40),"ELEV 01",IF(AND(G39="TORRE",CI39&lt;=RÉGUAS!$M$40),"ELEV 02",IF(AND(G39="TORRE",CI39&gt;RÉGUAS!$M$40),"ELEV 03",)))))</f>
        <v>ELEV 02</v>
      </c>
      <c r="CK39" s="85">
        <f>SUM(Tabela1[[#This Row],[TOTAL  ACAB]],Tabela1[[#This Row],[TOTAL LAZER ]],Tabela1[[#This Row],[TOTAL TIPOLOGIA]],Tabela1[[#This Row],[TOTAL VAGA]],Tabela1[[#This Row],[TOTAL ELEVADOR]])</f>
        <v>7550.4064285714285</v>
      </c>
      <c r="CL39" s="72" t="str">
        <f>IF(AND(G39="BLOCO",CK39&lt;=RÉGUAS!$D$50),"ESSENCIAL",IF(AND(G39="BLOCO",CK39&lt;=RÉGUAS!$F$50),"ECO",IF(AND(G39="BLOCO",CK39&gt;RÉGUAS!$F$50),"BIO",IF(AND(G39="TORRE",CK39&lt;=RÉGUAS!$K$50),"ESSENCIAL",IF(AND(G39="TORRE",CK39&lt;=RÉGUAS!$M$50),"ECO",IF(AND(G39="TORRE",CK39&gt;RÉGUAS!$M$50),"BIO",))))))</f>
        <v>ESSENCIAL</v>
      </c>
      <c r="CM39" s="28" t="str">
        <f>IF(AND(G39="BLOCO",CK39&gt;=RÉGUAS!$D$51,CK39&lt;=RÉGUAS!$D$50),"ESSENCIAL-10%",IF(AND(G39="BLOCO",CK39&gt;RÉGUAS!$D$50,CK39&lt;=RÉGUAS!$E$51),"ECO+10%",IF(AND(G39="BLOCO",CK39&gt;=RÉGUAS!$F$51,CK39&lt;=RÉGUAS!$F$50),"ECO-10%",IF(AND(G39="BLOCO",CK39&gt;RÉGUAS!$F$50,CK39&lt;=RÉGUAS!$G$51),"BIO+10%",IF(AND(G39="TORRE",CK39&gt;=RÉGUAS!$K$51,CK39&lt;=RÉGUAS!$K$50),"ESSENCIAL-10%",IF(AND(G39="TORRE",CK39&gt;RÉGUAS!$K$50,CK39&lt;=RÉGUAS!$L$51),"ECO+10%",IF(AND(G39="TORRE",CK39&gt;=RÉGUAS!$M$51,CK39&lt;=RÉGUAS!$M$50),"ECO-10%",IF(AND(G39="TORRE",CK39&gt;RÉGUAS!$M$50,CK39&lt;=RÉGUAS!$N$51),"BIO+10%","-"))))))))</f>
        <v>ESSENCIAL-10%</v>
      </c>
      <c r="CN39" s="73">
        <f t="shared" si="10"/>
        <v>6477.9778571428569</v>
      </c>
      <c r="CO39" s="72" t="str">
        <f>IF(CN39&lt;=RÉGUAS!$D$58,"ESSENCIAL",IF(CN39&lt;=RÉGUAS!$F$58,"ECO",IF(CN39&gt;RÉGUAS!$F$58,"BIO",)))</f>
        <v>ESSENCIAL</v>
      </c>
      <c r="CP39" s="72" t="str">
        <f>IF(Tabela1[[#This Row],[INTERVALO DE INTERSEÇÃO 5D]]="-",Tabela1[[#This Row],[CLASSIFICAÇÃO 
5D ]],Tabela1[[#This Row],[CLASSIFICAÇÃO 
4D]])</f>
        <v>ESSENCIAL</v>
      </c>
      <c r="CQ39" s="72" t="str">
        <f t="shared" si="11"/>
        <v>-</v>
      </c>
      <c r="CR39" s="72" t="str">
        <f t="shared" si="12"/>
        <v>ESSENCIAL</v>
      </c>
      <c r="CS39" s="22" t="str">
        <f>IF(Tabela1[[#This Row],[PRODUTO ATUAL ]]=Tabela1[[#This Row],[CLASSIFICAÇÃO FINAL 5D]],"ADERÊNTE","NÃO ADERÊNTE")</f>
        <v>ADERÊNTE</v>
      </c>
      <c r="CT39" s="24">
        <f>SUM(Tabela1[[#This Row],[TOTAL  ACAB]],Tabela1[[#This Row],[TOTAL LAZER ]],Tabela1[[#This Row],[TOTAL TIPOLOGIA]],Tabela1[[#This Row],[TOTAL VAGA]])</f>
        <v>6477.9778571428569</v>
      </c>
      <c r="CU39" s="22" t="str">
        <f>IF(CT39&lt;=RÉGUAS!$D$58,"ESSENCIAL",IF(CT39&lt;=RÉGUAS!$F$58,"ECO",IF(CT39&gt;RÉGUAS!$F$58,"BIO",)))</f>
        <v>ESSENCIAL</v>
      </c>
      <c r="CV39" s="22" t="str">
        <f>IF(AND(CT39&gt;=RÉGUAS!$D$59,CT39&lt;=RÉGUAS!$E$59),"ESSENCIAL/ECO",IF(AND(CT39&gt;=RÉGUAS!$F$59,CT39&lt;=RÉGUAS!$G$59),"ECO/BIO","-"))</f>
        <v>ESSENCIAL/ECO</v>
      </c>
      <c r="CW39" s="85">
        <f>SUM(Tabela1[[#This Row],[TOTAL LAZER ]],Tabela1[[#This Row],[TOTAL TIPOLOGIA]])</f>
        <v>2330.835</v>
      </c>
      <c r="CX39" s="22" t="str">
        <f>IF(CW39&lt;=RÉGUAS!$D$72,"ESSENCIAL",IF(CW39&lt;=RÉGUAS!$F$72,"ECO",IF(CN39&gt;RÉGUAS!$F$72,"BIO",)))</f>
        <v>ECO</v>
      </c>
      <c r="CY39" s="22" t="str">
        <f t="shared" si="13"/>
        <v>ECO</v>
      </c>
      <c r="CZ39" s="22" t="str">
        <f>IF(Tabela1[[#This Row],[PRODUTO ATUAL ]]=CY39,"ADERENTE","NÃO ADERENTE")</f>
        <v>NÃO ADERENTE</v>
      </c>
      <c r="DA39" s="22" t="str">
        <f>IF(Tabela1[[#This Row],[PRODUTO ATUAL ]]=Tabela1[[#This Row],[CLASSIFICAÇÃO 
4D2]],"ADERENTE","NÃO ADERENTE")</f>
        <v>ADERENTE</v>
      </c>
    </row>
    <row r="40" spans="2:105" x14ac:dyDescent="0.35">
      <c r="B40" s="27">
        <v>20</v>
      </c>
      <c r="C40" s="22" t="s">
        <v>203</v>
      </c>
      <c r="D40" s="22" t="s">
        <v>118</v>
      </c>
      <c r="E40" s="128">
        <v>528</v>
      </c>
      <c r="F40" s="22" t="str">
        <f t="shared" si="7"/>
        <v>Acima de 400 und</v>
      </c>
      <c r="G40" s="76" t="s">
        <v>14</v>
      </c>
      <c r="H40" s="129">
        <v>1</v>
      </c>
      <c r="I40" s="129">
        <v>22</v>
      </c>
      <c r="J40" s="129">
        <v>1</v>
      </c>
      <c r="K40" s="129">
        <v>23</v>
      </c>
      <c r="L40" s="129">
        <f>SUM(Tabela1[[#This Row],[QTD DE B/T 2]],Tabela1[[#This Row],[QTD DE B/T]])</f>
        <v>2</v>
      </c>
      <c r="M40" s="22">
        <v>8</v>
      </c>
      <c r="N40" s="22">
        <f>Tabela1[[#This Row],[ELEVADOR]]/Tabela1[[#This Row],[BLOCO TOTAL]]</f>
        <v>4</v>
      </c>
      <c r="O40" s="22" t="s">
        <v>6</v>
      </c>
      <c r="P40" s="76" t="s">
        <v>101</v>
      </c>
      <c r="Q40" s="76" t="s">
        <v>101</v>
      </c>
      <c r="R40" s="76" t="s">
        <v>102</v>
      </c>
      <c r="S40" s="76" t="s">
        <v>103</v>
      </c>
      <c r="T40" s="76" t="s">
        <v>104</v>
      </c>
      <c r="U40" s="76" t="s">
        <v>105</v>
      </c>
      <c r="V40" s="22" t="s">
        <v>106</v>
      </c>
      <c r="W40" s="24">
        <f>IF(P40=[1]BD_CUSTO!$E$4,[1]BD_CUSTO!$F$4,[1]BD_CUSTO!$F$5)</f>
        <v>2430</v>
      </c>
      <c r="X40" s="24">
        <f>IF(Q40=[1]BD_CUSTO!$E$6,[1]BD_CUSTO!$F$6,[1]BD_CUSTO!$F$7)</f>
        <v>260</v>
      </c>
      <c r="Y40" s="24">
        <f>IF(R40=[1]BD_CUSTO!$E$8,[1]BD_CUSTO!$F$8,[1]BD_CUSTO!$F$9)</f>
        <v>600</v>
      </c>
      <c r="Z40" s="24">
        <f>IF(S40=[1]BD_CUSTO!$E$10,[1]BD_CUSTO!$F$10,[1]BD_CUSTO!$F$11)</f>
        <v>500</v>
      </c>
      <c r="AA40" s="24">
        <f>IF(T40=[1]BD_CUSTO!$E$12,[1]BD_CUSTO!$F$12,[1]BD_CUSTO!$F$13)</f>
        <v>370</v>
      </c>
      <c r="AB40" s="24">
        <f>IF(U40=[1]BD_CUSTO!$E$14,[1]BD_CUSTO!$F$14,[1]BD_CUSTO!$F$15)</f>
        <v>90</v>
      </c>
      <c r="AC40" s="24">
        <f>IF(V40=[1]BD_CUSTO!$E$16,[1]BD_CUSTO!$F$16,[1]BD_CUSTO!$F$17)</f>
        <v>720</v>
      </c>
      <c r="AD40" s="76" t="s">
        <v>167</v>
      </c>
      <c r="AE40" s="76">
        <v>2</v>
      </c>
      <c r="AF40" s="76" t="s">
        <v>151</v>
      </c>
      <c r="AG40" s="76">
        <v>2</v>
      </c>
      <c r="AH40" s="76" t="s">
        <v>175</v>
      </c>
      <c r="AI40" s="76">
        <v>3</v>
      </c>
      <c r="AJ40" s="76" t="s">
        <v>107</v>
      </c>
      <c r="AK40" s="76">
        <v>3</v>
      </c>
      <c r="AL40" s="76" t="s">
        <v>139</v>
      </c>
      <c r="AM40" s="76">
        <v>2</v>
      </c>
      <c r="AN40" s="76" t="s">
        <v>120</v>
      </c>
      <c r="AO40" s="76">
        <v>1</v>
      </c>
      <c r="AP40" s="76" t="s">
        <v>108</v>
      </c>
      <c r="AQ40" s="76">
        <v>1</v>
      </c>
      <c r="AR40" s="22"/>
      <c r="AS40" s="22"/>
      <c r="AT40" s="22"/>
      <c r="AU40" s="22"/>
      <c r="AV40" s="22"/>
      <c r="AW40" s="22"/>
      <c r="AX40" s="24">
        <f>IF(AD40="",0,VLOOKUP(AD40,[1]BD_CUSTO!I:J,2,0)*AE40/E40)</f>
        <v>310.81481060606063</v>
      </c>
      <c r="AY40" s="24">
        <f>IF(AF40="",0,VLOOKUP(AF40,[1]BD_CUSTO!I:J,2,0)*AG40/E40)</f>
        <v>302.0196590909091</v>
      </c>
      <c r="AZ40" s="24">
        <f>IF(AH40="",0,VLOOKUP(AH40,[1]BD_CUSTO!I:J,2,0)*AI40/E40)</f>
        <v>61.30681818181818</v>
      </c>
      <c r="BA40" s="24">
        <f>IF(AJ40="",0,VLOOKUP(AJ40,[1]BD_CUSTO!I:J,2,0)*AK40/E40)</f>
        <v>483.80181818181813</v>
      </c>
      <c r="BB40" s="24">
        <f>IF(AL40="",0,VLOOKUP(AL40,[1]BD_CUSTO!I:J,2,0)*AM40/E40)</f>
        <v>235.44060606060606</v>
      </c>
      <c r="BC40" s="24">
        <f>IF(AN40="",0,VLOOKUP(AN40,[1]BD_CUSTO!I:J,2,0)*AO40/E40)</f>
        <v>107.7819696969697</v>
      </c>
      <c r="BD40" s="24">
        <f>IF(AP40="",0,VLOOKUP(AP40,[1]BD_CUSTO!I:J,2,0)*AQ40/E40)</f>
        <v>43.844696969696969</v>
      </c>
      <c r="BE40" s="24">
        <f>IF(AR40="",0,VLOOKUP(AR40,CUSTO!I:J,2,0)*AS40/E40)</f>
        <v>0</v>
      </c>
      <c r="BF40" s="24">
        <f>IF(AT40="",0,VLOOKUP(AT40,[1]BD_CUSTO!I:J,2,0)*AU40/E40)</f>
        <v>0</v>
      </c>
      <c r="BG40" s="24">
        <f>IF(Tabela1[[#This Row],[LZ 10]]="",0,VLOOKUP(Tabela1[[#This Row],[LZ 10]],[1]BD_CUSTO!I:J,2,0)*Tabela1[[#This Row],[QTD922]]/E40)</f>
        <v>0</v>
      </c>
      <c r="BH40" s="76" t="s">
        <v>112</v>
      </c>
      <c r="BI40" s="127">
        <v>0.3</v>
      </c>
      <c r="BJ40" s="76" t="s">
        <v>113</v>
      </c>
      <c r="BK40" s="127">
        <v>0</v>
      </c>
      <c r="BL40" s="24">
        <f>IF(BH40=[1]BD_CUSTO!$M$6,[1]BD_CUSTO!$N$6)*BI40</f>
        <v>900</v>
      </c>
      <c r="BM40" s="24">
        <f>IF(BJ40=[1]BD_CUSTO!$M$4,[1]BD_CUSTO!$N$4,[1]BD_CUSTO!$N$5)*BK40</f>
        <v>0</v>
      </c>
      <c r="BN40" s="76" t="s">
        <v>114</v>
      </c>
      <c r="BO40" s="76">
        <v>61</v>
      </c>
      <c r="BP40" s="25">
        <f>Tabela1[[#This Row],[QTD ]]/Tabela1[[#This Row],[Nº UNDS]]</f>
        <v>0.11553030303030302</v>
      </c>
      <c r="BQ40" s="22" t="s">
        <v>115</v>
      </c>
      <c r="BR40" s="22">
        <v>0</v>
      </c>
      <c r="BS40" s="22" t="s">
        <v>116</v>
      </c>
      <c r="BT40" s="22">
        <v>0</v>
      </c>
      <c r="BU40" s="22" t="s">
        <v>16</v>
      </c>
      <c r="BV40" s="22">
        <v>0</v>
      </c>
      <c r="BW40" s="24">
        <f>IF(BN40=[1]BD_CUSTO!$Q$7,[1]BD_CUSTO!$R$7,[1]BD_CUSTO!$R$8)*BO40/E40</f>
        <v>231.06060606060606</v>
      </c>
      <c r="BX40" s="24">
        <f>IF(BQ40=[1]BD_CUSTO!$Q$4,[1]BD_CUSTO!$R$4,[1]BD_CUSTO!$R$5)*BR40/E40</f>
        <v>0</v>
      </c>
      <c r="BY40" s="22">
        <f>IF(BS40=[1]BD_CUSTO!$Q$13,[1]BD_CUSTO!$R$13,[1]BD_CUSTO!$R$14)*BT40/E40</f>
        <v>0</v>
      </c>
      <c r="BZ40" s="24">
        <f>BV40*CUSTO!$R$10/E40</f>
        <v>0</v>
      </c>
      <c r="CA40" s="26">
        <f>SUM(Tabela1[[#This Row],[SOMA_PISO SALA E QUARTO]],Tabela1[[#This Row],[SOMA_PAREDE HIDR]],Tabela1[[#This Row],[SOMA_TETO]],Tabela1[[#This Row],[SOMA_BANCADA]],Tabela1[[#This Row],[SOMA_PEDRAS]])</f>
        <v>3990</v>
      </c>
      <c r="CB40" s="27" t="str">
        <f>IF(CA40&lt;=RÉGUAS!$D$4,"ACAB 01",IF(CA40&lt;=RÉGUAS!$F$4,"ACAB 02",IF(CA40&gt;RÉGUAS!$F$4,"ACAB 03",)))</f>
        <v>ACAB 02</v>
      </c>
      <c r="CC40" s="26">
        <f>SUM(Tabela1[[#This Row],[SOMA_LZ 01]:[SOMA_LZ 10]])</f>
        <v>1545.0103787878791</v>
      </c>
      <c r="CD40" s="22" t="str">
        <f>IF(CC40&lt;=RÉGUAS!$D$13,"LZ 01",IF(CC40&lt;=RÉGUAS!$F$13,"LZ 02",IF(CC40&lt;=RÉGUAS!$H$13,"LZ 03",IF(CC40&gt;RÉGUAS!$H$13,"LZ 04",))))</f>
        <v>LZ 02</v>
      </c>
      <c r="CE40" s="28">
        <f t="shared" si="8"/>
        <v>900</v>
      </c>
      <c r="CF40" s="22" t="str">
        <f>IF(CE40&lt;=RÉGUAS!$D$22,"TIP 01",IF(CE40&lt;=RÉGUAS!$F$22,"TIP 02",IF(CE40&gt;RÉGUAS!$F$22,"TIP 03",)))</f>
        <v>TIP 01</v>
      </c>
      <c r="CG40" s="28">
        <f t="shared" si="9"/>
        <v>231.06060606060606</v>
      </c>
      <c r="CH40" s="22" t="str">
        <f>IF(CG40&lt;=RÉGUAS!$D$32,"VAGA 01",IF(CG40&lt;=RÉGUAS!$F$32,"VAGA 02",IF(CG40&gt;RÉGUAS!$F$32,"VAGA 03",)))</f>
        <v>VAGA 01</v>
      </c>
      <c r="CI40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11440.227272727272</v>
      </c>
      <c r="CJ40" s="85" t="str">
        <f>IF(AND(G40="BLOCO",CI40&lt;=RÉGUAS!$D$40),"ELEV 01",IF(AND(G40="BLOCO",CI40&gt;RÉGUAS!$D$40),"ELEV 02",IF(AND(G40="TORRE",CI40&lt;=RÉGUAS!$K$40),"ELEV 01",IF(AND(G40="TORRE",CI40&lt;=RÉGUAS!$M$40),"ELEV 02",IF(AND(G40="TORRE",CI40&gt;RÉGUAS!$M$40),"ELEV 03",)))))</f>
        <v>ELEV 03</v>
      </c>
      <c r="CK40" s="85">
        <f>SUM(Tabela1[[#This Row],[TOTAL  ACAB]],Tabela1[[#This Row],[TOTAL LAZER ]],Tabela1[[#This Row],[TOTAL TIPOLOGIA]],Tabela1[[#This Row],[TOTAL VAGA]],Tabela1[[#This Row],[TOTAL ELEVADOR]])</f>
        <v>18106.298257575756</v>
      </c>
      <c r="CL40" s="72" t="str">
        <f>IF(AND(G40="BLOCO",CK40&lt;=RÉGUAS!$D$50),"ESSENCIAL",IF(AND(G40="BLOCO",CK40&lt;=RÉGUAS!$F$50),"ECO",IF(AND(G40="BLOCO",CK40&gt;RÉGUAS!$F$50),"BIO",IF(AND(G40="TORRE",CK40&lt;=RÉGUAS!$K$50),"ESSENCIAL",IF(AND(G40="TORRE",CK40&lt;=RÉGUAS!$M$50),"ECO",IF(AND(G40="TORRE",CK40&gt;RÉGUAS!$M$50),"BIO",))))))</f>
        <v>BIO</v>
      </c>
      <c r="CM40" s="28" t="str">
        <f>IF(AND(G40="BLOCO",CK40&gt;=RÉGUAS!$D$51,CK40&lt;=RÉGUAS!$D$50),"ESSENCIAL-10%",IF(AND(G40="BLOCO",CK40&gt;RÉGUAS!$D$50,CK40&lt;=RÉGUAS!$E$51),"ECO+10%",IF(AND(G40="BLOCO",CK40&gt;=RÉGUAS!$F$51,CK40&lt;=RÉGUAS!$F$50),"ECO-10%",IF(AND(G40="BLOCO",CK40&gt;RÉGUAS!$F$50,CK40&lt;=RÉGUAS!$G$51),"BIO+10%",IF(AND(G40="TORRE",CK40&gt;=RÉGUAS!$K$51,CK40&lt;=RÉGUAS!$K$50),"ESSENCIAL-10%",IF(AND(G40="TORRE",CK40&gt;RÉGUAS!$K$50,CK40&lt;=RÉGUAS!$L$51),"ECO+10%",IF(AND(G40="TORRE",CK40&gt;=RÉGUAS!$M$51,CK40&lt;=RÉGUAS!$M$50),"ECO-10%",IF(AND(G40="TORRE",CK40&gt;RÉGUAS!$M$50,CK40&lt;=RÉGUAS!$N$51),"BIO+10%","-"))))))))</f>
        <v>-</v>
      </c>
      <c r="CN40" s="73">
        <f t="shared" si="10"/>
        <v>6666.0709848484848</v>
      </c>
      <c r="CO40" s="72" t="str">
        <f>IF(CN40&lt;=RÉGUAS!$D$58,"ESSENCIAL",IF(CN40&lt;=RÉGUAS!$F$58,"ECO",IF(CN40&gt;RÉGUAS!$F$58,"BIO",)))</f>
        <v>ESSENCIAL</v>
      </c>
      <c r="CP40" s="72" t="str">
        <f>IF(Tabela1[[#This Row],[INTERVALO DE INTERSEÇÃO 5D]]="-",Tabela1[[#This Row],[CLASSIFICAÇÃO 
5D ]],Tabela1[[#This Row],[CLASSIFICAÇÃO 
4D]])</f>
        <v>BIO</v>
      </c>
      <c r="CQ40" s="72" t="str">
        <f t="shared" si="11"/>
        <v>OPOSTO</v>
      </c>
      <c r="CR40" s="72" t="str">
        <f t="shared" si="12"/>
        <v>ECO</v>
      </c>
      <c r="CS40" s="22" t="str">
        <f>IF(Tabela1[[#This Row],[PRODUTO ATUAL ]]=Tabela1[[#This Row],[CLASSIFICAÇÃO FINAL 5D]],"ADERÊNTE","NÃO ADERÊNTE")</f>
        <v>NÃO ADERÊNTE</v>
      </c>
      <c r="CT40" s="24">
        <f>SUM(Tabela1[[#This Row],[TOTAL  ACAB]],Tabela1[[#This Row],[TOTAL LAZER ]],Tabela1[[#This Row],[TOTAL TIPOLOGIA]],Tabela1[[#This Row],[TOTAL VAGA]])</f>
        <v>6666.0709848484848</v>
      </c>
      <c r="CU40" s="22" t="str">
        <f>IF(CT40&lt;=RÉGUAS!$D$58,"ESSENCIAL",IF(CT40&lt;=RÉGUAS!$F$58,"ECO",IF(CT40&gt;RÉGUAS!$F$58,"BIO",)))</f>
        <v>ESSENCIAL</v>
      </c>
      <c r="CV40" s="22" t="str">
        <f>IF(AND(CT40&gt;=RÉGUAS!$D$59,CT40&lt;=RÉGUAS!$E$59),"ESSENCIAL/ECO",IF(AND(CT40&gt;=RÉGUAS!$F$59,CT40&lt;=RÉGUAS!$G$59),"ECO/BIO","-"))</f>
        <v>ESSENCIAL/ECO</v>
      </c>
      <c r="CW40" s="85">
        <f>SUM(Tabela1[[#This Row],[TOTAL LAZER ]],Tabela1[[#This Row],[TOTAL TIPOLOGIA]])</f>
        <v>2445.0103787878788</v>
      </c>
      <c r="CX40" s="22" t="str">
        <f>IF(CW40&lt;=RÉGUAS!$D$72,"ESSENCIAL",IF(CW40&lt;=RÉGUAS!$F$72,"ECO",IF(CN40&gt;RÉGUAS!$F$72,"BIO",)))</f>
        <v>ECO</v>
      </c>
      <c r="CY40" s="22" t="str">
        <f t="shared" si="13"/>
        <v>ECO</v>
      </c>
      <c r="CZ40" s="22" t="str">
        <f>IF(Tabela1[[#This Row],[PRODUTO ATUAL ]]=CY40,"ADERENTE","NÃO ADERENTE")</f>
        <v>NÃO ADERENTE</v>
      </c>
      <c r="DA40" s="22" t="str">
        <f>IF(Tabela1[[#This Row],[PRODUTO ATUAL ]]=Tabela1[[#This Row],[CLASSIFICAÇÃO 
4D2]],"ADERENTE","NÃO ADERENTE")</f>
        <v>ADERENTE</v>
      </c>
    </row>
    <row r="41" spans="2:105" x14ac:dyDescent="0.35">
      <c r="B41" s="27">
        <v>27</v>
      </c>
      <c r="C41" s="22" t="s">
        <v>235</v>
      </c>
      <c r="D41" s="76" t="s">
        <v>100</v>
      </c>
      <c r="E41" s="128">
        <v>720</v>
      </c>
      <c r="F41" s="22" t="str">
        <f t="shared" si="7"/>
        <v>Acima de 400 und</v>
      </c>
      <c r="G41" s="76" t="s">
        <v>1</v>
      </c>
      <c r="H41" s="129">
        <v>36</v>
      </c>
      <c r="I41" s="129">
        <v>5</v>
      </c>
      <c r="J41" s="129"/>
      <c r="K41" s="129"/>
      <c r="L41" s="129">
        <f>SUM(Tabela1[[#This Row],[QTD DE B/T 2]],Tabela1[[#This Row],[QTD DE B/T]])</f>
        <v>36</v>
      </c>
      <c r="M41" s="22">
        <v>0</v>
      </c>
      <c r="N41" s="22">
        <f>Tabela1[[#This Row],[ELEVADOR]]/Tabela1[[#This Row],[BLOCO TOTAL]]</f>
        <v>0</v>
      </c>
      <c r="O41" s="22" t="s">
        <v>6</v>
      </c>
      <c r="P41" s="76" t="s">
        <v>101</v>
      </c>
      <c r="Q41" s="22" t="s">
        <v>101</v>
      </c>
      <c r="R41" s="76" t="s">
        <v>102</v>
      </c>
      <c r="S41" s="76" t="s">
        <v>103</v>
      </c>
      <c r="T41" s="76" t="s">
        <v>104</v>
      </c>
      <c r="U41" s="76" t="s">
        <v>105</v>
      </c>
      <c r="V41" s="22" t="s">
        <v>106</v>
      </c>
      <c r="W41" s="24">
        <f>IF(P41=[1]BD_CUSTO!$E$4,[1]BD_CUSTO!$F$4,[1]BD_CUSTO!$F$5)</f>
        <v>2430</v>
      </c>
      <c r="X41" s="24">
        <f>IF(Q41=[1]BD_CUSTO!$E$6,[1]BD_CUSTO!$F$6,[1]BD_CUSTO!$F$7)</f>
        <v>260</v>
      </c>
      <c r="Y41" s="24">
        <f>IF(R41=[1]BD_CUSTO!$E$8,[1]BD_CUSTO!$F$8,[1]BD_CUSTO!$F$9)</f>
        <v>600</v>
      </c>
      <c r="Z41" s="24">
        <f>IF(S41=[1]BD_CUSTO!$E$10,[1]BD_CUSTO!$F$10,[1]BD_CUSTO!$F$11)</f>
        <v>500</v>
      </c>
      <c r="AA41" s="24">
        <f>IF(T41=[1]BD_CUSTO!$E$12,[1]BD_CUSTO!$F$12,[1]BD_CUSTO!$F$13)</f>
        <v>370</v>
      </c>
      <c r="AB41" s="24">
        <f>IF(U41=[1]BD_CUSTO!$E$14,[1]BD_CUSTO!$F$14,[1]BD_CUSTO!$F$15)</f>
        <v>90</v>
      </c>
      <c r="AC41" s="24">
        <f>IF(V41=[1]BD_CUSTO!$E$16,[1]BD_CUSTO!$F$16,[1]BD_CUSTO!$F$17)</f>
        <v>720</v>
      </c>
      <c r="AD41" s="76" t="s">
        <v>129</v>
      </c>
      <c r="AE41" s="76">
        <v>1</v>
      </c>
      <c r="AF41" s="76" t="s">
        <v>108</v>
      </c>
      <c r="AG41" s="76">
        <v>2</v>
      </c>
      <c r="AH41" s="76" t="s">
        <v>121</v>
      </c>
      <c r="AI41" s="76">
        <v>1</v>
      </c>
      <c r="AJ41" s="76" t="s">
        <v>110</v>
      </c>
      <c r="AK41" s="76">
        <v>1</v>
      </c>
      <c r="AL41" s="76" t="s">
        <v>109</v>
      </c>
      <c r="AM41" s="76">
        <v>1</v>
      </c>
      <c r="AN41" s="76" t="s">
        <v>111</v>
      </c>
      <c r="AO41" s="76">
        <v>1</v>
      </c>
      <c r="AP41" s="76" t="s">
        <v>107</v>
      </c>
      <c r="AQ41" s="76">
        <v>2</v>
      </c>
      <c r="AR41" s="22"/>
      <c r="AS41" s="22"/>
      <c r="AT41" s="22"/>
      <c r="AU41" s="22"/>
      <c r="AV41" s="22"/>
      <c r="AW41" s="22"/>
      <c r="AX41" s="24">
        <f>IF(AD41="",0,VLOOKUP(AD41,[1]BD_CUSTO!I:J,2,0)*AE41/E41)</f>
        <v>382.17719444444447</v>
      </c>
      <c r="AY41" s="24">
        <f>IF(AF41="",0,VLOOKUP(AF41,[1]BD_CUSTO!I:J,2,0)*AG41/E41)</f>
        <v>64.305555555555557</v>
      </c>
      <c r="AZ41" s="24">
        <f>IF(AH41="",0,VLOOKUP(AH41,[1]BD_CUSTO!I:J,2,0)*AI41/E41)</f>
        <v>171.05124999999998</v>
      </c>
      <c r="BA41" s="24">
        <f>IF(AJ41="",0,VLOOKUP(AJ41,[1]BD_CUSTO!I:J,2,0)*AK41/E41)</f>
        <v>7.3611111111111107</v>
      </c>
      <c r="BB41" s="24">
        <f>IF(AL41="",0,VLOOKUP(AL41,[1]BD_CUSTO!I:J,2,0)*AM41/E41)</f>
        <v>9.6527777777777786</v>
      </c>
      <c r="BC41" s="24">
        <f>IF(AN41="",0,VLOOKUP(AN41,[1]BD_CUSTO!I:J,2,0)*AO41/E41)</f>
        <v>22.5</v>
      </c>
      <c r="BD41" s="24">
        <f>IF(AP41="",0,VLOOKUP(AP41,[1]BD_CUSTO!I:J,2,0)*AQ41/E41)</f>
        <v>236.52533333333332</v>
      </c>
      <c r="BE41" s="24">
        <f>IF(AR41="",0,VLOOKUP(AR41,CUSTO!I:J,2,0)*AS41/E41)</f>
        <v>0</v>
      </c>
      <c r="BF41" s="24">
        <f>IF(AT41="",0,VLOOKUP(AT41,[1]BD_CUSTO!I:J,2,0)*AU41/E41)</f>
        <v>0</v>
      </c>
      <c r="BG41" s="24">
        <f>IF(Tabela1[[#This Row],[LZ 10]]="",0,VLOOKUP(Tabela1[[#This Row],[LZ 10]],[1]BD_CUSTO!I:J,2,0)*Tabela1[[#This Row],[QTD922]]/E41)</f>
        <v>0</v>
      </c>
      <c r="BH41" s="76" t="s">
        <v>112</v>
      </c>
      <c r="BI41" s="127">
        <v>0.4</v>
      </c>
      <c r="BJ41" s="76" t="s">
        <v>113</v>
      </c>
      <c r="BK41" s="127">
        <v>0</v>
      </c>
      <c r="BL41" s="24">
        <f>IF(BH41=[1]BD_CUSTO!$M$6,[1]BD_CUSTO!$N$6)*BI41</f>
        <v>1200</v>
      </c>
      <c r="BM41" s="24">
        <f>IF(BJ41=[1]BD_CUSTO!$M$4,[1]BD_CUSTO!$N$4,[1]BD_CUSTO!$N$5)*BK41</f>
        <v>0</v>
      </c>
      <c r="BN41" s="76" t="s">
        <v>114</v>
      </c>
      <c r="BO41" s="76">
        <v>359</v>
      </c>
      <c r="BP41" s="25">
        <f>Tabela1[[#This Row],[QTD ]]/Tabela1[[#This Row],[Nº UNDS]]</f>
        <v>0.49861111111111112</v>
      </c>
      <c r="BQ41" s="76" t="s">
        <v>123</v>
      </c>
      <c r="BR41" s="76">
        <v>220</v>
      </c>
      <c r="BS41" s="22" t="s">
        <v>116</v>
      </c>
      <c r="BT41" s="22">
        <v>0</v>
      </c>
      <c r="BU41" s="22" t="s">
        <v>16</v>
      </c>
      <c r="BV41" s="22">
        <v>0</v>
      </c>
      <c r="BW41" s="24">
        <f>IF(BN41=[1]BD_CUSTO!$Q$7,[1]BD_CUSTO!$R$7,[1]BD_CUSTO!$R$8)*BO41/E41</f>
        <v>997.22222222222217</v>
      </c>
      <c r="BX41" s="24">
        <f>IF(BQ41=[1]BD_CUSTO!$Q$4,[1]BD_CUSTO!$R$4,[1]BD_CUSTO!$R$5)*BR41/E41</f>
        <v>305.55555555555554</v>
      </c>
      <c r="BY41" s="22">
        <f>IF(BS41=[1]BD_CUSTO!$Q$13,[1]BD_CUSTO!$R$13,[1]BD_CUSTO!$R$14)*BT41/E41</f>
        <v>0</v>
      </c>
      <c r="BZ41" s="24">
        <f>BV41*CUSTO!$R$10/E41</f>
        <v>0</v>
      </c>
      <c r="CA41" s="26">
        <f>SUM(Tabela1[[#This Row],[SOMA_PISO SALA E QUARTO]],Tabela1[[#This Row],[SOMA_PAREDE HIDR]],Tabela1[[#This Row],[SOMA_TETO]],Tabela1[[#This Row],[SOMA_BANCADA]],Tabela1[[#This Row],[SOMA_PEDRAS]])</f>
        <v>3990</v>
      </c>
      <c r="CB41" s="27" t="str">
        <f>IF(CA41&lt;=RÉGUAS!$D$4,"ACAB 01",IF(CA41&lt;=RÉGUAS!$F$4,"ACAB 02",IF(CA41&gt;RÉGUAS!$F$4,"ACAB 03",)))</f>
        <v>ACAB 02</v>
      </c>
      <c r="CC41" s="26">
        <f>SUM(Tabela1[[#This Row],[SOMA_LZ 01]:[SOMA_LZ 10]])</f>
        <v>893.57322222222228</v>
      </c>
      <c r="CD41" s="22" t="str">
        <f>IF(CC41&lt;=RÉGUAS!$D$13,"LZ 01",IF(CC41&lt;=RÉGUAS!$F$13,"LZ 02",IF(CC41&lt;=RÉGUAS!$H$13,"LZ 03",IF(CC41&gt;RÉGUAS!$H$13,"LZ 04",))))</f>
        <v>LZ 02</v>
      </c>
      <c r="CE41" s="28">
        <f t="shared" si="8"/>
        <v>1200</v>
      </c>
      <c r="CF41" s="22" t="str">
        <f>IF(CE41&lt;=RÉGUAS!$D$22,"TIP 01",IF(CE41&lt;=RÉGUAS!$F$22,"TIP 02",IF(CE41&gt;RÉGUAS!$F$22,"TIP 03",)))</f>
        <v>TIP 01</v>
      </c>
      <c r="CG41" s="28">
        <f t="shared" si="9"/>
        <v>1302.7777777777778</v>
      </c>
      <c r="CH41" s="22" t="str">
        <f>IF(CG41&lt;=RÉGUAS!$D$32,"VAGA 01",IF(CG41&lt;=RÉGUAS!$F$32,"VAGA 02",IF(CG41&gt;RÉGUAS!$F$32,"VAGA 03",)))</f>
        <v>VAGA 02</v>
      </c>
      <c r="CI41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41" s="85" t="str">
        <f>IF(AND(G41="BLOCO",CI41&lt;=RÉGUAS!$D$40),"ELEV 01",IF(AND(G41="BLOCO",CI41&gt;RÉGUAS!$D$40),"ELEV 02",IF(AND(G41="TORRE",CI41&lt;=RÉGUAS!$K$40),"ELEV 01",IF(AND(G41="TORRE",CI41&lt;=RÉGUAS!$M$40),"ELEV 02",IF(AND(G41="TORRE",CI41&gt;RÉGUAS!$M$40),"ELEV 03",)))))</f>
        <v>ELEV 01</v>
      </c>
      <c r="CK41" s="85">
        <f>SUM(Tabela1[[#This Row],[TOTAL  ACAB]],Tabela1[[#This Row],[TOTAL LAZER ]],Tabela1[[#This Row],[TOTAL TIPOLOGIA]],Tabela1[[#This Row],[TOTAL VAGA]],Tabela1[[#This Row],[TOTAL ELEVADOR]])</f>
        <v>7386.3510000000006</v>
      </c>
      <c r="CL41" s="72" t="str">
        <f>IF(AND(G41="BLOCO",CK41&lt;=RÉGUAS!$D$50),"ESSENCIAL",IF(AND(G41="BLOCO",CK41&lt;=RÉGUAS!$F$50),"ECO",IF(AND(G41="BLOCO",CK41&gt;RÉGUAS!$F$50),"BIO",IF(AND(G41="TORRE",CK41&lt;=RÉGUAS!$K$50),"ESSENCIAL",IF(AND(G41="TORRE",CK41&lt;=RÉGUAS!$M$50),"ECO",IF(AND(G41="TORRE",CK41&gt;RÉGUAS!$M$50),"BIO",))))))</f>
        <v>ESSENCIAL</v>
      </c>
      <c r="CM41" s="28" t="str">
        <f>IF(AND(G41="BLOCO",CK41&gt;=RÉGUAS!$D$51,CK41&lt;=RÉGUAS!$D$50),"ESSENCIAL-10%",IF(AND(G41="BLOCO",CK41&gt;RÉGUAS!$D$50,CK41&lt;=RÉGUAS!$E$51),"ECO+10%",IF(AND(G41="BLOCO",CK41&gt;=RÉGUAS!$F$51,CK41&lt;=RÉGUAS!$F$50),"ECO-10%",IF(AND(G41="BLOCO",CK41&gt;RÉGUAS!$F$50,CK41&lt;=RÉGUAS!$G$51),"BIO+10%",IF(AND(G41="TORRE",CK41&gt;=RÉGUAS!$K$51,CK41&lt;=RÉGUAS!$K$50),"ESSENCIAL-10%",IF(AND(G41="TORRE",CK41&gt;RÉGUAS!$K$50,CK41&lt;=RÉGUAS!$L$51),"ECO+10%",IF(AND(G41="TORRE",CK41&gt;=RÉGUAS!$M$51,CK41&lt;=RÉGUAS!$M$50),"ECO-10%",IF(AND(G41="TORRE",CK41&gt;RÉGUAS!$M$50,CK41&lt;=RÉGUAS!$N$51),"BIO+10%","-"))))))))</f>
        <v>ESSENCIAL-10%</v>
      </c>
      <c r="CN41" s="73">
        <f t="shared" si="10"/>
        <v>7386.3510000000006</v>
      </c>
      <c r="CO41" s="72" t="str">
        <f>IF(CN41&lt;=RÉGUAS!$D$58,"ESSENCIAL",IF(CN41&lt;=RÉGUAS!$F$58,"ECO",IF(CN41&gt;RÉGUAS!$F$58,"BIO",)))</f>
        <v>ECO</v>
      </c>
      <c r="CP41" s="72" t="str">
        <f>IF(Tabela1[[#This Row],[INTERVALO DE INTERSEÇÃO 5D]]="-",Tabela1[[#This Row],[CLASSIFICAÇÃO 
5D ]],Tabela1[[#This Row],[CLASSIFICAÇÃO 
4D]])</f>
        <v>ECO</v>
      </c>
      <c r="CQ41" s="72" t="str">
        <f t="shared" si="11"/>
        <v>-</v>
      </c>
      <c r="CR41" s="72" t="str">
        <f t="shared" si="12"/>
        <v>ECO</v>
      </c>
      <c r="CS41" s="22" t="str">
        <f>IF(Tabela1[[#This Row],[PRODUTO ATUAL ]]=Tabela1[[#This Row],[CLASSIFICAÇÃO FINAL 5D]],"ADERÊNTE","NÃO ADERÊNTE")</f>
        <v>NÃO ADERÊNTE</v>
      </c>
      <c r="CT41" s="24">
        <f>SUM(Tabela1[[#This Row],[TOTAL  ACAB]],Tabela1[[#This Row],[TOTAL LAZER ]],Tabela1[[#This Row],[TOTAL TIPOLOGIA]],Tabela1[[#This Row],[TOTAL VAGA]])</f>
        <v>7386.3510000000006</v>
      </c>
      <c r="CU41" s="22" t="str">
        <f>IF(CT41&lt;=RÉGUAS!$D$58,"ESSENCIAL",IF(CT41&lt;=RÉGUAS!$F$58,"ECO",IF(CT41&gt;RÉGUAS!$F$58,"BIO",)))</f>
        <v>ECO</v>
      </c>
      <c r="CV41" s="22" t="str">
        <f>IF(AND(CT41&gt;=RÉGUAS!$D$59,CT41&lt;=RÉGUAS!$E$59),"ESSENCIAL/ECO",IF(AND(CT41&gt;=RÉGUAS!$F$59,CT41&lt;=RÉGUAS!$G$59),"ECO/BIO","-"))</f>
        <v>ESSENCIAL/ECO</v>
      </c>
      <c r="CW41" s="85">
        <f>SUM(Tabela1[[#This Row],[TOTAL LAZER ]],Tabela1[[#This Row],[TOTAL TIPOLOGIA]])</f>
        <v>2093.5732222222223</v>
      </c>
      <c r="CX41" s="22" t="str">
        <f>IF(CW41&lt;=RÉGUAS!$D$72,"ESSENCIAL",IF(CW41&lt;=RÉGUAS!$F$72,"ECO",IF(CN41&gt;RÉGUAS!$F$72,"BIO",)))</f>
        <v>ESSENCIAL</v>
      </c>
      <c r="CY41" s="22" t="str">
        <f t="shared" si="13"/>
        <v>ESSENCIAL</v>
      </c>
      <c r="CZ41" s="22" t="str">
        <f>IF(Tabela1[[#This Row],[PRODUTO ATUAL ]]=CY41,"ADERENTE","NÃO ADERENTE")</f>
        <v>ADERENTE</v>
      </c>
      <c r="DA41" s="22" t="str">
        <f>IF(Tabela1[[#This Row],[PRODUTO ATUAL ]]=Tabela1[[#This Row],[CLASSIFICAÇÃO 
4D2]],"ADERENTE","NÃO ADERENTE")</f>
        <v>NÃO ADERENTE</v>
      </c>
    </row>
    <row r="42" spans="2:105" hidden="1" x14ac:dyDescent="0.35">
      <c r="B42" s="27">
        <v>29</v>
      </c>
      <c r="C42" s="22" t="s">
        <v>239</v>
      </c>
      <c r="D42" s="76" t="s">
        <v>128</v>
      </c>
      <c r="E42" s="128">
        <v>580</v>
      </c>
      <c r="F42" s="22" t="str">
        <f t="shared" si="7"/>
        <v>Acima de 400 und</v>
      </c>
      <c r="G42" s="76" t="s">
        <v>1</v>
      </c>
      <c r="H42" s="129">
        <v>29</v>
      </c>
      <c r="I42" s="129">
        <v>5</v>
      </c>
      <c r="J42" s="129"/>
      <c r="K42" s="129"/>
      <c r="L42" s="129">
        <f>SUM(Tabela1[[#This Row],[QTD DE B/T 2]],Tabela1[[#This Row],[QTD DE B/T]])</f>
        <v>29</v>
      </c>
      <c r="M42" s="22">
        <v>0</v>
      </c>
      <c r="N42" s="22">
        <f>Tabela1[[#This Row],[ELEVADOR]]/Tabela1[[#This Row],[BLOCO TOTAL]]</f>
        <v>0</v>
      </c>
      <c r="O42" s="22" t="s">
        <v>6</v>
      </c>
      <c r="P42" s="76" t="s">
        <v>101</v>
      </c>
      <c r="Q42" s="76" t="s">
        <v>101</v>
      </c>
      <c r="R42" s="76" t="s">
        <v>102</v>
      </c>
      <c r="S42" s="76" t="s">
        <v>103</v>
      </c>
      <c r="T42" s="76" t="s">
        <v>104</v>
      </c>
      <c r="U42" s="76" t="s">
        <v>105</v>
      </c>
      <c r="V42" s="22" t="s">
        <v>106</v>
      </c>
      <c r="W42" s="24">
        <f>IF(P42=[1]BD_CUSTO!$E$4,[1]BD_CUSTO!$F$4,[1]BD_CUSTO!$F$5)</f>
        <v>2430</v>
      </c>
      <c r="X42" s="24">
        <f>IF(Q42=[1]BD_CUSTO!$E$6,[1]BD_CUSTO!$F$6,[1]BD_CUSTO!$F$7)</f>
        <v>260</v>
      </c>
      <c r="Y42" s="24">
        <f>IF(R42=[1]BD_CUSTO!$E$8,[1]BD_CUSTO!$F$8,[1]BD_CUSTO!$F$9)</f>
        <v>600</v>
      </c>
      <c r="Z42" s="24">
        <f>IF(S42=[1]BD_CUSTO!$E$10,[1]BD_CUSTO!$F$10,[1]BD_CUSTO!$F$11)</f>
        <v>500</v>
      </c>
      <c r="AA42" s="24">
        <f>IF(T42=[1]BD_CUSTO!$E$12,[1]BD_CUSTO!$F$12,[1]BD_CUSTO!$F$13)</f>
        <v>370</v>
      </c>
      <c r="AB42" s="24">
        <f>IF(U42=[1]BD_CUSTO!$E$14,[1]BD_CUSTO!$F$14,[1]BD_CUSTO!$F$15)</f>
        <v>90</v>
      </c>
      <c r="AC42" s="24">
        <f>IF(V42=[1]BD_CUSTO!$E$16,[1]BD_CUSTO!$F$16,[1]BD_CUSTO!$F$17)</f>
        <v>720</v>
      </c>
      <c r="AD42" s="76" t="s">
        <v>110</v>
      </c>
      <c r="AE42" s="76">
        <v>1</v>
      </c>
      <c r="AF42" s="76" t="s">
        <v>108</v>
      </c>
      <c r="AG42" s="76">
        <v>1</v>
      </c>
      <c r="AH42" s="76" t="s">
        <v>129</v>
      </c>
      <c r="AI42" s="76">
        <v>1</v>
      </c>
      <c r="AJ42" s="76" t="s">
        <v>107</v>
      </c>
      <c r="AK42" s="76">
        <v>1</v>
      </c>
      <c r="AL42" s="76" t="s">
        <v>120</v>
      </c>
      <c r="AM42" s="76">
        <v>1</v>
      </c>
      <c r="AN42" s="76" t="s">
        <v>175</v>
      </c>
      <c r="AO42" s="76">
        <v>1</v>
      </c>
      <c r="AP42" s="76" t="s">
        <v>126</v>
      </c>
      <c r="AQ42" s="76">
        <v>1</v>
      </c>
      <c r="AR42" s="76" t="s">
        <v>121</v>
      </c>
      <c r="AS42" s="76">
        <v>1</v>
      </c>
      <c r="AT42" s="22"/>
      <c r="AU42" s="22"/>
      <c r="AV42" s="22"/>
      <c r="AW42" s="22"/>
      <c r="AX42" s="24">
        <f>IF(AD42="",0,VLOOKUP(AD42,[1]BD_CUSTO!I:J,2,0)*AE42/E42)</f>
        <v>9.137931034482758</v>
      </c>
      <c r="AY42" s="24">
        <f>IF(AF42="",0,VLOOKUP(AF42,[1]BD_CUSTO!I:J,2,0)*AG42/E42)</f>
        <v>39.913793103448278</v>
      </c>
      <c r="AZ42" s="24">
        <f>IF(AH42="",0,VLOOKUP(AH42,[1]BD_CUSTO!I:J,2,0)*AI42/E42)</f>
        <v>474.42686206896553</v>
      </c>
      <c r="BA42" s="24">
        <f>IF(AJ42="",0,VLOOKUP(AJ42,[1]BD_CUSTO!I:J,2,0)*AK42/E42)</f>
        <v>146.80882758620689</v>
      </c>
      <c r="BB42" s="24">
        <f>IF(AL42="",0,VLOOKUP(AL42,[1]BD_CUSTO!I:J,2,0)*AM42/E42)</f>
        <v>98.118758620689647</v>
      </c>
      <c r="BC42" s="24">
        <f>IF(AN42="",0,VLOOKUP(AN42,[1]BD_CUSTO!I:J,2,0)*AO42/E42)</f>
        <v>18.603448275862068</v>
      </c>
      <c r="BD42" s="24">
        <f>IF(AP42="",0,VLOOKUP(AP42,[1]BD_CUSTO!I:J,2,0)*AQ42/E42)</f>
        <v>13.03448275862069</v>
      </c>
      <c r="BE42" s="24">
        <f>IF(AR42="",0,VLOOKUP(AR42,CUSTO!I:J,2,0)*AS42/E42)</f>
        <v>359.14827586206894</v>
      </c>
      <c r="BF42" s="24">
        <f>IF(AT42="",0,VLOOKUP(AT42,[1]BD_CUSTO!I:J,2,0)*AU42/E42)</f>
        <v>0</v>
      </c>
      <c r="BG42" s="24">
        <f>IF(Tabela1[[#This Row],[LZ 10]]="",0,VLOOKUP(Tabela1[[#This Row],[LZ 10]],[1]BD_CUSTO!I:J,2,0)*Tabela1[[#This Row],[QTD922]]/E42)</f>
        <v>0</v>
      </c>
      <c r="BH42" s="76" t="s">
        <v>112</v>
      </c>
      <c r="BI42" s="127">
        <v>0.39</v>
      </c>
      <c r="BJ42" s="76" t="s">
        <v>113</v>
      </c>
      <c r="BK42" s="127">
        <v>0</v>
      </c>
      <c r="BL42" s="24">
        <f>IF(BH42=[1]BD_CUSTO!$M$6,[1]BD_CUSTO!$N$6)*BI42</f>
        <v>1170</v>
      </c>
      <c r="BM42" s="24">
        <f>IF(BJ42=[1]BD_CUSTO!$M$4,[1]BD_CUSTO!$N$4,[1]BD_CUSTO!$N$5)*BK42</f>
        <v>0</v>
      </c>
      <c r="BN42" s="76" t="s">
        <v>114</v>
      </c>
      <c r="BO42" s="76">
        <v>309</v>
      </c>
      <c r="BP42" s="25">
        <f>Tabela1[[#This Row],[QTD ]]/Tabela1[[#This Row],[Nº UNDS]]</f>
        <v>0.53275862068965518</v>
      </c>
      <c r="BQ42" s="76" t="s">
        <v>123</v>
      </c>
      <c r="BR42" s="76">
        <v>158</v>
      </c>
      <c r="BS42" s="76" t="s">
        <v>116</v>
      </c>
      <c r="BT42" s="22">
        <v>0</v>
      </c>
      <c r="BU42" s="22" t="s">
        <v>16</v>
      </c>
      <c r="BV42" s="22">
        <v>0</v>
      </c>
      <c r="BW42" s="24">
        <f>IF(BN42=[1]BD_CUSTO!$Q$7,[1]BD_CUSTO!$R$7,[1]BD_CUSTO!$R$8)*BO42/E42</f>
        <v>1065.5172413793102</v>
      </c>
      <c r="BX42" s="24">
        <f>IF(BQ42=[1]BD_CUSTO!$Q$4,[1]BD_CUSTO!$R$4,[1]BD_CUSTO!$R$5)*BR42/E42</f>
        <v>272.41379310344826</v>
      </c>
      <c r="BY42" s="22">
        <f>IF(BS42=[1]BD_CUSTO!$Q$13,[1]BD_CUSTO!$R$13,[1]BD_CUSTO!$R$14)*BT42/E42</f>
        <v>0</v>
      </c>
      <c r="BZ42" s="24">
        <f>BV42*CUSTO!$R$10/E42</f>
        <v>0</v>
      </c>
      <c r="CA42" s="26">
        <f>SUM(Tabela1[[#This Row],[SOMA_PISO SALA E QUARTO]],Tabela1[[#This Row],[SOMA_PAREDE HIDR]],Tabela1[[#This Row],[SOMA_TETO]],Tabela1[[#This Row],[SOMA_BANCADA]],Tabela1[[#This Row],[SOMA_PEDRAS]])</f>
        <v>3990</v>
      </c>
      <c r="CB42" s="27" t="str">
        <f>IF(CA42&lt;=RÉGUAS!$D$4,"ACAB 01",IF(CA42&lt;=RÉGUAS!$F$4,"ACAB 02",IF(CA42&gt;RÉGUAS!$F$4,"ACAB 03",)))</f>
        <v>ACAB 02</v>
      </c>
      <c r="CC42" s="26">
        <f>SUM(Tabela1[[#This Row],[SOMA_LZ 01]:[SOMA_LZ 10]])</f>
        <v>1159.1923793103449</v>
      </c>
      <c r="CD42" s="22" t="str">
        <f>IF(CC42&lt;=RÉGUAS!$D$13,"LZ 01",IF(CC42&lt;=RÉGUAS!$F$13,"LZ 02",IF(CC42&lt;=RÉGUAS!$H$13,"LZ 03",IF(CC42&gt;RÉGUAS!$H$13,"LZ 04",))))</f>
        <v>LZ 02</v>
      </c>
      <c r="CE42" s="28">
        <f t="shared" si="8"/>
        <v>1170</v>
      </c>
      <c r="CF42" s="22" t="str">
        <f>IF(CE42&lt;=RÉGUAS!$D$22,"TIP 01",IF(CE42&lt;=RÉGUAS!$F$22,"TIP 02",IF(CE42&gt;RÉGUAS!$F$22,"TIP 03",)))</f>
        <v>TIP 01</v>
      </c>
      <c r="CG42" s="28">
        <f t="shared" si="9"/>
        <v>1337.9310344827586</v>
      </c>
      <c r="CH42" s="22" t="str">
        <f>IF(CG42&lt;=RÉGUAS!$D$32,"VAGA 01",IF(CG42&lt;=RÉGUAS!$F$32,"VAGA 02",IF(CG42&gt;RÉGUAS!$F$32,"VAGA 03",)))</f>
        <v>VAGA 02</v>
      </c>
      <c r="CI42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42" s="85" t="str">
        <f>IF(AND(G42="BLOCO",CI42&lt;=RÉGUAS!$D$40),"ELEV 01",IF(AND(G42="BLOCO",CI42&gt;RÉGUAS!$D$40),"ELEV 02",IF(AND(G42="TORRE",CI42&lt;=RÉGUAS!$K$40),"ELEV 01",IF(AND(G42="TORRE",CI42&lt;=RÉGUAS!$M$40),"ELEV 02",IF(AND(G42="TORRE",CI42&gt;RÉGUAS!$M$40),"ELEV 03",)))))</f>
        <v>ELEV 01</v>
      </c>
      <c r="CK42" s="85">
        <f>SUM(Tabela1[[#This Row],[TOTAL  ACAB]],Tabela1[[#This Row],[TOTAL LAZER ]],Tabela1[[#This Row],[TOTAL TIPOLOGIA]],Tabela1[[#This Row],[TOTAL VAGA]],Tabela1[[#This Row],[TOTAL ELEVADOR]])</f>
        <v>7657.1234137931042</v>
      </c>
      <c r="CL42" s="72" t="str">
        <f>IF(AND(G42="BLOCO",CK42&lt;=RÉGUAS!$D$50),"ESSENCIAL",IF(AND(G42="BLOCO",CK42&lt;=RÉGUAS!$F$50),"ECO",IF(AND(G42="BLOCO",CK42&gt;RÉGUAS!$F$50),"BIO",IF(AND(G42="TORRE",CK42&lt;=RÉGUAS!$K$50),"ESSENCIAL",IF(AND(G42="TORRE",CK42&lt;=RÉGUAS!$M$50),"ECO",IF(AND(G42="TORRE",CK42&gt;RÉGUAS!$M$50),"BIO",))))))</f>
        <v>ESSENCIAL</v>
      </c>
      <c r="CM42" s="28" t="str">
        <f>IF(AND(G42="BLOCO",CK42&gt;=RÉGUAS!$D$51,CK42&lt;=RÉGUAS!$D$50),"ESSENCIAL-10%",IF(AND(G42="BLOCO",CK42&gt;RÉGUAS!$D$50,CK42&lt;=RÉGUAS!$E$51),"ECO+10%",IF(AND(G42="BLOCO",CK42&gt;=RÉGUAS!$F$51,CK42&lt;=RÉGUAS!$F$50),"ECO-10%",IF(AND(G42="BLOCO",CK42&gt;RÉGUAS!$F$50,CK42&lt;=RÉGUAS!$G$51),"BIO+10%",IF(AND(G42="TORRE",CK42&gt;=RÉGUAS!$K$51,CK42&lt;=RÉGUAS!$K$50),"ESSENCIAL-10%",IF(AND(G42="TORRE",CK42&gt;RÉGUAS!$K$50,CK42&lt;=RÉGUAS!$L$51),"ECO+10%",IF(AND(G42="TORRE",CK42&gt;=RÉGUAS!$M$51,CK42&lt;=RÉGUAS!$M$50),"ECO-10%",IF(AND(G42="TORRE",CK42&gt;RÉGUAS!$M$50,CK42&lt;=RÉGUAS!$N$51),"BIO+10%","-"))))))))</f>
        <v>ESSENCIAL-10%</v>
      </c>
      <c r="CN42" s="73">
        <f t="shared" si="10"/>
        <v>7657.1234137931042</v>
      </c>
      <c r="CO42" s="72" t="str">
        <f>IF(CN42&lt;=RÉGUAS!$D$58,"ESSENCIAL",IF(CN42&lt;=RÉGUAS!$F$58,"ECO",IF(CN42&gt;RÉGUAS!$F$58,"BIO",)))</f>
        <v>ECO</v>
      </c>
      <c r="CP42" s="72" t="str">
        <f>IF(Tabela1[[#This Row],[INTERVALO DE INTERSEÇÃO 5D]]="-",Tabela1[[#This Row],[CLASSIFICAÇÃO 
5D ]],Tabela1[[#This Row],[CLASSIFICAÇÃO 
4D]])</f>
        <v>ECO</v>
      </c>
      <c r="CQ42" s="72" t="str">
        <f t="shared" si="11"/>
        <v>-</v>
      </c>
      <c r="CR42" s="72" t="str">
        <f t="shared" si="12"/>
        <v>ECO</v>
      </c>
      <c r="CS42" s="22" t="str">
        <f>IF(Tabela1[[#This Row],[PRODUTO ATUAL ]]=Tabela1[[#This Row],[CLASSIFICAÇÃO FINAL 5D]],"ADERÊNTE","NÃO ADERÊNTE")</f>
        <v>NÃO ADERÊNTE</v>
      </c>
      <c r="CT42" s="24">
        <f>SUM(Tabela1[[#This Row],[TOTAL  ACAB]],Tabela1[[#This Row],[TOTAL LAZER ]],Tabela1[[#This Row],[TOTAL TIPOLOGIA]],Tabela1[[#This Row],[TOTAL VAGA]])</f>
        <v>7657.1234137931042</v>
      </c>
      <c r="CU42" s="22" t="str">
        <f>IF(CT42&lt;=RÉGUAS!$D$58,"ESSENCIAL",IF(CT42&lt;=RÉGUAS!$F$58,"ECO",IF(CT42&gt;RÉGUAS!$F$58,"BIO",)))</f>
        <v>ECO</v>
      </c>
      <c r="CV42" s="22" t="str">
        <f>IF(AND(CT42&gt;=RÉGUAS!$D$59,CT42&lt;=RÉGUAS!$E$59),"ESSENCIAL/ECO",IF(AND(CT42&gt;=RÉGUAS!$F$59,CT42&lt;=RÉGUAS!$G$59),"ECO/BIO","-"))</f>
        <v>-</v>
      </c>
      <c r="CW42" s="85">
        <f>SUM(Tabela1[[#This Row],[TOTAL LAZER ]],Tabela1[[#This Row],[TOTAL TIPOLOGIA]])</f>
        <v>2329.1923793103451</v>
      </c>
      <c r="CX42" s="22" t="str">
        <f>IF(CW42&lt;=RÉGUAS!$D$72,"ESSENCIAL",IF(CW42&lt;=RÉGUAS!$F$72,"ECO",IF(CN42&gt;RÉGUAS!$F$72,"BIO",)))</f>
        <v>ECO</v>
      </c>
      <c r="CY42" s="22" t="str">
        <f t="shared" si="13"/>
        <v>ECO</v>
      </c>
      <c r="CZ42" s="22" t="str">
        <f>IF(Tabela1[[#This Row],[PRODUTO ATUAL ]]=CY42,"ADERENTE","NÃO ADERENTE")</f>
        <v>NÃO ADERENTE</v>
      </c>
      <c r="DA42" s="22" t="str">
        <f>IF(Tabela1[[#This Row],[PRODUTO ATUAL ]]=Tabela1[[#This Row],[CLASSIFICAÇÃO 
4D2]],"ADERENTE","NÃO ADERENTE")</f>
        <v>NÃO ADERENTE</v>
      </c>
    </row>
    <row r="43" spans="2:105" hidden="1" x14ac:dyDescent="0.35">
      <c r="B43" s="27">
        <v>25</v>
      </c>
      <c r="C43" s="22" t="s">
        <v>185</v>
      </c>
      <c r="D43" s="22" t="s">
        <v>100</v>
      </c>
      <c r="E43" s="23">
        <v>592</v>
      </c>
      <c r="F43" s="22" t="str">
        <f t="shared" si="7"/>
        <v>Acima de 400 und</v>
      </c>
      <c r="G43" s="22" t="s">
        <v>1</v>
      </c>
      <c r="H43" s="36">
        <v>37</v>
      </c>
      <c r="I43" s="36">
        <v>4</v>
      </c>
      <c r="J43" s="36"/>
      <c r="K43" s="36"/>
      <c r="L43" s="36">
        <f>SUM(Tabela1[[#This Row],[QTD DE B/T 2]],Tabela1[[#This Row],[QTD DE B/T]])</f>
        <v>37</v>
      </c>
      <c r="M43" s="22">
        <v>3</v>
      </c>
      <c r="N43" s="22">
        <f>Tabela1[[#This Row],[ELEVADOR]]/Tabela1[[#This Row],[BLOCO TOTAL]]</f>
        <v>8.1081081081081086E-2</v>
      </c>
      <c r="O43" s="22" t="s">
        <v>6</v>
      </c>
      <c r="P43" s="22" t="s">
        <v>101</v>
      </c>
      <c r="Q43" s="22" t="s">
        <v>101</v>
      </c>
      <c r="R43" s="22" t="s">
        <v>102</v>
      </c>
      <c r="S43" s="22" t="s">
        <v>103</v>
      </c>
      <c r="T43" s="22" t="s">
        <v>104</v>
      </c>
      <c r="U43" s="22" t="s">
        <v>105</v>
      </c>
      <c r="V43" s="22" t="s">
        <v>106</v>
      </c>
      <c r="W43" s="24">
        <f>IF(P43=[1]BD_CUSTO!$E$4,[1]BD_CUSTO!$F$4,[1]BD_CUSTO!$F$5)</f>
        <v>2430</v>
      </c>
      <c r="X43" s="24">
        <f>IF(Q43=[1]BD_CUSTO!$E$6,[1]BD_CUSTO!$F$6,[1]BD_CUSTO!$F$7)</f>
        <v>260</v>
      </c>
      <c r="Y43" s="24">
        <f>IF(R43=[1]BD_CUSTO!$E$8,[1]BD_CUSTO!$F$8,[1]BD_CUSTO!$F$9)</f>
        <v>600</v>
      </c>
      <c r="Z43" s="24">
        <f>IF(S43=[1]BD_CUSTO!$E$10,[1]BD_CUSTO!$F$10,[1]BD_CUSTO!$F$11)</f>
        <v>500</v>
      </c>
      <c r="AA43" s="24">
        <f>IF(T43=[1]BD_CUSTO!$E$12,[1]BD_CUSTO!$F$12,[1]BD_CUSTO!$F$13)</f>
        <v>370</v>
      </c>
      <c r="AB43" s="24">
        <f>IF(U43=[1]BD_CUSTO!$E$14,[1]BD_CUSTO!$F$14,[1]BD_CUSTO!$F$15)</f>
        <v>90</v>
      </c>
      <c r="AC43" s="24">
        <f>IF(V43=[1]BD_CUSTO!$E$16,[1]BD_CUSTO!$F$16,[1]BD_CUSTO!$F$17)</f>
        <v>720</v>
      </c>
      <c r="AD43" s="22" t="s">
        <v>110</v>
      </c>
      <c r="AE43" s="22">
        <v>1</v>
      </c>
      <c r="AF43" s="22" t="s">
        <v>108</v>
      </c>
      <c r="AG43" s="22">
        <v>1</v>
      </c>
      <c r="AH43" s="22" t="s">
        <v>111</v>
      </c>
      <c r="AI43" s="22">
        <v>1</v>
      </c>
      <c r="AJ43" s="22" t="s">
        <v>107</v>
      </c>
      <c r="AK43" s="22">
        <v>3</v>
      </c>
      <c r="AL43" s="22" t="s">
        <v>120</v>
      </c>
      <c r="AM43" s="22">
        <v>1</v>
      </c>
      <c r="AN43" s="22" t="s">
        <v>133</v>
      </c>
      <c r="AO43" s="22">
        <v>2</v>
      </c>
      <c r="AP43" s="22" t="s">
        <v>126</v>
      </c>
      <c r="AQ43" s="22">
        <v>1</v>
      </c>
      <c r="AR43" s="22"/>
      <c r="AS43" s="22"/>
      <c r="AT43" s="22"/>
      <c r="AU43" s="22"/>
      <c r="AV43" s="22"/>
      <c r="AW43" s="22"/>
      <c r="AX43" s="24">
        <f>IF(AD43="",0,VLOOKUP(AD43,[1]BD_CUSTO!I:J,2,0)*AE43/E43)</f>
        <v>8.9527027027027035</v>
      </c>
      <c r="AY43" s="24">
        <f>IF(AF43="",0,VLOOKUP(AF43,[1]BD_CUSTO!I:J,2,0)*AG43/E43)</f>
        <v>39.104729729729726</v>
      </c>
      <c r="AZ43" s="24">
        <f>IF(AH43="",0,VLOOKUP(AH43,[1]BD_CUSTO!I:J,2,0)*AI43/E43)</f>
        <v>27.364864864864863</v>
      </c>
      <c r="BA43" s="24">
        <f>IF(AJ43="",0,VLOOKUP(AJ43,[1]BD_CUSTO!I:J,2,0)*AK43/E43)</f>
        <v>431.49891891891889</v>
      </c>
      <c r="BB43" s="24">
        <f>IF(AL43="",0,VLOOKUP(AL43,[1]BD_CUSTO!I:J,2,0)*AM43/E43)</f>
        <v>96.129864864864857</v>
      </c>
      <c r="BC43" s="24">
        <f>IF(AN43="",0,VLOOKUP(AN43,[1]BD_CUSTO!I:J,2,0)*AO43/E43)</f>
        <v>23.513513513513512</v>
      </c>
      <c r="BD43" s="24">
        <f>IF(AP43="",0,VLOOKUP(AP43,[1]BD_CUSTO!I:J,2,0)*AQ43/E43)</f>
        <v>12.77027027027027</v>
      </c>
      <c r="BE43" s="24">
        <f>IF(AR43="",0,VLOOKUP(AR43,CUSTO!I:J,2,0)*AS43/E43)</f>
        <v>0</v>
      </c>
      <c r="BF43" s="24">
        <f>IF(AT43="",0,VLOOKUP(AT43,[1]BD_CUSTO!I:J,2,0)*AU43/E43)</f>
        <v>0</v>
      </c>
      <c r="BG43" s="24">
        <f>IF(Tabela1[[#This Row],[LZ 10]]="",0,VLOOKUP(Tabela1[[#This Row],[LZ 10]],[1]BD_CUSTO!I:J,2,0)*Tabela1[[#This Row],[QTD922]]/E43)</f>
        <v>0</v>
      </c>
      <c r="BH43" s="22" t="s">
        <v>112</v>
      </c>
      <c r="BI43" s="25">
        <v>0.375</v>
      </c>
      <c r="BJ43" s="22" t="s">
        <v>113</v>
      </c>
      <c r="BK43" s="25">
        <v>0</v>
      </c>
      <c r="BL43" s="24">
        <f>IF(BH43=[1]BD_CUSTO!$M$6,[1]BD_CUSTO!$N$6)*BI43</f>
        <v>1125</v>
      </c>
      <c r="BM43" s="24">
        <f>IF(BJ43=[1]BD_CUSTO!$M$4,[1]BD_CUSTO!$N$4,[1]BD_CUSTO!$N$5)*BK43</f>
        <v>0</v>
      </c>
      <c r="BN43" s="22" t="s">
        <v>114</v>
      </c>
      <c r="BO43" s="22">
        <v>592</v>
      </c>
      <c r="BP43" s="25">
        <f>Tabela1[[#This Row],[QTD ]]/Tabela1[[#This Row],[Nº UNDS]]</f>
        <v>1</v>
      </c>
      <c r="BQ43" s="22" t="s">
        <v>115</v>
      </c>
      <c r="BR43" s="22">
        <v>0</v>
      </c>
      <c r="BS43" s="22" t="s">
        <v>116</v>
      </c>
      <c r="BT43" s="22">
        <v>0</v>
      </c>
      <c r="BU43" s="22" t="s">
        <v>16</v>
      </c>
      <c r="BV43" s="22">
        <v>0</v>
      </c>
      <c r="BW43" s="24">
        <f>IF(BN43=[1]BD_CUSTO!$Q$7,[1]BD_CUSTO!$R$7,[1]BD_CUSTO!$R$8)*BO43/E43</f>
        <v>2000</v>
      </c>
      <c r="BX43" s="24">
        <f>IF(BQ43=[1]BD_CUSTO!$Q$4,[1]BD_CUSTO!$R$4,[1]BD_CUSTO!$R$5)*BR43/E43</f>
        <v>0</v>
      </c>
      <c r="BY43" s="22">
        <f>IF(BS43=[1]BD_CUSTO!$Q$13,[1]BD_CUSTO!$R$13,[1]BD_CUSTO!$R$14)*BT43/E43</f>
        <v>0</v>
      </c>
      <c r="BZ43" s="24">
        <f>BV43*CUSTO!$R$10/E43</f>
        <v>0</v>
      </c>
      <c r="CA43" s="26">
        <f>SUM(Tabela1[[#This Row],[SOMA_PISO SALA E QUARTO]],Tabela1[[#This Row],[SOMA_PAREDE HIDR]],Tabela1[[#This Row],[SOMA_TETO]],Tabela1[[#This Row],[SOMA_BANCADA]],Tabela1[[#This Row],[SOMA_PEDRAS]])</f>
        <v>3990</v>
      </c>
      <c r="CB43" s="27" t="str">
        <f>IF(CA43&lt;=RÉGUAS!$D$4,"ACAB 01",IF(CA43&lt;=RÉGUAS!$F$4,"ACAB 02",IF(CA43&gt;RÉGUAS!$F$4,"ACAB 03",)))</f>
        <v>ACAB 02</v>
      </c>
      <c r="CC43" s="26">
        <f>SUM(Tabela1[[#This Row],[SOMA_LZ 01]:[SOMA_LZ 10]])</f>
        <v>639.33486486486493</v>
      </c>
      <c r="CD43" s="22" t="str">
        <f>IF(CC43&lt;=RÉGUAS!$D$13,"LZ 01",IF(CC43&lt;=RÉGUAS!$F$13,"LZ 02",IF(CC43&lt;=RÉGUAS!$H$13,"LZ 03",IF(CC43&gt;RÉGUAS!$H$13,"LZ 04",))))</f>
        <v>LZ 01</v>
      </c>
      <c r="CE43" s="28">
        <f t="shared" si="8"/>
        <v>1125</v>
      </c>
      <c r="CF43" s="22" t="str">
        <f>IF(CE43&lt;=RÉGUAS!$D$22,"TIP 01",IF(CE43&lt;=RÉGUAS!$F$22,"TIP 02",IF(CE43&gt;RÉGUAS!$F$22,"TIP 03",)))</f>
        <v>TIP 01</v>
      </c>
      <c r="CG43" s="28">
        <f t="shared" si="9"/>
        <v>2000</v>
      </c>
      <c r="CH43" s="22" t="str">
        <f>IF(CG43&lt;=RÉGUAS!$D$32,"VAGA 01",IF(CG43&lt;=RÉGUAS!$F$32,"VAGA 02",IF(CG43&gt;RÉGUAS!$F$32,"VAGA 03",)))</f>
        <v>VAGA 02</v>
      </c>
      <c r="CI43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608.67567567567562</v>
      </c>
      <c r="CJ43" s="85" t="str">
        <f>IF(AND(G43="BLOCO",CI43&lt;=RÉGUAS!$D$40),"ELEV 01",IF(AND(G43="BLOCO",CI43&gt;RÉGUAS!$D$40),"ELEV 02",IF(AND(G43="TORRE",CI43&lt;=RÉGUAS!$K$40),"ELEV 01",IF(AND(G43="TORRE",CI43&lt;=RÉGUAS!$M$40),"ELEV 02",IF(AND(G43="TORRE",CI43&gt;RÉGUAS!$M$40),"ELEV 03",)))))</f>
        <v>ELEV 02</v>
      </c>
      <c r="CK43" s="85">
        <f>SUM(Tabela1[[#This Row],[TOTAL  ACAB]],Tabela1[[#This Row],[TOTAL LAZER ]],Tabela1[[#This Row],[TOTAL TIPOLOGIA]],Tabela1[[#This Row],[TOTAL VAGA]],Tabela1[[#This Row],[TOTAL ELEVADOR]])</f>
        <v>8363.0105405405411</v>
      </c>
      <c r="CL43" s="72" t="str">
        <f>IF(AND(G43="BLOCO",CK43&lt;=RÉGUAS!$D$50),"ESSENCIAL",IF(AND(G43="BLOCO",CK43&lt;=RÉGUAS!$F$50),"ECO",IF(AND(G43="BLOCO",CK43&gt;RÉGUAS!$F$50),"BIO",IF(AND(G43="TORRE",CK43&lt;=RÉGUAS!$K$50),"ESSENCIAL",IF(AND(G43="TORRE",CK43&lt;=RÉGUAS!$M$50),"ECO",IF(AND(G43="TORRE",CK43&gt;RÉGUAS!$M$50),"BIO",))))))</f>
        <v>ECO</v>
      </c>
      <c r="CM43" s="28" t="str">
        <f>IF(AND(G43="BLOCO",CK43&gt;=RÉGUAS!$D$51,CK43&lt;=RÉGUAS!$D$50),"ESSENCIAL-10%",IF(AND(G43="BLOCO",CK43&gt;RÉGUAS!$D$50,CK43&lt;=RÉGUAS!$E$51),"ECO+10%",IF(AND(G43="BLOCO",CK43&gt;=RÉGUAS!$F$51,CK43&lt;=RÉGUAS!$F$50),"ECO-10%",IF(AND(G43="BLOCO",CK43&gt;RÉGUAS!$F$50,CK43&lt;=RÉGUAS!$G$51),"BIO+10%",IF(AND(G43="TORRE",CK43&gt;=RÉGUAS!$K$51,CK43&lt;=RÉGUAS!$K$50),"ESSENCIAL-10%",IF(AND(G43="TORRE",CK43&gt;RÉGUAS!$K$50,CK43&lt;=RÉGUAS!$L$51),"ECO+10%",IF(AND(G43="TORRE",CK43&gt;=RÉGUAS!$M$51,CK43&lt;=RÉGUAS!$M$50),"ECO-10%",IF(AND(G43="TORRE",CK43&gt;RÉGUAS!$M$50,CK43&lt;=RÉGUAS!$N$51),"BIO+10%","-"))))))))</f>
        <v>ECO+10%</v>
      </c>
      <c r="CN43" s="73">
        <f t="shared" si="10"/>
        <v>7754.3348648648653</v>
      </c>
      <c r="CO43" s="72" t="str">
        <f>IF(CN43&lt;=RÉGUAS!$D$58,"ESSENCIAL",IF(CN43&lt;=RÉGUAS!$F$58,"ECO",IF(CN43&gt;RÉGUAS!$F$58,"BIO",)))</f>
        <v>ECO</v>
      </c>
      <c r="CP43" s="72" t="str">
        <f>IF(Tabela1[[#This Row],[INTERVALO DE INTERSEÇÃO 5D]]="-",Tabela1[[#This Row],[CLASSIFICAÇÃO 
5D ]],Tabela1[[#This Row],[CLASSIFICAÇÃO 
4D]])</f>
        <v>ECO</v>
      </c>
      <c r="CQ43" s="72" t="str">
        <f t="shared" si="11"/>
        <v>-</v>
      </c>
      <c r="CR43" s="72" t="str">
        <f t="shared" si="12"/>
        <v>ECO</v>
      </c>
      <c r="CS43" s="22" t="str">
        <f>IF(Tabela1[[#This Row],[PRODUTO ATUAL ]]=Tabela1[[#This Row],[CLASSIFICAÇÃO FINAL 5D]],"ADERÊNTE","NÃO ADERÊNTE")</f>
        <v>NÃO ADERÊNTE</v>
      </c>
      <c r="CT43" s="24">
        <f>SUM(Tabela1[[#This Row],[TOTAL  ACAB]],Tabela1[[#This Row],[TOTAL LAZER ]],Tabela1[[#This Row],[TOTAL TIPOLOGIA]],Tabela1[[#This Row],[TOTAL VAGA]])</f>
        <v>7754.3348648648653</v>
      </c>
      <c r="CU43" s="22" t="str">
        <f>IF(CT43&lt;=RÉGUAS!$D$58,"ESSENCIAL",IF(CT43&lt;=RÉGUAS!$F$58,"ECO",IF(CT43&gt;RÉGUAS!$F$58,"BIO",)))</f>
        <v>ECO</v>
      </c>
      <c r="CV43" s="22" t="str">
        <f>IF(AND(CT43&gt;=RÉGUAS!$D$59,CT43&lt;=RÉGUAS!$E$59),"ESSENCIAL/ECO",IF(AND(CT43&gt;=RÉGUAS!$F$59,CT43&lt;=RÉGUAS!$G$59),"ECO/BIO","-"))</f>
        <v>-</v>
      </c>
      <c r="CW43" s="85">
        <f>SUM(Tabela1[[#This Row],[TOTAL LAZER ]],Tabela1[[#This Row],[TOTAL TIPOLOGIA]])</f>
        <v>1764.3348648648648</v>
      </c>
      <c r="CX43" s="22" t="str">
        <f>IF(CW43&lt;=RÉGUAS!$D$72,"ESSENCIAL",IF(CW43&lt;=RÉGUAS!$F$72,"ECO",IF(CN43&gt;RÉGUAS!$F$72,"BIO",)))</f>
        <v>ESSENCIAL</v>
      </c>
      <c r="CY43" s="22" t="str">
        <f t="shared" si="13"/>
        <v>ECO</v>
      </c>
      <c r="CZ43" s="22" t="str">
        <f>IF(Tabela1[[#This Row],[PRODUTO ATUAL ]]=CY43,"ADERENTE","NÃO ADERENTE")</f>
        <v>NÃO ADERENTE</v>
      </c>
      <c r="DA43" s="22" t="str">
        <f>IF(Tabela1[[#This Row],[PRODUTO ATUAL ]]=Tabela1[[#This Row],[CLASSIFICAÇÃO 
4D2]],"ADERENTE","NÃO ADERENTE")</f>
        <v>NÃO ADERENTE</v>
      </c>
    </row>
    <row r="44" spans="2:105" hidden="1" x14ac:dyDescent="0.35">
      <c r="B44" s="27">
        <v>45</v>
      </c>
      <c r="C44" s="22" t="s">
        <v>217</v>
      </c>
      <c r="D44" s="76" t="s">
        <v>125</v>
      </c>
      <c r="E44" s="128">
        <v>560</v>
      </c>
      <c r="F44" s="22" t="str">
        <f t="shared" si="7"/>
        <v>Acima de 400 und</v>
      </c>
      <c r="G44" s="22" t="s">
        <v>14</v>
      </c>
      <c r="H44" s="129">
        <v>1</v>
      </c>
      <c r="I44" s="129">
        <v>10</v>
      </c>
      <c r="J44" s="129">
        <v>5</v>
      </c>
      <c r="K44" s="129">
        <v>12</v>
      </c>
      <c r="L44" s="129">
        <f>SUM(Tabela1[[#This Row],[QTD DE B/T 2]],Tabela1[[#This Row],[QTD DE B/T]])</f>
        <v>6</v>
      </c>
      <c r="M44" s="22">
        <v>12</v>
      </c>
      <c r="N44" s="22">
        <f>Tabela1[[#This Row],[ELEVADOR]]/Tabela1[[#This Row],[BLOCO TOTAL]]</f>
        <v>2</v>
      </c>
      <c r="O44" s="22" t="s">
        <v>6</v>
      </c>
      <c r="P44" s="76" t="s">
        <v>101</v>
      </c>
      <c r="Q44" s="76" t="s">
        <v>101</v>
      </c>
      <c r="R44" s="76" t="s">
        <v>102</v>
      </c>
      <c r="S44" s="76" t="s">
        <v>103</v>
      </c>
      <c r="T44" s="76" t="s">
        <v>104</v>
      </c>
      <c r="U44" s="76" t="s">
        <v>105</v>
      </c>
      <c r="V44" s="22" t="s">
        <v>106</v>
      </c>
      <c r="W44" s="24">
        <f>IF(P44=[1]BD_CUSTO!$E$4,[1]BD_CUSTO!$F$4,[1]BD_CUSTO!$F$5)</f>
        <v>2430</v>
      </c>
      <c r="X44" s="24">
        <f>IF(Q44=[1]BD_CUSTO!$E$6,[1]BD_CUSTO!$F$6,[1]BD_CUSTO!$F$7)</f>
        <v>260</v>
      </c>
      <c r="Y44" s="24">
        <f>IF(R44=[1]BD_CUSTO!$E$8,[1]BD_CUSTO!$F$8,[1]BD_CUSTO!$F$9)</f>
        <v>600</v>
      </c>
      <c r="Z44" s="24">
        <f>IF(S44=[1]BD_CUSTO!$E$10,[1]BD_CUSTO!$F$10,[1]BD_CUSTO!$F$11)</f>
        <v>500</v>
      </c>
      <c r="AA44" s="24">
        <f>IF(T44=[1]BD_CUSTO!$E$12,[1]BD_CUSTO!$F$12,[1]BD_CUSTO!$F$13)</f>
        <v>370</v>
      </c>
      <c r="AB44" s="24">
        <f>IF(U44=[1]BD_CUSTO!$E$14,[1]BD_CUSTO!$F$14,[1]BD_CUSTO!$F$15)</f>
        <v>90</v>
      </c>
      <c r="AC44" s="24">
        <f>IF(V44=[1]BD_CUSTO!$E$16,[1]BD_CUSTO!$F$16,[1]BD_CUSTO!$F$17)</f>
        <v>720</v>
      </c>
      <c r="AD44" s="76" t="s">
        <v>110</v>
      </c>
      <c r="AE44" s="76">
        <v>1</v>
      </c>
      <c r="AF44" s="76" t="s">
        <v>107</v>
      </c>
      <c r="AG44" s="76">
        <v>2</v>
      </c>
      <c r="AH44" s="76" t="s">
        <v>129</v>
      </c>
      <c r="AI44" s="76">
        <v>1</v>
      </c>
      <c r="AJ44" s="76" t="s">
        <v>108</v>
      </c>
      <c r="AK44" s="76">
        <v>1</v>
      </c>
      <c r="AL44" s="130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4">
        <f>IF(AD44="",0,VLOOKUP(AD44,[1]BD_CUSTO!I:J,2,0)*AE44/E44)</f>
        <v>9.4642857142857135</v>
      </c>
      <c r="AY44" s="24">
        <f>IF(AF44="",0,VLOOKUP(AF44,[1]BD_CUSTO!I:J,2,0)*AG44/E44)</f>
        <v>304.10399999999998</v>
      </c>
      <c r="AZ44" s="24">
        <f>IF(AH44="",0,VLOOKUP(AH44,[1]BD_CUSTO!I:J,2,0)*AI44/E44)</f>
        <v>491.37067857142858</v>
      </c>
      <c r="BA44" s="24">
        <f>IF(AJ44="",0,VLOOKUP(AJ44,[1]BD_CUSTO!I:J,2,0)*AK44/E44)</f>
        <v>41.339285714285715</v>
      </c>
      <c r="BB44" s="24">
        <f>IF(AL44="",0,VLOOKUP(AL44,[1]BD_CUSTO!I:J,2,0)*AM44/E44)</f>
        <v>0</v>
      </c>
      <c r="BC44" s="24">
        <f>IF(AN44="",0,VLOOKUP(AN44,[1]BD_CUSTO!I:J,2,0)*AO44/E44)</f>
        <v>0</v>
      </c>
      <c r="BD44" s="24">
        <f>IF(AP44="",0,VLOOKUP(AP44,[1]BD_CUSTO!I:J,2,0)*AQ44/E44)</f>
        <v>0</v>
      </c>
      <c r="BE44" s="24">
        <f>IF(AR44="",0,VLOOKUP(AR44,CUSTO!I:J,2,0)*AS44/E44)</f>
        <v>0</v>
      </c>
      <c r="BF44" s="24">
        <f>IF(AT44="",0,VLOOKUP(AT44,[1]BD_CUSTO!I:J,2,0)*AU44/E44)</f>
        <v>0</v>
      </c>
      <c r="BG44" s="24">
        <f>IF(Tabela1[[#This Row],[LZ 10]]="",0,VLOOKUP(Tabela1[[#This Row],[LZ 10]],[1]BD_CUSTO!I:J,2,0)*Tabela1[[#This Row],[QTD922]]/E44)</f>
        <v>0</v>
      </c>
      <c r="BH44" s="76" t="s">
        <v>112</v>
      </c>
      <c r="BI44" s="127">
        <f>512/Tabela1[[#This Row],[Nº UNDS]]</f>
        <v>0.91428571428571426</v>
      </c>
      <c r="BJ44" s="76" t="s">
        <v>113</v>
      </c>
      <c r="BK44" s="127">
        <v>0</v>
      </c>
      <c r="BL44" s="24">
        <f>IF(BH44=[1]BD_CUSTO!$M$6,[1]BD_CUSTO!$N$6)*BI44</f>
        <v>2742.8571428571427</v>
      </c>
      <c r="BM44" s="24">
        <f>IF(BJ44=[1]BD_CUSTO!$M$4,[1]BD_CUSTO!$N$4,[1]BD_CUSTO!$N$5)*BK44</f>
        <v>0</v>
      </c>
      <c r="BN44" s="76" t="s">
        <v>114</v>
      </c>
      <c r="BO44" s="76">
        <f>564</f>
        <v>564</v>
      </c>
      <c r="BP44" s="25">
        <f>Tabela1[[#This Row],[QTD ]]/Tabela1[[#This Row],[Nº UNDS]]</f>
        <v>1.0071428571428571</v>
      </c>
      <c r="BQ44" s="76" t="s">
        <v>123</v>
      </c>
      <c r="BR44" s="76">
        <v>4</v>
      </c>
      <c r="BS44" s="22" t="s">
        <v>116</v>
      </c>
      <c r="BT44" s="22">
        <v>0</v>
      </c>
      <c r="BU44" s="22" t="s">
        <v>16</v>
      </c>
      <c r="BV44" s="22">
        <v>0</v>
      </c>
      <c r="BW44" s="24">
        <f>IF(BN44=[1]BD_CUSTO!$Q$7,[1]BD_CUSTO!$R$7,[1]BD_CUSTO!$R$8)*BO44/E44</f>
        <v>2014.2857142857142</v>
      </c>
      <c r="BX44" s="24">
        <f>IF(BQ44=[1]BD_CUSTO!$Q$4,[1]BD_CUSTO!$R$4,[1]BD_CUSTO!$R$5)*BR44/E44</f>
        <v>7.1428571428571432</v>
      </c>
      <c r="BY44" s="22">
        <f>IF(BS44=[1]BD_CUSTO!$Q$13,[1]BD_CUSTO!$R$13,[1]BD_CUSTO!$R$14)*BT44/E44</f>
        <v>0</v>
      </c>
      <c r="BZ44" s="24">
        <f>BV44*CUSTO!$R$10/E44</f>
        <v>0</v>
      </c>
      <c r="CA44" s="26">
        <f>SUM(Tabela1[[#This Row],[SOMA_PISO SALA E QUARTO]],Tabela1[[#This Row],[SOMA_PAREDE HIDR]],Tabela1[[#This Row],[SOMA_TETO]],Tabela1[[#This Row],[SOMA_BANCADA]],Tabela1[[#This Row],[SOMA_PEDRAS]])</f>
        <v>3990</v>
      </c>
      <c r="CB44" s="27" t="str">
        <f>IF(CA44&lt;=RÉGUAS!$D$4,"ACAB 01",IF(CA44&lt;=RÉGUAS!$F$4,"ACAB 02",IF(CA44&gt;RÉGUAS!$F$4,"ACAB 03",)))</f>
        <v>ACAB 02</v>
      </c>
      <c r="CC44" s="26">
        <f>SUM(Tabela1[[#This Row],[SOMA_LZ 01]:[SOMA_LZ 10]])</f>
        <v>846.27824999999996</v>
      </c>
      <c r="CD44" s="22" t="str">
        <f>IF(CC44&lt;=RÉGUAS!$D$13,"LZ 01",IF(CC44&lt;=RÉGUAS!$F$13,"LZ 02",IF(CC44&lt;=RÉGUAS!$H$13,"LZ 03",IF(CC44&gt;RÉGUAS!$H$13,"LZ 04",))))</f>
        <v>LZ 02</v>
      </c>
      <c r="CE44" s="28">
        <f t="shared" si="8"/>
        <v>2742.8571428571427</v>
      </c>
      <c r="CF44" s="22" t="str">
        <f>IF(CE44&lt;=RÉGUAS!$D$22,"TIP 01",IF(CE44&lt;=RÉGUAS!$F$22,"TIP 02",IF(CE44&gt;RÉGUAS!$F$22,"TIP 03",)))</f>
        <v>TIP 02</v>
      </c>
      <c r="CG44" s="28">
        <f t="shared" si="9"/>
        <v>2021.4285714285713</v>
      </c>
      <c r="CH44" s="22" t="str">
        <f>IF(CG44&lt;=RÉGUAS!$D$32,"VAGA 01",IF(CG44&lt;=RÉGUAS!$F$32,"VAGA 02",IF(CG44&gt;RÉGUAS!$F$32,"VAGA 03",)))</f>
        <v>VAGA 02</v>
      </c>
      <c r="CI44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9308.3571428571431</v>
      </c>
      <c r="CJ44" s="85" t="str">
        <f>IF(AND(G44="BLOCO",CI44&lt;=RÉGUAS!$D$40),"ELEV 01",IF(AND(G44="BLOCO",CI44&gt;RÉGUAS!$D$40),"ELEV 02",IF(AND(G44="TORRE",CI44&lt;=RÉGUAS!$K$40),"ELEV 01",IF(AND(G44="TORRE",CI44&lt;=RÉGUAS!$M$40),"ELEV 02",IF(AND(G44="TORRE",CI44&gt;RÉGUAS!$M$40),"ELEV 03",)))))</f>
        <v>ELEV 03</v>
      </c>
      <c r="CK44" s="85">
        <f>SUM(Tabela1[[#This Row],[TOTAL  ACAB]],Tabela1[[#This Row],[TOTAL LAZER ]],Tabela1[[#This Row],[TOTAL TIPOLOGIA]],Tabela1[[#This Row],[TOTAL VAGA]],Tabela1[[#This Row],[TOTAL ELEVADOR]])</f>
        <v>18908.921107142858</v>
      </c>
      <c r="CL44" s="72" t="str">
        <f>IF(AND(G44="BLOCO",CK44&lt;=RÉGUAS!$D$50),"ESSENCIAL",IF(AND(G44="BLOCO",CK44&lt;=RÉGUAS!$F$50),"ECO",IF(AND(G44="BLOCO",CK44&gt;RÉGUAS!$F$50),"BIO",IF(AND(G44="TORRE",CK44&lt;=RÉGUAS!$K$50),"ESSENCIAL",IF(AND(G44="TORRE",CK44&lt;=RÉGUAS!$M$50),"ECO",IF(AND(G44="TORRE",CK44&gt;RÉGUAS!$M$50),"BIO",))))))</f>
        <v>BIO</v>
      </c>
      <c r="CM44" s="28" t="str">
        <f>IF(AND(G44="BLOCO",CK44&gt;=RÉGUAS!$D$51,CK44&lt;=RÉGUAS!$D$50),"ESSENCIAL-10%",IF(AND(G44="BLOCO",CK44&gt;RÉGUAS!$D$50,CK44&lt;=RÉGUAS!$E$51),"ECO+10%",IF(AND(G44="BLOCO",CK44&gt;=RÉGUAS!$F$51,CK44&lt;=RÉGUAS!$F$50),"ECO-10%",IF(AND(G44="BLOCO",CK44&gt;RÉGUAS!$F$50,CK44&lt;=RÉGUAS!$G$51),"BIO+10%",IF(AND(G44="TORRE",CK44&gt;=RÉGUAS!$K$51,CK44&lt;=RÉGUAS!$K$50),"ESSENCIAL-10%",IF(AND(G44="TORRE",CK44&gt;RÉGUAS!$K$50,CK44&lt;=RÉGUAS!$L$51),"ECO+10%",IF(AND(G44="TORRE",CK44&gt;=RÉGUAS!$M$51,CK44&lt;=RÉGUAS!$M$50),"ECO-10%",IF(AND(G44="TORRE",CK44&gt;RÉGUAS!$M$50,CK44&lt;=RÉGUAS!$N$51),"BIO+10%","-"))))))))</f>
        <v>-</v>
      </c>
      <c r="CN44" s="73">
        <f t="shared" si="10"/>
        <v>9600.5639642857132</v>
      </c>
      <c r="CO44" s="72" t="str">
        <f>IF(CN44&lt;=RÉGUAS!$D$58,"ESSENCIAL",IF(CN44&lt;=RÉGUAS!$F$58,"ECO",IF(CN44&gt;RÉGUAS!$F$58,"BIO",)))</f>
        <v>ECO</v>
      </c>
      <c r="CP44" s="72" t="str">
        <f>IF(Tabela1[[#This Row],[INTERVALO DE INTERSEÇÃO 5D]]="-",Tabela1[[#This Row],[CLASSIFICAÇÃO 
5D ]],Tabela1[[#This Row],[CLASSIFICAÇÃO 
4D]])</f>
        <v>BIO</v>
      </c>
      <c r="CQ44" s="72" t="str">
        <f t="shared" si="11"/>
        <v>-</v>
      </c>
      <c r="CR44" s="72" t="str">
        <f t="shared" si="12"/>
        <v>BIO</v>
      </c>
      <c r="CS44" s="22" t="str">
        <f>IF(Tabela1[[#This Row],[PRODUTO ATUAL ]]=Tabela1[[#This Row],[CLASSIFICAÇÃO FINAL 5D]],"ADERÊNTE","NÃO ADERÊNTE")</f>
        <v>NÃO ADERÊNTE</v>
      </c>
      <c r="CT44" s="24">
        <f>SUM(Tabela1[[#This Row],[TOTAL  ACAB]],Tabela1[[#This Row],[TOTAL LAZER ]],Tabela1[[#This Row],[TOTAL TIPOLOGIA]],Tabela1[[#This Row],[TOTAL VAGA]])</f>
        <v>9600.5639642857132</v>
      </c>
      <c r="CU44" s="22" t="str">
        <f>IF(CT44&lt;=RÉGUAS!$D$58,"ESSENCIAL",IF(CT44&lt;=RÉGUAS!$F$58,"ECO",IF(CT44&gt;RÉGUAS!$F$58,"BIO",)))</f>
        <v>ECO</v>
      </c>
      <c r="CV44" s="22" t="str">
        <f>IF(AND(CT44&gt;=RÉGUAS!$D$59,CT44&lt;=RÉGUAS!$E$59),"ESSENCIAL/ECO",IF(AND(CT44&gt;=RÉGUAS!$F$59,CT44&lt;=RÉGUAS!$G$59),"ECO/BIO","-"))</f>
        <v>-</v>
      </c>
      <c r="CW44" s="85">
        <f>SUM(Tabela1[[#This Row],[TOTAL LAZER ]],Tabela1[[#This Row],[TOTAL TIPOLOGIA]])</f>
        <v>3589.1353928571425</v>
      </c>
      <c r="CX44" s="22" t="str">
        <f>IF(CW44&lt;=RÉGUAS!$D$72,"ESSENCIAL",IF(CW44&lt;=RÉGUAS!$F$72,"ECO",IF(CN44&gt;RÉGUAS!$F$72,"BIO",)))</f>
        <v>ECO</v>
      </c>
      <c r="CY44" s="22" t="str">
        <f t="shared" si="13"/>
        <v>ECO</v>
      </c>
      <c r="CZ44" s="22" t="str">
        <f>IF(Tabela1[[#This Row],[PRODUTO ATUAL ]]=CY44,"ADERENTE","NÃO ADERENTE")</f>
        <v>NÃO ADERENTE</v>
      </c>
      <c r="DA44" s="22" t="str">
        <f>IF(Tabela1[[#This Row],[PRODUTO ATUAL ]]=Tabela1[[#This Row],[CLASSIFICAÇÃO 
4D2]],"ADERENTE","NÃO ADERENTE")</f>
        <v>NÃO ADERENTE</v>
      </c>
    </row>
    <row r="45" spans="2:105" hidden="1" x14ac:dyDescent="0.35">
      <c r="B45" s="27">
        <v>24</v>
      </c>
      <c r="C45" s="22" t="s">
        <v>216</v>
      </c>
      <c r="D45" s="76" t="s">
        <v>128</v>
      </c>
      <c r="E45" s="128">
        <v>220</v>
      </c>
      <c r="F45" s="22" t="str">
        <f t="shared" si="7"/>
        <v>De 200 a 400 und</v>
      </c>
      <c r="G45" s="76" t="s">
        <v>1</v>
      </c>
      <c r="H45" s="129">
        <v>11</v>
      </c>
      <c r="I45" s="129">
        <v>5</v>
      </c>
      <c r="J45" s="129"/>
      <c r="K45" s="129"/>
      <c r="L45" s="129">
        <f>SUM(Tabela1[[#This Row],[QTD DE B/T 2]],Tabela1[[#This Row],[QTD DE B/T]])</f>
        <v>11</v>
      </c>
      <c r="M45" s="22">
        <v>0</v>
      </c>
      <c r="N45" s="22">
        <f>Tabela1[[#This Row],[ELEVADOR]]/Tabela1[[#This Row],[BLOCO TOTAL]]</f>
        <v>0</v>
      </c>
      <c r="O45" s="76" t="s">
        <v>6</v>
      </c>
      <c r="P45" s="76" t="s">
        <v>101</v>
      </c>
      <c r="Q45" s="22" t="s">
        <v>101</v>
      </c>
      <c r="R45" s="76" t="s">
        <v>102</v>
      </c>
      <c r="S45" s="76" t="s">
        <v>103</v>
      </c>
      <c r="T45" s="76" t="s">
        <v>104</v>
      </c>
      <c r="U45" s="76" t="s">
        <v>105</v>
      </c>
      <c r="V45" s="22" t="s">
        <v>106</v>
      </c>
      <c r="W45" s="24">
        <f>IF(P45=[1]BD_CUSTO!$E$4,[1]BD_CUSTO!$F$4,[1]BD_CUSTO!$F$5)</f>
        <v>2430</v>
      </c>
      <c r="X45" s="24">
        <f>IF(Q45=[1]BD_CUSTO!$E$6,[1]BD_CUSTO!$F$6,[1]BD_CUSTO!$F$7)</f>
        <v>260</v>
      </c>
      <c r="Y45" s="24">
        <f>IF(R45=[1]BD_CUSTO!$E$8,[1]BD_CUSTO!$F$8,[1]BD_CUSTO!$F$9)</f>
        <v>600</v>
      </c>
      <c r="Z45" s="24">
        <f>IF(S45=[1]BD_CUSTO!$E$10,[1]BD_CUSTO!$F$10,[1]BD_CUSTO!$F$11)</f>
        <v>500</v>
      </c>
      <c r="AA45" s="24">
        <f>IF(T45=[1]BD_CUSTO!$E$12,[1]BD_CUSTO!$F$12,[1]BD_CUSTO!$F$13)</f>
        <v>370</v>
      </c>
      <c r="AB45" s="24">
        <f>IF(U45=[1]BD_CUSTO!$E$14,[1]BD_CUSTO!$F$14,[1]BD_CUSTO!$F$15)</f>
        <v>90</v>
      </c>
      <c r="AC45" s="24">
        <f>IF(V45=[1]BD_CUSTO!$E$16,[1]BD_CUSTO!$F$16,[1]BD_CUSTO!$F$17)</f>
        <v>720</v>
      </c>
      <c r="AD45" s="76" t="s">
        <v>109</v>
      </c>
      <c r="AE45" s="76">
        <v>1</v>
      </c>
      <c r="AF45" s="76" t="s">
        <v>110</v>
      </c>
      <c r="AG45" s="76">
        <v>1</v>
      </c>
      <c r="AH45" s="76" t="s">
        <v>108</v>
      </c>
      <c r="AI45" s="76">
        <v>1</v>
      </c>
      <c r="AJ45" s="76" t="s">
        <v>107</v>
      </c>
      <c r="AK45" s="76">
        <v>1</v>
      </c>
      <c r="AL45" s="76" t="s">
        <v>129</v>
      </c>
      <c r="AM45" s="76">
        <v>1</v>
      </c>
      <c r="AN45" s="76" t="s">
        <v>111</v>
      </c>
      <c r="AO45" s="76">
        <v>1</v>
      </c>
      <c r="AP45" s="22"/>
      <c r="AQ45" s="22"/>
      <c r="AR45" s="22"/>
      <c r="AS45" s="22"/>
      <c r="AT45" s="22"/>
      <c r="AU45" s="22"/>
      <c r="AV45" s="22"/>
      <c r="AW45" s="22"/>
      <c r="AX45" s="24">
        <f>IF(AD45="",0,VLOOKUP(AD45,[1]BD_CUSTO!I:J,2,0)*AE45/E45)</f>
        <v>31.59090909090909</v>
      </c>
      <c r="AY45" s="24">
        <f>IF(AF45="",0,VLOOKUP(AF45,[1]BD_CUSTO!I:J,2,0)*AG45/E45)</f>
        <v>24.09090909090909</v>
      </c>
      <c r="AZ45" s="24">
        <f>IF(AH45="",0,VLOOKUP(AH45,[1]BD_CUSTO!I:J,2,0)*AI45/E45)</f>
        <v>105.22727272727273</v>
      </c>
      <c r="BA45" s="24">
        <f>IF(AJ45="",0,VLOOKUP(AJ45,[1]BD_CUSTO!I:J,2,0)*AK45/E45)</f>
        <v>387.04145454545454</v>
      </c>
      <c r="BB45" s="24">
        <f>IF(AL45="",0,VLOOKUP(AL45,[1]BD_CUSTO!I:J,2,0)*AM45/E45)</f>
        <v>1250.7617272727273</v>
      </c>
      <c r="BC45" s="24">
        <f>IF(AN45="",0,VLOOKUP(AN45,[1]BD_CUSTO!I:J,2,0)*AO45/E45)</f>
        <v>73.63636363636364</v>
      </c>
      <c r="BD45" s="24">
        <f>IF(AP45="",0,VLOOKUP(AP45,[1]BD_CUSTO!I:J,2,0)*AQ45/E45)</f>
        <v>0</v>
      </c>
      <c r="BE45" s="24">
        <f>IF(AR45="",0,VLOOKUP(AR45,CUSTO!I:J,2,0)*AS45/E45)</f>
        <v>0</v>
      </c>
      <c r="BF45" s="24">
        <f>IF(AT45="",0,VLOOKUP(AT45,[1]BD_CUSTO!I:J,2,0)*AU45/E45)</f>
        <v>0</v>
      </c>
      <c r="BG45" s="24">
        <f>IF(Tabela1[[#This Row],[LZ 10]]="",0,VLOOKUP(Tabela1[[#This Row],[LZ 10]],[1]BD_CUSTO!I:J,2,0)*Tabela1[[#This Row],[QTD922]]/E45)</f>
        <v>0</v>
      </c>
      <c r="BH45" s="76" t="s">
        <v>112</v>
      </c>
      <c r="BI45" s="127">
        <v>0.46</v>
      </c>
      <c r="BJ45" s="76" t="s">
        <v>113</v>
      </c>
      <c r="BK45" s="127">
        <v>0</v>
      </c>
      <c r="BL45" s="24">
        <f>IF(BH45=[1]BD_CUSTO!$M$6,[1]BD_CUSTO!$N$6)*BI45</f>
        <v>1380</v>
      </c>
      <c r="BM45" s="24">
        <f>IF(BJ45=[1]BD_CUSTO!$M$4,[1]BD_CUSTO!$N$4,[1]BD_CUSTO!$N$5)*BK45</f>
        <v>0</v>
      </c>
      <c r="BN45" s="76" t="s">
        <v>114</v>
      </c>
      <c r="BO45" s="76">
        <v>225</v>
      </c>
      <c r="BP45" s="25">
        <f>Tabela1[[#This Row],[QTD ]]/Tabela1[[#This Row],[Nº UNDS]]</f>
        <v>1.0227272727272727</v>
      </c>
      <c r="BQ45" s="76" t="s">
        <v>115</v>
      </c>
      <c r="BR45" s="76">
        <v>6</v>
      </c>
      <c r="BS45" s="22" t="s">
        <v>116</v>
      </c>
      <c r="BT45" s="22">
        <v>0</v>
      </c>
      <c r="BU45" s="22" t="s">
        <v>16</v>
      </c>
      <c r="BV45" s="22">
        <v>0</v>
      </c>
      <c r="BW45" s="24">
        <f>IF(BN45=[1]BD_CUSTO!$Q$7,[1]BD_CUSTO!$R$7,[1]BD_CUSTO!$R$8)*BO45/E45</f>
        <v>2045.4545454545455</v>
      </c>
      <c r="BX45" s="24">
        <f>IF(BQ45=[1]BD_CUSTO!$Q$4,[1]BD_CUSTO!$R$4,[1]BD_CUSTO!$R$5)*BR45/E45</f>
        <v>0</v>
      </c>
      <c r="BY45" s="22">
        <f>IF(BS45=[1]BD_CUSTO!$Q$13,[1]BD_CUSTO!$R$13,[1]BD_CUSTO!$R$14)*BT45/E45</f>
        <v>0</v>
      </c>
      <c r="BZ45" s="24">
        <f>BV45*CUSTO!$R$10/E45</f>
        <v>0</v>
      </c>
      <c r="CA45" s="26">
        <f>SUM(Tabela1[[#This Row],[SOMA_PISO SALA E QUARTO]],Tabela1[[#This Row],[SOMA_PAREDE HIDR]],Tabela1[[#This Row],[SOMA_TETO]],Tabela1[[#This Row],[SOMA_BANCADA]],Tabela1[[#This Row],[SOMA_PEDRAS]])</f>
        <v>3990</v>
      </c>
      <c r="CB45" s="27" t="str">
        <f>IF(CA45&lt;=RÉGUAS!$D$4,"ACAB 01",IF(CA45&lt;=RÉGUAS!$F$4,"ACAB 02",IF(CA45&gt;RÉGUAS!$F$4,"ACAB 03",)))</f>
        <v>ACAB 02</v>
      </c>
      <c r="CC45" s="26">
        <f>SUM(Tabela1[[#This Row],[SOMA_LZ 01]:[SOMA_LZ 10]])</f>
        <v>1872.3486363636364</v>
      </c>
      <c r="CD45" s="22" t="str">
        <f>IF(CC45&lt;=RÉGUAS!$D$13,"LZ 01",IF(CC45&lt;=RÉGUAS!$F$13,"LZ 02",IF(CC45&lt;=RÉGUAS!$H$13,"LZ 03",IF(CC45&gt;RÉGUAS!$H$13,"LZ 04",))))</f>
        <v>LZ 03</v>
      </c>
      <c r="CE45" s="28">
        <f t="shared" si="8"/>
        <v>1380</v>
      </c>
      <c r="CF45" s="22" t="str">
        <f>IF(CE45&lt;=RÉGUAS!$D$22,"TIP 01",IF(CE45&lt;=RÉGUAS!$F$22,"TIP 02",IF(CE45&gt;RÉGUAS!$F$22,"TIP 03",)))</f>
        <v>TIP 01</v>
      </c>
      <c r="CG45" s="28">
        <f t="shared" si="9"/>
        <v>2045.4545454545455</v>
      </c>
      <c r="CH45" s="22" t="str">
        <f>IF(CG45&lt;=RÉGUAS!$D$32,"VAGA 01",IF(CG45&lt;=RÉGUAS!$F$32,"VAGA 02",IF(CG45&gt;RÉGUAS!$F$32,"VAGA 03",)))</f>
        <v>VAGA 02</v>
      </c>
      <c r="CI45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45" s="85" t="str">
        <f>IF(AND(G45="BLOCO",CI45&lt;=RÉGUAS!$D$40),"ELEV 01",IF(AND(G45="BLOCO",CI45&gt;RÉGUAS!$D$40),"ELEV 02",IF(AND(G45="TORRE",CI45&lt;=RÉGUAS!$K$40),"ELEV 01",IF(AND(G45="TORRE",CI45&lt;=RÉGUAS!$M$40),"ELEV 02",IF(AND(G45="TORRE",CI45&gt;RÉGUAS!$M$40),"ELEV 03",)))))</f>
        <v>ELEV 01</v>
      </c>
      <c r="CK45" s="85">
        <f>SUM(Tabela1[[#This Row],[TOTAL  ACAB]],Tabela1[[#This Row],[TOTAL LAZER ]],Tabela1[[#This Row],[TOTAL TIPOLOGIA]],Tabela1[[#This Row],[TOTAL VAGA]],Tabela1[[#This Row],[TOTAL ELEVADOR]])</f>
        <v>9287.8031818181826</v>
      </c>
      <c r="CL45" s="72" t="str">
        <f>IF(AND(G45="BLOCO",CK45&lt;=RÉGUAS!$D$50),"ESSENCIAL",IF(AND(G45="BLOCO",CK45&lt;=RÉGUAS!$F$50),"ECO",IF(AND(G45="BLOCO",CK45&gt;RÉGUAS!$F$50),"BIO",IF(AND(G45="TORRE",CK45&lt;=RÉGUAS!$K$50),"ESSENCIAL",IF(AND(G45="TORRE",CK45&lt;=RÉGUAS!$M$50),"ECO",IF(AND(G45="TORRE",CK45&gt;RÉGUAS!$M$50),"BIO",))))))</f>
        <v>ECO</v>
      </c>
      <c r="CM45" s="28" t="str">
        <f>IF(AND(G45="BLOCO",CK45&gt;=RÉGUAS!$D$51,CK45&lt;=RÉGUAS!$D$50),"ESSENCIAL-10%",IF(AND(G45="BLOCO",CK45&gt;RÉGUAS!$D$50,CK45&lt;=RÉGUAS!$E$51),"ECO+10%",IF(AND(G45="BLOCO",CK45&gt;=RÉGUAS!$F$51,CK45&lt;=RÉGUAS!$F$50),"ECO-10%",IF(AND(G45="BLOCO",CK45&gt;RÉGUAS!$F$50,CK45&lt;=RÉGUAS!$G$51),"BIO+10%",IF(AND(G45="TORRE",CK45&gt;=RÉGUAS!$K$51,CK45&lt;=RÉGUAS!$K$50),"ESSENCIAL-10%",IF(AND(G45="TORRE",CK45&gt;RÉGUAS!$K$50,CK45&lt;=RÉGUAS!$L$51),"ECO+10%",IF(AND(G45="TORRE",CK45&gt;=RÉGUAS!$M$51,CK45&lt;=RÉGUAS!$M$50),"ECO-10%",IF(AND(G45="TORRE",CK45&gt;RÉGUAS!$M$50,CK45&lt;=RÉGUAS!$N$51),"BIO+10%","-"))))))))</f>
        <v>-</v>
      </c>
      <c r="CN45" s="73">
        <f t="shared" si="10"/>
        <v>9287.8031818181826</v>
      </c>
      <c r="CO45" s="72" t="str">
        <f>IF(CN45&lt;=RÉGUAS!$D$58,"ESSENCIAL",IF(CN45&lt;=RÉGUAS!$F$58,"ECO",IF(CN45&gt;RÉGUAS!$F$58,"BIO",)))</f>
        <v>ECO</v>
      </c>
      <c r="CP45" s="72" t="str">
        <f>IF(Tabela1[[#This Row],[INTERVALO DE INTERSEÇÃO 5D]]="-",Tabela1[[#This Row],[CLASSIFICAÇÃO 
5D ]],Tabela1[[#This Row],[CLASSIFICAÇÃO 
4D]])</f>
        <v>ECO</v>
      </c>
      <c r="CQ45" s="72" t="str">
        <f t="shared" si="11"/>
        <v>-</v>
      </c>
      <c r="CR45" s="72" t="str">
        <f t="shared" si="12"/>
        <v>ECO</v>
      </c>
      <c r="CS45" s="22" t="str">
        <f>IF(Tabela1[[#This Row],[PRODUTO ATUAL ]]=Tabela1[[#This Row],[CLASSIFICAÇÃO FINAL 5D]],"ADERÊNTE","NÃO ADERÊNTE")</f>
        <v>NÃO ADERÊNTE</v>
      </c>
      <c r="CT45" s="24">
        <f>SUM(Tabela1[[#This Row],[TOTAL  ACAB]],Tabela1[[#This Row],[TOTAL LAZER ]],Tabela1[[#This Row],[TOTAL TIPOLOGIA]],Tabela1[[#This Row],[TOTAL VAGA]])</f>
        <v>9287.8031818181826</v>
      </c>
      <c r="CU45" s="22" t="str">
        <f>IF(CT45&lt;=RÉGUAS!$D$58,"ESSENCIAL",IF(CT45&lt;=RÉGUAS!$F$58,"ECO",IF(CT45&gt;RÉGUAS!$F$58,"BIO",)))</f>
        <v>ECO</v>
      </c>
      <c r="CV45" s="22" t="str">
        <f>IF(AND(CT45&gt;=RÉGUAS!$D$59,CT45&lt;=RÉGUAS!$E$59),"ESSENCIAL/ECO",IF(AND(CT45&gt;=RÉGUAS!$F$59,CT45&lt;=RÉGUAS!$G$59),"ECO/BIO","-"))</f>
        <v>-</v>
      </c>
      <c r="CW45" s="85">
        <f>SUM(Tabela1[[#This Row],[TOTAL LAZER ]],Tabela1[[#This Row],[TOTAL TIPOLOGIA]])</f>
        <v>3252.3486363636366</v>
      </c>
      <c r="CX45" s="22" t="str">
        <f>IF(CW45&lt;=RÉGUAS!$D$72,"ESSENCIAL",IF(CW45&lt;=RÉGUAS!$F$72,"ECO",IF(CN45&gt;RÉGUAS!$F$72,"BIO",)))</f>
        <v>ECO</v>
      </c>
      <c r="CY45" s="22" t="str">
        <f t="shared" si="13"/>
        <v>ECO</v>
      </c>
      <c r="CZ45" s="22" t="str">
        <f>IF(Tabela1[[#This Row],[PRODUTO ATUAL ]]=CY45,"ADERENTE","NÃO ADERENTE")</f>
        <v>NÃO ADERENTE</v>
      </c>
      <c r="DA45" s="22" t="str">
        <f>IF(Tabela1[[#This Row],[PRODUTO ATUAL ]]=Tabela1[[#This Row],[CLASSIFICAÇÃO 
4D2]],"ADERENTE","NÃO ADERENTE")</f>
        <v>NÃO ADERENTE</v>
      </c>
    </row>
    <row r="46" spans="2:105" hidden="1" x14ac:dyDescent="0.35">
      <c r="B46" s="27">
        <v>15</v>
      </c>
      <c r="C46" s="22" t="s">
        <v>213</v>
      </c>
      <c r="D46" s="76" t="s">
        <v>128</v>
      </c>
      <c r="E46" s="128">
        <v>192</v>
      </c>
      <c r="F46" s="22" t="str">
        <f t="shared" si="7"/>
        <v>Até 200 und</v>
      </c>
      <c r="G46" s="76" t="s">
        <v>1</v>
      </c>
      <c r="H46" s="129">
        <v>12</v>
      </c>
      <c r="I46" s="129">
        <v>4</v>
      </c>
      <c r="J46" s="129"/>
      <c r="K46" s="129"/>
      <c r="L46" s="129">
        <f>SUM(Tabela1[[#This Row],[QTD DE B/T 2]],Tabela1[[#This Row],[QTD DE B/T]])</f>
        <v>12</v>
      </c>
      <c r="M46" s="22">
        <v>0</v>
      </c>
      <c r="N46" s="22">
        <f>Tabela1[[#This Row],[ELEVADOR]]/Tabela1[[#This Row],[BLOCO TOTAL]]</f>
        <v>0</v>
      </c>
      <c r="O46" s="76" t="s">
        <v>6</v>
      </c>
      <c r="P46" s="76" t="s">
        <v>101</v>
      </c>
      <c r="Q46" s="76" t="s">
        <v>101</v>
      </c>
      <c r="R46" s="76" t="s">
        <v>102</v>
      </c>
      <c r="S46" s="76" t="s">
        <v>103</v>
      </c>
      <c r="T46" s="76" t="s">
        <v>104</v>
      </c>
      <c r="U46" s="76" t="s">
        <v>105</v>
      </c>
      <c r="V46" s="22" t="s">
        <v>106</v>
      </c>
      <c r="W46" s="24">
        <f>IF(P46=[1]BD_CUSTO!$E$4,[1]BD_CUSTO!$F$4,[1]BD_CUSTO!$F$5)</f>
        <v>2430</v>
      </c>
      <c r="X46" s="24">
        <f>IF(Q46=[1]BD_CUSTO!$E$6,[1]BD_CUSTO!$F$6,[1]BD_CUSTO!$F$7)</f>
        <v>260</v>
      </c>
      <c r="Y46" s="24">
        <f>IF(R46=[1]BD_CUSTO!$E$8,[1]BD_CUSTO!$F$8,[1]BD_CUSTO!$F$9)</f>
        <v>600</v>
      </c>
      <c r="Z46" s="24">
        <f>IF(S46=[1]BD_CUSTO!$E$10,[1]BD_CUSTO!$F$10,[1]BD_CUSTO!$F$11)</f>
        <v>500</v>
      </c>
      <c r="AA46" s="24">
        <f>IF(T46=[1]BD_CUSTO!$E$12,[1]BD_CUSTO!$F$12,[1]BD_CUSTO!$F$13)</f>
        <v>370</v>
      </c>
      <c r="AB46" s="24">
        <f>IF(U46=[1]BD_CUSTO!$E$14,[1]BD_CUSTO!$F$14,[1]BD_CUSTO!$F$15)</f>
        <v>90</v>
      </c>
      <c r="AC46" s="24">
        <f>IF(V46=[1]BD_CUSTO!$E$16,[1]BD_CUSTO!$F$16,[1]BD_CUSTO!$F$17)</f>
        <v>720</v>
      </c>
      <c r="AD46" s="76" t="s">
        <v>111</v>
      </c>
      <c r="AE46" s="76">
        <v>3</v>
      </c>
      <c r="AF46" s="76" t="s">
        <v>126</v>
      </c>
      <c r="AG46" s="76">
        <v>4</v>
      </c>
      <c r="AH46" s="76" t="s">
        <v>108</v>
      </c>
      <c r="AI46" s="76">
        <v>1</v>
      </c>
      <c r="AJ46" s="76" t="s">
        <v>107</v>
      </c>
      <c r="AK46" s="76">
        <v>1</v>
      </c>
      <c r="AL46" s="76" t="s">
        <v>129</v>
      </c>
      <c r="AM46" s="76">
        <v>1</v>
      </c>
      <c r="AN46" s="76" t="s">
        <v>175</v>
      </c>
      <c r="AO46" s="76">
        <v>1</v>
      </c>
      <c r="AP46" s="22"/>
      <c r="AQ46" s="22"/>
      <c r="AR46" s="22"/>
      <c r="AS46" s="22"/>
      <c r="AT46" s="22"/>
      <c r="AU46" s="22"/>
      <c r="AV46" s="22"/>
      <c r="AW46" s="22"/>
      <c r="AX46" s="24">
        <f>IF(AD46="",0,VLOOKUP(AD46,[1]BD_CUSTO!I:J,2,0)*AE46/E46)</f>
        <v>253.125</v>
      </c>
      <c r="AY46" s="24">
        <f>IF(AF46="",0,VLOOKUP(AF46,[1]BD_CUSTO!I:J,2,0)*AG46/E46)</f>
        <v>157.5</v>
      </c>
      <c r="AZ46" s="24">
        <f>IF(AH46="",0,VLOOKUP(AH46,[1]BD_CUSTO!I:J,2,0)*AI46/E46)</f>
        <v>120.57291666666667</v>
      </c>
      <c r="BA46" s="24">
        <f>IF(AJ46="",0,VLOOKUP(AJ46,[1]BD_CUSTO!I:J,2,0)*AK46/E46)</f>
        <v>443.48499999999996</v>
      </c>
      <c r="BB46" s="24">
        <f>IF(AL46="",0,VLOOKUP(AL46,[1]BD_CUSTO!I:J,2,0)*AM46/E46)</f>
        <v>1433.1644791666668</v>
      </c>
      <c r="BC46" s="24">
        <f>IF(AN46="",0,VLOOKUP(AN46,[1]BD_CUSTO!I:J,2,0)*AO46/E46)</f>
        <v>56.197916666666664</v>
      </c>
      <c r="BD46" s="24">
        <f>IF(AP46="",0,VLOOKUP(AP46,[1]BD_CUSTO!I:J,2,0)*AQ46/E46)</f>
        <v>0</v>
      </c>
      <c r="BE46" s="24">
        <f>IF(AR46="",0,VLOOKUP(AR46,CUSTO!I:J,2,0)*AS46/E46)</f>
        <v>0</v>
      </c>
      <c r="BF46" s="24">
        <f>IF(AT46="",0,VLOOKUP(AT46,[1]BD_CUSTO!I:J,2,0)*AU46/E46)</f>
        <v>0</v>
      </c>
      <c r="BG46" s="24">
        <f>IF(Tabela1[[#This Row],[LZ 10]]="",0,VLOOKUP(Tabela1[[#This Row],[LZ 10]],[1]BD_CUSTO!I:J,2,0)*Tabela1[[#This Row],[QTD922]]/E46)</f>
        <v>0</v>
      </c>
      <c r="BH46" s="76" t="s">
        <v>112</v>
      </c>
      <c r="BI46" s="127">
        <f>72/Tabela1[[#This Row],[Nº UNDS]]</f>
        <v>0.375</v>
      </c>
      <c r="BJ46" s="22" t="s">
        <v>113</v>
      </c>
      <c r="BK46" s="25">
        <v>0</v>
      </c>
      <c r="BL46" s="24">
        <f>IF(BH46=[1]BD_CUSTO!$M$6,[1]BD_CUSTO!$N$6)*BI46</f>
        <v>1125</v>
      </c>
      <c r="BM46" s="24">
        <f>IF(BJ46=[1]BD_CUSTO!$M$4,[1]BD_CUSTO!$N$4,[1]BD_CUSTO!$N$5)*BK46</f>
        <v>0</v>
      </c>
      <c r="BN46" s="76" t="s">
        <v>114</v>
      </c>
      <c r="BO46" s="76">
        <v>211</v>
      </c>
      <c r="BP46" s="25">
        <f>Tabela1[[#This Row],[QTD ]]/Tabela1[[#This Row],[Nº UNDS]]</f>
        <v>1.0989583333333333</v>
      </c>
      <c r="BQ46" s="22" t="s">
        <v>115</v>
      </c>
      <c r="BR46" s="22">
        <v>0</v>
      </c>
      <c r="BS46" s="22" t="s">
        <v>116</v>
      </c>
      <c r="BT46" s="22">
        <v>0</v>
      </c>
      <c r="BU46" s="22" t="s">
        <v>16</v>
      </c>
      <c r="BV46" s="22">
        <v>0</v>
      </c>
      <c r="BW46" s="24">
        <f>IF(BN46=[1]BD_CUSTO!$Q$7,[1]BD_CUSTO!$R$7,[1]BD_CUSTO!$R$8)*BO46/E46</f>
        <v>2197.9166666666665</v>
      </c>
      <c r="BX46" s="24">
        <f>IF(BQ46=[1]BD_CUSTO!$Q$4,[1]BD_CUSTO!$R$4,[1]BD_CUSTO!$R$5)*BR46/E46</f>
        <v>0</v>
      </c>
      <c r="BY46" s="22">
        <f>IF(BS46=[1]BD_CUSTO!$Q$13,[1]BD_CUSTO!$R$13,[1]BD_CUSTO!$R$14)*BT46/E46</f>
        <v>0</v>
      </c>
      <c r="BZ46" s="24">
        <f>BV46*CUSTO!$R$10/E46</f>
        <v>0</v>
      </c>
      <c r="CA46" s="26">
        <f>SUM(Tabela1[[#This Row],[SOMA_PISO SALA E QUARTO]],Tabela1[[#This Row],[SOMA_PAREDE HIDR]],Tabela1[[#This Row],[SOMA_TETO]],Tabela1[[#This Row],[SOMA_BANCADA]],Tabela1[[#This Row],[SOMA_PEDRAS]])</f>
        <v>3990</v>
      </c>
      <c r="CB46" s="27" t="str">
        <f>IF(CA46&lt;=RÉGUAS!$D$4,"ACAB 01",IF(CA46&lt;=RÉGUAS!$F$4,"ACAB 02",IF(CA46&gt;RÉGUAS!$F$4,"ACAB 03",)))</f>
        <v>ACAB 02</v>
      </c>
      <c r="CC46" s="26">
        <f>SUM(Tabela1[[#This Row],[SOMA_LZ 01]:[SOMA_LZ 10]])</f>
        <v>2464.0453124999999</v>
      </c>
      <c r="CD46" s="22" t="str">
        <f>IF(CC46&lt;=RÉGUAS!$D$13,"LZ 01",IF(CC46&lt;=RÉGUAS!$F$13,"LZ 02",IF(CC46&lt;=RÉGUAS!$H$13,"LZ 03",IF(CC46&gt;RÉGUAS!$H$13,"LZ 04",))))</f>
        <v>LZ 04</v>
      </c>
      <c r="CE46" s="28">
        <f t="shared" si="8"/>
        <v>1125</v>
      </c>
      <c r="CF46" s="22" t="str">
        <f>IF(CE46&lt;=RÉGUAS!$D$22,"TIP 01",IF(CE46&lt;=RÉGUAS!$F$22,"TIP 02",IF(CE46&gt;RÉGUAS!$F$22,"TIP 03",)))</f>
        <v>TIP 01</v>
      </c>
      <c r="CG46" s="28">
        <f t="shared" si="9"/>
        <v>2197.9166666666665</v>
      </c>
      <c r="CH46" s="22" t="str">
        <f>IF(CG46&lt;=RÉGUAS!$D$32,"VAGA 01",IF(CG46&lt;=RÉGUAS!$F$32,"VAGA 02",IF(CG46&gt;RÉGUAS!$F$32,"VAGA 03",)))</f>
        <v>VAGA 02</v>
      </c>
      <c r="CI46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46" s="85" t="str">
        <f>IF(AND(G46="BLOCO",CI46&lt;=RÉGUAS!$D$40),"ELEV 01",IF(AND(G46="BLOCO",CI46&gt;RÉGUAS!$D$40),"ELEV 02",IF(AND(G46="TORRE",CI46&lt;=RÉGUAS!$K$40),"ELEV 01",IF(AND(G46="TORRE",CI46&lt;=RÉGUAS!$M$40),"ELEV 02",IF(AND(G46="TORRE",CI46&gt;RÉGUAS!$M$40),"ELEV 03",)))))</f>
        <v>ELEV 01</v>
      </c>
      <c r="CK46" s="85">
        <f>SUM(Tabela1[[#This Row],[TOTAL  ACAB]],Tabela1[[#This Row],[TOTAL LAZER ]],Tabela1[[#This Row],[TOTAL TIPOLOGIA]],Tabela1[[#This Row],[TOTAL VAGA]],Tabela1[[#This Row],[TOTAL ELEVADOR]])</f>
        <v>9776.9619791666664</v>
      </c>
      <c r="CL46" s="72" t="str">
        <f>IF(AND(G46="BLOCO",CK46&lt;=RÉGUAS!$D$50),"ESSENCIAL",IF(AND(G46="BLOCO",CK46&lt;=RÉGUAS!$F$50),"ECO",IF(AND(G46="BLOCO",CK46&gt;RÉGUAS!$F$50),"BIO",IF(AND(G46="TORRE",CK46&lt;=RÉGUAS!$K$50),"ESSENCIAL",IF(AND(G46="TORRE",CK46&lt;=RÉGUAS!$M$50),"ECO",IF(AND(G46="TORRE",CK46&gt;RÉGUAS!$M$50),"BIO",))))))</f>
        <v>ECO</v>
      </c>
      <c r="CM46" s="28" t="str">
        <f>IF(AND(G46="BLOCO",CK46&gt;=RÉGUAS!$D$51,CK46&lt;=RÉGUAS!$D$50),"ESSENCIAL-10%",IF(AND(G46="BLOCO",CK46&gt;RÉGUAS!$D$50,CK46&lt;=RÉGUAS!$E$51),"ECO+10%",IF(AND(G46="BLOCO",CK46&gt;=RÉGUAS!$F$51,CK46&lt;=RÉGUAS!$F$50),"ECO-10%",IF(AND(G46="BLOCO",CK46&gt;RÉGUAS!$F$50,CK46&lt;=RÉGUAS!$G$51),"BIO+10%",IF(AND(G46="TORRE",CK46&gt;=RÉGUAS!$K$51,CK46&lt;=RÉGUAS!$K$50),"ESSENCIAL-10%",IF(AND(G46="TORRE",CK46&gt;RÉGUAS!$K$50,CK46&lt;=RÉGUAS!$L$51),"ECO+10%",IF(AND(G46="TORRE",CK46&gt;=RÉGUAS!$M$51,CK46&lt;=RÉGUAS!$M$50),"ECO-10%",IF(AND(G46="TORRE",CK46&gt;RÉGUAS!$M$50,CK46&lt;=RÉGUAS!$N$51),"BIO+10%","-"))))))))</f>
        <v>-</v>
      </c>
      <c r="CN46" s="73">
        <f t="shared" si="10"/>
        <v>9776.9619791666664</v>
      </c>
      <c r="CO46" s="72" t="str">
        <f>IF(CN46&lt;=RÉGUAS!$D$58,"ESSENCIAL",IF(CN46&lt;=RÉGUAS!$F$58,"ECO",IF(CN46&gt;RÉGUAS!$F$58,"BIO",)))</f>
        <v>ECO</v>
      </c>
      <c r="CP46" s="72" t="str">
        <f>IF(Tabela1[[#This Row],[INTERVALO DE INTERSEÇÃO 5D]]="-",Tabela1[[#This Row],[CLASSIFICAÇÃO 
5D ]],Tabela1[[#This Row],[CLASSIFICAÇÃO 
4D]])</f>
        <v>ECO</v>
      </c>
      <c r="CQ46" s="72" t="str">
        <f t="shared" si="11"/>
        <v>-</v>
      </c>
      <c r="CR46" s="72" t="str">
        <f t="shared" si="12"/>
        <v>ECO</v>
      </c>
      <c r="CS46" s="22" t="str">
        <f>IF(Tabela1[[#This Row],[PRODUTO ATUAL ]]=Tabela1[[#This Row],[CLASSIFICAÇÃO FINAL 5D]],"ADERÊNTE","NÃO ADERÊNTE")</f>
        <v>NÃO ADERÊNTE</v>
      </c>
      <c r="CT46" s="24">
        <f>SUM(Tabela1[[#This Row],[TOTAL  ACAB]],Tabela1[[#This Row],[TOTAL LAZER ]],Tabela1[[#This Row],[TOTAL TIPOLOGIA]],Tabela1[[#This Row],[TOTAL VAGA]])</f>
        <v>9776.9619791666664</v>
      </c>
      <c r="CU46" s="22" t="str">
        <f>IF(CT46&lt;=RÉGUAS!$D$58,"ESSENCIAL",IF(CT46&lt;=RÉGUAS!$F$58,"ECO",IF(CT46&gt;RÉGUAS!$F$58,"BIO",)))</f>
        <v>ECO</v>
      </c>
      <c r="CV46" s="22" t="str">
        <f>IF(AND(CT46&gt;=RÉGUAS!$D$59,CT46&lt;=RÉGUAS!$E$59),"ESSENCIAL/ECO",IF(AND(CT46&gt;=RÉGUAS!$F$59,CT46&lt;=RÉGUAS!$G$59),"ECO/BIO","-"))</f>
        <v>-</v>
      </c>
      <c r="CW46" s="85">
        <f>SUM(Tabela1[[#This Row],[TOTAL LAZER ]],Tabela1[[#This Row],[TOTAL TIPOLOGIA]])</f>
        <v>3589.0453124999999</v>
      </c>
      <c r="CX46" s="22" t="str">
        <f>IF(CW46&lt;=RÉGUAS!$D$72,"ESSENCIAL",IF(CW46&lt;=RÉGUAS!$F$72,"ECO",IF(CN46&gt;RÉGUAS!$F$72,"BIO",)))</f>
        <v>ECO</v>
      </c>
      <c r="CY46" s="22" t="str">
        <f t="shared" si="13"/>
        <v>ECO</v>
      </c>
      <c r="CZ46" s="22" t="str">
        <f>IF(Tabela1[[#This Row],[PRODUTO ATUAL ]]=CY46,"ADERENTE","NÃO ADERENTE")</f>
        <v>NÃO ADERENTE</v>
      </c>
      <c r="DA46" s="22" t="str">
        <f>IF(Tabela1[[#This Row],[PRODUTO ATUAL ]]=Tabela1[[#This Row],[CLASSIFICAÇÃO 
4D2]],"ADERENTE","NÃO ADERENTE")</f>
        <v>NÃO ADERENTE</v>
      </c>
    </row>
    <row r="47" spans="2:105" hidden="1" x14ac:dyDescent="0.35">
      <c r="B47" s="27">
        <v>38</v>
      </c>
      <c r="C47" s="22" t="s">
        <v>99</v>
      </c>
      <c r="D47" s="76" t="s">
        <v>100</v>
      </c>
      <c r="E47" s="128">
        <v>384</v>
      </c>
      <c r="F47" s="22" t="str">
        <f t="shared" si="7"/>
        <v>De 200 a 400 und</v>
      </c>
      <c r="G47" s="76" t="s">
        <v>1</v>
      </c>
      <c r="H47" s="129">
        <v>24</v>
      </c>
      <c r="I47" s="129">
        <v>4</v>
      </c>
      <c r="J47" s="129"/>
      <c r="K47" s="129"/>
      <c r="L47" s="129">
        <f>SUM(Tabela1[[#This Row],[QTD DE B/T 2]],Tabela1[[#This Row],[QTD DE B/T]])</f>
        <v>24</v>
      </c>
      <c r="M47" s="22">
        <v>2</v>
      </c>
      <c r="N47" s="22">
        <f>Tabela1[[#This Row],[ELEVADOR]]/Tabela1[[#This Row],[BLOCO TOTAL]]</f>
        <v>8.3333333333333329E-2</v>
      </c>
      <c r="O47" s="76" t="s">
        <v>6</v>
      </c>
      <c r="P47" s="76" t="s">
        <v>101</v>
      </c>
      <c r="Q47" s="76" t="s">
        <v>101</v>
      </c>
      <c r="R47" s="76" t="s">
        <v>102</v>
      </c>
      <c r="S47" s="76" t="s">
        <v>103</v>
      </c>
      <c r="T47" s="76" t="s">
        <v>104</v>
      </c>
      <c r="U47" s="76" t="s">
        <v>105</v>
      </c>
      <c r="V47" s="22" t="s">
        <v>106</v>
      </c>
      <c r="W47" s="24">
        <f>IF(P47=[1]BD_CUSTO!$E$4,[1]BD_CUSTO!$F$4,[1]BD_CUSTO!$F$5)</f>
        <v>2430</v>
      </c>
      <c r="X47" s="24">
        <f>IF(Q47=[1]BD_CUSTO!$E$6,[1]BD_CUSTO!$F$6,[1]BD_CUSTO!$F$7)</f>
        <v>260</v>
      </c>
      <c r="Y47" s="24">
        <f>IF(R47=[1]BD_CUSTO!$E$8,[1]BD_CUSTO!$F$8,[1]BD_CUSTO!$F$9)</f>
        <v>600</v>
      </c>
      <c r="Z47" s="24">
        <f>IF(S47=[1]BD_CUSTO!$E$10,[1]BD_CUSTO!$F$10,[1]BD_CUSTO!$F$11)</f>
        <v>500</v>
      </c>
      <c r="AA47" s="24">
        <f>IF(T47=[1]BD_CUSTO!$E$12,[1]BD_CUSTO!$F$12,[1]BD_CUSTO!$F$13)</f>
        <v>370</v>
      </c>
      <c r="AB47" s="24">
        <f>IF(U47=[1]BD_CUSTO!$E$14,[1]BD_CUSTO!$F$14,[1]BD_CUSTO!$F$15)</f>
        <v>90</v>
      </c>
      <c r="AC47" s="24">
        <f>IF(V47=[1]BD_CUSTO!$E$16,[1]BD_CUSTO!$F$16,[1]BD_CUSTO!$F$17)</f>
        <v>720</v>
      </c>
      <c r="AD47" s="76" t="s">
        <v>107</v>
      </c>
      <c r="AE47" s="76">
        <v>2</v>
      </c>
      <c r="AF47" s="76" t="s">
        <v>108</v>
      </c>
      <c r="AG47" s="76">
        <v>1</v>
      </c>
      <c r="AH47" s="76" t="s">
        <v>109</v>
      </c>
      <c r="AI47" s="76">
        <v>1</v>
      </c>
      <c r="AJ47" s="76" t="s">
        <v>110</v>
      </c>
      <c r="AK47" s="76">
        <v>1</v>
      </c>
      <c r="AL47" s="76" t="s">
        <v>111</v>
      </c>
      <c r="AM47" s="76">
        <v>1</v>
      </c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4">
        <f>IF(AD47="",0,VLOOKUP(AD47,[1]BD_CUSTO!I:J,2,0)*AE47/E47)</f>
        <v>443.48499999999996</v>
      </c>
      <c r="AY47" s="24">
        <f>IF(AF47="",0,VLOOKUP(AF47,[1]BD_CUSTO!I:J,2,0)*AG47/E47)</f>
        <v>60.286458333333336</v>
      </c>
      <c r="AZ47" s="24">
        <f>IF(AH47="",0,VLOOKUP(AH47,[1]BD_CUSTO!I:J,2,0)*AI47/E47)</f>
        <v>18.098958333333332</v>
      </c>
      <c r="BA47" s="24">
        <f>IF(AJ47="",0,VLOOKUP(AJ47,[1]BD_CUSTO!I:J,2,0)*AK47/E47)</f>
        <v>13.802083333333334</v>
      </c>
      <c r="BB47" s="24">
        <f>IF(AL47="",0,VLOOKUP(AL47,[1]BD_CUSTO!I:J,2,0)*AM47/E47)</f>
        <v>42.1875</v>
      </c>
      <c r="BC47" s="24">
        <f>IF(AN47="",0,VLOOKUP(AN47,[1]BD_CUSTO!I:J,2,0)*AO47/E47)</f>
        <v>0</v>
      </c>
      <c r="BD47" s="24">
        <f>IF(AP47="",0,VLOOKUP(AP47,[1]BD_CUSTO!I:J,2,0)*AQ47/E47)</f>
        <v>0</v>
      </c>
      <c r="BE47" s="24">
        <f>IF(AR47="",0,VLOOKUP(AR47,CUSTO!I:J,2,0)*AS47/E47)</f>
        <v>0</v>
      </c>
      <c r="BF47" s="24">
        <f>IF(AT47="",0,VLOOKUP(AT47,[1]BD_CUSTO!I:J,2,0)*AU47/E47)</f>
        <v>0</v>
      </c>
      <c r="BG47" s="24">
        <f>IF(Tabela1[[#This Row],[LZ 10]]="",0,VLOOKUP(Tabela1[[#This Row],[LZ 10]],[1]BD_CUSTO!I:J,2,0)*Tabela1[[#This Row],[QTD922]]/E47)</f>
        <v>0</v>
      </c>
      <c r="BH47" s="76" t="s">
        <v>112</v>
      </c>
      <c r="BI47" s="127">
        <f>132/Tabela1[[#This Row],[Nº UNDS]]</f>
        <v>0.34375</v>
      </c>
      <c r="BJ47" s="76" t="s">
        <v>113</v>
      </c>
      <c r="BK47" s="127">
        <v>0</v>
      </c>
      <c r="BL47" s="24">
        <f>IF(BH47=[1]BD_CUSTO!$M$6,[1]BD_CUSTO!$N$6)*BI47</f>
        <v>1031.25</v>
      </c>
      <c r="BM47" s="24">
        <f>IF(BJ47=[1]BD_CUSTO!$M$4,[1]BD_CUSTO!$N$4,[1]BD_CUSTO!$N$5)*BK47</f>
        <v>0</v>
      </c>
      <c r="BN47" s="76" t="s">
        <v>114</v>
      </c>
      <c r="BO47" s="76">
        <v>435</v>
      </c>
      <c r="BP47" s="25">
        <f>Tabela1[[#This Row],[QTD ]]/Tabela1[[#This Row],[Nº UNDS]]</f>
        <v>1.1328125</v>
      </c>
      <c r="BQ47" s="22" t="s">
        <v>115</v>
      </c>
      <c r="BR47" s="22">
        <v>0</v>
      </c>
      <c r="BS47" s="22" t="s">
        <v>116</v>
      </c>
      <c r="BT47" s="22">
        <v>0</v>
      </c>
      <c r="BU47" s="22" t="s">
        <v>16</v>
      </c>
      <c r="BV47" s="22">
        <v>0</v>
      </c>
      <c r="BW47" s="24">
        <f>IF(BN47=[1]BD_CUSTO!$Q$7,[1]BD_CUSTO!$R$7,[1]BD_CUSTO!$R$8)*BO47/E47</f>
        <v>2265.625</v>
      </c>
      <c r="BX47" s="24">
        <f>IF(BQ47=[1]BD_CUSTO!$Q$4,[1]BD_CUSTO!$R$4,[1]BD_CUSTO!$R$5)*BR47/E47</f>
        <v>0</v>
      </c>
      <c r="BY47" s="22">
        <f>IF(BS47=[1]BD_CUSTO!$Q$13,[1]BD_CUSTO!$R$13,[1]BD_CUSTO!$R$14)*BT47/E47</f>
        <v>0</v>
      </c>
      <c r="BZ47" s="163">
        <f>BV47*CUSTO!$R$10/E47</f>
        <v>0</v>
      </c>
      <c r="CA47" s="164">
        <f>SUM(Tabela1[[#This Row],[SOMA_PISO SALA E QUARTO]],Tabela1[[#This Row],[SOMA_PAREDE HIDR]],Tabela1[[#This Row],[SOMA_TETO]],Tabela1[[#This Row],[SOMA_BANCADA]],Tabela1[[#This Row],[SOMA_PEDRAS]])</f>
        <v>3990</v>
      </c>
      <c r="CB47" s="165" t="str">
        <f>IF(CA47&lt;=RÉGUAS!$D$4,"ACAB 01",IF(CA47&lt;=RÉGUAS!$F$4,"ACAB 02",IF(CA47&gt;RÉGUAS!$F$4,"ACAB 03",)))</f>
        <v>ACAB 02</v>
      </c>
      <c r="CC47" s="164">
        <f>SUM(Tabela1[[#This Row],[SOMA_LZ 01]:[SOMA_LZ 10]])</f>
        <v>577.86</v>
      </c>
      <c r="CD47" s="166" t="str">
        <f>IF(CC47&lt;=RÉGUAS!$D$13,"LZ 01",IF(CC47&lt;=RÉGUAS!$F$13,"LZ 02",IF(CC47&lt;=RÉGUAS!$H$13,"LZ 03",IF(CC47&gt;RÉGUAS!$H$13,"LZ 04",))))</f>
        <v>LZ 01</v>
      </c>
      <c r="CE47" s="167">
        <f t="shared" si="8"/>
        <v>1031.25</v>
      </c>
      <c r="CF47" s="166" t="str">
        <f>IF(CE47&lt;=RÉGUAS!$D$22,"TIP 01",IF(CE47&lt;=RÉGUAS!$F$22,"TIP 02",IF(CE47&gt;RÉGUAS!$F$22,"TIP 03",)))</f>
        <v>TIP 01</v>
      </c>
      <c r="CG47" s="167">
        <f t="shared" si="9"/>
        <v>2265.625</v>
      </c>
      <c r="CH47" s="166" t="str">
        <f>IF(CG47&lt;=RÉGUAS!$D$32,"VAGA 01",IF(CG47&lt;=RÉGUAS!$F$32,"VAGA 02",IF(CG47&gt;RÉGUAS!$F$32,"VAGA 03",)))</f>
        <v>VAGA 02</v>
      </c>
      <c r="CI47" s="168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625.58333333333337</v>
      </c>
      <c r="CJ47" s="168" t="str">
        <f>IF(AND(G47="BLOCO",CI47&lt;=RÉGUAS!$D$40),"ELEV 01",IF(AND(G47="BLOCO",CI47&gt;RÉGUAS!$D$40),"ELEV 02",IF(AND(G47="TORRE",CI47&lt;=RÉGUAS!$K$40),"ELEV 01",IF(AND(G47="TORRE",CI47&lt;=RÉGUAS!$M$40),"ELEV 02",IF(AND(G47="TORRE",CI47&gt;RÉGUAS!$M$40),"ELEV 03",)))))</f>
        <v>ELEV 02</v>
      </c>
      <c r="CK47" s="85">
        <f>SUM(Tabela1[[#This Row],[TOTAL  ACAB]],Tabela1[[#This Row],[TOTAL LAZER ]],Tabela1[[#This Row],[TOTAL TIPOLOGIA]],Tabela1[[#This Row],[TOTAL VAGA]],Tabela1[[#This Row],[TOTAL ELEVADOR]])</f>
        <v>8490.3183333333327</v>
      </c>
      <c r="CL47" s="72" t="str">
        <f>IF(AND(G47="BLOCO",CK47&lt;=RÉGUAS!$D$50),"ESSENCIAL",IF(AND(G47="BLOCO",CK47&lt;=RÉGUAS!$F$50),"ECO",IF(AND(G47="BLOCO",CK47&gt;RÉGUAS!$F$50),"BIO",IF(AND(G47="TORRE",CK47&lt;=RÉGUAS!$K$50),"ESSENCIAL",IF(AND(G47="TORRE",CK47&lt;=RÉGUAS!$M$50),"ECO",IF(AND(G47="TORRE",CK47&gt;RÉGUAS!$M$50),"BIO",))))))</f>
        <v>ECO</v>
      </c>
      <c r="CM47" s="28" t="str">
        <f>IF(AND(G47="BLOCO",CK47&gt;=RÉGUAS!$D$51,CK47&lt;=RÉGUAS!$D$50),"ESSENCIAL-10%",IF(AND(G47="BLOCO",CK47&gt;RÉGUAS!$D$50,CK47&lt;=RÉGUAS!$E$51),"ECO+10%",IF(AND(G47="BLOCO",CK47&gt;=RÉGUAS!$F$51,CK47&lt;=RÉGUAS!$F$50),"ECO-10%",IF(AND(G47="BLOCO",CK47&gt;RÉGUAS!$F$50,CK47&lt;=RÉGUAS!$G$51),"BIO+10%",IF(AND(G47="TORRE",CK47&gt;=RÉGUAS!$K$51,CK47&lt;=RÉGUAS!$K$50),"ESSENCIAL-10%",IF(AND(G47="TORRE",CK47&gt;RÉGUAS!$K$50,CK47&lt;=RÉGUAS!$L$51),"ECO+10%",IF(AND(G47="TORRE",CK47&gt;=RÉGUAS!$M$51,CK47&lt;=RÉGUAS!$M$50),"ECO-10%",IF(AND(G47="TORRE",CK47&gt;RÉGUAS!$M$50,CK47&lt;=RÉGUAS!$N$51),"BIO+10%","-"))))))))</f>
        <v>ECO+10%</v>
      </c>
      <c r="CN47" s="73">
        <f t="shared" si="10"/>
        <v>7864.7349999999997</v>
      </c>
      <c r="CO47" s="72" t="str">
        <f>IF(CN47&lt;=RÉGUAS!$D$58,"ESSENCIAL",IF(CN47&lt;=RÉGUAS!$F$58,"ECO",IF(CN47&gt;RÉGUAS!$F$58,"BIO",)))</f>
        <v>ECO</v>
      </c>
      <c r="CP47" s="72" t="str">
        <f>IF(Tabela1[[#This Row],[INTERVALO DE INTERSEÇÃO 5D]]="-",Tabela1[[#This Row],[CLASSIFICAÇÃO 
5D ]],Tabela1[[#This Row],[CLASSIFICAÇÃO 
4D]])</f>
        <v>ECO</v>
      </c>
      <c r="CQ47" s="72" t="str">
        <f t="shared" si="11"/>
        <v>-</v>
      </c>
      <c r="CR47" s="72" t="str">
        <f t="shared" si="12"/>
        <v>ECO</v>
      </c>
      <c r="CS47" s="22" t="str">
        <f>IF(Tabela1[[#This Row],[PRODUTO ATUAL ]]=Tabela1[[#This Row],[CLASSIFICAÇÃO FINAL 5D]],"ADERÊNTE","NÃO ADERÊNTE")</f>
        <v>NÃO ADERÊNTE</v>
      </c>
      <c r="CT47" s="163">
        <f>SUM(Tabela1[[#This Row],[TOTAL  ACAB]],Tabela1[[#This Row],[TOTAL LAZER ]],Tabela1[[#This Row],[TOTAL TIPOLOGIA]],Tabela1[[#This Row],[TOTAL VAGA]])</f>
        <v>7864.7349999999997</v>
      </c>
      <c r="CU47" s="166" t="str">
        <f>IF(CT47&lt;=RÉGUAS!$D$58,"ESSENCIAL",IF(CT47&lt;=RÉGUAS!$F$58,"ECO",IF(CT47&gt;RÉGUAS!$F$58,"BIO",)))</f>
        <v>ECO</v>
      </c>
      <c r="CV47" s="166" t="str">
        <f>IF(AND(CT47&gt;=RÉGUAS!$D$59,CT47&lt;=RÉGUAS!$E$59),"ESSENCIAL/ECO",IF(AND(CT47&gt;=RÉGUAS!$F$59,CT47&lt;=RÉGUAS!$G$59),"ECO/BIO","-"))</f>
        <v>-</v>
      </c>
      <c r="CW47" s="85">
        <f>SUM(Tabela1[[#This Row],[TOTAL LAZER ]],Tabela1[[#This Row],[TOTAL TIPOLOGIA]])</f>
        <v>1609.1100000000001</v>
      </c>
      <c r="CX47" s="166" t="str">
        <f>IF(CW47&lt;=RÉGUAS!$D$72,"ESSENCIAL",IF(CW47&lt;=RÉGUAS!$F$72,"ECO",IF(CN47&gt;RÉGUAS!$F$72,"BIO",)))</f>
        <v>ESSENCIAL</v>
      </c>
      <c r="CY47" s="22" t="str">
        <f t="shared" si="13"/>
        <v>ECO</v>
      </c>
      <c r="CZ47" s="22" t="str">
        <f>IF(Tabela1[[#This Row],[PRODUTO ATUAL ]]=CY47,"ADERENTE","NÃO ADERENTE")</f>
        <v>NÃO ADERENTE</v>
      </c>
      <c r="DA47" s="22" t="str">
        <f>IF(Tabela1[[#This Row],[PRODUTO ATUAL ]]=Tabela1[[#This Row],[CLASSIFICAÇÃO 
4D2]],"ADERENTE","NÃO ADERENTE")</f>
        <v>NÃO ADERENTE</v>
      </c>
    </row>
    <row r="48" spans="2:105" hidden="1" x14ac:dyDescent="0.35">
      <c r="B48" s="27">
        <v>85</v>
      </c>
      <c r="C48" s="22" t="s">
        <v>178</v>
      </c>
      <c r="D48" s="22" t="s">
        <v>147</v>
      </c>
      <c r="E48" s="23">
        <v>184</v>
      </c>
      <c r="F48" s="22" t="str">
        <f t="shared" si="7"/>
        <v>Até 200 und</v>
      </c>
      <c r="G48" s="22" t="s">
        <v>14</v>
      </c>
      <c r="H48" s="36">
        <v>2</v>
      </c>
      <c r="I48" s="36">
        <v>12</v>
      </c>
      <c r="J48" s="36"/>
      <c r="K48" s="36"/>
      <c r="L48" s="36">
        <f>SUM(Tabela1[[#This Row],[QTD DE B/T 2]],Tabela1[[#This Row],[QTD DE B/T]])</f>
        <v>2</v>
      </c>
      <c r="M48" s="22">
        <v>4</v>
      </c>
      <c r="N48" s="22">
        <f>Tabela1[[#This Row],[ELEVADOR]]/Tabela1[[#This Row],[BLOCO TOTAL]]</f>
        <v>2</v>
      </c>
      <c r="O48" s="22" t="s">
        <v>5</v>
      </c>
      <c r="P48" s="22" t="s">
        <v>119</v>
      </c>
      <c r="Q48" s="22" t="s">
        <v>101</v>
      </c>
      <c r="R48" s="22" t="s">
        <v>142</v>
      </c>
      <c r="S48" s="22" t="s">
        <v>103</v>
      </c>
      <c r="T48" s="22" t="s">
        <v>104</v>
      </c>
      <c r="U48" s="22" t="s">
        <v>105</v>
      </c>
      <c r="V48" s="22" t="s">
        <v>106</v>
      </c>
      <c r="W48" s="24">
        <f>IF(P48=[1]BD_CUSTO!$E$4,[1]BD_CUSTO!$F$4,[1]BD_CUSTO!$F$5)</f>
        <v>530</v>
      </c>
      <c r="X48" s="24">
        <f>IF(Q48=[1]BD_CUSTO!$E$6,[1]BD_CUSTO!$F$6,[1]BD_CUSTO!$F$7)</f>
        <v>260</v>
      </c>
      <c r="Y48" s="24">
        <f>IF(R48=[1]BD_CUSTO!$E$8,[1]BD_CUSTO!$F$8,[1]BD_CUSTO!$F$9)</f>
        <v>900</v>
      </c>
      <c r="Z48" s="24">
        <f>IF(S48=[1]BD_CUSTO!$E$10,[1]BD_CUSTO!$F$10,[1]BD_CUSTO!$F$11)</f>
        <v>500</v>
      </c>
      <c r="AA48" s="24">
        <f>IF(T48=[1]BD_CUSTO!$E$12,[1]BD_CUSTO!$F$12,[1]BD_CUSTO!$F$13)</f>
        <v>370</v>
      </c>
      <c r="AB48" s="24">
        <f>IF(U48=[1]BD_CUSTO!$E$14,[1]BD_CUSTO!$F$14,[1]BD_CUSTO!$F$15)</f>
        <v>90</v>
      </c>
      <c r="AC48" s="24">
        <f>IF(V48=[1]BD_CUSTO!$E$16,[1]BD_CUSTO!$F$16,[1]BD_CUSTO!$F$17)</f>
        <v>720</v>
      </c>
      <c r="AD48" s="22" t="s">
        <v>129</v>
      </c>
      <c r="AE48" s="22">
        <v>1</v>
      </c>
      <c r="AF48" s="22" t="s">
        <v>107</v>
      </c>
      <c r="AG48" s="22">
        <v>1</v>
      </c>
      <c r="AH48" s="22" t="s">
        <v>121</v>
      </c>
      <c r="AI48" s="22">
        <v>1</v>
      </c>
      <c r="AJ48" s="22" t="s">
        <v>108</v>
      </c>
      <c r="AK48" s="22">
        <v>1</v>
      </c>
      <c r="AL48" s="22" t="s">
        <v>110</v>
      </c>
      <c r="AM48" s="22">
        <v>1</v>
      </c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4">
        <f>IF(AD48="",0,VLOOKUP(AD48,[1]BD_CUSTO!I:J,2,0)*AE48/E48)</f>
        <v>1495.4759782608696</v>
      </c>
      <c r="AY48" s="24">
        <f>IF(AF48="",0,VLOOKUP(AF48,[1]BD_CUSTO!I:J,2,0)*AG48/E48)</f>
        <v>462.76695652173913</v>
      </c>
      <c r="AZ48" s="24">
        <f>IF(AH48="",0,VLOOKUP(AH48,[1]BD_CUSTO!I:J,2,0)*AI48/E48)</f>
        <v>669.33097826086953</v>
      </c>
      <c r="BA48" s="24">
        <f>IF(AJ48="",0,VLOOKUP(AJ48,[1]BD_CUSTO!I:J,2,0)*AK48/E48)</f>
        <v>125.81521739130434</v>
      </c>
      <c r="BB48" s="24">
        <f>IF(AL48="",0,VLOOKUP(AL48,[1]BD_CUSTO!I:J,2,0)*AM48/E48)</f>
        <v>28.804347826086957</v>
      </c>
      <c r="BC48" s="24">
        <f>IF(AN48="",0,VLOOKUP(AN48,[1]BD_CUSTO!I:J,2,0)*AO48/E48)</f>
        <v>0</v>
      </c>
      <c r="BD48" s="24">
        <f>IF(AP48="",0,VLOOKUP(AP48,[1]BD_CUSTO!I:J,2,0)*AQ48/E48)</f>
        <v>0</v>
      </c>
      <c r="BE48" s="24">
        <f>IF(AR48="",0,VLOOKUP(AR48,CUSTO!I:J,2,0)*AS48/E48)</f>
        <v>0</v>
      </c>
      <c r="BF48" s="24">
        <f>IF(AT48="",0,VLOOKUP(AT48,[1]BD_CUSTO!I:J,2,0)*AU48/E48)</f>
        <v>0</v>
      </c>
      <c r="BG48" s="24">
        <f>IF(Tabela1[[#This Row],[LZ 10]]="",0,VLOOKUP(Tabela1[[#This Row],[LZ 10]],[1]BD_CUSTO!I:J,2,0)*Tabela1[[#This Row],[QTD922]]/E48)</f>
        <v>0</v>
      </c>
      <c r="BH48" s="22" t="s">
        <v>112</v>
      </c>
      <c r="BI48" s="25">
        <f>84/Tabela1[[#This Row],[Nº UNDS]]</f>
        <v>0.45652173913043476</v>
      </c>
      <c r="BJ48" s="22" t="s">
        <v>113</v>
      </c>
      <c r="BK48" s="25">
        <v>0</v>
      </c>
      <c r="BL48" s="24">
        <f>IF(BH48=[1]BD_CUSTO!$M$6,[1]BD_CUSTO!$N$6)*BI48</f>
        <v>1369.5652173913043</v>
      </c>
      <c r="BM48" s="24">
        <f>IF(BJ48=[1]BD_CUSTO!$M$4,[1]BD_CUSTO!$N$4,[1]BD_CUSTO!$N$5)*BK48</f>
        <v>0</v>
      </c>
      <c r="BN48" s="22" t="s">
        <v>114</v>
      </c>
      <c r="BO48" s="22">
        <v>206</v>
      </c>
      <c r="BP48" s="25">
        <f>Tabela1[[#This Row],[QTD ]]/Tabela1[[#This Row],[Nº UNDS]]</f>
        <v>1.1195652173913044</v>
      </c>
      <c r="BQ48" s="22" t="s">
        <v>115</v>
      </c>
      <c r="BR48" s="22">
        <v>0</v>
      </c>
      <c r="BS48" s="22" t="s">
        <v>116</v>
      </c>
      <c r="BT48" s="22">
        <v>0</v>
      </c>
      <c r="BU48" s="22" t="s">
        <v>16</v>
      </c>
      <c r="BV48" s="22">
        <v>0</v>
      </c>
      <c r="BW48" s="24">
        <f>IF(BN48=[1]BD_CUSTO!$Q$7,[1]BD_CUSTO!$R$7,[1]BD_CUSTO!$R$8)*BO48/E48</f>
        <v>2239.1304347826085</v>
      </c>
      <c r="BX48" s="24">
        <f>IF(BQ48=[1]BD_CUSTO!$Q$4,[1]BD_CUSTO!$R$4,[1]BD_CUSTO!$R$5)*BR48/E48</f>
        <v>0</v>
      </c>
      <c r="BY48" s="22">
        <f>IF(BS48=[1]BD_CUSTO!$Q$13,[1]BD_CUSTO!$R$13,[1]BD_CUSTO!$R$14)*BT48/E48</f>
        <v>0</v>
      </c>
      <c r="BZ48" s="24">
        <f>BV48*CUSTO!$R$10/E48</f>
        <v>0</v>
      </c>
      <c r="CA48" s="26">
        <f>SUM(Tabela1[[#This Row],[SOMA_PISO SALA E QUARTO]],Tabela1[[#This Row],[SOMA_PAREDE HIDR]],Tabela1[[#This Row],[SOMA_TETO]],Tabela1[[#This Row],[SOMA_BANCADA]],Tabela1[[#This Row],[SOMA_PEDRAS]])</f>
        <v>2390</v>
      </c>
      <c r="CB48" s="27" t="str">
        <f>IF(CA48&lt;=RÉGUAS!$D$4,"ACAB 01",IF(CA48&lt;=RÉGUAS!$F$4,"ACAB 02",IF(CA48&gt;RÉGUAS!$F$4,"ACAB 03",)))</f>
        <v>ACAB 01</v>
      </c>
      <c r="CC48" s="26">
        <f>SUM(Tabela1[[#This Row],[SOMA_LZ 01]:[SOMA_LZ 10]])</f>
        <v>2782.1934782608696</v>
      </c>
      <c r="CD48" s="22" t="str">
        <f>IF(CC48&lt;=RÉGUAS!$D$13,"LZ 01",IF(CC48&lt;=RÉGUAS!$F$13,"LZ 02",IF(CC48&lt;=RÉGUAS!$H$13,"LZ 03",IF(CC48&gt;RÉGUAS!$H$13,"LZ 04",))))</f>
        <v>LZ 04</v>
      </c>
      <c r="CE48" s="28">
        <f t="shared" si="8"/>
        <v>1369.5652173913043</v>
      </c>
      <c r="CF48" s="22" t="str">
        <f>IF(CE48&lt;=RÉGUAS!$D$22,"TIP 01",IF(CE48&lt;=RÉGUAS!$F$22,"TIP 02",IF(CE48&gt;RÉGUAS!$F$22,"TIP 03",)))</f>
        <v>TIP 01</v>
      </c>
      <c r="CG48" s="28">
        <f t="shared" si="9"/>
        <v>2239.1304347826085</v>
      </c>
      <c r="CH48" s="22" t="str">
        <f>IF(CG48&lt;=RÉGUAS!$D$32,"VAGA 01",IF(CG48&lt;=RÉGUAS!$F$32,"VAGA 02",IF(CG48&gt;RÉGUAS!$F$32,"VAGA 03",)))</f>
        <v>VAGA 02</v>
      </c>
      <c r="CI48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4377.130434782609</v>
      </c>
      <c r="CJ48" s="85" t="str">
        <f>IF(AND(G48="BLOCO",CI48&lt;=RÉGUAS!$D$40),"ELEV 01",IF(AND(G48="BLOCO",CI48&gt;RÉGUAS!$D$40),"ELEV 02",IF(AND(G48="TORRE",CI48&lt;=RÉGUAS!$K$40),"ELEV 01",IF(AND(G48="TORRE",CI48&lt;=RÉGUAS!$M$40),"ELEV 02",IF(AND(G48="TORRE",CI48&gt;RÉGUAS!$M$40),"ELEV 03",)))))</f>
        <v>ELEV 03</v>
      </c>
      <c r="CK48" s="85">
        <f>SUM(Tabela1[[#This Row],[TOTAL  ACAB]],Tabela1[[#This Row],[TOTAL LAZER ]],Tabela1[[#This Row],[TOTAL TIPOLOGIA]],Tabela1[[#This Row],[TOTAL VAGA]],Tabela1[[#This Row],[TOTAL ELEVADOR]])</f>
        <v>13158.01956521739</v>
      </c>
      <c r="CL48" s="72" t="str">
        <f>IF(AND(G48="BLOCO",CK48&lt;=RÉGUAS!$D$50),"ESSENCIAL",IF(AND(G48="BLOCO",CK48&lt;=RÉGUAS!$F$50),"ECO",IF(AND(G48="BLOCO",CK48&gt;RÉGUAS!$F$50),"BIO",IF(AND(G48="TORRE",CK48&lt;=RÉGUAS!$K$50),"ESSENCIAL",IF(AND(G48="TORRE",CK48&lt;=RÉGUAS!$M$50),"ECO",IF(AND(G48="TORRE",CK48&gt;RÉGUAS!$M$50),"BIO",))))))</f>
        <v>ECO</v>
      </c>
      <c r="CM48" s="28" t="str">
        <f>IF(AND(G48="BLOCO",CK48&gt;=RÉGUAS!$D$51,CK48&lt;=RÉGUAS!$D$50),"ESSENCIAL-10%",IF(AND(G48="BLOCO",CK48&gt;RÉGUAS!$D$50,CK48&lt;=RÉGUAS!$E$51),"ECO+10%",IF(AND(G48="BLOCO",CK48&gt;=RÉGUAS!$F$51,CK48&lt;=RÉGUAS!$F$50),"ECO-10%",IF(AND(G48="BLOCO",CK48&gt;RÉGUAS!$F$50,CK48&lt;=RÉGUAS!$G$51),"BIO+10%",IF(AND(G48="TORRE",CK48&gt;=RÉGUAS!$K$51,CK48&lt;=RÉGUAS!$K$50),"ESSENCIAL-10%",IF(AND(G48="TORRE",CK48&gt;RÉGUAS!$K$50,CK48&lt;=RÉGUAS!$L$51),"ECO+10%",IF(AND(G48="TORRE",CK48&gt;=RÉGUAS!$M$51,CK48&lt;=RÉGUAS!$M$50),"ECO-10%",IF(AND(G48="TORRE",CK48&gt;RÉGUAS!$M$50,CK48&lt;=RÉGUAS!$N$51),"BIO+10%","-"))))))))</f>
        <v>ECO-10%</v>
      </c>
      <c r="CN48" s="73">
        <f t="shared" si="10"/>
        <v>8780.8891304347817</v>
      </c>
      <c r="CO48" s="72" t="str">
        <f>IF(CN48&lt;=RÉGUAS!$D$58,"ESSENCIAL",IF(CN48&lt;=RÉGUAS!$F$58,"ECO",IF(CN48&gt;RÉGUAS!$F$58,"BIO",)))</f>
        <v>ECO</v>
      </c>
      <c r="CP48" s="72" t="str">
        <f>IF(Tabela1[[#This Row],[INTERVALO DE INTERSEÇÃO 5D]]="-",Tabela1[[#This Row],[CLASSIFICAÇÃO 
5D ]],Tabela1[[#This Row],[CLASSIFICAÇÃO 
4D]])</f>
        <v>ECO</v>
      </c>
      <c r="CQ48" s="72" t="str">
        <f t="shared" si="11"/>
        <v>-</v>
      </c>
      <c r="CR48" s="72" t="str">
        <f t="shared" si="12"/>
        <v>ECO</v>
      </c>
      <c r="CS48" s="22" t="str">
        <f>IF(Tabela1[[#This Row],[PRODUTO ATUAL ]]=Tabela1[[#This Row],[CLASSIFICAÇÃO FINAL 5D]],"ADERÊNTE","NÃO ADERÊNTE")</f>
        <v>ADERÊNTE</v>
      </c>
      <c r="CT48" s="24">
        <f>SUM(Tabela1[[#This Row],[TOTAL  ACAB]],Tabela1[[#This Row],[TOTAL LAZER ]],Tabela1[[#This Row],[TOTAL TIPOLOGIA]],Tabela1[[#This Row],[TOTAL VAGA]])</f>
        <v>8780.8891304347817</v>
      </c>
      <c r="CU48" s="22" t="str">
        <f>IF(CT48&lt;=RÉGUAS!$D$58,"ESSENCIAL",IF(CT48&lt;=RÉGUAS!$F$58,"ECO",IF(CT48&gt;RÉGUAS!$F$58,"BIO",)))</f>
        <v>ECO</v>
      </c>
      <c r="CV48" s="22" t="str">
        <f>IF(AND(CT48&gt;=RÉGUAS!$D$59,CT48&lt;=RÉGUAS!$E$59),"ESSENCIAL/ECO",IF(AND(CT48&gt;=RÉGUAS!$F$59,CT48&lt;=RÉGUAS!$G$59),"ECO/BIO","-"))</f>
        <v>-</v>
      </c>
      <c r="CW48" s="85">
        <f>SUM(Tabela1[[#This Row],[TOTAL LAZER ]],Tabela1[[#This Row],[TOTAL TIPOLOGIA]])</f>
        <v>4151.7586956521736</v>
      </c>
      <c r="CX48" s="22" t="str">
        <f>IF(CW48&lt;=RÉGUAS!$D$72,"ESSENCIAL",IF(CW48&lt;=RÉGUAS!$F$72,"ECO",IF(CN48&gt;RÉGUAS!$F$72,"BIO",)))</f>
        <v>ECO</v>
      </c>
      <c r="CY48" s="22" t="str">
        <f t="shared" si="13"/>
        <v>ECO</v>
      </c>
      <c r="CZ48" s="22" t="str">
        <f>IF(Tabela1[[#This Row],[PRODUTO ATUAL ]]=CY48,"ADERENTE","NÃO ADERENTE")</f>
        <v>ADERENTE</v>
      </c>
      <c r="DA48" s="22" t="str">
        <f>IF(Tabela1[[#This Row],[PRODUTO ATUAL ]]=Tabela1[[#This Row],[CLASSIFICAÇÃO 
4D2]],"ADERENTE","NÃO ADERENTE")</f>
        <v>ADERENTE</v>
      </c>
    </row>
    <row r="49" spans="2:105" hidden="1" x14ac:dyDescent="0.35">
      <c r="B49" s="27">
        <v>59</v>
      </c>
      <c r="C49" s="22" t="s">
        <v>225</v>
      </c>
      <c r="D49" s="22" t="s">
        <v>125</v>
      </c>
      <c r="E49" s="23">
        <v>264</v>
      </c>
      <c r="F49" s="22" t="str">
        <f t="shared" si="7"/>
        <v>De 200 a 400 und</v>
      </c>
      <c r="G49" s="22" t="s">
        <v>14</v>
      </c>
      <c r="H49" s="36">
        <v>3</v>
      </c>
      <c r="I49" s="36">
        <v>11</v>
      </c>
      <c r="J49" s="36"/>
      <c r="K49" s="36"/>
      <c r="L49" s="36">
        <f>SUM(Tabela1[[#This Row],[QTD DE B/T 2]],Tabela1[[#This Row],[QTD DE B/T]])</f>
        <v>3</v>
      </c>
      <c r="M49" s="22">
        <v>6</v>
      </c>
      <c r="N49" s="22">
        <f>Tabela1[[#This Row],[ELEVADOR]]/Tabela1[[#This Row],[BLOCO TOTAL]]</f>
        <v>2</v>
      </c>
      <c r="O49" s="22" t="s">
        <v>5</v>
      </c>
      <c r="P49" s="22" t="s">
        <v>119</v>
      </c>
      <c r="Q49" s="22" t="s">
        <v>101</v>
      </c>
      <c r="R49" s="22" t="s">
        <v>142</v>
      </c>
      <c r="S49" s="22" t="s">
        <v>159</v>
      </c>
      <c r="T49" s="22" t="s">
        <v>104</v>
      </c>
      <c r="U49" s="22" t="s">
        <v>105</v>
      </c>
      <c r="V49" s="22" t="s">
        <v>137</v>
      </c>
      <c r="W49" s="24">
        <f>IF(P49=[1]BD_CUSTO!$E$4,[1]BD_CUSTO!$F$4,[1]BD_CUSTO!$F$5)</f>
        <v>530</v>
      </c>
      <c r="X49" s="24">
        <f>IF(Q49=[1]BD_CUSTO!$E$6,[1]BD_CUSTO!$F$6,[1]BD_CUSTO!$F$7)</f>
        <v>260</v>
      </c>
      <c r="Y49" s="24">
        <f>IF(R49=[1]BD_CUSTO!$E$8,[1]BD_CUSTO!$F$8,[1]BD_CUSTO!$F$9)</f>
        <v>900</v>
      </c>
      <c r="Z49" s="24">
        <f>IF(S49=[1]BD_CUSTO!$E$10,[1]BD_CUSTO!$F$10,[1]BD_CUSTO!$F$11)</f>
        <v>935</v>
      </c>
      <c r="AA49" s="24">
        <f>IF(T49=[1]BD_CUSTO!$E$12,[1]BD_CUSTO!$F$12,[1]BD_CUSTO!$F$13)</f>
        <v>370</v>
      </c>
      <c r="AB49" s="24">
        <f>IF(U49=[1]BD_CUSTO!$E$14,[1]BD_CUSTO!$F$14,[1]BD_CUSTO!$F$15)</f>
        <v>90</v>
      </c>
      <c r="AC49" s="24">
        <f>IF(V49=[1]BD_CUSTO!$E$16,[1]BD_CUSTO!$F$16,[1]BD_CUSTO!$F$17)</f>
        <v>1320</v>
      </c>
      <c r="AD49" s="22" t="s">
        <v>110</v>
      </c>
      <c r="AE49" s="22">
        <v>1</v>
      </c>
      <c r="AF49" s="22" t="s">
        <v>109</v>
      </c>
      <c r="AG49" s="22">
        <v>1</v>
      </c>
      <c r="AH49" s="22" t="s">
        <v>129</v>
      </c>
      <c r="AI49" s="22">
        <v>1</v>
      </c>
      <c r="AJ49" s="22" t="s">
        <v>108</v>
      </c>
      <c r="AK49" s="22">
        <v>1</v>
      </c>
      <c r="AL49" s="22" t="s">
        <v>111</v>
      </c>
      <c r="AM49" s="22">
        <v>1</v>
      </c>
      <c r="AN49" s="22" t="s">
        <v>121</v>
      </c>
      <c r="AO49" s="22">
        <v>1</v>
      </c>
      <c r="AP49" s="22" t="s">
        <v>107</v>
      </c>
      <c r="AQ49" s="22">
        <v>1</v>
      </c>
      <c r="AR49" s="22" t="s">
        <v>156</v>
      </c>
      <c r="AS49" s="22">
        <v>1</v>
      </c>
      <c r="AT49" s="22"/>
      <c r="AU49" s="22"/>
      <c r="AV49" s="22"/>
      <c r="AW49" s="22"/>
      <c r="AX49" s="24">
        <f>IF(AD49="",0,VLOOKUP(AD49,[1]BD_CUSTO!I:J,2,0)*AE49/E49)</f>
        <v>20.075757575757574</v>
      </c>
      <c r="AY49" s="24">
        <f>IF(AF49="",0,VLOOKUP(AF49,[1]BD_CUSTO!I:J,2,0)*AG49/E49)</f>
        <v>26.325757575757574</v>
      </c>
      <c r="AZ49" s="24">
        <f>IF(AH49="",0,VLOOKUP(AH49,[1]BD_CUSTO!I:J,2,0)*AI49/E49)</f>
        <v>1042.3014393939395</v>
      </c>
      <c r="BA49" s="24">
        <f>IF(AJ49="",0,VLOOKUP(AJ49,[1]BD_CUSTO!I:J,2,0)*AK49/E49)</f>
        <v>87.689393939393938</v>
      </c>
      <c r="BB49" s="24">
        <f>IF(AL49="",0,VLOOKUP(AL49,[1]BD_CUSTO!I:J,2,0)*AM49/E49)</f>
        <v>61.363636363636367</v>
      </c>
      <c r="BC49" s="24">
        <f>IF(AN49="",0,VLOOKUP(AN49,[1]BD_CUSTO!I:J,2,0)*AO49/E49)</f>
        <v>466.50340909090909</v>
      </c>
      <c r="BD49" s="24">
        <f>IF(AP49="",0,VLOOKUP(AP49,[1]BD_CUSTO!I:J,2,0)*AQ49/E49)</f>
        <v>322.53454545454542</v>
      </c>
      <c r="BE49" s="24">
        <f>IF(AR49="",0,VLOOKUP(AR49,CUSTO!I:J,2,0)*AS49/E49)</f>
        <v>371.40151515151513</v>
      </c>
      <c r="BF49" s="24">
        <f>IF(AT49="",0,VLOOKUP(AT49,[1]BD_CUSTO!I:J,2,0)*AU49/E49)</f>
        <v>0</v>
      </c>
      <c r="BG49" s="24">
        <f>IF(Tabela1[[#This Row],[LZ 10]]="",0,VLOOKUP(Tabela1[[#This Row],[LZ 10]],[1]BD_CUSTO!I:J,2,0)*Tabela1[[#This Row],[QTD922]]/E49)</f>
        <v>0</v>
      </c>
      <c r="BH49" s="22" t="s">
        <v>112</v>
      </c>
      <c r="BI49" s="25">
        <f>240/Tabela1[[#This Row],[Nº UNDS]]</f>
        <v>0.90909090909090906</v>
      </c>
      <c r="BJ49" s="22" t="s">
        <v>113</v>
      </c>
      <c r="BK49" s="25">
        <v>0</v>
      </c>
      <c r="BL49" s="24">
        <f>IF(BH49=[1]BD_CUSTO!$M$6,[1]BD_CUSTO!$N$6)*BI49</f>
        <v>2727.272727272727</v>
      </c>
      <c r="BM49" s="24">
        <f>IF(BJ49=[1]BD_CUSTO!$M$4,[1]BD_CUSTO!$N$4,[1]BD_CUSTO!$N$5)*BK49</f>
        <v>0</v>
      </c>
      <c r="BN49" s="22" t="s">
        <v>114</v>
      </c>
      <c r="BO49" s="22">
        <v>264</v>
      </c>
      <c r="BP49" s="25">
        <f>Tabela1[[#This Row],[QTD ]]/Tabela1[[#This Row],[Nº UNDS]]</f>
        <v>1</v>
      </c>
      <c r="BQ49" s="22" t="s">
        <v>115</v>
      </c>
      <c r="BR49" s="22">
        <v>0</v>
      </c>
      <c r="BS49" s="22" t="s">
        <v>116</v>
      </c>
      <c r="BT49" s="22">
        <v>0</v>
      </c>
      <c r="BU49" s="22" t="s">
        <v>16</v>
      </c>
      <c r="BV49" s="22">
        <v>0</v>
      </c>
      <c r="BW49" s="24">
        <f>IF(BN49=[1]BD_CUSTO!$Q$7,[1]BD_CUSTO!$R$7,[1]BD_CUSTO!$R$8)*BO49/E49</f>
        <v>2000</v>
      </c>
      <c r="BX49" s="24">
        <f>IF(BQ49=[1]BD_CUSTO!$Q$4,[1]BD_CUSTO!$R$4,[1]BD_CUSTO!$R$5)*BR49/E49</f>
        <v>0</v>
      </c>
      <c r="BY49" s="22">
        <f>IF(BS49=[1]BD_CUSTO!$Q$13,[1]BD_CUSTO!$R$13,[1]BD_CUSTO!$R$14)*BT49/E49</f>
        <v>0</v>
      </c>
      <c r="BZ49" s="24">
        <f>BV49*CUSTO!$R$10/E49</f>
        <v>0</v>
      </c>
      <c r="CA49" s="26">
        <f>SUM(Tabela1[[#This Row],[SOMA_PISO SALA E QUARTO]],Tabela1[[#This Row],[SOMA_PAREDE HIDR]],Tabela1[[#This Row],[SOMA_TETO]],Tabela1[[#This Row],[SOMA_BANCADA]],Tabela1[[#This Row],[SOMA_PEDRAS]])</f>
        <v>2825</v>
      </c>
      <c r="CB49" s="27" t="str">
        <f>IF(CA49&lt;=RÉGUAS!$D$4,"ACAB 01",IF(CA49&lt;=RÉGUAS!$F$4,"ACAB 02",IF(CA49&gt;RÉGUAS!$F$4,"ACAB 03",)))</f>
        <v>ACAB 01</v>
      </c>
      <c r="CC49" s="26">
        <f>SUM(Tabela1[[#This Row],[SOMA_LZ 01]:[SOMA_LZ 10]])</f>
        <v>2398.1954545454546</v>
      </c>
      <c r="CD49" s="22" t="str">
        <f>IF(CC49&lt;=RÉGUAS!$D$13,"LZ 01",IF(CC49&lt;=RÉGUAS!$F$13,"LZ 02",IF(CC49&lt;=RÉGUAS!$H$13,"LZ 03",IF(CC49&gt;RÉGUAS!$H$13,"LZ 04",))))</f>
        <v>LZ 03</v>
      </c>
      <c r="CE49" s="28">
        <f t="shared" si="8"/>
        <v>2727.272727272727</v>
      </c>
      <c r="CF49" s="22" t="str">
        <f>IF(CE49&lt;=RÉGUAS!$D$22,"TIP 01",IF(CE49&lt;=RÉGUAS!$F$22,"TIP 02",IF(CE49&gt;RÉGUAS!$F$22,"TIP 03",)))</f>
        <v>TIP 02</v>
      </c>
      <c r="CG49" s="28">
        <f t="shared" si="9"/>
        <v>2000</v>
      </c>
      <c r="CH49" s="22" t="str">
        <f>IF(CG49&lt;=RÉGUAS!$D$32,"VAGA 01",IF(CG49&lt;=RÉGUAS!$F$32,"VAGA 02",IF(CG49&gt;RÉGUAS!$F$32,"VAGA 03",)))</f>
        <v>VAGA 02</v>
      </c>
      <c r="CI49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4936.25</v>
      </c>
      <c r="CJ49" s="85" t="str">
        <f>IF(AND(G49="BLOCO",CI49&lt;=RÉGUAS!$D$40),"ELEV 01",IF(AND(G49="BLOCO",CI49&gt;RÉGUAS!$D$40),"ELEV 02",IF(AND(G49="TORRE",CI49&lt;=RÉGUAS!$K$40),"ELEV 01",IF(AND(G49="TORRE",CI49&lt;=RÉGUAS!$M$40),"ELEV 02",IF(AND(G49="TORRE",CI49&gt;RÉGUAS!$M$40),"ELEV 03",)))))</f>
        <v>ELEV 03</v>
      </c>
      <c r="CK49" s="85">
        <f>SUM(Tabela1[[#This Row],[TOTAL  ACAB]],Tabela1[[#This Row],[TOTAL LAZER ]],Tabela1[[#This Row],[TOTAL TIPOLOGIA]],Tabela1[[#This Row],[TOTAL VAGA]],Tabela1[[#This Row],[TOTAL ELEVADOR]])</f>
        <v>14886.718181818182</v>
      </c>
      <c r="CL49" s="72" t="str">
        <f>IF(AND(G49="BLOCO",CK49&lt;=RÉGUAS!$D$50),"ESSENCIAL",IF(AND(G49="BLOCO",CK49&lt;=RÉGUAS!$F$50),"ECO",IF(AND(G49="BLOCO",CK49&gt;RÉGUAS!$F$50),"BIO",IF(AND(G49="TORRE",CK49&lt;=RÉGUAS!$K$50),"ESSENCIAL",IF(AND(G49="TORRE",CK49&lt;=RÉGUAS!$M$50),"ECO",IF(AND(G49="TORRE",CK49&gt;RÉGUAS!$M$50),"BIO",))))))</f>
        <v>BIO</v>
      </c>
      <c r="CM49" s="28" t="str">
        <f>IF(AND(G49="BLOCO",CK49&gt;=RÉGUAS!$D$51,CK49&lt;=RÉGUAS!$D$50),"ESSENCIAL-10%",IF(AND(G49="BLOCO",CK49&gt;RÉGUAS!$D$50,CK49&lt;=RÉGUAS!$E$51),"ECO+10%",IF(AND(G49="BLOCO",CK49&gt;=RÉGUAS!$F$51,CK49&lt;=RÉGUAS!$F$50),"ECO-10%",IF(AND(G49="BLOCO",CK49&gt;RÉGUAS!$F$50,CK49&lt;=RÉGUAS!$G$51),"BIO+10%",IF(AND(G49="TORRE",CK49&gt;=RÉGUAS!$K$51,CK49&lt;=RÉGUAS!$K$50),"ESSENCIAL-10%",IF(AND(G49="TORRE",CK49&gt;RÉGUAS!$K$50,CK49&lt;=RÉGUAS!$L$51),"ECO+10%",IF(AND(G49="TORRE",CK49&gt;=RÉGUAS!$M$51,CK49&lt;=RÉGUAS!$M$50),"ECO-10%",IF(AND(G49="TORRE",CK49&gt;RÉGUAS!$M$50,CK49&lt;=RÉGUAS!$N$51),"BIO+10%","-"))))))))</f>
        <v>BIO+10%</v>
      </c>
      <c r="CN49" s="73">
        <f t="shared" si="10"/>
        <v>9950.4681818181816</v>
      </c>
      <c r="CO49" s="72" t="str">
        <f>IF(CN49&lt;=RÉGUAS!$D$58,"ESSENCIAL",IF(CN49&lt;=RÉGUAS!$F$58,"ECO",IF(CN49&gt;RÉGUAS!$F$58,"BIO",)))</f>
        <v>ECO</v>
      </c>
      <c r="CP49" s="72" t="str">
        <f>IF(Tabela1[[#This Row],[INTERVALO DE INTERSEÇÃO 5D]]="-",Tabela1[[#This Row],[CLASSIFICAÇÃO 
5D ]],Tabela1[[#This Row],[CLASSIFICAÇÃO 
4D]])</f>
        <v>ECO</v>
      </c>
      <c r="CQ49" s="72" t="str">
        <f t="shared" si="11"/>
        <v>-</v>
      </c>
      <c r="CR49" s="72" t="str">
        <f t="shared" si="12"/>
        <v>ECO</v>
      </c>
      <c r="CS49" s="22" t="str">
        <f>IF(Tabela1[[#This Row],[PRODUTO ATUAL ]]=Tabela1[[#This Row],[CLASSIFICAÇÃO FINAL 5D]],"ADERÊNTE","NÃO ADERÊNTE")</f>
        <v>ADERÊNTE</v>
      </c>
      <c r="CT49" s="24">
        <f>SUM(Tabela1[[#This Row],[TOTAL  ACAB]],Tabela1[[#This Row],[TOTAL LAZER ]],Tabela1[[#This Row],[TOTAL TIPOLOGIA]],Tabela1[[#This Row],[TOTAL VAGA]])</f>
        <v>9950.4681818181816</v>
      </c>
      <c r="CU49" s="22" t="str">
        <f>IF(CT49&lt;=RÉGUAS!$D$58,"ESSENCIAL",IF(CT49&lt;=RÉGUAS!$F$58,"ECO",IF(CT49&gt;RÉGUAS!$F$58,"BIO",)))</f>
        <v>ECO</v>
      </c>
      <c r="CV49" s="22" t="str">
        <f>IF(AND(CT49&gt;=RÉGUAS!$D$59,CT49&lt;=RÉGUAS!$E$59),"ESSENCIAL/ECO",IF(AND(CT49&gt;=RÉGUAS!$F$59,CT49&lt;=RÉGUAS!$G$59),"ECO/BIO","-"))</f>
        <v>-</v>
      </c>
      <c r="CW49" s="85">
        <f>SUM(Tabela1[[#This Row],[TOTAL LAZER ]],Tabela1[[#This Row],[TOTAL TIPOLOGIA]])</f>
        <v>5125.4681818181816</v>
      </c>
      <c r="CX49" s="22" t="str">
        <f>IF(CW49&lt;=RÉGUAS!$D$72,"ESSENCIAL",IF(CW49&lt;=RÉGUAS!$F$72,"ECO",IF(CN49&gt;RÉGUAS!$F$72,"BIO",)))</f>
        <v>BIO</v>
      </c>
      <c r="CY49" s="22" t="str">
        <f t="shared" si="13"/>
        <v>ECO</v>
      </c>
      <c r="CZ49" s="22" t="str">
        <f>IF(Tabela1[[#This Row],[PRODUTO ATUAL ]]=CY49,"ADERENTE","NÃO ADERENTE")</f>
        <v>ADERENTE</v>
      </c>
      <c r="DA49" s="22" t="str">
        <f>IF(Tabela1[[#This Row],[PRODUTO ATUAL ]]=Tabela1[[#This Row],[CLASSIFICAÇÃO 
4D2]],"ADERENTE","NÃO ADERENTE")</f>
        <v>ADERENTE</v>
      </c>
    </row>
    <row r="50" spans="2:105" ht="14" hidden="1" customHeight="1" x14ac:dyDescent="0.35">
      <c r="B50" s="27">
        <v>58</v>
      </c>
      <c r="C50" s="22" t="s">
        <v>197</v>
      </c>
      <c r="D50" s="22" t="s">
        <v>128</v>
      </c>
      <c r="E50" s="23">
        <v>200</v>
      </c>
      <c r="F50" s="22" t="str">
        <f t="shared" si="7"/>
        <v>Até 200 und</v>
      </c>
      <c r="G50" s="22" t="s">
        <v>1</v>
      </c>
      <c r="H50" s="36">
        <v>10</v>
      </c>
      <c r="I50" s="36">
        <v>5</v>
      </c>
      <c r="J50" s="36"/>
      <c r="K50" s="36"/>
      <c r="L50" s="36">
        <f>SUM(Tabela1[[#This Row],[QTD DE B/T 2]],Tabela1[[#This Row],[QTD DE B/T]])</f>
        <v>10</v>
      </c>
      <c r="M50" s="22">
        <v>0</v>
      </c>
      <c r="N50" s="22">
        <f>Tabela1[[#This Row],[ELEVADOR]]/Tabela1[[#This Row],[BLOCO TOTAL]]</f>
        <v>0</v>
      </c>
      <c r="O50" s="22" t="s">
        <v>5</v>
      </c>
      <c r="P50" s="22" t="s">
        <v>101</v>
      </c>
      <c r="Q50" s="22" t="s">
        <v>101</v>
      </c>
      <c r="R50" s="22" t="s">
        <v>102</v>
      </c>
      <c r="S50" s="22" t="s">
        <v>103</v>
      </c>
      <c r="T50" s="22" t="s">
        <v>104</v>
      </c>
      <c r="U50" s="22" t="s">
        <v>105</v>
      </c>
      <c r="V50" s="22" t="s">
        <v>106</v>
      </c>
      <c r="W50" s="24">
        <f>IF(P50=[1]BD_CUSTO!$E$4,[1]BD_CUSTO!$F$4,[1]BD_CUSTO!$F$5)</f>
        <v>2430</v>
      </c>
      <c r="X50" s="24">
        <f>IF(Q50=[1]BD_CUSTO!$E$6,[1]BD_CUSTO!$F$6,[1]BD_CUSTO!$F$7)</f>
        <v>260</v>
      </c>
      <c r="Y50" s="24">
        <f>IF(R50=[1]BD_CUSTO!$E$8,[1]BD_CUSTO!$F$8,[1]BD_CUSTO!$F$9)</f>
        <v>600</v>
      </c>
      <c r="Z50" s="24">
        <f>IF(S50=[1]BD_CUSTO!$E$10,[1]BD_CUSTO!$F$10,[1]BD_CUSTO!$F$11)</f>
        <v>500</v>
      </c>
      <c r="AA50" s="24">
        <f>IF(T50=[1]BD_CUSTO!$E$12,[1]BD_CUSTO!$F$12,[1]BD_CUSTO!$F$13)</f>
        <v>370</v>
      </c>
      <c r="AB50" s="24">
        <f>IF(U50=[1]BD_CUSTO!$E$14,[1]BD_CUSTO!$F$14,[1]BD_CUSTO!$F$15)</f>
        <v>90</v>
      </c>
      <c r="AC50" s="24">
        <f>IF(V50=[1]BD_CUSTO!$E$16,[1]BD_CUSTO!$F$16,[1]BD_CUSTO!$F$17)</f>
        <v>720</v>
      </c>
      <c r="AD50" s="22" t="s">
        <v>109</v>
      </c>
      <c r="AE50" s="22">
        <v>1</v>
      </c>
      <c r="AF50" s="22" t="s">
        <v>110</v>
      </c>
      <c r="AG50" s="22">
        <v>1</v>
      </c>
      <c r="AH50" s="22" t="s">
        <v>108</v>
      </c>
      <c r="AI50" s="22">
        <v>1</v>
      </c>
      <c r="AJ50" s="22" t="s">
        <v>107</v>
      </c>
      <c r="AK50" s="22">
        <v>2</v>
      </c>
      <c r="AL50" s="22" t="s">
        <v>121</v>
      </c>
      <c r="AM50" s="22">
        <v>1</v>
      </c>
      <c r="AN50" s="22" t="s">
        <v>129</v>
      </c>
      <c r="AO50" s="22">
        <v>1</v>
      </c>
      <c r="AP50" s="22"/>
      <c r="AQ50" s="22"/>
      <c r="AR50" s="22"/>
      <c r="AS50" s="22"/>
      <c r="AT50" s="22"/>
      <c r="AU50" s="22"/>
      <c r="AV50" s="22"/>
      <c r="AW50" s="22"/>
      <c r="AX50" s="24">
        <f>IF(AD50="",0,VLOOKUP(AD50,[1]BD_CUSTO!I:J,2,0)*AE50/E50)</f>
        <v>34.75</v>
      </c>
      <c r="AY50" s="24">
        <f>IF(AF50="",0,VLOOKUP(AF50,[1]BD_CUSTO!I:J,2,0)*AG50/E50)</f>
        <v>26.5</v>
      </c>
      <c r="AZ50" s="24">
        <f>IF(AH50="",0,VLOOKUP(AH50,[1]BD_CUSTO!I:J,2,0)*AI50/E50)</f>
        <v>115.75</v>
      </c>
      <c r="BA50" s="24">
        <f>IF(AJ50="",0,VLOOKUP(AJ50,[1]BD_CUSTO!I:J,2,0)*AK50/E50)</f>
        <v>851.49119999999994</v>
      </c>
      <c r="BB50" s="24">
        <f>IF(AL50="",0,VLOOKUP(AL50,[1]BD_CUSTO!I:J,2,0)*AM50/E50)</f>
        <v>615.78449999999998</v>
      </c>
      <c r="BC50" s="24">
        <f>IF(AN50="",0,VLOOKUP(AN50,[1]BD_CUSTO!I:J,2,0)*AO50/E50)</f>
        <v>1375.8379</v>
      </c>
      <c r="BD50" s="24">
        <f>IF(AP50="",0,VLOOKUP(AP50,[1]BD_CUSTO!I:J,2,0)*AQ50/E50)</f>
        <v>0</v>
      </c>
      <c r="BE50" s="24">
        <f>IF(AR50="",0,VLOOKUP(AR50,CUSTO!I:J,2,0)*AS50/E50)</f>
        <v>0</v>
      </c>
      <c r="BF50" s="24">
        <f>IF(AT50="",0,VLOOKUP(AT50,[1]BD_CUSTO!I:J,2,0)*AU50/E50)</f>
        <v>0</v>
      </c>
      <c r="BG50" s="24">
        <f>IF(Tabela1[[#This Row],[LZ 10]]="",0,VLOOKUP(Tabela1[[#This Row],[LZ 10]],[1]BD_CUSTO!I:J,2,0)*Tabela1[[#This Row],[QTD922]]/E50)</f>
        <v>0</v>
      </c>
      <c r="BH50" s="22" t="s">
        <v>112</v>
      </c>
      <c r="BI50" s="25">
        <f>80/Tabela1[[#This Row],[Nº UNDS]]</f>
        <v>0.4</v>
      </c>
      <c r="BJ50" s="22" t="s">
        <v>113</v>
      </c>
      <c r="BK50" s="25">
        <v>0</v>
      </c>
      <c r="BL50" s="24">
        <f>IF(BH50=[1]BD_CUSTO!$M$6,[1]BD_CUSTO!$N$6)*BI50</f>
        <v>1200</v>
      </c>
      <c r="BM50" s="24">
        <f>IF(BJ50=[1]BD_CUSTO!$M$4,[1]BD_CUSTO!$N$4,[1]BD_CUSTO!$N$5)*BK50</f>
        <v>0</v>
      </c>
      <c r="BN50" s="22" t="s">
        <v>114</v>
      </c>
      <c r="BO50" s="22">
        <v>200</v>
      </c>
      <c r="BP50" s="25">
        <f>Tabela1[[#This Row],[QTD ]]/Tabela1[[#This Row],[Nº UNDS]]</f>
        <v>1</v>
      </c>
      <c r="BQ50" s="22" t="s">
        <v>115</v>
      </c>
      <c r="BR50" s="22">
        <v>0</v>
      </c>
      <c r="BS50" s="22" t="s">
        <v>116</v>
      </c>
      <c r="BT50" s="22">
        <v>0</v>
      </c>
      <c r="BU50" s="22" t="s">
        <v>16</v>
      </c>
      <c r="BV50" s="22">
        <v>0</v>
      </c>
      <c r="BW50" s="24">
        <f>IF(BN50=[1]BD_CUSTO!$Q$7,[1]BD_CUSTO!$R$7,[1]BD_CUSTO!$R$8)*BO50/E50</f>
        <v>2000</v>
      </c>
      <c r="BX50" s="24">
        <f>IF(BQ50=[1]BD_CUSTO!$Q$4,[1]BD_CUSTO!$R$4,[1]BD_CUSTO!$R$5)*BR50/E50</f>
        <v>0</v>
      </c>
      <c r="BY50" s="22">
        <f>IF(BS50=[1]BD_CUSTO!$Q$13,[1]BD_CUSTO!$R$13,[1]BD_CUSTO!$R$14)*BT50/E50</f>
        <v>0</v>
      </c>
      <c r="BZ50" s="24">
        <f>BV50*CUSTO!$R$10/E50</f>
        <v>0</v>
      </c>
      <c r="CA50" s="26">
        <f>SUM(Tabela1[[#This Row],[SOMA_PISO SALA E QUARTO]],Tabela1[[#This Row],[SOMA_PAREDE HIDR]],Tabela1[[#This Row],[SOMA_TETO]],Tabela1[[#This Row],[SOMA_BANCADA]],Tabela1[[#This Row],[SOMA_PEDRAS]])</f>
        <v>3990</v>
      </c>
      <c r="CB50" s="27" t="str">
        <f>IF(CA50&lt;=RÉGUAS!$D$4,"ACAB 01",IF(CA50&lt;=RÉGUAS!$F$4,"ACAB 02",IF(CA50&gt;RÉGUAS!$F$4,"ACAB 03",)))</f>
        <v>ACAB 02</v>
      </c>
      <c r="CC50" s="26">
        <f>SUM(Tabela1[[#This Row],[SOMA_LZ 01]:[SOMA_LZ 10]])</f>
        <v>3020.1135999999997</v>
      </c>
      <c r="CD50" s="22" t="str">
        <f>IF(CC50&lt;=RÉGUAS!$D$13,"LZ 01",IF(CC50&lt;=RÉGUAS!$F$13,"LZ 02",IF(CC50&lt;=RÉGUAS!$H$13,"LZ 03",IF(CC50&gt;RÉGUAS!$H$13,"LZ 04",))))</f>
        <v>LZ 04</v>
      </c>
      <c r="CE50" s="28">
        <f t="shared" si="8"/>
        <v>1200</v>
      </c>
      <c r="CF50" s="22" t="str">
        <f>IF(CE50&lt;=RÉGUAS!$D$22,"TIP 01",IF(CE50&lt;=RÉGUAS!$F$22,"TIP 02",IF(CE50&gt;RÉGUAS!$F$22,"TIP 03",)))</f>
        <v>TIP 01</v>
      </c>
      <c r="CG50" s="28">
        <f t="shared" si="9"/>
        <v>2000</v>
      </c>
      <c r="CH50" s="22" t="str">
        <f>IF(CG50&lt;=RÉGUAS!$D$32,"VAGA 01",IF(CG50&lt;=RÉGUAS!$F$32,"VAGA 02",IF(CG50&gt;RÉGUAS!$F$32,"VAGA 03",)))</f>
        <v>VAGA 02</v>
      </c>
      <c r="CI50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50" s="85" t="str">
        <f>IF(AND(G50="BLOCO",CI50&lt;=RÉGUAS!$D$40),"ELEV 01",IF(AND(G50="BLOCO",CI50&gt;RÉGUAS!$D$40),"ELEV 02",IF(AND(G50="TORRE",CI50&lt;=RÉGUAS!$K$40),"ELEV 01",IF(AND(G50="TORRE",CI50&lt;=RÉGUAS!$M$40),"ELEV 02",IF(AND(G50="TORRE",CI50&gt;RÉGUAS!$M$40),"ELEV 03",)))))</f>
        <v>ELEV 01</v>
      </c>
      <c r="CK50" s="85">
        <f>SUM(Tabela1[[#This Row],[TOTAL  ACAB]],Tabela1[[#This Row],[TOTAL LAZER ]],Tabela1[[#This Row],[TOTAL TIPOLOGIA]],Tabela1[[#This Row],[TOTAL VAGA]],Tabela1[[#This Row],[TOTAL ELEVADOR]])</f>
        <v>10210.113600000001</v>
      </c>
      <c r="CL50" s="72" t="str">
        <f>IF(AND(G50="BLOCO",CK50&lt;=RÉGUAS!$D$50),"ESSENCIAL",IF(AND(G50="BLOCO",CK50&lt;=RÉGUAS!$F$50),"ECO",IF(AND(G50="BLOCO",CK50&gt;RÉGUAS!$F$50),"BIO",IF(AND(G50="TORRE",CK50&lt;=RÉGUAS!$K$50),"ESSENCIAL",IF(AND(G50="TORRE",CK50&lt;=RÉGUAS!$M$50),"ECO",IF(AND(G50="TORRE",CK50&gt;RÉGUAS!$M$50),"BIO",))))))</f>
        <v>ECO</v>
      </c>
      <c r="CM50" s="28" t="str">
        <f>IF(AND(G50="BLOCO",CK50&gt;=RÉGUAS!$D$51,CK50&lt;=RÉGUAS!$D$50),"ESSENCIAL-10%",IF(AND(G50="BLOCO",CK50&gt;RÉGUAS!$D$50,CK50&lt;=RÉGUAS!$E$51),"ECO+10%",IF(AND(G50="BLOCO",CK50&gt;=RÉGUAS!$F$51,CK50&lt;=RÉGUAS!$F$50),"ECO-10%",IF(AND(G50="BLOCO",CK50&gt;RÉGUAS!$F$50,CK50&lt;=RÉGUAS!$G$51),"BIO+10%",IF(AND(G50="TORRE",CK50&gt;=RÉGUAS!$K$51,CK50&lt;=RÉGUAS!$K$50),"ESSENCIAL-10%",IF(AND(G50="TORRE",CK50&gt;RÉGUAS!$K$50,CK50&lt;=RÉGUAS!$L$51),"ECO+10%",IF(AND(G50="TORRE",CK50&gt;=RÉGUAS!$M$51,CK50&lt;=RÉGUAS!$M$50),"ECO-10%",IF(AND(G50="TORRE",CK50&gt;RÉGUAS!$M$50,CK50&lt;=RÉGUAS!$N$51),"BIO+10%","-"))))))))</f>
        <v>-</v>
      </c>
      <c r="CN50" s="73">
        <f t="shared" si="10"/>
        <v>10210.113600000001</v>
      </c>
      <c r="CO50" s="72" t="str">
        <f>IF(CN50&lt;=RÉGUAS!$D$58,"ESSENCIAL",IF(CN50&lt;=RÉGUAS!$F$58,"ECO",IF(CN50&gt;RÉGUAS!$F$58,"BIO",)))</f>
        <v>ECO</v>
      </c>
      <c r="CP50" s="72" t="str">
        <f>IF(Tabela1[[#This Row],[INTERVALO DE INTERSEÇÃO 5D]]="-",Tabela1[[#This Row],[CLASSIFICAÇÃO 
5D ]],Tabela1[[#This Row],[CLASSIFICAÇÃO 
4D]])</f>
        <v>ECO</v>
      </c>
      <c r="CQ50" s="72" t="str">
        <f t="shared" si="11"/>
        <v>-</v>
      </c>
      <c r="CR50" s="72" t="str">
        <f t="shared" si="12"/>
        <v>ECO</v>
      </c>
      <c r="CS50" s="22" t="str">
        <f>IF(Tabela1[[#This Row],[PRODUTO ATUAL ]]=Tabela1[[#This Row],[CLASSIFICAÇÃO FINAL 5D]],"ADERÊNTE","NÃO ADERÊNTE")</f>
        <v>ADERÊNTE</v>
      </c>
      <c r="CT50" s="24">
        <f>SUM(Tabela1[[#This Row],[TOTAL  ACAB]],Tabela1[[#This Row],[TOTAL LAZER ]],Tabela1[[#This Row],[TOTAL TIPOLOGIA]],Tabela1[[#This Row],[TOTAL VAGA]])</f>
        <v>10210.113600000001</v>
      </c>
      <c r="CU50" s="22" t="str">
        <f>IF(CT50&lt;=RÉGUAS!$D$58,"ESSENCIAL",IF(CT50&lt;=RÉGUAS!$F$58,"ECO",IF(CT50&gt;RÉGUAS!$F$58,"BIO",)))</f>
        <v>ECO</v>
      </c>
      <c r="CV50" s="22" t="str">
        <f>IF(AND(CT50&gt;=RÉGUAS!$D$59,CT50&lt;=RÉGUAS!$E$59),"ESSENCIAL/ECO",IF(AND(CT50&gt;=RÉGUAS!$F$59,CT50&lt;=RÉGUAS!$G$59),"ECO/BIO","-"))</f>
        <v>-</v>
      </c>
      <c r="CW50" s="85">
        <f>SUM(Tabela1[[#This Row],[TOTAL LAZER ]],Tabela1[[#This Row],[TOTAL TIPOLOGIA]])</f>
        <v>4220.1135999999997</v>
      </c>
      <c r="CX50" s="22" t="str">
        <f>IF(CW50&lt;=RÉGUAS!$D$72,"ESSENCIAL",IF(CW50&lt;=RÉGUAS!$F$72,"ECO",IF(CN50&gt;RÉGUAS!$F$72,"BIO",)))</f>
        <v>ECO</v>
      </c>
      <c r="CY50" s="22" t="str">
        <f t="shared" si="13"/>
        <v>ECO</v>
      </c>
      <c r="CZ50" s="22" t="str">
        <f>IF(Tabela1[[#This Row],[PRODUTO ATUAL ]]=CY50,"ADERENTE","NÃO ADERENTE")</f>
        <v>ADERENTE</v>
      </c>
      <c r="DA50" s="22" t="str">
        <f>IF(Tabela1[[#This Row],[PRODUTO ATUAL ]]=Tabela1[[#This Row],[CLASSIFICAÇÃO 
4D2]],"ADERENTE","NÃO ADERENTE")</f>
        <v>ADERENTE</v>
      </c>
    </row>
    <row r="51" spans="2:105" hidden="1" x14ac:dyDescent="0.35">
      <c r="B51" s="27">
        <v>86</v>
      </c>
      <c r="C51" s="22" t="s">
        <v>204</v>
      </c>
      <c r="D51" s="22" t="s">
        <v>147</v>
      </c>
      <c r="E51" s="23">
        <v>560</v>
      </c>
      <c r="F51" s="22" t="str">
        <f t="shared" si="7"/>
        <v>Acima de 400 und</v>
      </c>
      <c r="G51" s="22" t="s">
        <v>1</v>
      </c>
      <c r="H51" s="36">
        <v>28</v>
      </c>
      <c r="I51" s="36">
        <v>5</v>
      </c>
      <c r="J51" s="36"/>
      <c r="K51" s="36"/>
      <c r="L51" s="36">
        <f>SUM(Tabela1[[#This Row],[QTD DE B/T 2]],Tabela1[[#This Row],[QTD DE B/T]])</f>
        <v>28</v>
      </c>
      <c r="M51" s="22">
        <v>0</v>
      </c>
      <c r="N51" s="22">
        <f>Tabela1[[#This Row],[ELEVADOR]]/Tabela1[[#This Row],[BLOCO TOTAL]]</f>
        <v>0</v>
      </c>
      <c r="O51" s="22" t="s">
        <v>5</v>
      </c>
      <c r="P51" s="22" t="s">
        <v>101</v>
      </c>
      <c r="Q51" s="22" t="s">
        <v>101</v>
      </c>
      <c r="R51" s="22" t="s">
        <v>102</v>
      </c>
      <c r="S51" s="22" t="s">
        <v>103</v>
      </c>
      <c r="T51" s="22" t="s">
        <v>104</v>
      </c>
      <c r="U51" s="22" t="s">
        <v>105</v>
      </c>
      <c r="V51" s="22" t="s">
        <v>137</v>
      </c>
      <c r="W51" s="24">
        <f>IF(P51=[1]BD_CUSTO!$E$4,[1]BD_CUSTO!$F$4,[1]BD_CUSTO!$F$5)</f>
        <v>2430</v>
      </c>
      <c r="X51" s="24">
        <f>IF(Q51=[1]BD_CUSTO!$E$6,[1]BD_CUSTO!$F$6,[1]BD_CUSTO!$F$7)</f>
        <v>260</v>
      </c>
      <c r="Y51" s="24">
        <f>IF(R51=[1]BD_CUSTO!$E$8,[1]BD_CUSTO!$F$8,[1]BD_CUSTO!$F$9)</f>
        <v>600</v>
      </c>
      <c r="Z51" s="24">
        <f>IF(S51=[1]BD_CUSTO!$E$10,[1]BD_CUSTO!$F$10,[1]BD_CUSTO!$F$11)</f>
        <v>500</v>
      </c>
      <c r="AA51" s="24">
        <f>IF(T51=[1]BD_CUSTO!$E$12,[1]BD_CUSTO!$F$12,[1]BD_CUSTO!$F$13)</f>
        <v>370</v>
      </c>
      <c r="AB51" s="24">
        <f>IF(U51=[1]BD_CUSTO!$E$14,[1]BD_CUSTO!$F$14,[1]BD_CUSTO!$F$15)</f>
        <v>90</v>
      </c>
      <c r="AC51" s="24">
        <f>IF(V51=[1]BD_CUSTO!$E$16,[1]BD_CUSTO!$F$16,[1]BD_CUSTO!$F$17)</f>
        <v>1320</v>
      </c>
      <c r="AD51" s="22" t="s">
        <v>129</v>
      </c>
      <c r="AE51" s="22">
        <v>1</v>
      </c>
      <c r="AF51" s="22" t="s">
        <v>156</v>
      </c>
      <c r="AG51" s="22">
        <v>1</v>
      </c>
      <c r="AH51" s="22" t="s">
        <v>107</v>
      </c>
      <c r="AI51" s="22">
        <v>1</v>
      </c>
      <c r="AJ51" s="22" t="s">
        <v>121</v>
      </c>
      <c r="AK51" s="22">
        <v>1</v>
      </c>
      <c r="AL51" s="22" t="s">
        <v>151</v>
      </c>
      <c r="AM51" s="22">
        <v>1</v>
      </c>
      <c r="AN51" s="22" t="s">
        <v>108</v>
      </c>
      <c r="AO51" s="22">
        <v>1</v>
      </c>
      <c r="AP51" s="22" t="s">
        <v>109</v>
      </c>
      <c r="AQ51" s="22">
        <v>1</v>
      </c>
      <c r="AR51" s="22" t="s">
        <v>111</v>
      </c>
      <c r="AS51" s="22">
        <v>1</v>
      </c>
      <c r="AT51" s="22" t="s">
        <v>110</v>
      </c>
      <c r="AU51" s="22">
        <v>1</v>
      </c>
      <c r="AV51" s="22"/>
      <c r="AW51" s="22"/>
      <c r="AX51" s="24">
        <f>IF(AD51="",0,VLOOKUP(AD51,[1]BD_CUSTO!I:J,2,0)*AE51/E51)</f>
        <v>491.37067857142858</v>
      </c>
      <c r="AY51" s="24">
        <f>IF(AF51="",0,VLOOKUP(AF51,[1]BD_CUSTO!I:J,2,0)*AG51/E51)</f>
        <v>175.08928571428572</v>
      </c>
      <c r="AZ51" s="24">
        <f>IF(AH51="",0,VLOOKUP(AH51,[1]BD_CUSTO!I:J,2,0)*AI51/E51)</f>
        <v>152.05199999999999</v>
      </c>
      <c r="BA51" s="24">
        <f>IF(AJ51="",0,VLOOKUP(AJ51,[1]BD_CUSTO!I:J,2,0)*AK51/E51)</f>
        <v>219.9230357142857</v>
      </c>
      <c r="BB51" s="24">
        <f>IF(AL51="",0,VLOOKUP(AL51,[1]BD_CUSTO!I:J,2,0)*AM51/E51)</f>
        <v>142.38069642857144</v>
      </c>
      <c r="BC51" s="24">
        <f>IF(AN51="",0,VLOOKUP(AN51,[1]BD_CUSTO!I:J,2,0)*AO51/E51)</f>
        <v>41.339285714285715</v>
      </c>
      <c r="BD51" s="24">
        <f>IF(AP51="",0,VLOOKUP(AP51,[1]BD_CUSTO!I:J,2,0)*AQ51/E51)</f>
        <v>12.410714285714286</v>
      </c>
      <c r="BE51" s="24">
        <f>IF(AR51="",0,VLOOKUP(AR51,CUSTO!I:J,2,0)*AS51/E51)</f>
        <v>28.928571428571427</v>
      </c>
      <c r="BF51" s="24">
        <f>IF(AT51="",0,VLOOKUP(AT51,[1]BD_CUSTO!I:J,2,0)*AU51/E51)</f>
        <v>9.4642857142857135</v>
      </c>
      <c r="BG51" s="24">
        <f>IF(Tabela1[[#This Row],[LZ 10]]="",0,VLOOKUP(Tabela1[[#This Row],[LZ 10]],[1]BD_CUSTO!I:J,2,0)*Tabela1[[#This Row],[QTD922]]/E51)</f>
        <v>0</v>
      </c>
      <c r="BH51" s="22" t="s">
        <v>112</v>
      </c>
      <c r="BI51" s="25">
        <f>244/Tabela1[[#This Row],[Nº UNDS]]</f>
        <v>0.43571428571428572</v>
      </c>
      <c r="BJ51" s="22" t="s">
        <v>113</v>
      </c>
      <c r="BK51" s="25">
        <v>0</v>
      </c>
      <c r="BL51" s="24">
        <f>IF(BH51=[1]BD_CUSTO!$M$6,[1]BD_CUSTO!$N$6)*BI51</f>
        <v>1307.1428571428571</v>
      </c>
      <c r="BM51" s="24">
        <f>IF(BJ51=[1]BD_CUSTO!$M$4,[1]BD_CUSTO!$N$4,[1]BD_CUSTO!$N$5)*BK51</f>
        <v>0</v>
      </c>
      <c r="BN51" s="22" t="s">
        <v>114</v>
      </c>
      <c r="BO51" s="22">
        <f>601-24</f>
        <v>577</v>
      </c>
      <c r="BP51" s="25">
        <f>Tabela1[[#This Row],[QTD ]]/Tabela1[[#This Row],[Nº UNDS]]</f>
        <v>1.0303571428571427</v>
      </c>
      <c r="BQ51" s="22" t="s">
        <v>123</v>
      </c>
      <c r="BR51" s="22">
        <v>24</v>
      </c>
      <c r="BS51" s="22" t="s">
        <v>116</v>
      </c>
      <c r="BT51" s="22">
        <v>0</v>
      </c>
      <c r="BU51" s="22" t="s">
        <v>16</v>
      </c>
      <c r="BV51" s="22">
        <v>0</v>
      </c>
      <c r="BW51" s="24">
        <f>IF(BN51=[1]BD_CUSTO!$Q$7,[1]BD_CUSTO!$R$7,[1]BD_CUSTO!$R$8)*BO51/E51</f>
        <v>2060.7142857142858</v>
      </c>
      <c r="BX51" s="24">
        <f>IF(BQ51=[1]BD_CUSTO!$Q$4,[1]BD_CUSTO!$R$4,[1]BD_CUSTO!$R$5)*BR51/E51</f>
        <v>42.857142857142854</v>
      </c>
      <c r="BY51" s="22">
        <f>IF(BS51=[1]BD_CUSTO!$Q$13,[1]BD_CUSTO!$R$13,[1]BD_CUSTO!$R$14)*BT51/E51</f>
        <v>0</v>
      </c>
      <c r="BZ51" s="24">
        <f>BV51*CUSTO!$R$10/E51</f>
        <v>0</v>
      </c>
      <c r="CA51" s="26">
        <f>SUM(Tabela1[[#This Row],[SOMA_PISO SALA E QUARTO]],Tabela1[[#This Row],[SOMA_PAREDE HIDR]],Tabela1[[#This Row],[SOMA_TETO]],Tabela1[[#This Row],[SOMA_BANCADA]],Tabela1[[#This Row],[SOMA_PEDRAS]])</f>
        <v>3990</v>
      </c>
      <c r="CB51" s="27" t="str">
        <f>IF(CA51&lt;=RÉGUAS!$D$4,"ACAB 01",IF(CA51&lt;=RÉGUAS!$F$4,"ACAB 02",IF(CA51&gt;RÉGUAS!$F$4,"ACAB 03",)))</f>
        <v>ACAB 02</v>
      </c>
      <c r="CC51" s="26">
        <f>SUM(Tabela1[[#This Row],[SOMA_LZ 01]:[SOMA_LZ 10]])</f>
        <v>1272.9585535714284</v>
      </c>
      <c r="CD51" s="22" t="str">
        <f>IF(CC51&lt;=RÉGUAS!$D$13,"LZ 01",IF(CC51&lt;=RÉGUAS!$F$13,"LZ 02",IF(CC51&lt;=RÉGUAS!$H$13,"LZ 03",IF(CC51&gt;RÉGUAS!$H$13,"LZ 04",))))</f>
        <v>LZ 02</v>
      </c>
      <c r="CE51" s="28">
        <f t="shared" si="8"/>
        <v>1307.1428571428571</v>
      </c>
      <c r="CF51" s="22" t="str">
        <f>IF(CE51&lt;=RÉGUAS!$D$22,"TIP 01",IF(CE51&lt;=RÉGUAS!$F$22,"TIP 02",IF(CE51&gt;RÉGUAS!$F$22,"TIP 03",)))</f>
        <v>TIP 01</v>
      </c>
      <c r="CG51" s="28">
        <f t="shared" si="9"/>
        <v>2103.5714285714284</v>
      </c>
      <c r="CH51" s="22" t="str">
        <f>IF(CG51&lt;=RÉGUAS!$D$32,"VAGA 01",IF(CG51&lt;=RÉGUAS!$F$32,"VAGA 02",IF(CG51&gt;RÉGUAS!$F$32,"VAGA 03",)))</f>
        <v>VAGA 02</v>
      </c>
      <c r="CI51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51" s="85" t="str">
        <f>IF(AND(G51="BLOCO",CI51&lt;=RÉGUAS!$D$40),"ELEV 01",IF(AND(G51="BLOCO",CI51&gt;RÉGUAS!$D$40),"ELEV 02",IF(AND(G51="TORRE",CI51&lt;=RÉGUAS!$K$40),"ELEV 01",IF(AND(G51="TORRE",CI51&lt;=RÉGUAS!$M$40),"ELEV 02",IF(AND(G51="TORRE",CI51&gt;RÉGUAS!$M$40),"ELEV 03",)))))</f>
        <v>ELEV 01</v>
      </c>
      <c r="CK51" s="85">
        <f>SUM(Tabela1[[#This Row],[TOTAL  ACAB]],Tabela1[[#This Row],[TOTAL LAZER ]],Tabela1[[#This Row],[TOTAL TIPOLOGIA]],Tabela1[[#This Row],[TOTAL VAGA]],Tabela1[[#This Row],[TOTAL ELEVADOR]])</f>
        <v>8673.6728392857149</v>
      </c>
      <c r="CL51" s="72" t="str">
        <f>IF(AND(G51="BLOCO",CK51&lt;=RÉGUAS!$D$50),"ESSENCIAL",IF(AND(G51="BLOCO",CK51&lt;=RÉGUAS!$F$50),"ECO",IF(AND(G51="BLOCO",CK51&gt;RÉGUAS!$F$50),"BIO",IF(AND(G51="TORRE",CK51&lt;=RÉGUAS!$K$50),"ESSENCIAL",IF(AND(G51="TORRE",CK51&lt;=RÉGUAS!$M$50),"ECO",IF(AND(G51="TORRE",CK51&gt;RÉGUAS!$M$50),"BIO",))))))</f>
        <v>ECO</v>
      </c>
      <c r="CM51" s="28" t="str">
        <f>IF(AND(G51="BLOCO",CK51&gt;=RÉGUAS!$D$51,CK51&lt;=RÉGUAS!$D$50),"ESSENCIAL-10%",IF(AND(G51="BLOCO",CK51&gt;RÉGUAS!$D$50,CK51&lt;=RÉGUAS!$E$51),"ECO+10%",IF(AND(G51="BLOCO",CK51&gt;=RÉGUAS!$F$51,CK51&lt;=RÉGUAS!$F$50),"ECO-10%",IF(AND(G51="BLOCO",CK51&gt;RÉGUAS!$F$50,CK51&lt;=RÉGUAS!$G$51),"BIO+10%",IF(AND(G51="TORRE",CK51&gt;=RÉGUAS!$K$51,CK51&lt;=RÉGUAS!$K$50),"ESSENCIAL-10%",IF(AND(G51="TORRE",CK51&gt;RÉGUAS!$K$50,CK51&lt;=RÉGUAS!$L$51),"ECO+10%",IF(AND(G51="TORRE",CK51&gt;=RÉGUAS!$M$51,CK51&lt;=RÉGUAS!$M$50),"ECO-10%",IF(AND(G51="TORRE",CK51&gt;RÉGUAS!$M$50,CK51&lt;=RÉGUAS!$N$51),"BIO+10%","-"))))))))</f>
        <v>ECO+10%</v>
      </c>
      <c r="CN51" s="73">
        <f t="shared" si="10"/>
        <v>8673.6728392857149</v>
      </c>
      <c r="CO51" s="72" t="str">
        <f>IF(CN51&lt;=RÉGUAS!$D$58,"ESSENCIAL",IF(CN51&lt;=RÉGUAS!$F$58,"ECO",IF(CN51&gt;RÉGUAS!$F$58,"BIO",)))</f>
        <v>ECO</v>
      </c>
      <c r="CP51" s="72" t="str">
        <f>IF(Tabela1[[#This Row],[INTERVALO DE INTERSEÇÃO 5D]]="-",Tabela1[[#This Row],[CLASSIFICAÇÃO 
5D ]],Tabela1[[#This Row],[CLASSIFICAÇÃO 
4D]])</f>
        <v>ECO</v>
      </c>
      <c r="CQ51" s="72" t="str">
        <f t="shared" si="11"/>
        <v>-</v>
      </c>
      <c r="CR51" s="72" t="str">
        <f t="shared" si="12"/>
        <v>ECO</v>
      </c>
      <c r="CS51" s="22" t="str">
        <f>IF(Tabela1[[#This Row],[PRODUTO ATUAL ]]=Tabela1[[#This Row],[CLASSIFICAÇÃO FINAL 5D]],"ADERÊNTE","NÃO ADERÊNTE")</f>
        <v>ADERÊNTE</v>
      </c>
      <c r="CT51" s="24">
        <f>SUM(Tabela1[[#This Row],[TOTAL  ACAB]],Tabela1[[#This Row],[TOTAL LAZER ]],Tabela1[[#This Row],[TOTAL TIPOLOGIA]],Tabela1[[#This Row],[TOTAL VAGA]])</f>
        <v>8673.6728392857149</v>
      </c>
      <c r="CU51" s="22" t="str">
        <f>IF(CT51&lt;=RÉGUAS!$D$58,"ESSENCIAL",IF(CT51&lt;=RÉGUAS!$F$58,"ECO",IF(CT51&gt;RÉGUAS!$F$58,"BIO",)))</f>
        <v>ECO</v>
      </c>
      <c r="CV51" s="22" t="str">
        <f>IF(AND(CT51&gt;=RÉGUAS!$D$59,CT51&lt;=RÉGUAS!$E$59),"ESSENCIAL/ECO",IF(AND(CT51&gt;=RÉGUAS!$F$59,CT51&lt;=RÉGUAS!$G$59),"ECO/BIO","-"))</f>
        <v>-</v>
      </c>
      <c r="CW51" s="85">
        <f>SUM(Tabela1[[#This Row],[TOTAL LAZER ]],Tabela1[[#This Row],[TOTAL TIPOLOGIA]])</f>
        <v>2580.1014107142855</v>
      </c>
      <c r="CX51" s="22" t="str">
        <f>IF(CW51&lt;=RÉGUAS!$D$72,"ESSENCIAL",IF(CW51&lt;=RÉGUAS!$F$72,"ECO",IF(CN51&gt;RÉGUAS!$F$72,"BIO",)))</f>
        <v>ECO</v>
      </c>
      <c r="CY51" s="22" t="str">
        <f t="shared" si="13"/>
        <v>ECO</v>
      </c>
      <c r="CZ51" s="22" t="str">
        <f>IF(Tabela1[[#This Row],[PRODUTO ATUAL ]]=CY51,"ADERENTE","NÃO ADERENTE")</f>
        <v>ADERENTE</v>
      </c>
      <c r="DA51" s="22" t="str">
        <f>IF(Tabela1[[#This Row],[PRODUTO ATUAL ]]=Tabela1[[#This Row],[CLASSIFICAÇÃO 
4D2]],"ADERENTE","NÃO ADERENTE")</f>
        <v>ADERENTE</v>
      </c>
    </row>
    <row r="52" spans="2:105" hidden="1" x14ac:dyDescent="0.35">
      <c r="B52" s="27">
        <v>72</v>
      </c>
      <c r="C52" s="22" t="s">
        <v>229</v>
      </c>
      <c r="D52" s="22" t="s">
        <v>100</v>
      </c>
      <c r="E52" s="23">
        <v>480</v>
      </c>
      <c r="F52" s="22" t="str">
        <f t="shared" si="7"/>
        <v>Acima de 400 und</v>
      </c>
      <c r="G52" s="22" t="s">
        <v>14</v>
      </c>
      <c r="H52" s="36">
        <v>4</v>
      </c>
      <c r="I52" s="36">
        <v>15</v>
      </c>
      <c r="J52" s="36"/>
      <c r="K52" s="36"/>
      <c r="L52" s="36">
        <f>SUM(Tabela1[[#This Row],[QTD DE B/T 2]],Tabela1[[#This Row],[QTD DE B/T]])</f>
        <v>4</v>
      </c>
      <c r="M52" s="22">
        <v>8</v>
      </c>
      <c r="N52" s="22">
        <f>Tabela1[[#This Row],[ELEVADOR]]/Tabela1[[#This Row],[BLOCO TOTAL]]</f>
        <v>2</v>
      </c>
      <c r="O52" s="22" t="s">
        <v>5</v>
      </c>
      <c r="P52" s="22" t="s">
        <v>101</v>
      </c>
      <c r="Q52" s="22" t="s">
        <v>101</v>
      </c>
      <c r="R52" s="22" t="s">
        <v>102</v>
      </c>
      <c r="S52" s="22" t="s">
        <v>103</v>
      </c>
      <c r="T52" s="22" t="s">
        <v>104</v>
      </c>
      <c r="U52" s="22" t="s">
        <v>105</v>
      </c>
      <c r="V52" s="22" t="s">
        <v>106</v>
      </c>
      <c r="W52" s="24">
        <f>IF(P52=[1]BD_CUSTO!$E$4,[1]BD_CUSTO!$F$4,[1]BD_CUSTO!$F$5)</f>
        <v>2430</v>
      </c>
      <c r="X52" s="24">
        <f>IF(Q52=[1]BD_CUSTO!$E$6,[1]BD_CUSTO!$F$6,[1]BD_CUSTO!$F$7)</f>
        <v>260</v>
      </c>
      <c r="Y52" s="24">
        <f>IF(R52=[1]BD_CUSTO!$E$8,[1]BD_CUSTO!$F$8,[1]BD_CUSTO!$F$9)</f>
        <v>600</v>
      </c>
      <c r="Z52" s="24">
        <f>IF(S52=[1]BD_CUSTO!$E$10,[1]BD_CUSTO!$F$10,[1]BD_CUSTO!$F$11)</f>
        <v>500</v>
      </c>
      <c r="AA52" s="24">
        <f>IF(T52=[1]BD_CUSTO!$E$12,[1]BD_CUSTO!$F$12,[1]BD_CUSTO!$F$13)</f>
        <v>370</v>
      </c>
      <c r="AB52" s="24">
        <f>IF(U52=[1]BD_CUSTO!$E$14,[1]BD_CUSTO!$F$14,[1]BD_CUSTO!$F$15)</f>
        <v>90</v>
      </c>
      <c r="AC52" s="24">
        <f>IF(V52=[1]BD_CUSTO!$E$16,[1]BD_CUSTO!$F$16,[1]BD_CUSTO!$F$17)</f>
        <v>720</v>
      </c>
      <c r="AD52" s="22" t="s">
        <v>108</v>
      </c>
      <c r="AE52" s="22">
        <v>1</v>
      </c>
      <c r="AF52" s="22" t="s">
        <v>111</v>
      </c>
      <c r="AG52" s="22">
        <v>1</v>
      </c>
      <c r="AH52" s="22" t="s">
        <v>110</v>
      </c>
      <c r="AI52" s="22">
        <v>10</v>
      </c>
      <c r="AJ52" s="22" t="s">
        <v>121</v>
      </c>
      <c r="AK52" s="22">
        <v>1</v>
      </c>
      <c r="AL52" s="22" t="s">
        <v>109</v>
      </c>
      <c r="AM52" s="22">
        <v>1</v>
      </c>
      <c r="AN52" s="22" t="s">
        <v>129</v>
      </c>
      <c r="AO52" s="22">
        <v>1</v>
      </c>
      <c r="AP52" s="22" t="s">
        <v>107</v>
      </c>
      <c r="AQ52" s="22">
        <v>3</v>
      </c>
      <c r="AR52" s="22"/>
      <c r="AS52" s="22"/>
      <c r="AT52" s="22"/>
      <c r="AU52" s="22"/>
      <c r="AV52" s="22"/>
      <c r="AW52" s="22"/>
      <c r="AX52" s="24">
        <f>IF(AD52="",0,VLOOKUP(AD52,[1]BD_CUSTO!I:J,2,0)*AE52/E52)</f>
        <v>48.229166666666664</v>
      </c>
      <c r="AY52" s="24">
        <f>IF(AF52="",0,VLOOKUP(AF52,[1]BD_CUSTO!I:J,2,0)*AG52/E52)</f>
        <v>33.75</v>
      </c>
      <c r="AZ52" s="24">
        <f>IF(AH52="",0,VLOOKUP(AH52,[1]BD_CUSTO!I:J,2,0)*AI52/E52)</f>
        <v>110.41666666666667</v>
      </c>
      <c r="BA52" s="24">
        <f>IF(AJ52="",0,VLOOKUP(AJ52,[1]BD_CUSTO!I:J,2,0)*AK52/E52)</f>
        <v>256.57687499999997</v>
      </c>
      <c r="BB52" s="24">
        <f>IF(AL52="",0,VLOOKUP(AL52,[1]BD_CUSTO!I:J,2,0)*AM52/E52)</f>
        <v>14.479166666666666</v>
      </c>
      <c r="BC52" s="24">
        <f>IF(AN52="",0,VLOOKUP(AN52,[1]BD_CUSTO!I:J,2,0)*AO52/E52)</f>
        <v>573.2657916666667</v>
      </c>
      <c r="BD52" s="24">
        <f>IF(AP52="",0,VLOOKUP(AP52,[1]BD_CUSTO!I:J,2,0)*AQ52/E52)</f>
        <v>532.18200000000002</v>
      </c>
      <c r="BE52" s="24">
        <f>IF(AR52="",0,VLOOKUP(AR52,CUSTO!I:J,2,0)*AS52/E52)</f>
        <v>0</v>
      </c>
      <c r="BF52" s="24">
        <f>IF(AT52="",0,VLOOKUP(AT52,[1]BD_CUSTO!I:J,2,0)*AU52/E52)</f>
        <v>0</v>
      </c>
      <c r="BG52" s="24">
        <f>IF(Tabela1[[#This Row],[LZ 10]]="",0,VLOOKUP(Tabela1[[#This Row],[LZ 10]],[1]BD_CUSTO!I:J,2,0)*Tabela1[[#This Row],[QTD922]]/E52)</f>
        <v>0</v>
      </c>
      <c r="BH52" s="22" t="s">
        <v>112</v>
      </c>
      <c r="BI52" s="25">
        <v>0.46</v>
      </c>
      <c r="BJ52" s="22" t="s">
        <v>113</v>
      </c>
      <c r="BK52" s="25">
        <v>0</v>
      </c>
      <c r="BL52" s="24">
        <f>IF(BH52=[1]BD_CUSTO!$M$6,[1]BD_CUSTO!$N$6)*BI52</f>
        <v>1380</v>
      </c>
      <c r="BM52" s="24">
        <f>IF(BJ52=[1]BD_CUSTO!$M$4,[1]BD_CUSTO!$N$4,[1]BD_CUSTO!$N$5)*BK52</f>
        <v>0</v>
      </c>
      <c r="BN52" s="22" t="s">
        <v>114</v>
      </c>
      <c r="BO52" s="22">
        <v>516</v>
      </c>
      <c r="BP52" s="25">
        <f>Tabela1[[#This Row],[QTD ]]/Tabela1[[#This Row],[Nº UNDS]]</f>
        <v>1.075</v>
      </c>
      <c r="BQ52" s="22" t="s">
        <v>123</v>
      </c>
      <c r="BR52" s="22">
        <v>35</v>
      </c>
      <c r="BS52" s="22" t="s">
        <v>116</v>
      </c>
      <c r="BT52" s="22">
        <v>0</v>
      </c>
      <c r="BU52" s="22" t="s">
        <v>16</v>
      </c>
      <c r="BV52" s="22">
        <v>0</v>
      </c>
      <c r="BW52" s="24">
        <f>IF(BN52=[1]BD_CUSTO!$Q$7,[1]BD_CUSTO!$R$7,[1]BD_CUSTO!$R$8)*BO52/E52</f>
        <v>2150</v>
      </c>
      <c r="BX52" s="24">
        <f>IF(BQ52=[1]BD_CUSTO!$Q$4,[1]BD_CUSTO!$R$4,[1]BD_CUSTO!$R$5)*BR52/E52</f>
        <v>72.916666666666671</v>
      </c>
      <c r="BY52" s="22">
        <f>IF(BS52=[1]BD_CUSTO!$Q$13,[1]BD_CUSTO!$R$13,[1]BD_CUSTO!$R$14)*BT52/E52</f>
        <v>0</v>
      </c>
      <c r="BZ52" s="24">
        <f>BV52*CUSTO!$R$10/E52</f>
        <v>0</v>
      </c>
      <c r="CA52" s="26">
        <f>SUM(Tabela1[[#This Row],[SOMA_PISO SALA E QUARTO]],Tabela1[[#This Row],[SOMA_PAREDE HIDR]],Tabela1[[#This Row],[SOMA_TETO]],Tabela1[[#This Row],[SOMA_BANCADA]],Tabela1[[#This Row],[SOMA_PEDRAS]])</f>
        <v>3990</v>
      </c>
      <c r="CB52" s="27" t="str">
        <f>IF(CA52&lt;=RÉGUAS!$D$4,"ACAB 01",IF(CA52&lt;=RÉGUAS!$F$4,"ACAB 02",IF(CA52&gt;RÉGUAS!$F$4,"ACAB 03",)))</f>
        <v>ACAB 02</v>
      </c>
      <c r="CC52" s="26">
        <f>SUM(Tabela1[[#This Row],[SOMA_LZ 01]:[SOMA_LZ 10]])</f>
        <v>1568.8996666666667</v>
      </c>
      <c r="CD52" s="22" t="str">
        <f>IF(CC52&lt;=RÉGUAS!$D$13,"LZ 01",IF(CC52&lt;=RÉGUAS!$F$13,"LZ 02",IF(CC52&lt;=RÉGUAS!$H$13,"LZ 03",IF(CC52&gt;RÉGUAS!$H$13,"LZ 04",))))</f>
        <v>LZ 02</v>
      </c>
      <c r="CE52" s="28">
        <f t="shared" si="8"/>
        <v>1380</v>
      </c>
      <c r="CF52" s="22" t="str">
        <f>IF(CE52&lt;=RÉGUAS!$D$22,"TIP 01",IF(CE52&lt;=RÉGUAS!$F$22,"TIP 02",IF(CE52&gt;RÉGUAS!$F$22,"TIP 03",)))</f>
        <v>TIP 01</v>
      </c>
      <c r="CG52" s="28">
        <f t="shared" si="9"/>
        <v>2222.9166666666665</v>
      </c>
      <c r="CH52" s="22" t="str">
        <f>IF(CG52&lt;=RÉGUAS!$D$32,"VAGA 01",IF(CG52&lt;=RÉGUAS!$F$32,"VAGA 02",IF(CG52&gt;RÉGUAS!$F$32,"VAGA 03",)))</f>
        <v>VAGA 02</v>
      </c>
      <c r="CI52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4194.75</v>
      </c>
      <c r="CJ52" s="85" t="str">
        <f>IF(AND(G52="BLOCO",CI52&lt;=RÉGUAS!$D$40),"ELEV 01",IF(AND(G52="BLOCO",CI52&gt;RÉGUAS!$D$40),"ELEV 02",IF(AND(G52="TORRE",CI52&lt;=RÉGUAS!$K$40),"ELEV 01",IF(AND(G52="TORRE",CI52&lt;=RÉGUAS!$M$40),"ELEV 02",IF(AND(G52="TORRE",CI52&gt;RÉGUAS!$M$40),"ELEV 03",)))))</f>
        <v>ELEV 03</v>
      </c>
      <c r="CK52" s="85">
        <f>SUM(Tabela1[[#This Row],[TOTAL  ACAB]],Tabela1[[#This Row],[TOTAL LAZER ]],Tabela1[[#This Row],[TOTAL TIPOLOGIA]],Tabela1[[#This Row],[TOTAL VAGA]],Tabela1[[#This Row],[TOTAL ELEVADOR]])</f>
        <v>13356.566333333332</v>
      </c>
      <c r="CL52" s="72" t="str">
        <f>IF(AND(G52="BLOCO",CK52&lt;=RÉGUAS!$D$50),"ESSENCIAL",IF(AND(G52="BLOCO",CK52&lt;=RÉGUAS!$F$50),"ECO",IF(AND(G52="BLOCO",CK52&gt;RÉGUAS!$F$50),"BIO",IF(AND(G52="TORRE",CK52&lt;=RÉGUAS!$K$50),"ESSENCIAL",IF(AND(G52="TORRE",CK52&lt;=RÉGUAS!$M$50),"ECO",IF(AND(G52="TORRE",CK52&gt;RÉGUAS!$M$50),"BIO",))))))</f>
        <v>ECO</v>
      </c>
      <c r="CM52" s="28" t="str">
        <f>IF(AND(G52="BLOCO",CK52&gt;=RÉGUAS!$D$51,CK52&lt;=RÉGUAS!$D$50),"ESSENCIAL-10%",IF(AND(G52="BLOCO",CK52&gt;RÉGUAS!$D$50,CK52&lt;=RÉGUAS!$E$51),"ECO+10%",IF(AND(G52="BLOCO",CK52&gt;=RÉGUAS!$F$51,CK52&lt;=RÉGUAS!$F$50),"ECO-10%",IF(AND(G52="BLOCO",CK52&gt;RÉGUAS!$F$50,CK52&lt;=RÉGUAS!$G$51),"BIO+10%",IF(AND(G52="TORRE",CK52&gt;=RÉGUAS!$K$51,CK52&lt;=RÉGUAS!$K$50),"ESSENCIAL-10%",IF(AND(G52="TORRE",CK52&gt;RÉGUAS!$K$50,CK52&lt;=RÉGUAS!$L$51),"ECO+10%",IF(AND(G52="TORRE",CK52&gt;=RÉGUAS!$M$51,CK52&lt;=RÉGUAS!$M$50),"ECO-10%",IF(AND(G52="TORRE",CK52&gt;RÉGUAS!$M$50,CK52&lt;=RÉGUAS!$N$51),"BIO+10%","-"))))))))</f>
        <v>ECO-10%</v>
      </c>
      <c r="CN52" s="73">
        <f t="shared" si="10"/>
        <v>9161.8163333333323</v>
      </c>
      <c r="CO52" s="72" t="str">
        <f>IF(CN52&lt;=RÉGUAS!$D$58,"ESSENCIAL",IF(CN52&lt;=RÉGUAS!$F$58,"ECO",IF(CN52&gt;RÉGUAS!$F$58,"BIO",)))</f>
        <v>ECO</v>
      </c>
      <c r="CP52" s="72" t="str">
        <f>IF(Tabela1[[#This Row],[INTERVALO DE INTERSEÇÃO 5D]]="-",Tabela1[[#This Row],[CLASSIFICAÇÃO 
5D ]],Tabela1[[#This Row],[CLASSIFICAÇÃO 
4D]])</f>
        <v>ECO</v>
      </c>
      <c r="CQ52" s="72" t="str">
        <f t="shared" si="11"/>
        <v>-</v>
      </c>
      <c r="CR52" s="72" t="str">
        <f t="shared" si="12"/>
        <v>ECO</v>
      </c>
      <c r="CS52" s="22" t="str">
        <f>IF(Tabela1[[#This Row],[PRODUTO ATUAL ]]=Tabela1[[#This Row],[CLASSIFICAÇÃO FINAL 5D]],"ADERÊNTE","NÃO ADERÊNTE")</f>
        <v>ADERÊNTE</v>
      </c>
      <c r="CT52" s="24">
        <f>SUM(Tabela1[[#This Row],[TOTAL  ACAB]],Tabela1[[#This Row],[TOTAL LAZER ]],Tabela1[[#This Row],[TOTAL TIPOLOGIA]],Tabela1[[#This Row],[TOTAL VAGA]])</f>
        <v>9161.8163333333323</v>
      </c>
      <c r="CU52" s="22" t="str">
        <f>IF(CT52&lt;=RÉGUAS!$D$58,"ESSENCIAL",IF(CT52&lt;=RÉGUAS!$F$58,"ECO",IF(CT52&gt;RÉGUAS!$F$58,"BIO",)))</f>
        <v>ECO</v>
      </c>
      <c r="CV52" s="22" t="str">
        <f>IF(AND(CT52&gt;=RÉGUAS!$D$59,CT52&lt;=RÉGUAS!$E$59),"ESSENCIAL/ECO",IF(AND(CT52&gt;=RÉGUAS!$F$59,CT52&lt;=RÉGUAS!$G$59),"ECO/BIO","-"))</f>
        <v>-</v>
      </c>
      <c r="CW52" s="85">
        <f>SUM(Tabela1[[#This Row],[TOTAL LAZER ]],Tabela1[[#This Row],[TOTAL TIPOLOGIA]])</f>
        <v>2948.8996666666667</v>
      </c>
      <c r="CX52" s="22" t="str">
        <f>IF(CW52&lt;=RÉGUAS!$D$72,"ESSENCIAL",IF(CW52&lt;=RÉGUAS!$F$72,"ECO",IF(CN52&gt;RÉGUAS!$F$72,"BIO",)))</f>
        <v>ECO</v>
      </c>
      <c r="CY52" s="22" t="str">
        <f t="shared" si="13"/>
        <v>ECO</v>
      </c>
      <c r="CZ52" s="22" t="str">
        <f>IF(Tabela1[[#This Row],[PRODUTO ATUAL ]]=CY52,"ADERENTE","NÃO ADERENTE")</f>
        <v>ADERENTE</v>
      </c>
      <c r="DA52" s="22" t="str">
        <f>IF(Tabela1[[#This Row],[PRODUTO ATUAL ]]=Tabela1[[#This Row],[CLASSIFICAÇÃO 
4D2]],"ADERENTE","NÃO ADERENTE")</f>
        <v>ADERENTE</v>
      </c>
    </row>
    <row r="53" spans="2:105" hidden="1" x14ac:dyDescent="0.35">
      <c r="B53" s="27">
        <v>53</v>
      </c>
      <c r="C53" s="22" t="s">
        <v>205</v>
      </c>
      <c r="D53" s="22" t="s">
        <v>100</v>
      </c>
      <c r="E53" s="23">
        <v>400</v>
      </c>
      <c r="F53" s="22" t="str">
        <f t="shared" si="7"/>
        <v>De 200 a 400 und</v>
      </c>
      <c r="G53" s="22" t="s">
        <v>14</v>
      </c>
      <c r="H53" s="36">
        <v>5</v>
      </c>
      <c r="I53" s="36">
        <v>10</v>
      </c>
      <c r="J53" s="36"/>
      <c r="K53" s="36"/>
      <c r="L53" s="36">
        <f>SUM(Tabela1[[#This Row],[QTD DE B/T 2]],Tabela1[[#This Row],[QTD DE B/T]])</f>
        <v>5</v>
      </c>
      <c r="M53" s="22">
        <v>5</v>
      </c>
      <c r="N53" s="22">
        <f>Tabela1[[#This Row],[ELEVADOR]]/Tabela1[[#This Row],[BLOCO TOTAL]]</f>
        <v>1</v>
      </c>
      <c r="O53" s="22" t="s">
        <v>5</v>
      </c>
      <c r="P53" s="22" t="s">
        <v>101</v>
      </c>
      <c r="Q53" s="22" t="s">
        <v>101</v>
      </c>
      <c r="R53" s="22" t="s">
        <v>102</v>
      </c>
      <c r="S53" s="22" t="s">
        <v>103</v>
      </c>
      <c r="T53" s="22" t="s">
        <v>104</v>
      </c>
      <c r="U53" s="22" t="s">
        <v>105</v>
      </c>
      <c r="V53" s="22" t="s">
        <v>106</v>
      </c>
      <c r="W53" s="24">
        <f>IF(P53=[1]BD_CUSTO!$E$4,[1]BD_CUSTO!$F$4,[1]BD_CUSTO!$F$5)</f>
        <v>2430</v>
      </c>
      <c r="X53" s="24">
        <f>IF(Q53=[1]BD_CUSTO!$E$6,[1]BD_CUSTO!$F$6,[1]BD_CUSTO!$F$7)</f>
        <v>260</v>
      </c>
      <c r="Y53" s="24">
        <f>IF(R53=[1]BD_CUSTO!$E$8,[1]BD_CUSTO!$F$8,[1]BD_CUSTO!$F$9)</f>
        <v>600</v>
      </c>
      <c r="Z53" s="24">
        <f>IF(S53=[1]BD_CUSTO!$E$10,[1]BD_CUSTO!$F$10,[1]BD_CUSTO!$F$11)</f>
        <v>500</v>
      </c>
      <c r="AA53" s="24">
        <f>IF(T53=[1]BD_CUSTO!$E$12,[1]BD_CUSTO!$F$12,[1]BD_CUSTO!$F$13)</f>
        <v>370</v>
      </c>
      <c r="AB53" s="24">
        <f>IF(U53=[1]BD_CUSTO!$E$14,[1]BD_CUSTO!$F$14,[1]BD_CUSTO!$F$15)</f>
        <v>90</v>
      </c>
      <c r="AC53" s="24">
        <f>IF(V53=[1]BD_CUSTO!$E$16,[1]BD_CUSTO!$F$16,[1]BD_CUSTO!$F$17)</f>
        <v>720</v>
      </c>
      <c r="AD53" s="22" t="s">
        <v>107</v>
      </c>
      <c r="AE53" s="22">
        <v>1</v>
      </c>
      <c r="AF53" s="22" t="s">
        <v>109</v>
      </c>
      <c r="AG53" s="22">
        <v>1</v>
      </c>
      <c r="AH53" s="22" t="s">
        <v>129</v>
      </c>
      <c r="AI53" s="22">
        <v>1</v>
      </c>
      <c r="AJ53" s="22" t="s">
        <v>108</v>
      </c>
      <c r="AK53" s="22">
        <v>1</v>
      </c>
      <c r="AL53" s="22" t="s">
        <v>111</v>
      </c>
      <c r="AM53" s="22">
        <v>1</v>
      </c>
      <c r="AN53" s="22" t="s">
        <v>121</v>
      </c>
      <c r="AO53" s="22">
        <v>1</v>
      </c>
      <c r="AP53" s="22" t="s">
        <v>107</v>
      </c>
      <c r="AQ53" s="22">
        <v>1</v>
      </c>
      <c r="AR53" s="22"/>
      <c r="AS53" s="22"/>
      <c r="AT53" s="22"/>
      <c r="AU53" s="22"/>
      <c r="AV53" s="22"/>
      <c r="AW53" s="22"/>
      <c r="AX53" s="24">
        <f>IF(AD53="",0,VLOOKUP(AD53,[1]BD_CUSTO!I:J,2,0)*AE53/E53)</f>
        <v>212.87279999999998</v>
      </c>
      <c r="AY53" s="24">
        <f>IF(AF53="",0,VLOOKUP(AF53,[1]BD_CUSTO!I:J,2,0)*AG53/E53)</f>
        <v>17.375</v>
      </c>
      <c r="AZ53" s="24">
        <f>IF(AH53="",0,VLOOKUP(AH53,[1]BD_CUSTO!I:J,2,0)*AI53/E53)</f>
        <v>687.91895</v>
      </c>
      <c r="BA53" s="24">
        <f>IF(AJ53="",0,VLOOKUP(AJ53,[1]BD_CUSTO!I:J,2,0)*AK53/E53)</f>
        <v>57.875</v>
      </c>
      <c r="BB53" s="24">
        <f>IF(AL53="",0,VLOOKUP(AL53,[1]BD_CUSTO!I:J,2,0)*AM53/E53)</f>
        <v>40.5</v>
      </c>
      <c r="BC53" s="24">
        <f>IF(AN53="",0,VLOOKUP(AN53,[1]BD_CUSTO!I:J,2,0)*AO53/E53)</f>
        <v>307.89224999999999</v>
      </c>
      <c r="BD53" s="24">
        <f>IF(AP53="",0,VLOOKUP(AP53,[1]BD_CUSTO!I:J,2,0)*AQ53/E53)</f>
        <v>212.87279999999998</v>
      </c>
      <c r="BE53" s="24">
        <f>IF(AR53="",0,VLOOKUP(AR53,CUSTO!I:J,2,0)*AS53/E53)</f>
        <v>0</v>
      </c>
      <c r="BF53" s="24">
        <f>IF(AT53="",0,VLOOKUP(AT53,[1]BD_CUSTO!I:J,2,0)*AU53/E53)</f>
        <v>0</v>
      </c>
      <c r="BG53" s="24">
        <f>IF(Tabela1[[#This Row],[LZ 10]]="",0,VLOOKUP(Tabela1[[#This Row],[LZ 10]],[1]BD_CUSTO!I:J,2,0)*Tabela1[[#This Row],[QTD922]]/E53)</f>
        <v>0</v>
      </c>
      <c r="BH53" s="22" t="s">
        <v>112</v>
      </c>
      <c r="BI53" s="25">
        <f>180/Tabela1[[#This Row],[Nº UNDS]]</f>
        <v>0.45</v>
      </c>
      <c r="BJ53" s="22" t="s">
        <v>113</v>
      </c>
      <c r="BK53" s="25">
        <v>0</v>
      </c>
      <c r="BL53" s="24">
        <f>IF(BH53=[1]BD_CUSTO!$M$6,[1]BD_CUSTO!$N$6)*BI53</f>
        <v>1350</v>
      </c>
      <c r="BM53" s="24">
        <f>IF(BJ53=[1]BD_CUSTO!$M$4,[1]BD_CUSTO!$N$4,[1]BD_CUSTO!$N$5)*BK53</f>
        <v>0</v>
      </c>
      <c r="BN53" s="22" t="s">
        <v>114</v>
      </c>
      <c r="BO53" s="22">
        <f>458-25</f>
        <v>433</v>
      </c>
      <c r="BP53" s="25">
        <f>Tabela1[[#This Row],[QTD ]]/Tabela1[[#This Row],[Nº UNDS]]</f>
        <v>1.0825</v>
      </c>
      <c r="BQ53" s="22" t="s">
        <v>123</v>
      </c>
      <c r="BR53" s="22">
        <v>25</v>
      </c>
      <c r="BS53" s="22" t="s">
        <v>116</v>
      </c>
      <c r="BT53" s="22">
        <v>0</v>
      </c>
      <c r="BU53" s="22" t="s">
        <v>16</v>
      </c>
      <c r="BV53" s="22">
        <v>0</v>
      </c>
      <c r="BW53" s="24">
        <f>IF(BN53=[1]BD_CUSTO!$Q$7,[1]BD_CUSTO!$R$7,[1]BD_CUSTO!$R$8)*BO53/E53</f>
        <v>2165</v>
      </c>
      <c r="BX53" s="24">
        <f>IF(BQ53=[1]BD_CUSTO!$Q$4,[1]BD_CUSTO!$R$4,[1]BD_CUSTO!$R$5)*BR53/E53</f>
        <v>62.5</v>
      </c>
      <c r="BY53" s="22">
        <f>IF(BS53=[1]BD_CUSTO!$Q$13,[1]BD_CUSTO!$R$13,[1]BD_CUSTO!$R$14)*BT53/E53</f>
        <v>0</v>
      </c>
      <c r="BZ53" s="24">
        <f>BV53*CUSTO!$R$10/E53</f>
        <v>0</v>
      </c>
      <c r="CA53" s="26">
        <f>SUM(Tabela1[[#This Row],[SOMA_PISO SALA E QUARTO]],Tabela1[[#This Row],[SOMA_PAREDE HIDR]],Tabela1[[#This Row],[SOMA_TETO]],Tabela1[[#This Row],[SOMA_BANCADA]],Tabela1[[#This Row],[SOMA_PEDRAS]])</f>
        <v>3990</v>
      </c>
      <c r="CB53" s="27" t="str">
        <f>IF(CA53&lt;=RÉGUAS!$D$4,"ACAB 01",IF(CA53&lt;=RÉGUAS!$F$4,"ACAB 02",IF(CA53&gt;RÉGUAS!$F$4,"ACAB 03",)))</f>
        <v>ACAB 02</v>
      </c>
      <c r="CC53" s="26">
        <f>SUM(Tabela1[[#This Row],[SOMA_LZ 01]:[SOMA_LZ 10]])</f>
        <v>1537.3067999999998</v>
      </c>
      <c r="CD53" s="22" t="str">
        <f>IF(CC53&lt;=RÉGUAS!$D$13,"LZ 01",IF(CC53&lt;=RÉGUAS!$F$13,"LZ 02",IF(CC53&lt;=RÉGUAS!$H$13,"LZ 03",IF(CC53&gt;RÉGUAS!$H$13,"LZ 04",))))</f>
        <v>LZ 02</v>
      </c>
      <c r="CE53" s="28">
        <f t="shared" si="8"/>
        <v>1350</v>
      </c>
      <c r="CF53" s="22" t="str">
        <f>IF(CE53&lt;=RÉGUAS!$D$22,"TIP 01",IF(CE53&lt;=RÉGUAS!$F$22,"TIP 02",IF(CE53&gt;RÉGUAS!$F$22,"TIP 03",)))</f>
        <v>TIP 01</v>
      </c>
      <c r="CG53" s="28">
        <f t="shared" si="9"/>
        <v>2227.5</v>
      </c>
      <c r="CH53" s="22" t="str">
        <f>IF(CG53&lt;=RÉGUAS!$D$32,"VAGA 01",IF(CG53&lt;=RÉGUAS!$F$32,"VAGA 02",IF(CG53&gt;RÉGUAS!$F$32,"VAGA 03",)))</f>
        <v>VAGA 02</v>
      </c>
      <c r="CI53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2468.125</v>
      </c>
      <c r="CJ53" s="85" t="str">
        <f>IF(AND(G53="BLOCO",CI53&lt;=RÉGUAS!$D$40),"ELEV 01",IF(AND(G53="BLOCO",CI53&gt;RÉGUAS!$D$40),"ELEV 02",IF(AND(G53="TORRE",CI53&lt;=RÉGUAS!$K$40),"ELEV 01",IF(AND(G53="TORRE",CI53&lt;=RÉGUAS!$M$40),"ELEV 02",IF(AND(G53="TORRE",CI53&gt;RÉGUAS!$M$40),"ELEV 03",)))))</f>
        <v>ELEV 01</v>
      </c>
      <c r="CK53" s="85">
        <f>SUM(Tabela1[[#This Row],[TOTAL  ACAB]],Tabela1[[#This Row],[TOTAL LAZER ]],Tabela1[[#This Row],[TOTAL TIPOLOGIA]],Tabela1[[#This Row],[TOTAL VAGA]],Tabela1[[#This Row],[TOTAL ELEVADOR]])</f>
        <v>11572.9318</v>
      </c>
      <c r="CL53" s="72" t="str">
        <f>IF(AND(G53="BLOCO",CK53&lt;=RÉGUAS!$D$50),"ESSENCIAL",IF(AND(G53="BLOCO",CK53&lt;=RÉGUAS!$F$50),"ECO",IF(AND(G53="BLOCO",CK53&gt;RÉGUAS!$F$50),"BIO",IF(AND(G53="TORRE",CK53&lt;=RÉGUAS!$K$50),"ESSENCIAL",IF(AND(G53="TORRE",CK53&lt;=RÉGUAS!$M$50),"ECO",IF(AND(G53="TORRE",CK53&gt;RÉGUAS!$M$50),"BIO",))))))</f>
        <v>ECO</v>
      </c>
      <c r="CM53" s="28" t="str">
        <f>IF(AND(G53="BLOCO",CK53&gt;=RÉGUAS!$D$51,CK53&lt;=RÉGUAS!$D$50),"ESSENCIAL-10%",IF(AND(G53="BLOCO",CK53&gt;RÉGUAS!$D$50,CK53&lt;=RÉGUAS!$E$51),"ECO+10%",IF(AND(G53="BLOCO",CK53&gt;=RÉGUAS!$F$51,CK53&lt;=RÉGUAS!$F$50),"ECO-10%",IF(AND(G53="BLOCO",CK53&gt;RÉGUAS!$F$50,CK53&lt;=RÉGUAS!$G$51),"BIO+10%",IF(AND(G53="TORRE",CK53&gt;=RÉGUAS!$K$51,CK53&lt;=RÉGUAS!$K$50),"ESSENCIAL-10%",IF(AND(G53="TORRE",CK53&gt;RÉGUAS!$K$50,CK53&lt;=RÉGUAS!$L$51),"ECO+10%",IF(AND(G53="TORRE",CK53&gt;=RÉGUAS!$M$51,CK53&lt;=RÉGUAS!$M$50),"ECO-10%",IF(AND(G53="TORRE",CK53&gt;RÉGUAS!$M$50,CK53&lt;=RÉGUAS!$N$51),"BIO+10%","-"))))))))</f>
        <v>-</v>
      </c>
      <c r="CN53" s="73">
        <f t="shared" si="10"/>
        <v>9104.8068000000003</v>
      </c>
      <c r="CO53" s="72" t="str">
        <f>IF(CN53&lt;=RÉGUAS!$D$58,"ESSENCIAL",IF(CN53&lt;=RÉGUAS!$F$58,"ECO",IF(CN53&gt;RÉGUAS!$F$58,"BIO",)))</f>
        <v>ECO</v>
      </c>
      <c r="CP53" s="72" t="str">
        <f>IF(Tabela1[[#This Row],[INTERVALO DE INTERSEÇÃO 5D]]="-",Tabela1[[#This Row],[CLASSIFICAÇÃO 
5D ]],Tabela1[[#This Row],[CLASSIFICAÇÃO 
4D]])</f>
        <v>ECO</v>
      </c>
      <c r="CQ53" s="72" t="str">
        <f t="shared" si="11"/>
        <v>-</v>
      </c>
      <c r="CR53" s="72" t="str">
        <f t="shared" si="12"/>
        <v>ECO</v>
      </c>
      <c r="CS53" s="22" t="str">
        <f>IF(Tabela1[[#This Row],[PRODUTO ATUAL ]]=Tabela1[[#This Row],[CLASSIFICAÇÃO FINAL 5D]],"ADERÊNTE","NÃO ADERÊNTE")</f>
        <v>ADERÊNTE</v>
      </c>
      <c r="CT53" s="24">
        <f>SUM(Tabela1[[#This Row],[TOTAL  ACAB]],Tabela1[[#This Row],[TOTAL LAZER ]],Tabela1[[#This Row],[TOTAL TIPOLOGIA]],Tabela1[[#This Row],[TOTAL VAGA]])</f>
        <v>9104.8068000000003</v>
      </c>
      <c r="CU53" s="22" t="str">
        <f>IF(CT53&lt;=RÉGUAS!$D$58,"ESSENCIAL",IF(CT53&lt;=RÉGUAS!$F$58,"ECO",IF(CT53&gt;RÉGUAS!$F$58,"BIO",)))</f>
        <v>ECO</v>
      </c>
      <c r="CV53" s="22" t="str">
        <f>IF(AND(CT53&gt;=RÉGUAS!$D$59,CT53&lt;=RÉGUAS!$E$59),"ESSENCIAL/ECO",IF(AND(CT53&gt;=RÉGUAS!$F$59,CT53&lt;=RÉGUAS!$G$59),"ECO/BIO","-"))</f>
        <v>-</v>
      </c>
      <c r="CW53" s="85">
        <f>SUM(Tabela1[[#This Row],[TOTAL LAZER ]],Tabela1[[#This Row],[TOTAL TIPOLOGIA]])</f>
        <v>2887.3067999999998</v>
      </c>
      <c r="CX53" s="22" t="str">
        <f>IF(CW53&lt;=RÉGUAS!$D$72,"ESSENCIAL",IF(CW53&lt;=RÉGUAS!$F$72,"ECO",IF(CN53&gt;RÉGUAS!$F$72,"BIO",)))</f>
        <v>ECO</v>
      </c>
      <c r="CY53" s="22" t="str">
        <f t="shared" si="13"/>
        <v>ECO</v>
      </c>
      <c r="CZ53" s="22" t="str">
        <f>IF(Tabela1[[#This Row],[PRODUTO ATUAL ]]=CY53,"ADERENTE","NÃO ADERENTE")</f>
        <v>ADERENTE</v>
      </c>
      <c r="DA53" s="22" t="str">
        <f>IF(Tabela1[[#This Row],[PRODUTO ATUAL ]]=Tabela1[[#This Row],[CLASSIFICAÇÃO 
4D2]],"ADERENTE","NÃO ADERENTE")</f>
        <v>ADERENTE</v>
      </c>
    </row>
    <row r="54" spans="2:105" hidden="1" x14ac:dyDescent="0.35">
      <c r="B54" s="27">
        <v>78</v>
      </c>
      <c r="C54" s="22" t="s">
        <v>201</v>
      </c>
      <c r="D54" s="22" t="s">
        <v>100</v>
      </c>
      <c r="E54" s="23">
        <v>192</v>
      </c>
      <c r="F54" s="22" t="str">
        <f t="shared" si="7"/>
        <v>Até 200 und</v>
      </c>
      <c r="G54" s="22" t="s">
        <v>1</v>
      </c>
      <c r="H54" s="36">
        <v>12</v>
      </c>
      <c r="I54" s="36">
        <v>4</v>
      </c>
      <c r="J54" s="36"/>
      <c r="K54" s="36"/>
      <c r="L54" s="36">
        <f>SUM(Tabela1[[#This Row],[QTD DE B/T 2]],Tabela1[[#This Row],[QTD DE B/T]])</f>
        <v>12</v>
      </c>
      <c r="M54" s="22">
        <v>0</v>
      </c>
      <c r="N54" s="22">
        <f>Tabela1[[#This Row],[ELEVADOR]]/Tabela1[[#This Row],[BLOCO TOTAL]]</f>
        <v>0</v>
      </c>
      <c r="O54" s="22" t="s">
        <v>5</v>
      </c>
      <c r="P54" s="22" t="s">
        <v>101</v>
      </c>
      <c r="Q54" s="22" t="s">
        <v>101</v>
      </c>
      <c r="R54" s="22" t="s">
        <v>102</v>
      </c>
      <c r="S54" s="22" t="s">
        <v>103</v>
      </c>
      <c r="T54" s="22" t="s">
        <v>104</v>
      </c>
      <c r="U54" s="22" t="s">
        <v>105</v>
      </c>
      <c r="V54" s="22" t="s">
        <v>106</v>
      </c>
      <c r="W54" s="24">
        <f>IF(P54=[1]BD_CUSTO!$E$4,[1]BD_CUSTO!$F$4,[1]BD_CUSTO!$F$5)</f>
        <v>2430</v>
      </c>
      <c r="X54" s="24">
        <f>IF(Q54=[1]BD_CUSTO!$E$6,[1]BD_CUSTO!$F$6,[1]BD_CUSTO!$F$7)</f>
        <v>260</v>
      </c>
      <c r="Y54" s="24">
        <f>IF(R54=[1]BD_CUSTO!$E$8,[1]BD_CUSTO!$F$8,[1]BD_CUSTO!$F$9)</f>
        <v>600</v>
      </c>
      <c r="Z54" s="24">
        <f>IF(S54=[1]BD_CUSTO!$E$10,[1]BD_CUSTO!$F$10,[1]BD_CUSTO!$F$11)</f>
        <v>500</v>
      </c>
      <c r="AA54" s="24">
        <f>IF(T54=[1]BD_CUSTO!$E$12,[1]BD_CUSTO!$F$12,[1]BD_CUSTO!$F$13)</f>
        <v>370</v>
      </c>
      <c r="AB54" s="24">
        <f>IF(U54=[1]BD_CUSTO!$E$14,[1]BD_CUSTO!$F$14,[1]BD_CUSTO!$F$15)</f>
        <v>90</v>
      </c>
      <c r="AC54" s="24">
        <f>IF(V54=[1]BD_CUSTO!$E$16,[1]BD_CUSTO!$F$16,[1]BD_CUSTO!$F$17)</f>
        <v>720</v>
      </c>
      <c r="AD54" s="22" t="s">
        <v>107</v>
      </c>
      <c r="AE54" s="22">
        <v>1</v>
      </c>
      <c r="AF54" s="22" t="s">
        <v>109</v>
      </c>
      <c r="AG54" s="22">
        <v>1</v>
      </c>
      <c r="AH54" s="22" t="s">
        <v>129</v>
      </c>
      <c r="AI54" s="22">
        <v>1</v>
      </c>
      <c r="AJ54" s="22" t="s">
        <v>110</v>
      </c>
      <c r="AK54" s="22">
        <v>2</v>
      </c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4">
        <f>IF(AD54="",0,VLOOKUP(AD54,[1]BD_CUSTO!I:J,2,0)*AE54/E54)</f>
        <v>443.48499999999996</v>
      </c>
      <c r="AY54" s="24">
        <f>IF(AF54="",0,VLOOKUP(AF54,[1]BD_CUSTO!I:J,2,0)*AG54/E54)</f>
        <v>36.197916666666664</v>
      </c>
      <c r="AZ54" s="24">
        <f>IF(AH54="",0,VLOOKUP(AH54,[1]BD_CUSTO!I:J,2,0)*AI54/E54)</f>
        <v>1433.1644791666668</v>
      </c>
      <c r="BA54" s="24">
        <f>IF(AJ54="",0,VLOOKUP(AJ54,[1]BD_CUSTO!I:J,2,0)*AK54/E54)</f>
        <v>55.208333333333336</v>
      </c>
      <c r="BB54" s="24">
        <f>IF(AL54="",0,VLOOKUP(AL54,[1]BD_CUSTO!I:J,2,0)*AM54/E54)</f>
        <v>0</v>
      </c>
      <c r="BC54" s="24">
        <f>IF(AN54="",0,VLOOKUP(AN54,[1]BD_CUSTO!I:J,2,0)*AO54/E54)</f>
        <v>0</v>
      </c>
      <c r="BD54" s="24">
        <f>IF(AP54="",0,VLOOKUP(AP54,[1]BD_CUSTO!I:J,2,0)*AQ54/E54)</f>
        <v>0</v>
      </c>
      <c r="BE54" s="24">
        <f>IF(AR54="",0,VLOOKUP(AR54,CUSTO!I:J,2,0)*AS54/E54)</f>
        <v>0</v>
      </c>
      <c r="BF54" s="24">
        <f>IF(AT54="",0,VLOOKUP(AT54,[1]BD_CUSTO!I:J,2,0)*AU54/E54)</f>
        <v>0</v>
      </c>
      <c r="BG54" s="24">
        <f>IF(Tabela1[[#This Row],[LZ 10]]="",0,VLOOKUP(Tabela1[[#This Row],[LZ 10]],[1]BD_CUSTO!I:J,2,0)*Tabela1[[#This Row],[QTD922]]/E54)</f>
        <v>0</v>
      </c>
      <c r="BH54" s="22" t="s">
        <v>112</v>
      </c>
      <c r="BI54" s="25">
        <f>72/Tabela1[[#This Row],[Nº UNDS]]</f>
        <v>0.375</v>
      </c>
      <c r="BJ54" s="22" t="s">
        <v>113</v>
      </c>
      <c r="BK54" s="25">
        <v>0</v>
      </c>
      <c r="BL54" s="24">
        <f>IF(BH54=[1]BD_CUSTO!$M$6,[1]BD_CUSTO!$N$6)*BI54</f>
        <v>1125</v>
      </c>
      <c r="BM54" s="24">
        <f>IF(BJ54=[1]BD_CUSTO!$M$4,[1]BD_CUSTO!$N$4,[1]BD_CUSTO!$N$5)*BK54</f>
        <v>0</v>
      </c>
      <c r="BN54" s="22" t="s">
        <v>114</v>
      </c>
      <c r="BO54" s="22">
        <f>225-14</f>
        <v>211</v>
      </c>
      <c r="BP54" s="25">
        <f>Tabela1[[#This Row],[QTD ]]/Tabela1[[#This Row],[Nº UNDS]]</f>
        <v>1.0989583333333333</v>
      </c>
      <c r="BQ54" s="22" t="s">
        <v>123</v>
      </c>
      <c r="BR54" s="22">
        <v>14</v>
      </c>
      <c r="BS54" s="22" t="s">
        <v>116</v>
      </c>
      <c r="BT54" s="22">
        <v>0</v>
      </c>
      <c r="BU54" s="22" t="s">
        <v>16</v>
      </c>
      <c r="BV54" s="22">
        <v>0</v>
      </c>
      <c r="BW54" s="24">
        <f>IF(BN54=[1]BD_CUSTO!$Q$7,[1]BD_CUSTO!$R$7,[1]BD_CUSTO!$R$8)*BO54/E54</f>
        <v>2197.9166666666665</v>
      </c>
      <c r="BX54" s="24">
        <f>IF(BQ54=[1]BD_CUSTO!$Q$4,[1]BD_CUSTO!$R$4,[1]BD_CUSTO!$R$5)*BR54/E54</f>
        <v>72.916666666666671</v>
      </c>
      <c r="BY54" s="22">
        <f>IF(BS54=[1]BD_CUSTO!$Q$13,[1]BD_CUSTO!$R$13,[1]BD_CUSTO!$R$14)*BT54/E54</f>
        <v>0</v>
      </c>
      <c r="BZ54" s="24">
        <f>BV54*CUSTO!$R$10/E54</f>
        <v>0</v>
      </c>
      <c r="CA54" s="26">
        <f>SUM(Tabela1[[#This Row],[SOMA_PISO SALA E QUARTO]],Tabela1[[#This Row],[SOMA_PAREDE HIDR]],Tabela1[[#This Row],[SOMA_TETO]],Tabela1[[#This Row],[SOMA_BANCADA]],Tabela1[[#This Row],[SOMA_PEDRAS]])</f>
        <v>3990</v>
      </c>
      <c r="CB54" s="27" t="str">
        <f>IF(CA54&lt;=RÉGUAS!$D$4,"ACAB 01",IF(CA54&lt;=RÉGUAS!$F$4,"ACAB 02",IF(CA54&gt;RÉGUAS!$F$4,"ACAB 03",)))</f>
        <v>ACAB 02</v>
      </c>
      <c r="CC54" s="26">
        <f>SUM(Tabela1[[#This Row],[SOMA_LZ 01]:[SOMA_LZ 10]])</f>
        <v>1968.0557291666667</v>
      </c>
      <c r="CD54" s="22" t="str">
        <f>IF(CC54&lt;=RÉGUAS!$D$13,"LZ 01",IF(CC54&lt;=RÉGUAS!$F$13,"LZ 02",IF(CC54&lt;=RÉGUAS!$H$13,"LZ 03",IF(CC54&gt;RÉGUAS!$H$13,"LZ 04",))))</f>
        <v>LZ 03</v>
      </c>
      <c r="CE54" s="28">
        <f t="shared" si="8"/>
        <v>1125</v>
      </c>
      <c r="CF54" s="22" t="str">
        <f>IF(CE54&lt;=RÉGUAS!$D$22,"TIP 01",IF(CE54&lt;=RÉGUAS!$F$22,"TIP 02",IF(CE54&gt;RÉGUAS!$F$22,"TIP 03",)))</f>
        <v>TIP 01</v>
      </c>
      <c r="CG54" s="28">
        <f t="shared" si="9"/>
        <v>2270.833333333333</v>
      </c>
      <c r="CH54" s="22" t="str">
        <f>IF(CG54&lt;=RÉGUAS!$D$32,"VAGA 01",IF(CG54&lt;=RÉGUAS!$F$32,"VAGA 02",IF(CG54&gt;RÉGUAS!$F$32,"VAGA 03",)))</f>
        <v>VAGA 02</v>
      </c>
      <c r="CI54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54" s="85" t="str">
        <f>IF(AND(G54="BLOCO",CI54&lt;=RÉGUAS!$D$40),"ELEV 01",IF(AND(G54="BLOCO",CI54&gt;RÉGUAS!$D$40),"ELEV 02",IF(AND(G54="TORRE",CI54&lt;=RÉGUAS!$K$40),"ELEV 01",IF(AND(G54="TORRE",CI54&lt;=RÉGUAS!$M$40),"ELEV 02",IF(AND(G54="TORRE",CI54&gt;RÉGUAS!$M$40),"ELEV 03",)))))</f>
        <v>ELEV 01</v>
      </c>
      <c r="CK54" s="85">
        <f>SUM(Tabela1[[#This Row],[TOTAL  ACAB]],Tabela1[[#This Row],[TOTAL LAZER ]],Tabela1[[#This Row],[TOTAL TIPOLOGIA]],Tabela1[[#This Row],[TOTAL VAGA]],Tabela1[[#This Row],[TOTAL ELEVADOR]])</f>
        <v>9353.8890624999985</v>
      </c>
      <c r="CL54" s="72" t="str">
        <f>IF(AND(G54="BLOCO",CK54&lt;=RÉGUAS!$D$50),"ESSENCIAL",IF(AND(G54="BLOCO",CK54&lt;=RÉGUAS!$F$50),"ECO",IF(AND(G54="BLOCO",CK54&gt;RÉGUAS!$F$50),"BIO",IF(AND(G54="TORRE",CK54&lt;=RÉGUAS!$K$50),"ESSENCIAL",IF(AND(G54="TORRE",CK54&lt;=RÉGUAS!$M$50),"ECO",IF(AND(G54="TORRE",CK54&gt;RÉGUAS!$M$50),"BIO",))))))</f>
        <v>ECO</v>
      </c>
      <c r="CM54" s="28" t="str">
        <f>IF(AND(G54="BLOCO",CK54&gt;=RÉGUAS!$D$51,CK54&lt;=RÉGUAS!$D$50),"ESSENCIAL-10%",IF(AND(G54="BLOCO",CK54&gt;RÉGUAS!$D$50,CK54&lt;=RÉGUAS!$E$51),"ECO+10%",IF(AND(G54="BLOCO",CK54&gt;=RÉGUAS!$F$51,CK54&lt;=RÉGUAS!$F$50),"ECO-10%",IF(AND(G54="BLOCO",CK54&gt;RÉGUAS!$F$50,CK54&lt;=RÉGUAS!$G$51),"BIO+10%",IF(AND(G54="TORRE",CK54&gt;=RÉGUAS!$K$51,CK54&lt;=RÉGUAS!$K$50),"ESSENCIAL-10%",IF(AND(G54="TORRE",CK54&gt;RÉGUAS!$K$50,CK54&lt;=RÉGUAS!$L$51),"ECO+10%",IF(AND(G54="TORRE",CK54&gt;=RÉGUAS!$M$51,CK54&lt;=RÉGUAS!$M$50),"ECO-10%",IF(AND(G54="TORRE",CK54&gt;RÉGUAS!$M$50,CK54&lt;=RÉGUAS!$N$51),"BIO+10%","-"))))))))</f>
        <v>-</v>
      </c>
      <c r="CN54" s="73">
        <f t="shared" si="10"/>
        <v>9353.8890624999985</v>
      </c>
      <c r="CO54" s="72" t="str">
        <f>IF(CN54&lt;=RÉGUAS!$D$58,"ESSENCIAL",IF(CN54&lt;=RÉGUAS!$F$58,"ECO",IF(CN54&gt;RÉGUAS!$F$58,"BIO",)))</f>
        <v>ECO</v>
      </c>
      <c r="CP54" s="72" t="str">
        <f>IF(Tabela1[[#This Row],[INTERVALO DE INTERSEÇÃO 5D]]="-",Tabela1[[#This Row],[CLASSIFICAÇÃO 
5D ]],Tabela1[[#This Row],[CLASSIFICAÇÃO 
4D]])</f>
        <v>ECO</v>
      </c>
      <c r="CQ54" s="72" t="str">
        <f t="shared" si="11"/>
        <v>-</v>
      </c>
      <c r="CR54" s="72" t="str">
        <f t="shared" si="12"/>
        <v>ECO</v>
      </c>
      <c r="CS54" s="22" t="str">
        <f>IF(Tabela1[[#This Row],[PRODUTO ATUAL ]]=Tabela1[[#This Row],[CLASSIFICAÇÃO FINAL 5D]],"ADERÊNTE","NÃO ADERÊNTE")</f>
        <v>ADERÊNTE</v>
      </c>
      <c r="CT54" s="24">
        <f>SUM(Tabela1[[#This Row],[TOTAL  ACAB]],Tabela1[[#This Row],[TOTAL LAZER ]],Tabela1[[#This Row],[TOTAL TIPOLOGIA]],Tabela1[[#This Row],[TOTAL VAGA]])</f>
        <v>9353.8890624999985</v>
      </c>
      <c r="CU54" s="22" t="str">
        <f>IF(CT54&lt;=RÉGUAS!$D$58,"ESSENCIAL",IF(CT54&lt;=RÉGUAS!$F$58,"ECO",IF(CT54&gt;RÉGUAS!$F$58,"BIO",)))</f>
        <v>ECO</v>
      </c>
      <c r="CV54" s="22" t="str">
        <f>IF(AND(CT54&gt;=RÉGUAS!$D$59,CT54&lt;=RÉGUAS!$E$59),"ESSENCIAL/ECO",IF(AND(CT54&gt;=RÉGUAS!$F$59,CT54&lt;=RÉGUAS!$G$59),"ECO/BIO","-"))</f>
        <v>-</v>
      </c>
      <c r="CW54" s="85">
        <f>SUM(Tabela1[[#This Row],[TOTAL LAZER ]],Tabela1[[#This Row],[TOTAL TIPOLOGIA]])</f>
        <v>3093.0557291666664</v>
      </c>
      <c r="CX54" s="22" t="str">
        <f>IF(CW54&lt;=RÉGUAS!$D$72,"ESSENCIAL",IF(CW54&lt;=RÉGUAS!$F$72,"ECO",IF(CN54&gt;RÉGUAS!$F$72,"BIO",)))</f>
        <v>ECO</v>
      </c>
      <c r="CY54" s="22" t="str">
        <f t="shared" si="13"/>
        <v>ECO</v>
      </c>
      <c r="CZ54" s="22" t="str">
        <f>IF(Tabela1[[#This Row],[PRODUTO ATUAL ]]=CY54,"ADERENTE","NÃO ADERENTE")</f>
        <v>ADERENTE</v>
      </c>
      <c r="DA54" s="22" t="str">
        <f>IF(Tabela1[[#This Row],[PRODUTO ATUAL ]]=Tabela1[[#This Row],[CLASSIFICAÇÃO 
4D2]],"ADERENTE","NÃO ADERENTE")</f>
        <v>ADERENTE</v>
      </c>
    </row>
    <row r="55" spans="2:105" hidden="1" x14ac:dyDescent="0.35">
      <c r="B55" s="27">
        <v>79</v>
      </c>
      <c r="C55" s="22" t="s">
        <v>196</v>
      </c>
      <c r="D55" s="22" t="s">
        <v>118</v>
      </c>
      <c r="E55" s="23">
        <v>288</v>
      </c>
      <c r="F55" s="22" t="str">
        <f t="shared" si="7"/>
        <v>De 200 a 400 und</v>
      </c>
      <c r="G55" s="22" t="s">
        <v>14</v>
      </c>
      <c r="H55" s="36">
        <v>1</v>
      </c>
      <c r="I55" s="36">
        <v>24</v>
      </c>
      <c r="J55" s="36"/>
      <c r="K55" s="36"/>
      <c r="L55" s="36">
        <f>SUM(Tabela1[[#This Row],[QTD DE B/T 2]],Tabela1[[#This Row],[QTD DE B/T]])</f>
        <v>1</v>
      </c>
      <c r="M55" s="22">
        <v>4</v>
      </c>
      <c r="N55" s="22">
        <f>Tabela1[[#This Row],[ELEVADOR]]/Tabela1[[#This Row],[BLOCO TOTAL]]</f>
        <v>4</v>
      </c>
      <c r="O55" s="22" t="s">
        <v>5</v>
      </c>
      <c r="P55" s="22" t="s">
        <v>101</v>
      </c>
      <c r="Q55" s="22" t="s">
        <v>101</v>
      </c>
      <c r="R55" s="22" t="s">
        <v>102</v>
      </c>
      <c r="S55" s="22" t="s">
        <v>103</v>
      </c>
      <c r="T55" s="22" t="s">
        <v>104</v>
      </c>
      <c r="U55" s="22" t="s">
        <v>105</v>
      </c>
      <c r="V55" s="22" t="s">
        <v>137</v>
      </c>
      <c r="W55" s="24">
        <f>IF(P55=[1]BD_CUSTO!$E$4,[1]BD_CUSTO!$F$4,[1]BD_CUSTO!$F$5)</f>
        <v>2430</v>
      </c>
      <c r="X55" s="24">
        <f>IF(Q55=[1]BD_CUSTO!$E$6,[1]BD_CUSTO!$F$6,[1]BD_CUSTO!$F$7)</f>
        <v>260</v>
      </c>
      <c r="Y55" s="24">
        <f>IF(R55=[1]BD_CUSTO!$E$8,[1]BD_CUSTO!$F$8,[1]BD_CUSTO!$F$9)</f>
        <v>600</v>
      </c>
      <c r="Z55" s="24">
        <f>IF(S55=[1]BD_CUSTO!$E$10,[1]BD_CUSTO!$F$10,[1]BD_CUSTO!$F$11)</f>
        <v>500</v>
      </c>
      <c r="AA55" s="24">
        <f>IF(T55=[1]BD_CUSTO!$E$12,[1]BD_CUSTO!$F$12,[1]BD_CUSTO!$F$13)</f>
        <v>370</v>
      </c>
      <c r="AB55" s="24">
        <f>IF(U55=[1]BD_CUSTO!$E$14,[1]BD_CUSTO!$F$14,[1]BD_CUSTO!$F$15)</f>
        <v>90</v>
      </c>
      <c r="AC55" s="24">
        <f>IF(V55=[1]BD_CUSTO!$E$16,[1]BD_CUSTO!$F$16,[1]BD_CUSTO!$F$17)</f>
        <v>1320</v>
      </c>
      <c r="AD55" s="22" t="s">
        <v>129</v>
      </c>
      <c r="AE55" s="22">
        <v>1</v>
      </c>
      <c r="AF55" s="22" t="s">
        <v>109</v>
      </c>
      <c r="AG55" s="22">
        <v>1</v>
      </c>
      <c r="AH55" s="22" t="s">
        <v>108</v>
      </c>
      <c r="AI55" s="22">
        <v>1</v>
      </c>
      <c r="AJ55" s="22" t="s">
        <v>110</v>
      </c>
      <c r="AK55" s="22">
        <v>1</v>
      </c>
      <c r="AL55" s="22" t="s">
        <v>121</v>
      </c>
      <c r="AM55" s="22">
        <v>1</v>
      </c>
      <c r="AN55" s="22" t="s">
        <v>107</v>
      </c>
      <c r="AO55" s="22">
        <v>1</v>
      </c>
      <c r="AP55" s="22" t="s">
        <v>111</v>
      </c>
      <c r="AQ55" s="22">
        <v>1</v>
      </c>
      <c r="AR55" s="22"/>
      <c r="AS55" s="22"/>
      <c r="AT55" s="22"/>
      <c r="AU55" s="22"/>
      <c r="AV55" s="22"/>
      <c r="AW55" s="22"/>
      <c r="AX55" s="24">
        <f>IF(AD55="",0,VLOOKUP(AD55,[1]BD_CUSTO!I:J,2,0)*AE55/E55)</f>
        <v>955.44298611111117</v>
      </c>
      <c r="AY55" s="24">
        <f>IF(AF55="",0,VLOOKUP(AF55,[1]BD_CUSTO!I:J,2,0)*AG55/E55)</f>
        <v>24.131944444444443</v>
      </c>
      <c r="AZ55" s="24">
        <f>IF(AH55="",0,VLOOKUP(AH55,[1]BD_CUSTO!I:J,2,0)*AI55/E55)</f>
        <v>80.381944444444443</v>
      </c>
      <c r="BA55" s="24">
        <f>IF(AJ55="",0,VLOOKUP(AJ55,[1]BD_CUSTO!I:J,2,0)*AK55/E55)</f>
        <v>18.402777777777779</v>
      </c>
      <c r="BB55" s="24">
        <f>IF(AL55="",0,VLOOKUP(AL55,[1]BD_CUSTO!I:J,2,0)*AM55/E55)</f>
        <v>427.62812499999995</v>
      </c>
      <c r="BC55" s="24">
        <f>IF(AN55="",0,VLOOKUP(AN55,[1]BD_CUSTO!I:J,2,0)*AO55/E55)</f>
        <v>295.65666666666664</v>
      </c>
      <c r="BD55" s="24">
        <f>IF(AP55="",0,VLOOKUP(AP55,[1]BD_CUSTO!I:J,2,0)*AQ55/E55)</f>
        <v>56.25</v>
      </c>
      <c r="BE55" s="24">
        <f>IF(AR55="",0,VLOOKUP(AR55,CUSTO!I:J,2,0)*AS55/E55)</f>
        <v>0</v>
      </c>
      <c r="BF55" s="24">
        <f>IF(AT55="",0,VLOOKUP(AT55,[1]BD_CUSTO!I:J,2,0)*AU55/E55)</f>
        <v>0</v>
      </c>
      <c r="BG55" s="24">
        <f>IF(Tabela1[[#This Row],[LZ 10]]="",0,VLOOKUP(Tabela1[[#This Row],[LZ 10]],[1]BD_CUSTO!I:J,2,0)*Tabela1[[#This Row],[QTD922]]/E55)</f>
        <v>0</v>
      </c>
      <c r="BH55" s="22" t="s">
        <v>112</v>
      </c>
      <c r="BI55" s="25">
        <f>192/Tabela1[[#This Row],[Nº UNDS]]</f>
        <v>0.66666666666666663</v>
      </c>
      <c r="BJ55" s="22" t="s">
        <v>113</v>
      </c>
      <c r="BK55" s="25">
        <v>0</v>
      </c>
      <c r="BL55" s="24">
        <f>IF(BH55=[1]BD_CUSTO!$M$6,[1]BD_CUSTO!$N$6)*BI55</f>
        <v>2000</v>
      </c>
      <c r="BM55" s="24">
        <f>IF(BJ55=[1]BD_CUSTO!$M$4,[1]BD_CUSTO!$N$4,[1]BD_CUSTO!$N$5)*BK55</f>
        <v>0</v>
      </c>
      <c r="BN55" s="22" t="s">
        <v>114</v>
      </c>
      <c r="BO55" s="22">
        <f>328-10</f>
        <v>318</v>
      </c>
      <c r="BP55" s="25">
        <f>Tabela1[[#This Row],[QTD ]]/Tabela1[[#This Row],[Nº UNDS]]</f>
        <v>1.1041666666666667</v>
      </c>
      <c r="BQ55" s="22" t="s">
        <v>123</v>
      </c>
      <c r="BR55" s="22">
        <v>10</v>
      </c>
      <c r="BS55" s="22" t="s">
        <v>116</v>
      </c>
      <c r="BT55" s="22">
        <v>0</v>
      </c>
      <c r="BU55" s="22" t="s">
        <v>16</v>
      </c>
      <c r="BV55" s="22">
        <v>0</v>
      </c>
      <c r="BW55" s="24">
        <f>IF(BN55=[1]BD_CUSTO!$Q$7,[1]BD_CUSTO!$R$7,[1]BD_CUSTO!$R$8)*BO55/E55</f>
        <v>2208.3333333333335</v>
      </c>
      <c r="BX55" s="24">
        <f>IF(BQ55=[1]BD_CUSTO!$Q$4,[1]BD_CUSTO!$R$4,[1]BD_CUSTO!$R$5)*BR55/E55</f>
        <v>34.722222222222221</v>
      </c>
      <c r="BY55" s="22">
        <f>IF(BS55=[1]BD_CUSTO!$Q$13,[1]BD_CUSTO!$R$13,[1]BD_CUSTO!$R$14)*BT55/E55</f>
        <v>0</v>
      </c>
      <c r="BZ55" s="24">
        <f>BV55*CUSTO!$R$10/E55</f>
        <v>0</v>
      </c>
      <c r="CA55" s="26">
        <f>SUM(Tabela1[[#This Row],[SOMA_PISO SALA E QUARTO]],Tabela1[[#This Row],[SOMA_PAREDE HIDR]],Tabela1[[#This Row],[SOMA_TETO]],Tabela1[[#This Row],[SOMA_BANCADA]],Tabela1[[#This Row],[SOMA_PEDRAS]])</f>
        <v>3990</v>
      </c>
      <c r="CB55" s="27" t="str">
        <f>IF(CA55&lt;=RÉGUAS!$D$4,"ACAB 01",IF(CA55&lt;=RÉGUAS!$F$4,"ACAB 02",IF(CA55&gt;RÉGUAS!$F$4,"ACAB 03",)))</f>
        <v>ACAB 02</v>
      </c>
      <c r="CC55" s="26">
        <f>SUM(Tabela1[[#This Row],[SOMA_LZ 01]:[SOMA_LZ 10]])</f>
        <v>1857.8944444444446</v>
      </c>
      <c r="CD55" s="22" t="str">
        <f>IF(CC55&lt;=RÉGUAS!$D$13,"LZ 01",IF(CC55&lt;=RÉGUAS!$F$13,"LZ 02",IF(CC55&lt;=RÉGUAS!$H$13,"LZ 03",IF(CC55&gt;RÉGUAS!$H$13,"LZ 04",))))</f>
        <v>LZ 03</v>
      </c>
      <c r="CE55" s="28">
        <f t="shared" si="8"/>
        <v>2000</v>
      </c>
      <c r="CF55" s="22" t="str">
        <f>IF(CE55&lt;=RÉGUAS!$D$22,"TIP 01",IF(CE55&lt;=RÉGUAS!$F$22,"TIP 02",IF(CE55&gt;RÉGUAS!$F$22,"TIP 03",)))</f>
        <v>TIP 02</v>
      </c>
      <c r="CG55" s="28">
        <f t="shared" si="9"/>
        <v>2243.0555555555557</v>
      </c>
      <c r="CH55" s="22" t="str">
        <f>IF(CG55&lt;=RÉGUAS!$D$32,"VAGA 01",IF(CG55&lt;=RÉGUAS!$F$32,"VAGA 02",IF(CG55&gt;RÉGUAS!$F$32,"VAGA 03",)))</f>
        <v>VAGA 02</v>
      </c>
      <c r="CI55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5593</v>
      </c>
      <c r="CJ55" s="85" t="str">
        <f>IF(AND(G55="BLOCO",CI55&lt;=RÉGUAS!$D$40),"ELEV 01",IF(AND(G55="BLOCO",CI55&gt;RÉGUAS!$D$40),"ELEV 02",IF(AND(G55="TORRE",CI55&lt;=RÉGUAS!$K$40),"ELEV 01",IF(AND(G55="TORRE",CI55&lt;=RÉGUAS!$M$40),"ELEV 02",IF(AND(G55="TORRE",CI55&gt;RÉGUAS!$M$40),"ELEV 03",)))))</f>
        <v>ELEV 03</v>
      </c>
      <c r="CK55" s="85">
        <f>SUM(Tabela1[[#This Row],[TOTAL  ACAB]],Tabela1[[#This Row],[TOTAL LAZER ]],Tabela1[[#This Row],[TOTAL TIPOLOGIA]],Tabela1[[#This Row],[TOTAL VAGA]],Tabela1[[#This Row],[TOTAL ELEVADOR]])</f>
        <v>15683.95</v>
      </c>
      <c r="CL55" s="72" t="str">
        <f>IF(AND(G55="BLOCO",CK55&lt;=RÉGUAS!$D$50),"ESSENCIAL",IF(AND(G55="BLOCO",CK55&lt;=RÉGUAS!$F$50),"ECO",IF(AND(G55="BLOCO",CK55&gt;RÉGUAS!$F$50),"BIO",IF(AND(G55="TORRE",CK55&lt;=RÉGUAS!$K$50),"ESSENCIAL",IF(AND(G55="TORRE",CK55&lt;=RÉGUAS!$M$50),"ECO",IF(AND(G55="TORRE",CK55&gt;RÉGUAS!$M$50),"BIO",))))))</f>
        <v>BIO</v>
      </c>
      <c r="CM55" s="28" t="str">
        <f>IF(AND(G55="BLOCO",CK55&gt;=RÉGUAS!$D$51,CK55&lt;=RÉGUAS!$D$50),"ESSENCIAL-10%",IF(AND(G55="BLOCO",CK55&gt;RÉGUAS!$D$50,CK55&lt;=RÉGUAS!$E$51),"ECO+10%",IF(AND(G55="BLOCO",CK55&gt;=RÉGUAS!$F$51,CK55&lt;=RÉGUAS!$F$50),"ECO-10%",IF(AND(G55="BLOCO",CK55&gt;RÉGUAS!$F$50,CK55&lt;=RÉGUAS!$G$51),"BIO+10%",IF(AND(G55="TORRE",CK55&gt;=RÉGUAS!$K$51,CK55&lt;=RÉGUAS!$K$50),"ESSENCIAL-10%",IF(AND(G55="TORRE",CK55&gt;RÉGUAS!$K$50,CK55&lt;=RÉGUAS!$L$51),"ECO+10%",IF(AND(G55="TORRE",CK55&gt;=RÉGUAS!$M$51,CK55&lt;=RÉGUAS!$M$50),"ECO-10%",IF(AND(G55="TORRE",CK55&gt;RÉGUAS!$M$50,CK55&lt;=RÉGUAS!$N$51),"BIO+10%","-"))))))))</f>
        <v>-</v>
      </c>
      <c r="CN55" s="73">
        <f t="shared" si="10"/>
        <v>10090.950000000001</v>
      </c>
      <c r="CO55" s="72" t="str">
        <f>IF(CN55&lt;=RÉGUAS!$D$58,"ESSENCIAL",IF(CN55&lt;=RÉGUAS!$F$58,"ECO",IF(CN55&gt;RÉGUAS!$F$58,"BIO",)))</f>
        <v>ECO</v>
      </c>
      <c r="CP55" s="72" t="str">
        <f>IF(Tabela1[[#This Row],[INTERVALO DE INTERSEÇÃO 5D]]="-",Tabela1[[#This Row],[CLASSIFICAÇÃO 
5D ]],Tabela1[[#This Row],[CLASSIFICAÇÃO 
4D]])</f>
        <v>BIO</v>
      </c>
      <c r="CQ55" s="72" t="str">
        <f t="shared" si="11"/>
        <v>-</v>
      </c>
      <c r="CR55" s="72" t="str">
        <f t="shared" si="12"/>
        <v>BIO</v>
      </c>
      <c r="CS55" s="22" t="str">
        <f>IF(Tabela1[[#This Row],[PRODUTO ATUAL ]]=Tabela1[[#This Row],[CLASSIFICAÇÃO FINAL 5D]],"ADERÊNTE","NÃO ADERÊNTE")</f>
        <v>NÃO ADERÊNTE</v>
      </c>
      <c r="CT55" s="24">
        <f>SUM(Tabela1[[#This Row],[TOTAL  ACAB]],Tabela1[[#This Row],[TOTAL LAZER ]],Tabela1[[#This Row],[TOTAL TIPOLOGIA]],Tabela1[[#This Row],[TOTAL VAGA]])</f>
        <v>10090.950000000001</v>
      </c>
      <c r="CU55" s="22" t="str">
        <f>IF(CT55&lt;=RÉGUAS!$D$58,"ESSENCIAL",IF(CT55&lt;=RÉGUAS!$F$58,"ECO",IF(CT55&gt;RÉGUAS!$F$58,"BIO",)))</f>
        <v>ECO</v>
      </c>
      <c r="CV55" s="22" t="str">
        <f>IF(AND(CT55&gt;=RÉGUAS!$D$59,CT55&lt;=RÉGUAS!$E$59),"ESSENCIAL/ECO",IF(AND(CT55&gt;=RÉGUAS!$F$59,CT55&lt;=RÉGUAS!$G$59),"ECO/BIO","-"))</f>
        <v>-</v>
      </c>
      <c r="CW55" s="85">
        <f>SUM(Tabela1[[#This Row],[TOTAL LAZER ]],Tabela1[[#This Row],[TOTAL TIPOLOGIA]])</f>
        <v>3857.8944444444446</v>
      </c>
      <c r="CX55" s="22" t="str">
        <f>IF(CW55&lt;=RÉGUAS!$D$72,"ESSENCIAL",IF(CW55&lt;=RÉGUAS!$F$72,"ECO",IF(CN55&gt;RÉGUAS!$F$72,"BIO",)))</f>
        <v>ECO</v>
      </c>
      <c r="CY55" s="22" t="str">
        <f t="shared" si="13"/>
        <v>ECO</v>
      </c>
      <c r="CZ55" s="22" t="str">
        <f>IF(Tabela1[[#This Row],[PRODUTO ATUAL ]]=CY55,"ADERENTE","NÃO ADERENTE")</f>
        <v>ADERENTE</v>
      </c>
      <c r="DA55" s="22" t="str">
        <f>IF(Tabela1[[#This Row],[PRODUTO ATUAL ]]=Tabela1[[#This Row],[CLASSIFICAÇÃO 
4D2]],"ADERENTE","NÃO ADERENTE")</f>
        <v>ADERENTE</v>
      </c>
    </row>
    <row r="56" spans="2:105" hidden="1" x14ac:dyDescent="0.35">
      <c r="B56" s="27">
        <v>62</v>
      </c>
      <c r="C56" s="22" t="s">
        <v>226</v>
      </c>
      <c r="D56" s="22" t="s">
        <v>118</v>
      </c>
      <c r="E56" s="23">
        <v>540</v>
      </c>
      <c r="F56" s="22" t="str">
        <f t="shared" si="7"/>
        <v>Acima de 400 und</v>
      </c>
      <c r="G56" s="22" t="s">
        <v>14</v>
      </c>
      <c r="H56" s="36">
        <v>3</v>
      </c>
      <c r="I56" s="36">
        <v>10</v>
      </c>
      <c r="J56" s="36"/>
      <c r="K56" s="36"/>
      <c r="L56" s="36">
        <f>SUM(Tabela1[[#This Row],[QTD DE B/T 2]],Tabela1[[#This Row],[QTD DE B/T]])</f>
        <v>3</v>
      </c>
      <c r="M56" s="22">
        <v>6</v>
      </c>
      <c r="N56" s="22">
        <f>Tabela1[[#This Row],[ELEVADOR]]/Tabela1[[#This Row],[BLOCO TOTAL]]</f>
        <v>2</v>
      </c>
      <c r="O56" s="22" t="s">
        <v>5</v>
      </c>
      <c r="P56" s="22" t="s">
        <v>101</v>
      </c>
      <c r="Q56" s="22" t="s">
        <v>101</v>
      </c>
      <c r="R56" s="22" t="s">
        <v>142</v>
      </c>
      <c r="S56" s="22" t="s">
        <v>103</v>
      </c>
      <c r="T56" s="22" t="s">
        <v>104</v>
      </c>
      <c r="U56" s="22" t="s">
        <v>105</v>
      </c>
      <c r="V56" s="22" t="s">
        <v>106</v>
      </c>
      <c r="W56" s="24">
        <f>IF(P56=[1]BD_CUSTO!$E$4,[1]BD_CUSTO!$F$4,[1]BD_CUSTO!$F$5)</f>
        <v>2430</v>
      </c>
      <c r="X56" s="24">
        <f>IF(Q56=[1]BD_CUSTO!$E$6,[1]BD_CUSTO!$F$6,[1]BD_CUSTO!$F$7)</f>
        <v>260</v>
      </c>
      <c r="Y56" s="24">
        <f>IF(R56=[1]BD_CUSTO!$E$8,[1]BD_CUSTO!$F$8,[1]BD_CUSTO!$F$9)</f>
        <v>900</v>
      </c>
      <c r="Z56" s="24">
        <f>IF(S56=[1]BD_CUSTO!$E$10,[1]BD_CUSTO!$F$10,[1]BD_CUSTO!$F$11)</f>
        <v>500</v>
      </c>
      <c r="AA56" s="24">
        <f>IF(T56=[1]BD_CUSTO!$E$12,[1]BD_CUSTO!$F$12,[1]BD_CUSTO!$F$13)</f>
        <v>370</v>
      </c>
      <c r="AB56" s="24">
        <f>IF(U56=[1]BD_CUSTO!$E$14,[1]BD_CUSTO!$F$14,[1]BD_CUSTO!$F$15)</f>
        <v>90</v>
      </c>
      <c r="AC56" s="24">
        <f>IF(V56=[1]BD_CUSTO!$E$16,[1]BD_CUSTO!$F$16,[1]BD_CUSTO!$F$17)</f>
        <v>720</v>
      </c>
      <c r="AD56" s="22" t="s">
        <v>129</v>
      </c>
      <c r="AE56" s="22">
        <v>1</v>
      </c>
      <c r="AF56" s="22" t="s">
        <v>107</v>
      </c>
      <c r="AG56" s="22">
        <v>2</v>
      </c>
      <c r="AH56" s="22" t="s">
        <v>121</v>
      </c>
      <c r="AI56" s="22">
        <v>2</v>
      </c>
      <c r="AJ56" s="22" t="s">
        <v>108</v>
      </c>
      <c r="AK56" s="22">
        <v>1</v>
      </c>
      <c r="AL56" s="22" t="s">
        <v>109</v>
      </c>
      <c r="AM56" s="22">
        <v>1</v>
      </c>
      <c r="AN56" s="22" t="s">
        <v>110</v>
      </c>
      <c r="AO56" s="22">
        <v>1</v>
      </c>
      <c r="AP56" s="22"/>
      <c r="AQ56" s="22"/>
      <c r="AR56" s="22"/>
      <c r="AS56" s="22"/>
      <c r="AT56" s="22"/>
      <c r="AU56" s="22"/>
      <c r="AV56" s="22"/>
      <c r="AW56" s="22"/>
      <c r="AX56" s="24">
        <f>IF(AD56="",0,VLOOKUP(AD56,[1]BD_CUSTO!I:J,2,0)*AE56/E56)</f>
        <v>509.56959259259264</v>
      </c>
      <c r="AY56" s="24">
        <f>IF(AF56="",0,VLOOKUP(AF56,[1]BD_CUSTO!I:J,2,0)*AG56/E56)</f>
        <v>315.36711111111111</v>
      </c>
      <c r="AZ56" s="24">
        <f>IF(AH56="",0,VLOOKUP(AH56,[1]BD_CUSTO!I:J,2,0)*AI56/E56)</f>
        <v>456.13666666666666</v>
      </c>
      <c r="BA56" s="24">
        <f>IF(AJ56="",0,VLOOKUP(AJ56,[1]BD_CUSTO!I:J,2,0)*AK56/E56)</f>
        <v>42.870370370370374</v>
      </c>
      <c r="BB56" s="24">
        <f>IF(AL56="",0,VLOOKUP(AL56,[1]BD_CUSTO!I:J,2,0)*AM56/E56)</f>
        <v>12.87037037037037</v>
      </c>
      <c r="BC56" s="24">
        <f>IF(AN56="",0,VLOOKUP(AN56,[1]BD_CUSTO!I:J,2,0)*AO56/E56)</f>
        <v>9.8148148148148149</v>
      </c>
      <c r="BD56" s="24">
        <f>IF(AP56="",0,VLOOKUP(AP56,[1]BD_CUSTO!I:J,2,0)*AQ56/E56)</f>
        <v>0</v>
      </c>
      <c r="BE56" s="24">
        <f>IF(AR56="",0,VLOOKUP(AR56,CUSTO!I:J,2,0)*AS56/E56)</f>
        <v>0</v>
      </c>
      <c r="BF56" s="24">
        <f>IF(AT56="",0,VLOOKUP(AT56,[1]BD_CUSTO!I:J,2,0)*AU56/E56)</f>
        <v>0</v>
      </c>
      <c r="BG56" s="24">
        <f>IF(Tabela1[[#This Row],[LZ 10]]="",0,VLOOKUP(Tabela1[[#This Row],[LZ 10]],[1]BD_CUSTO!I:J,2,0)*Tabela1[[#This Row],[QTD922]]/E56)</f>
        <v>0</v>
      </c>
      <c r="BH56" s="22" t="s">
        <v>112</v>
      </c>
      <c r="BI56" s="25">
        <f>360/Tabela1[[#This Row],[Nº UNDS]]</f>
        <v>0.66666666666666663</v>
      </c>
      <c r="BJ56" s="22" t="s">
        <v>113</v>
      </c>
      <c r="BK56" s="25">
        <v>0</v>
      </c>
      <c r="BL56" s="24">
        <f>IF(BH56=[1]BD_CUSTO!$M$6,[1]BD_CUSTO!$N$6)*BI56</f>
        <v>2000</v>
      </c>
      <c r="BM56" s="24">
        <f>IF(BJ56=[1]BD_CUSTO!$M$4,[1]BD_CUSTO!$N$4,[1]BD_CUSTO!$N$5)*BK56</f>
        <v>0</v>
      </c>
      <c r="BN56" s="22" t="s">
        <v>114</v>
      </c>
      <c r="BO56" s="22">
        <f>148-2</f>
        <v>146</v>
      </c>
      <c r="BP56" s="25">
        <f>Tabela1[[#This Row],[QTD ]]/Tabela1[[#This Row],[Nº UNDS]]</f>
        <v>0.27037037037037037</v>
      </c>
      <c r="BQ56" s="22" t="s">
        <v>115</v>
      </c>
      <c r="BR56" s="22">
        <v>0</v>
      </c>
      <c r="BS56" s="22" t="s">
        <v>116</v>
      </c>
      <c r="BT56" s="22">
        <v>0</v>
      </c>
      <c r="BU56" s="22" t="s">
        <v>16</v>
      </c>
      <c r="BV56" s="22">
        <v>0</v>
      </c>
      <c r="BW56" s="24">
        <f>IF(BN56=[1]BD_CUSTO!$Q$7,[1]BD_CUSTO!$R$7,[1]BD_CUSTO!$R$8)*BO56/E56</f>
        <v>540.74074074074076</v>
      </c>
      <c r="BX56" s="24">
        <f>IF(BQ56=[1]BD_CUSTO!$Q$4,[1]BD_CUSTO!$R$4,[1]BD_CUSTO!$R$5)*BR56/E56</f>
        <v>0</v>
      </c>
      <c r="BY56" s="22">
        <f>IF(BS56=[1]BD_CUSTO!$Q$13,[1]BD_CUSTO!$R$13,[1]BD_CUSTO!$R$14)*BT56/E56</f>
        <v>0</v>
      </c>
      <c r="BZ56" s="24">
        <f>BV56*CUSTO!$R$10/E56</f>
        <v>0</v>
      </c>
      <c r="CA56" s="26">
        <f>SUM(Tabela1[[#This Row],[SOMA_PISO SALA E QUARTO]],Tabela1[[#This Row],[SOMA_PAREDE HIDR]],Tabela1[[#This Row],[SOMA_TETO]],Tabela1[[#This Row],[SOMA_BANCADA]],Tabela1[[#This Row],[SOMA_PEDRAS]])</f>
        <v>4290</v>
      </c>
      <c r="CB56" s="27" t="str">
        <f>IF(CA56&lt;=RÉGUAS!$D$4,"ACAB 01",IF(CA56&lt;=RÉGUAS!$F$4,"ACAB 02",IF(CA56&gt;RÉGUAS!$F$4,"ACAB 03",)))</f>
        <v>ACAB 02</v>
      </c>
      <c r="CC56" s="26">
        <f>SUM(Tabela1[[#This Row],[SOMA_LZ 01]:[SOMA_LZ 10]])</f>
        <v>1346.6289259259261</v>
      </c>
      <c r="CD56" s="22" t="str">
        <f>IF(CC56&lt;=RÉGUAS!$D$13,"LZ 01",IF(CC56&lt;=RÉGUAS!$F$13,"LZ 02",IF(CC56&lt;=RÉGUAS!$H$13,"LZ 03",IF(CC56&gt;RÉGUAS!$H$13,"LZ 04",))))</f>
        <v>LZ 02</v>
      </c>
      <c r="CE56" s="28">
        <f t="shared" si="8"/>
        <v>2000</v>
      </c>
      <c r="CF56" s="22" t="str">
        <f>IF(CE56&lt;=RÉGUAS!$D$22,"TIP 01",IF(CE56&lt;=RÉGUAS!$F$22,"TIP 02",IF(CE56&gt;RÉGUAS!$F$22,"TIP 03",)))</f>
        <v>TIP 02</v>
      </c>
      <c r="CG56" s="28">
        <f t="shared" si="9"/>
        <v>540.74074074074076</v>
      </c>
      <c r="CH56" s="22" t="str">
        <f>IF(CG56&lt;=RÉGUAS!$D$32,"VAGA 01",IF(CG56&lt;=RÉGUAS!$F$32,"VAGA 02",IF(CG56&gt;RÉGUAS!$F$32,"VAGA 03",)))</f>
        <v>VAGA 01</v>
      </c>
      <c r="CI56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2193.8888888888887</v>
      </c>
      <c r="CJ56" s="85" t="str">
        <f>IF(AND(G56="BLOCO",CI56&lt;=RÉGUAS!$D$40),"ELEV 01",IF(AND(G56="BLOCO",CI56&gt;RÉGUAS!$D$40),"ELEV 02",IF(AND(G56="TORRE",CI56&lt;=RÉGUAS!$K$40),"ELEV 01",IF(AND(G56="TORRE",CI56&lt;=RÉGUAS!$M$40),"ELEV 02",IF(AND(G56="TORRE",CI56&gt;RÉGUAS!$M$40),"ELEV 03",)))))</f>
        <v>ELEV 01</v>
      </c>
      <c r="CK56" s="85">
        <f>SUM(Tabela1[[#This Row],[TOTAL  ACAB]],Tabela1[[#This Row],[TOTAL LAZER ]],Tabela1[[#This Row],[TOTAL TIPOLOGIA]],Tabela1[[#This Row],[TOTAL VAGA]],Tabela1[[#This Row],[TOTAL ELEVADOR]])</f>
        <v>10371.258555555556</v>
      </c>
      <c r="CL56" s="72" t="str">
        <f>IF(AND(G56="BLOCO",CK56&lt;=RÉGUAS!$D$50),"ESSENCIAL",IF(AND(G56="BLOCO",CK56&lt;=RÉGUAS!$F$50),"ECO",IF(AND(G56="BLOCO",CK56&gt;RÉGUAS!$F$50),"BIO",IF(AND(G56="TORRE",CK56&lt;=RÉGUAS!$K$50),"ESSENCIAL",IF(AND(G56="TORRE",CK56&lt;=RÉGUAS!$M$50),"ECO",IF(AND(G56="TORRE",CK56&gt;RÉGUAS!$M$50),"BIO",))))))</f>
        <v>ESSENCIAL</v>
      </c>
      <c r="CM56" s="28" t="str">
        <f>IF(AND(G56="BLOCO",CK56&gt;=RÉGUAS!$D$51,CK56&lt;=RÉGUAS!$D$50),"ESSENCIAL-10%",IF(AND(G56="BLOCO",CK56&gt;RÉGUAS!$D$50,CK56&lt;=RÉGUAS!$E$51),"ECO+10%",IF(AND(G56="BLOCO",CK56&gt;=RÉGUAS!$F$51,CK56&lt;=RÉGUAS!$F$50),"ECO-10%",IF(AND(G56="BLOCO",CK56&gt;RÉGUAS!$F$50,CK56&lt;=RÉGUAS!$G$51),"BIO+10%",IF(AND(G56="TORRE",CK56&gt;=RÉGUAS!$K$51,CK56&lt;=RÉGUAS!$K$50),"ESSENCIAL-10%",IF(AND(G56="TORRE",CK56&gt;RÉGUAS!$K$50,CK56&lt;=RÉGUAS!$L$51),"ECO+10%",IF(AND(G56="TORRE",CK56&gt;=RÉGUAS!$M$51,CK56&lt;=RÉGUAS!$M$50),"ECO-10%",IF(AND(G56="TORRE",CK56&gt;RÉGUAS!$M$50,CK56&lt;=RÉGUAS!$N$51),"BIO+10%","-"))))))))</f>
        <v>ESSENCIAL-10%</v>
      </c>
      <c r="CN56" s="73">
        <f t="shared" si="10"/>
        <v>8177.3696666666674</v>
      </c>
      <c r="CO56" s="72" t="str">
        <f>IF(CN56&lt;=RÉGUAS!$D$58,"ESSENCIAL",IF(CN56&lt;=RÉGUAS!$F$58,"ECO",IF(CN56&gt;RÉGUAS!$F$58,"BIO",)))</f>
        <v>ECO</v>
      </c>
      <c r="CP56" s="72" t="str">
        <f>IF(Tabela1[[#This Row],[INTERVALO DE INTERSEÇÃO 5D]]="-",Tabela1[[#This Row],[CLASSIFICAÇÃO 
5D ]],Tabela1[[#This Row],[CLASSIFICAÇÃO 
4D]])</f>
        <v>ECO</v>
      </c>
      <c r="CQ56" s="72" t="str">
        <f t="shared" si="11"/>
        <v>-</v>
      </c>
      <c r="CR56" s="72" t="str">
        <f t="shared" si="12"/>
        <v>ECO</v>
      </c>
      <c r="CS56" s="22" t="str">
        <f>IF(Tabela1[[#This Row],[PRODUTO ATUAL ]]=Tabela1[[#This Row],[CLASSIFICAÇÃO FINAL 5D]],"ADERÊNTE","NÃO ADERÊNTE")</f>
        <v>ADERÊNTE</v>
      </c>
      <c r="CT56" s="24">
        <f>SUM(Tabela1[[#This Row],[TOTAL  ACAB]],Tabela1[[#This Row],[TOTAL LAZER ]],Tabela1[[#This Row],[TOTAL TIPOLOGIA]],Tabela1[[#This Row],[TOTAL VAGA]])</f>
        <v>8177.3696666666674</v>
      </c>
      <c r="CU56" s="22" t="str">
        <f>IF(CT56&lt;=RÉGUAS!$D$58,"ESSENCIAL",IF(CT56&lt;=RÉGUAS!$F$58,"ECO",IF(CT56&gt;RÉGUAS!$F$58,"BIO",)))</f>
        <v>ECO</v>
      </c>
      <c r="CV56" s="22" t="str">
        <f>IF(AND(CT56&gt;=RÉGUAS!$D$59,CT56&lt;=RÉGUAS!$E$59),"ESSENCIAL/ECO",IF(AND(CT56&gt;=RÉGUAS!$F$59,CT56&lt;=RÉGUAS!$G$59),"ECO/BIO","-"))</f>
        <v>-</v>
      </c>
      <c r="CW56" s="85">
        <f>SUM(Tabela1[[#This Row],[TOTAL LAZER ]],Tabela1[[#This Row],[TOTAL TIPOLOGIA]])</f>
        <v>3346.6289259259261</v>
      </c>
      <c r="CX56" s="22" t="str">
        <f>IF(CW56&lt;=RÉGUAS!$D$72,"ESSENCIAL",IF(CW56&lt;=RÉGUAS!$F$72,"ECO",IF(CN56&gt;RÉGUAS!$F$72,"BIO",)))</f>
        <v>ECO</v>
      </c>
      <c r="CY56" s="22" t="str">
        <f t="shared" si="13"/>
        <v>ECO</v>
      </c>
      <c r="CZ56" s="22" t="str">
        <f>IF(Tabela1[[#This Row],[PRODUTO ATUAL ]]=CY56,"ADERENTE","NÃO ADERENTE")</f>
        <v>ADERENTE</v>
      </c>
      <c r="DA56" s="22" t="str">
        <f>IF(Tabela1[[#This Row],[PRODUTO ATUAL ]]=Tabela1[[#This Row],[CLASSIFICAÇÃO 
4D2]],"ADERENTE","NÃO ADERENTE")</f>
        <v>ADERENTE</v>
      </c>
    </row>
    <row r="57" spans="2:105" x14ac:dyDescent="0.35">
      <c r="B57" s="113">
        <v>73</v>
      </c>
      <c r="C57" s="92" t="s">
        <v>230</v>
      </c>
      <c r="D57" s="92" t="s">
        <v>128</v>
      </c>
      <c r="E57" s="114">
        <v>204</v>
      </c>
      <c r="F57" s="92" t="str">
        <f t="shared" si="7"/>
        <v>De 200 a 400 und</v>
      </c>
      <c r="G57" s="92" t="s">
        <v>14</v>
      </c>
      <c r="H57" s="115">
        <v>1</v>
      </c>
      <c r="I57" s="115">
        <v>17</v>
      </c>
      <c r="J57" s="115"/>
      <c r="K57" s="115"/>
      <c r="L57" s="115">
        <f>SUM(Tabela1[[#This Row],[QTD DE B/T 2]],Tabela1[[#This Row],[QTD DE B/T]])</f>
        <v>1</v>
      </c>
      <c r="M57" s="92">
        <v>4</v>
      </c>
      <c r="N57" s="22">
        <f>Tabela1[[#This Row],[ELEVADOR]]/Tabela1[[#This Row],[BLOCO TOTAL]]</f>
        <v>4</v>
      </c>
      <c r="O57" s="92" t="s">
        <v>5</v>
      </c>
      <c r="P57" s="92" t="s">
        <v>101</v>
      </c>
      <c r="Q57" s="92" t="s">
        <v>101</v>
      </c>
      <c r="R57" s="92" t="s">
        <v>142</v>
      </c>
      <c r="S57" s="92" t="s">
        <v>103</v>
      </c>
      <c r="T57" s="92" t="s">
        <v>104</v>
      </c>
      <c r="U57" s="92" t="s">
        <v>105</v>
      </c>
      <c r="V57" s="92" t="s">
        <v>106</v>
      </c>
      <c r="W57" s="116">
        <f>IF(P57=[1]BD_CUSTO!$E$4,[1]BD_CUSTO!$F$4,[1]BD_CUSTO!$F$5)</f>
        <v>2430</v>
      </c>
      <c r="X57" s="116">
        <f>IF(Q57=[1]BD_CUSTO!$E$6,[1]BD_CUSTO!$F$6,[1]BD_CUSTO!$F$7)</f>
        <v>260</v>
      </c>
      <c r="Y57" s="116">
        <f>IF(R57=[1]BD_CUSTO!$E$8,[1]BD_CUSTO!$F$8,[1]BD_CUSTO!$F$9)</f>
        <v>900</v>
      </c>
      <c r="Z57" s="116">
        <f>IF(S57=[1]BD_CUSTO!$E$10,[1]BD_CUSTO!$F$10,[1]BD_CUSTO!$F$11)</f>
        <v>500</v>
      </c>
      <c r="AA57" s="116">
        <f>IF(T57=[1]BD_CUSTO!$E$12,[1]BD_CUSTO!$F$12,[1]BD_CUSTO!$F$13)</f>
        <v>370</v>
      </c>
      <c r="AB57" s="116">
        <f>IF(U57=[1]BD_CUSTO!$E$14,[1]BD_CUSTO!$F$14,[1]BD_CUSTO!$F$15)</f>
        <v>90</v>
      </c>
      <c r="AC57" s="116">
        <f>IF(V57=[1]BD_CUSTO!$E$16,[1]BD_CUSTO!$F$16,[1]BD_CUSTO!$F$17)</f>
        <v>720</v>
      </c>
      <c r="AD57" s="92" t="s">
        <v>111</v>
      </c>
      <c r="AE57" s="92">
        <v>1</v>
      </c>
      <c r="AF57" s="92" t="s">
        <v>110</v>
      </c>
      <c r="AG57" s="92">
        <v>1</v>
      </c>
      <c r="AH57" s="92" t="s">
        <v>121</v>
      </c>
      <c r="AI57" s="92">
        <v>2</v>
      </c>
      <c r="AJ57" s="92" t="s">
        <v>129</v>
      </c>
      <c r="AK57" s="92">
        <v>1</v>
      </c>
      <c r="AL57" s="92" t="s">
        <v>107</v>
      </c>
      <c r="AM57" s="92">
        <v>1</v>
      </c>
      <c r="AN57" s="92" t="s">
        <v>108</v>
      </c>
      <c r="AO57" s="92">
        <v>1</v>
      </c>
      <c r="AP57" s="92" t="s">
        <v>175</v>
      </c>
      <c r="AQ57" s="92">
        <v>1</v>
      </c>
      <c r="AR57" s="92" t="s">
        <v>109</v>
      </c>
      <c r="AS57" s="92">
        <v>1</v>
      </c>
      <c r="AT57" s="92"/>
      <c r="AU57" s="92"/>
      <c r="AV57" s="92"/>
      <c r="AW57" s="92"/>
      <c r="AX57" s="116">
        <f>IF(AD57="",0,VLOOKUP(AD57,[1]BD_CUSTO!I:J,2,0)*AE57/E57)</f>
        <v>79.411764705882348</v>
      </c>
      <c r="AY57" s="116">
        <f>IF(AF57="",0,VLOOKUP(AF57,[1]BD_CUSTO!I:J,2,0)*AG57/E57)</f>
        <v>25.980392156862745</v>
      </c>
      <c r="AZ57" s="116">
        <f>IF(AH57="",0,VLOOKUP(AH57,[1]BD_CUSTO!I:J,2,0)*AI57/E57)</f>
        <v>1207.420588235294</v>
      </c>
      <c r="BA57" s="116">
        <f>IF(AJ57="",0,VLOOKUP(AJ57,[1]BD_CUSTO!I:J,2,0)*AK57/E57)</f>
        <v>1348.8606862745098</v>
      </c>
      <c r="BB57" s="116">
        <f>IF(AL57="",0,VLOOKUP(AL57,[1]BD_CUSTO!I:J,2,0)*AM57/E57)</f>
        <v>417.39764705882351</v>
      </c>
      <c r="BC57" s="116">
        <f>IF(AN57="",0,VLOOKUP(AN57,[1]BD_CUSTO!I:J,2,0)*AO57/E57)</f>
        <v>113.48039215686275</v>
      </c>
      <c r="BD57" s="116">
        <f>IF(AP57="",0,VLOOKUP(AP57,[1]BD_CUSTO!I:J,2,0)*AQ57/E57)</f>
        <v>52.892156862745097</v>
      </c>
      <c r="BE57" s="116">
        <f>IF(AR57="",0,VLOOKUP(AR57,CUSTO!I:J,2,0)*AS57/E57)</f>
        <v>34.068627450980394</v>
      </c>
      <c r="BF57" s="116">
        <f>IF(AT57="",0,VLOOKUP(AT57,[1]BD_CUSTO!I:J,2,0)*AU57/E57)</f>
        <v>0</v>
      </c>
      <c r="BG57" s="116">
        <f>IF(Tabela1[[#This Row],[LZ 10]]="",0,VLOOKUP(Tabela1[[#This Row],[LZ 10]],[1]BD_CUSTO!I:J,2,0)*Tabela1[[#This Row],[QTD922]]/E57)</f>
        <v>0</v>
      </c>
      <c r="BH57" s="92" t="s">
        <v>112</v>
      </c>
      <c r="BI57" s="117">
        <f>128/Tabela1[[#This Row],[Nº UNDS]]</f>
        <v>0.62745098039215685</v>
      </c>
      <c r="BJ57" s="92" t="s">
        <v>113</v>
      </c>
      <c r="BK57" s="117">
        <v>0</v>
      </c>
      <c r="BL57" s="116">
        <f>IF(BH57=[1]BD_CUSTO!$M$6,[1]BD_CUSTO!$N$6)*BI57</f>
        <v>1882.3529411764705</v>
      </c>
      <c r="BM57" s="116">
        <f>IF(BJ57=[1]BD_CUSTO!$M$4,[1]BD_CUSTO!$N$4,[1]BD_CUSTO!$N$5)*BK57</f>
        <v>0</v>
      </c>
      <c r="BN57" s="92" t="s">
        <v>114</v>
      </c>
      <c r="BO57" s="92">
        <f>213-120</f>
        <v>93</v>
      </c>
      <c r="BP57" s="25">
        <f>Tabela1[[#This Row],[QTD ]]/Tabela1[[#This Row],[Nº UNDS]]</f>
        <v>0.45588235294117646</v>
      </c>
      <c r="BQ57" s="92" t="s">
        <v>123</v>
      </c>
      <c r="BR57" s="92">
        <v>120</v>
      </c>
      <c r="BS57" s="92" t="s">
        <v>116</v>
      </c>
      <c r="BT57" s="92">
        <v>0</v>
      </c>
      <c r="BU57" s="92" t="s">
        <v>16</v>
      </c>
      <c r="BV57" s="92">
        <v>0</v>
      </c>
      <c r="BW57" s="116">
        <f>IF(BN57=[1]BD_CUSTO!$Q$7,[1]BD_CUSTO!$R$7,[1]BD_CUSTO!$R$8)*BO57/E57</f>
        <v>911.76470588235293</v>
      </c>
      <c r="BX57" s="116">
        <f>IF(BQ57=[1]BD_CUSTO!$Q$4,[1]BD_CUSTO!$R$4,[1]BD_CUSTO!$R$5)*BR57/E57</f>
        <v>588.23529411764707</v>
      </c>
      <c r="BY57" s="92">
        <f>IF(BS57=[1]BD_CUSTO!$Q$13,[1]BD_CUSTO!$R$13,[1]BD_CUSTO!$R$14)*BT57/E57</f>
        <v>0</v>
      </c>
      <c r="BZ57" s="116">
        <f>BV57*CUSTO!$R$10/E57</f>
        <v>0</v>
      </c>
      <c r="CA57" s="118">
        <f>SUM(Tabela1[[#This Row],[SOMA_PISO SALA E QUARTO]],Tabela1[[#This Row],[SOMA_PAREDE HIDR]],Tabela1[[#This Row],[SOMA_TETO]],Tabela1[[#This Row],[SOMA_BANCADA]],Tabela1[[#This Row],[SOMA_PEDRAS]])</f>
        <v>4290</v>
      </c>
      <c r="CB57" s="113" t="str">
        <f>IF(CA57&lt;=RÉGUAS!$D$4,"ACAB 01",IF(CA57&lt;=RÉGUAS!$F$4,"ACAB 02",IF(CA57&gt;RÉGUAS!$F$4,"ACAB 03",)))</f>
        <v>ACAB 02</v>
      </c>
      <c r="CC57" s="118">
        <f>SUM(Tabela1[[#This Row],[SOMA_LZ 01]:[SOMA_LZ 10]])</f>
        <v>3279.5122549019611</v>
      </c>
      <c r="CD57" s="92" t="str">
        <f>IF(CC57&lt;=RÉGUAS!$D$13,"LZ 01",IF(CC57&lt;=RÉGUAS!$F$13,"LZ 02",IF(CC57&lt;=RÉGUAS!$H$13,"LZ 03",IF(CC57&gt;RÉGUAS!$H$13,"LZ 04",))))</f>
        <v>LZ 04</v>
      </c>
      <c r="CE57" s="119">
        <f t="shared" si="8"/>
        <v>1882.3529411764705</v>
      </c>
      <c r="CF57" s="92" t="str">
        <f>IF(CE57&lt;=RÉGUAS!$D$22,"TIP 01",IF(CE57&lt;=RÉGUAS!$F$22,"TIP 02",IF(CE57&gt;RÉGUAS!$F$22,"TIP 03",)))</f>
        <v>TIP 02</v>
      </c>
      <c r="CG57" s="119">
        <f t="shared" si="9"/>
        <v>1500</v>
      </c>
      <c r="CH57" s="92" t="str">
        <f>IF(CG57&lt;=RÉGUAS!$D$32,"VAGA 01",IF(CG57&lt;=RÉGUAS!$F$32,"VAGA 02",IF(CG57&gt;RÉGUAS!$F$32,"VAGA 03",)))</f>
        <v>VAGA 02</v>
      </c>
      <c r="CI57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5593</v>
      </c>
      <c r="CJ57" s="120" t="str">
        <f>IF(AND(G57="BLOCO",CI57&lt;=RÉGUAS!$D$40),"ELEV 01",IF(AND(G57="BLOCO",CI57&gt;RÉGUAS!$D$40),"ELEV 02",IF(AND(G57="TORRE",CI57&lt;=RÉGUAS!$K$40),"ELEV 01",IF(AND(G57="TORRE",CI57&lt;=RÉGUAS!$M$40),"ELEV 02",IF(AND(G57="TORRE",CI57&gt;RÉGUAS!$M$40),"ELEV 03",)))))</f>
        <v>ELEV 03</v>
      </c>
      <c r="CK57" s="120">
        <f>SUM(Tabela1[[#This Row],[TOTAL  ACAB]],Tabela1[[#This Row],[TOTAL LAZER ]],Tabela1[[#This Row],[TOTAL TIPOLOGIA]],Tabela1[[#This Row],[TOTAL VAGA]],Tabela1[[#This Row],[TOTAL ELEVADOR]])</f>
        <v>16544.865196078434</v>
      </c>
      <c r="CL57" s="72" t="str">
        <f>IF(AND(G57="BLOCO",CK57&lt;=RÉGUAS!$D$50),"ESSENCIAL",IF(AND(G57="BLOCO",CK57&lt;=RÉGUAS!$F$50),"ECO",IF(AND(G57="BLOCO",CK57&gt;RÉGUAS!$F$50),"BIO",IF(AND(G57="TORRE",CK57&lt;=RÉGUAS!$K$50),"ESSENCIAL",IF(AND(G57="TORRE",CK57&lt;=RÉGUAS!$M$50),"ECO",IF(AND(G57="TORRE",CK57&gt;RÉGUAS!$M$50),"BIO",))))))</f>
        <v>BIO</v>
      </c>
      <c r="CM57" s="28" t="str">
        <f>IF(AND(G57="BLOCO",CK57&gt;=RÉGUAS!$D$51,CK57&lt;=RÉGUAS!$D$50),"ESSENCIAL-10%",IF(AND(G57="BLOCO",CK57&gt;RÉGUAS!$D$50,CK57&lt;=RÉGUAS!$E$51),"ECO+10%",IF(AND(G57="BLOCO",CK57&gt;=RÉGUAS!$F$51,CK57&lt;=RÉGUAS!$F$50),"ECO-10%",IF(AND(G57="BLOCO",CK57&gt;RÉGUAS!$F$50,CK57&lt;=RÉGUAS!$G$51),"BIO+10%",IF(AND(G57="TORRE",CK57&gt;=RÉGUAS!$K$51,CK57&lt;=RÉGUAS!$K$50),"ESSENCIAL-10%",IF(AND(G57="TORRE",CK57&gt;RÉGUAS!$K$50,CK57&lt;=RÉGUAS!$L$51),"ECO+10%",IF(AND(G57="TORRE",CK57&gt;=RÉGUAS!$M$51,CK57&lt;=RÉGUAS!$M$50),"ECO-10%",IF(AND(G57="TORRE",CK57&gt;RÉGUAS!$M$50,CK57&lt;=RÉGUAS!$N$51),"BIO+10%","-"))))))))</f>
        <v>-</v>
      </c>
      <c r="CN57" s="81">
        <f t="shared" si="10"/>
        <v>10951.865196078432</v>
      </c>
      <c r="CO57" s="72" t="str">
        <f>IF(CN57&lt;=RÉGUAS!$D$58,"ESSENCIAL",IF(CN57&lt;=RÉGUAS!$F$58,"ECO",IF(CN57&gt;RÉGUAS!$F$58,"BIO",)))</f>
        <v>ECO</v>
      </c>
      <c r="CP57" s="72" t="str">
        <f>IF(Tabela1[[#This Row],[INTERVALO DE INTERSEÇÃO 5D]]="-",Tabela1[[#This Row],[CLASSIFICAÇÃO 
5D ]],Tabela1[[#This Row],[CLASSIFICAÇÃO 
4D]])</f>
        <v>BIO</v>
      </c>
      <c r="CQ57" s="38" t="str">
        <f t="shared" si="11"/>
        <v>-</v>
      </c>
      <c r="CR57" s="72" t="str">
        <f t="shared" si="12"/>
        <v>BIO</v>
      </c>
      <c r="CS57" s="22" t="str">
        <f>IF(Tabela1[[#This Row],[PRODUTO ATUAL ]]=Tabela1[[#This Row],[CLASSIFICAÇÃO FINAL 5D]],"ADERÊNTE","NÃO ADERÊNTE")</f>
        <v>NÃO ADERÊNTE</v>
      </c>
      <c r="CT57" s="24">
        <f>SUM(Tabela1[[#This Row],[TOTAL  ACAB]],Tabela1[[#This Row],[TOTAL LAZER ]],Tabela1[[#This Row],[TOTAL TIPOLOGIA]],Tabela1[[#This Row],[TOTAL VAGA]])</f>
        <v>10951.865196078432</v>
      </c>
      <c r="CU57" s="22" t="str">
        <f>IF(CT57&lt;=RÉGUAS!$D$58,"ESSENCIAL",IF(CT57&lt;=RÉGUAS!$F$58,"ECO",IF(CT57&gt;RÉGUAS!$F$58,"BIO",)))</f>
        <v>ECO</v>
      </c>
      <c r="CV57" s="22" t="str">
        <f>IF(AND(CT57&gt;=RÉGUAS!$D$59,CT57&lt;=RÉGUAS!$E$59),"ESSENCIAL/ECO",IF(AND(CT57&gt;=RÉGUAS!$F$59,CT57&lt;=RÉGUAS!$G$59),"ECO/BIO","-"))</f>
        <v>ECO/BIO</v>
      </c>
      <c r="CW57" s="85">
        <f>SUM(Tabela1[[#This Row],[TOTAL LAZER ]],Tabela1[[#This Row],[TOTAL TIPOLOGIA]])</f>
        <v>5161.8651960784318</v>
      </c>
      <c r="CX57" s="22" t="str">
        <f>IF(CW57&lt;=RÉGUAS!$D$72,"ESSENCIAL",IF(CW57&lt;=RÉGUAS!$F$72,"ECO",IF(CN57&gt;RÉGUAS!$F$72,"BIO",)))</f>
        <v>BIO</v>
      </c>
      <c r="CY57" s="22" t="str">
        <f t="shared" si="13"/>
        <v>BIO</v>
      </c>
      <c r="CZ57" s="22" t="str">
        <f>IF(Tabela1[[#This Row],[PRODUTO ATUAL ]]=CY57,"ADERENTE","NÃO ADERENTE")</f>
        <v>NÃO ADERENTE</v>
      </c>
      <c r="DA57" s="22" t="str">
        <f>IF(Tabela1[[#This Row],[PRODUTO ATUAL ]]=Tabela1[[#This Row],[CLASSIFICAÇÃO 
4D2]],"ADERENTE","NÃO ADERENTE")</f>
        <v>ADERENTE</v>
      </c>
    </row>
    <row r="58" spans="2:105" hidden="1" x14ac:dyDescent="0.35">
      <c r="B58" s="27">
        <v>76</v>
      </c>
      <c r="C58" s="22" t="s">
        <v>232</v>
      </c>
      <c r="D58" s="22" t="s">
        <v>131</v>
      </c>
      <c r="E58" s="134">
        <v>432</v>
      </c>
      <c r="F58" s="22" t="str">
        <f t="shared" si="7"/>
        <v>Acima de 400 und</v>
      </c>
      <c r="G58" s="133" t="s">
        <v>14</v>
      </c>
      <c r="H58" s="135">
        <v>2</v>
      </c>
      <c r="I58" s="135">
        <v>18</v>
      </c>
      <c r="J58" s="36"/>
      <c r="K58" s="36"/>
      <c r="L58" s="36">
        <f>SUM(Tabela1[[#This Row],[QTD DE B/T 2]],Tabela1[[#This Row],[QTD DE B/T]])</f>
        <v>2</v>
      </c>
      <c r="M58" s="22">
        <v>8</v>
      </c>
      <c r="N58" s="22">
        <f>Tabela1[[#This Row],[ELEVADOR]]/Tabela1[[#This Row],[BLOCO TOTAL]]</f>
        <v>4</v>
      </c>
      <c r="O58" s="22" t="s">
        <v>5</v>
      </c>
      <c r="P58" s="22" t="s">
        <v>101</v>
      </c>
      <c r="Q58" s="22" t="s">
        <v>101</v>
      </c>
      <c r="R58" s="22" t="s">
        <v>142</v>
      </c>
      <c r="S58" s="22" t="s">
        <v>103</v>
      </c>
      <c r="T58" s="22" t="s">
        <v>104</v>
      </c>
      <c r="U58" s="22" t="s">
        <v>105</v>
      </c>
      <c r="V58" s="22" t="s">
        <v>106</v>
      </c>
      <c r="W58" s="24">
        <f>IF(P58=[1]BD_CUSTO!$E$4,[1]BD_CUSTO!$F$4,[1]BD_CUSTO!$F$5)</f>
        <v>2430</v>
      </c>
      <c r="X58" s="24">
        <f>IF(Q58=[1]BD_CUSTO!$E$6,[1]BD_CUSTO!$F$6,[1]BD_CUSTO!$F$7)</f>
        <v>260</v>
      </c>
      <c r="Y58" s="24">
        <f>IF(R58=[1]BD_CUSTO!$E$8,[1]BD_CUSTO!$F$8,[1]BD_CUSTO!$F$9)</f>
        <v>900</v>
      </c>
      <c r="Z58" s="24">
        <f>IF(S58=[1]BD_CUSTO!$E$10,[1]BD_CUSTO!$F$10,[1]BD_CUSTO!$F$11)</f>
        <v>500</v>
      </c>
      <c r="AA58" s="24">
        <f>IF(T58=[1]BD_CUSTO!$E$12,[1]BD_CUSTO!$F$12,[1]BD_CUSTO!$F$13)</f>
        <v>370</v>
      </c>
      <c r="AB58" s="24">
        <f>IF(U58=[1]BD_CUSTO!$E$14,[1]BD_CUSTO!$F$14,[1]BD_CUSTO!$F$15)</f>
        <v>90</v>
      </c>
      <c r="AC58" s="24">
        <f>IF(V58=[1]BD_CUSTO!$E$16,[1]BD_CUSTO!$F$16,[1]BD_CUSTO!$F$17)</f>
        <v>720</v>
      </c>
      <c r="AD58" s="22" t="s">
        <v>129</v>
      </c>
      <c r="AE58" s="22">
        <v>1</v>
      </c>
      <c r="AF58" s="22" t="s">
        <v>111</v>
      </c>
      <c r="AG58" s="22">
        <v>1</v>
      </c>
      <c r="AH58" s="22" t="s">
        <v>108</v>
      </c>
      <c r="AI58" s="22">
        <v>1</v>
      </c>
      <c r="AJ58" s="22" t="s">
        <v>126</v>
      </c>
      <c r="AK58" s="22">
        <v>1</v>
      </c>
      <c r="AL58" s="22" t="s">
        <v>121</v>
      </c>
      <c r="AM58" s="22">
        <v>2</v>
      </c>
      <c r="AN58" s="22" t="s">
        <v>107</v>
      </c>
      <c r="AO58" s="22">
        <v>1</v>
      </c>
      <c r="AP58" s="22"/>
      <c r="AQ58" s="22"/>
      <c r="AR58" s="22"/>
      <c r="AS58" s="22"/>
      <c r="AT58" s="22"/>
      <c r="AU58" s="22"/>
      <c r="AV58" s="22"/>
      <c r="AW58" s="22"/>
      <c r="AX58" s="24">
        <f>IF(AD58="",0,VLOOKUP(AD58,[1]BD_CUSTO!I:J,2,0)*AE58/E58)</f>
        <v>636.96199074074082</v>
      </c>
      <c r="AY58" s="24">
        <f>IF(AF58="",0,VLOOKUP(AF58,[1]BD_CUSTO!I:J,2,0)*AG58/E58)</f>
        <v>37.5</v>
      </c>
      <c r="AZ58" s="24">
        <f>IF(AH58="",0,VLOOKUP(AH58,[1]BD_CUSTO!I:J,2,0)*AI58/E58)</f>
        <v>53.587962962962962</v>
      </c>
      <c r="BA58" s="24">
        <f>IF(AJ58="",0,VLOOKUP(AJ58,[1]BD_CUSTO!I:J,2,0)*AK58/E58)</f>
        <v>17.5</v>
      </c>
      <c r="BB58" s="24">
        <f>IF(AL58="",0,VLOOKUP(AL58,[1]BD_CUSTO!I:J,2,0)*AM58/E58)</f>
        <v>570.17083333333335</v>
      </c>
      <c r="BC58" s="24">
        <f>IF(AN58="",0,VLOOKUP(AN58,[1]BD_CUSTO!I:J,2,0)*AO58/E58)</f>
        <v>197.10444444444443</v>
      </c>
      <c r="BD58" s="24">
        <f>IF(AP58="",0,VLOOKUP(AP58,[1]BD_CUSTO!I:J,2,0)*AQ58/E58)</f>
        <v>0</v>
      </c>
      <c r="BE58" s="24">
        <f>IF(AR58="",0,VLOOKUP(AR58,CUSTO!I:J,2,0)*AS58/E58)</f>
        <v>0</v>
      </c>
      <c r="BF58" s="24">
        <f>IF(AT58="",0,VLOOKUP(AT58,[1]BD_CUSTO!I:J,2,0)*AU58/E58)</f>
        <v>0</v>
      </c>
      <c r="BG58" s="24">
        <f>IF(Tabela1[[#This Row],[LZ 10]]="",0,VLOOKUP(Tabela1[[#This Row],[LZ 10]],[1]BD_CUSTO!I:J,2,0)*Tabela1[[#This Row],[QTD922]]/E58)</f>
        <v>0</v>
      </c>
      <c r="BH58" s="133" t="s">
        <v>112</v>
      </c>
      <c r="BI58" s="136">
        <f>272/Tabela1[[#This Row],[Nº UNDS]]</f>
        <v>0.62962962962962965</v>
      </c>
      <c r="BJ58" s="133" t="s">
        <v>113</v>
      </c>
      <c r="BK58" s="136">
        <v>0</v>
      </c>
      <c r="BL58" s="24">
        <f>IF(BH58=[1]BD_CUSTO!$M$6,[1]BD_CUSTO!$N$6)*BI58</f>
        <v>1888.8888888888889</v>
      </c>
      <c r="BM58" s="24">
        <f>IF(BJ58=[1]BD_CUSTO!$M$4,[1]BD_CUSTO!$N$4,[1]BD_CUSTO!$N$5)*BK58</f>
        <v>0</v>
      </c>
      <c r="BN58" s="133" t="s">
        <v>114</v>
      </c>
      <c r="BO58" s="133">
        <f>123-9</f>
        <v>114</v>
      </c>
      <c r="BP58" s="25">
        <f>Tabela1[[#This Row],[QTD ]]/Tabela1[[#This Row],[Nº UNDS]]</f>
        <v>0.2638888888888889</v>
      </c>
      <c r="BQ58" s="22" t="s">
        <v>115</v>
      </c>
      <c r="BR58" s="22">
        <v>0</v>
      </c>
      <c r="BS58" s="22" t="s">
        <v>116</v>
      </c>
      <c r="BT58" s="22">
        <v>0</v>
      </c>
      <c r="BU58" s="22" t="s">
        <v>16</v>
      </c>
      <c r="BV58" s="22">
        <v>0</v>
      </c>
      <c r="BW58" s="24">
        <f>IF(BN58=[1]BD_CUSTO!$Q$7,[1]BD_CUSTO!$R$7,[1]BD_CUSTO!$R$8)*BO58/E58</f>
        <v>527.77777777777783</v>
      </c>
      <c r="BX58" s="24">
        <f>IF(BQ58=[1]BD_CUSTO!$Q$4,[1]BD_CUSTO!$R$4,[1]BD_CUSTO!$R$5)*BR58/E58</f>
        <v>0</v>
      </c>
      <c r="BY58" s="22">
        <f>IF(BS58=[1]BD_CUSTO!$Q$13,[1]BD_CUSTO!$R$13,[1]BD_CUSTO!$R$14)*BT58/E58</f>
        <v>0</v>
      </c>
      <c r="BZ58" s="24">
        <f>BV58*CUSTO!$R$10/E58</f>
        <v>0</v>
      </c>
      <c r="CA58" s="26">
        <f>SUM(Tabela1[[#This Row],[SOMA_PISO SALA E QUARTO]],Tabela1[[#This Row],[SOMA_PAREDE HIDR]],Tabela1[[#This Row],[SOMA_TETO]],Tabela1[[#This Row],[SOMA_BANCADA]],Tabela1[[#This Row],[SOMA_PEDRAS]])</f>
        <v>4290</v>
      </c>
      <c r="CB58" s="27" t="str">
        <f>IF(CA58&lt;=RÉGUAS!$D$4,"ACAB 01",IF(CA58&lt;=RÉGUAS!$F$4,"ACAB 02",IF(CA58&gt;RÉGUAS!$F$4,"ACAB 03",)))</f>
        <v>ACAB 02</v>
      </c>
      <c r="CC58" s="26">
        <f>SUM(Tabela1[[#This Row],[SOMA_LZ 01]:[SOMA_LZ 10]])</f>
        <v>1512.8252314814815</v>
      </c>
      <c r="CD58" s="22" t="str">
        <f>IF(CC58&lt;=RÉGUAS!$D$13,"LZ 01",IF(CC58&lt;=RÉGUAS!$F$13,"LZ 02",IF(CC58&lt;=RÉGUAS!$H$13,"LZ 03",IF(CC58&gt;RÉGUAS!$H$13,"LZ 04",))))</f>
        <v>LZ 02</v>
      </c>
      <c r="CE58" s="28">
        <f t="shared" si="8"/>
        <v>1888.8888888888889</v>
      </c>
      <c r="CF58" s="22" t="str">
        <f>IF(CE58&lt;=RÉGUAS!$D$22,"TIP 01",IF(CE58&lt;=RÉGUAS!$F$22,"TIP 02",IF(CE58&gt;RÉGUAS!$F$22,"TIP 03",)))</f>
        <v>TIP 02</v>
      </c>
      <c r="CG58" s="28">
        <f t="shared" si="9"/>
        <v>527.77777777777783</v>
      </c>
      <c r="CH58" s="22" t="str">
        <f>IF(CG58&lt;=RÉGUAS!$D$32,"VAGA 01",IF(CG58&lt;=RÉGUAS!$F$32,"VAGA 02",IF(CG58&gt;RÉGUAS!$F$32,"VAGA 03",)))</f>
        <v>VAGA 01</v>
      </c>
      <c r="CI58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5593</v>
      </c>
      <c r="CJ58" s="85" t="str">
        <f>IF(AND(G58="BLOCO",CI58&lt;=RÉGUAS!$D$40),"ELEV 01",IF(AND(G58="BLOCO",CI58&gt;RÉGUAS!$D$40),"ELEV 02",IF(AND(G58="TORRE",CI58&lt;=RÉGUAS!$K$40),"ELEV 01",IF(AND(G58="TORRE",CI58&lt;=RÉGUAS!$M$40),"ELEV 02",IF(AND(G58="TORRE",CI58&gt;RÉGUAS!$M$40),"ELEV 03",)))))</f>
        <v>ELEV 03</v>
      </c>
      <c r="CK58" s="85">
        <f>SUM(Tabela1[[#This Row],[TOTAL  ACAB]],Tabela1[[#This Row],[TOTAL LAZER ]],Tabela1[[#This Row],[TOTAL TIPOLOGIA]],Tabela1[[#This Row],[TOTAL VAGA]],Tabela1[[#This Row],[TOTAL ELEVADOR]])</f>
        <v>13812.491898148148</v>
      </c>
      <c r="CL58" s="72" t="str">
        <f>IF(AND(G58="BLOCO",CK58&lt;=RÉGUAS!$D$50),"ESSENCIAL",IF(AND(G58="BLOCO",CK58&lt;=RÉGUAS!$F$50),"ECO",IF(AND(G58="BLOCO",CK58&gt;RÉGUAS!$F$50),"BIO",IF(AND(G58="TORRE",CK58&lt;=RÉGUAS!$K$50),"ESSENCIAL",IF(AND(G58="TORRE",CK58&lt;=RÉGUAS!$M$50),"ECO",IF(AND(G58="TORRE",CK58&gt;RÉGUAS!$M$50),"BIO",))))))</f>
        <v>ECO</v>
      </c>
      <c r="CM58" s="28" t="str">
        <f>IF(AND(G58="BLOCO",CK58&gt;=RÉGUAS!$D$51,CK58&lt;=RÉGUAS!$D$50),"ESSENCIAL-10%",IF(AND(G58="BLOCO",CK58&gt;RÉGUAS!$D$50,CK58&lt;=RÉGUAS!$E$51),"ECO+10%",IF(AND(G58="BLOCO",CK58&gt;=RÉGUAS!$F$51,CK58&lt;=RÉGUAS!$F$50),"ECO-10%",IF(AND(G58="BLOCO",CK58&gt;RÉGUAS!$F$50,CK58&lt;=RÉGUAS!$G$51),"BIO+10%",IF(AND(G58="TORRE",CK58&gt;=RÉGUAS!$K$51,CK58&lt;=RÉGUAS!$K$50),"ESSENCIAL-10%",IF(AND(G58="TORRE",CK58&gt;RÉGUAS!$K$50,CK58&lt;=RÉGUAS!$L$51),"ECO+10%",IF(AND(G58="TORRE",CK58&gt;=RÉGUAS!$M$51,CK58&lt;=RÉGUAS!$M$50),"ECO-10%",IF(AND(G58="TORRE",CK58&gt;RÉGUAS!$M$50,CK58&lt;=RÉGUAS!$N$51),"BIO+10%","-"))))))))</f>
        <v>ECO-10%</v>
      </c>
      <c r="CN58" s="73">
        <f t="shared" si="10"/>
        <v>8219.4918981481478</v>
      </c>
      <c r="CO58" s="72" t="str">
        <f>IF(CN58&lt;=RÉGUAS!$D$58,"ESSENCIAL",IF(CN58&lt;=RÉGUAS!$F$58,"ECO",IF(CN58&gt;RÉGUAS!$F$58,"BIO",)))</f>
        <v>ECO</v>
      </c>
      <c r="CP58" s="72" t="str">
        <f>IF(Tabela1[[#This Row],[INTERVALO DE INTERSEÇÃO 5D]]="-",Tabela1[[#This Row],[CLASSIFICAÇÃO 
5D ]],Tabela1[[#This Row],[CLASSIFICAÇÃO 
4D]])</f>
        <v>ECO</v>
      </c>
      <c r="CQ58" s="72" t="str">
        <f t="shared" si="11"/>
        <v>-</v>
      </c>
      <c r="CR58" s="72" t="str">
        <f t="shared" si="12"/>
        <v>ECO</v>
      </c>
      <c r="CS58" s="22" t="str">
        <f>IF(Tabela1[[#This Row],[PRODUTO ATUAL ]]=Tabela1[[#This Row],[CLASSIFICAÇÃO FINAL 5D]],"ADERÊNTE","NÃO ADERÊNTE")</f>
        <v>ADERÊNTE</v>
      </c>
      <c r="CT58" s="24">
        <f>SUM(Tabela1[[#This Row],[TOTAL  ACAB]],Tabela1[[#This Row],[TOTAL LAZER ]],Tabela1[[#This Row],[TOTAL TIPOLOGIA]],Tabela1[[#This Row],[TOTAL VAGA]])</f>
        <v>8219.4918981481478</v>
      </c>
      <c r="CU58" s="22" t="str">
        <f>IF(CT58&lt;=RÉGUAS!$D$58,"ESSENCIAL",IF(CT58&lt;=RÉGUAS!$F$58,"ECO",IF(CT58&gt;RÉGUAS!$F$58,"BIO",)))</f>
        <v>ECO</v>
      </c>
      <c r="CV58" s="22" t="str">
        <f>IF(AND(CT58&gt;=RÉGUAS!$D$59,CT58&lt;=RÉGUAS!$E$59),"ESSENCIAL/ECO",IF(AND(CT58&gt;=RÉGUAS!$F$59,CT58&lt;=RÉGUAS!$G$59),"ECO/BIO","-"))</f>
        <v>-</v>
      </c>
      <c r="CW58" s="85">
        <f>SUM(Tabela1[[#This Row],[TOTAL LAZER ]],Tabela1[[#This Row],[TOTAL TIPOLOGIA]])</f>
        <v>3401.7141203703704</v>
      </c>
      <c r="CX58" s="22" t="str">
        <f>IF(CW58&lt;=RÉGUAS!$D$72,"ESSENCIAL",IF(CW58&lt;=RÉGUAS!$F$72,"ECO",IF(CN58&gt;RÉGUAS!$F$72,"BIO",)))</f>
        <v>ECO</v>
      </c>
      <c r="CY58" s="22" t="str">
        <f t="shared" si="13"/>
        <v>ECO</v>
      </c>
      <c r="CZ58" s="22" t="str">
        <f>IF(Tabela1[[#This Row],[PRODUTO ATUAL ]]=CY58,"ADERENTE","NÃO ADERENTE")</f>
        <v>ADERENTE</v>
      </c>
      <c r="DA58" s="22" t="str">
        <f>IF(Tabela1[[#This Row],[PRODUTO ATUAL ]]=Tabela1[[#This Row],[CLASSIFICAÇÃO 
4D2]],"ADERENTE","NÃO ADERENTE")</f>
        <v>ADERENTE</v>
      </c>
    </row>
    <row r="59" spans="2:105" x14ac:dyDescent="0.35">
      <c r="B59" s="27">
        <v>77</v>
      </c>
      <c r="C59" s="22" t="s">
        <v>192</v>
      </c>
      <c r="D59" s="22" t="s">
        <v>147</v>
      </c>
      <c r="E59" s="23">
        <v>176</v>
      </c>
      <c r="F59" s="22" t="str">
        <f t="shared" si="7"/>
        <v>Até 200 und</v>
      </c>
      <c r="G59" s="22" t="s">
        <v>14</v>
      </c>
      <c r="H59" s="36">
        <v>1</v>
      </c>
      <c r="I59" s="36">
        <v>22</v>
      </c>
      <c r="J59" s="36"/>
      <c r="K59" s="36"/>
      <c r="L59" s="36">
        <f>SUM(Tabela1[[#This Row],[QTD DE B/T 2]],Tabela1[[#This Row],[QTD DE B/T]])</f>
        <v>1</v>
      </c>
      <c r="M59" s="22">
        <v>3</v>
      </c>
      <c r="N59" s="22">
        <f>Tabela1[[#This Row],[ELEVADOR]]/Tabela1[[#This Row],[BLOCO TOTAL]]</f>
        <v>3</v>
      </c>
      <c r="O59" s="22" t="s">
        <v>5</v>
      </c>
      <c r="P59" s="22" t="s">
        <v>101</v>
      </c>
      <c r="Q59" s="22" t="s">
        <v>101</v>
      </c>
      <c r="R59" s="22" t="s">
        <v>142</v>
      </c>
      <c r="S59" s="22" t="s">
        <v>103</v>
      </c>
      <c r="T59" s="22" t="s">
        <v>104</v>
      </c>
      <c r="U59" s="22" t="s">
        <v>105</v>
      </c>
      <c r="V59" s="22" t="s">
        <v>137</v>
      </c>
      <c r="W59" s="24">
        <f>IF(P59=[1]BD_CUSTO!$E$4,[1]BD_CUSTO!$F$4,[1]BD_CUSTO!$F$5)</f>
        <v>2430</v>
      </c>
      <c r="X59" s="24">
        <f>IF(Q59=[1]BD_CUSTO!$E$6,[1]BD_CUSTO!$F$6,[1]BD_CUSTO!$F$7)</f>
        <v>260</v>
      </c>
      <c r="Y59" s="24">
        <f>IF(R59=[1]BD_CUSTO!$E$8,[1]BD_CUSTO!$F$8,[1]BD_CUSTO!$F$9)</f>
        <v>900</v>
      </c>
      <c r="Z59" s="24">
        <f>IF(S59=[1]BD_CUSTO!$E$10,[1]BD_CUSTO!$F$10,[1]BD_CUSTO!$F$11)</f>
        <v>500</v>
      </c>
      <c r="AA59" s="24">
        <f>IF(T59=[1]BD_CUSTO!$E$12,[1]BD_CUSTO!$F$12,[1]BD_CUSTO!$F$13)</f>
        <v>370</v>
      </c>
      <c r="AB59" s="24">
        <f>IF(U59=[1]BD_CUSTO!$E$14,[1]BD_CUSTO!$F$14,[1]BD_CUSTO!$F$15)</f>
        <v>90</v>
      </c>
      <c r="AC59" s="24">
        <f>IF(V59=[1]BD_CUSTO!$E$16,[1]BD_CUSTO!$F$16,[1]BD_CUSTO!$F$17)</f>
        <v>1320</v>
      </c>
      <c r="AD59" s="22" t="s">
        <v>129</v>
      </c>
      <c r="AE59" s="22">
        <v>1</v>
      </c>
      <c r="AF59" s="22" t="s">
        <v>107</v>
      </c>
      <c r="AG59" s="22">
        <v>1</v>
      </c>
      <c r="AH59" s="22" t="s">
        <v>108</v>
      </c>
      <c r="AI59" s="22">
        <v>1</v>
      </c>
      <c r="AJ59" s="22" t="s">
        <v>109</v>
      </c>
      <c r="AK59" s="22">
        <v>1</v>
      </c>
      <c r="AL59" s="22" t="s">
        <v>110</v>
      </c>
      <c r="AM59" s="22">
        <v>1</v>
      </c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4">
        <f>IF(AD59="",0,VLOOKUP(AD59,[1]BD_CUSTO!I:J,2,0)*AE59/E59)</f>
        <v>1563.4521590909092</v>
      </c>
      <c r="AY59" s="24">
        <f>IF(AF59="",0,VLOOKUP(AF59,[1]BD_CUSTO!I:J,2,0)*AG59/E59)</f>
        <v>483.80181818181813</v>
      </c>
      <c r="AZ59" s="24">
        <f>IF(AH59="",0,VLOOKUP(AH59,[1]BD_CUSTO!I:J,2,0)*AI59/E59)</f>
        <v>131.53409090909091</v>
      </c>
      <c r="BA59" s="24">
        <f>IF(AJ59="",0,VLOOKUP(AJ59,[1]BD_CUSTO!I:J,2,0)*AK59/E59)</f>
        <v>39.488636363636367</v>
      </c>
      <c r="BB59" s="24">
        <f>IF(AL59="",0,VLOOKUP(AL59,[1]BD_CUSTO!I:J,2,0)*AM59/E59)</f>
        <v>30.113636363636363</v>
      </c>
      <c r="BC59" s="24">
        <f>IF(AN59="",0,VLOOKUP(AN59,[1]BD_CUSTO!I:J,2,0)*AO59/E59)</f>
        <v>0</v>
      </c>
      <c r="BD59" s="24">
        <f>IF(AP59="",0,VLOOKUP(AP59,[1]BD_CUSTO!I:J,2,0)*AQ59/E59)</f>
        <v>0</v>
      </c>
      <c r="BE59" s="24">
        <f>IF(AR59="",0,VLOOKUP(AR59,CUSTO!I:J,2,0)*AS59/E59)</f>
        <v>0</v>
      </c>
      <c r="BF59" s="24">
        <f>IF(AT59="",0,VLOOKUP(AT59,[1]BD_CUSTO!I:J,2,0)*AU59/E59)</f>
        <v>0</v>
      </c>
      <c r="BG59" s="24">
        <f>IF(Tabela1[[#This Row],[LZ 10]]="",0,VLOOKUP(Tabela1[[#This Row],[LZ 10]],[1]BD_CUSTO!I:J,2,0)*Tabela1[[#This Row],[QTD922]]/E59)</f>
        <v>0</v>
      </c>
      <c r="BH59" s="22" t="s">
        <v>112</v>
      </c>
      <c r="BI59" s="25">
        <f>168/Tabela1[[#This Row],[Nº UNDS]]</f>
        <v>0.95454545454545459</v>
      </c>
      <c r="BJ59" s="22" t="s">
        <v>113</v>
      </c>
      <c r="BK59" s="25">
        <v>0</v>
      </c>
      <c r="BL59" s="24">
        <f>IF(BH59=[1]BD_CUSTO!$M$6,[1]BD_CUSTO!$N$6)*BI59</f>
        <v>2863.636363636364</v>
      </c>
      <c r="BM59" s="24">
        <f>IF(BJ59=[1]BD_CUSTO!$M$4,[1]BD_CUSTO!$N$4,[1]BD_CUSTO!$N$5)*BK59</f>
        <v>0</v>
      </c>
      <c r="BN59" s="22" t="s">
        <v>114</v>
      </c>
      <c r="BO59" s="22">
        <f>133-11</f>
        <v>122</v>
      </c>
      <c r="BP59" s="25">
        <f>Tabela1[[#This Row],[QTD ]]/Tabela1[[#This Row],[Nº UNDS]]</f>
        <v>0.69318181818181823</v>
      </c>
      <c r="BQ59" s="22" t="s">
        <v>123</v>
      </c>
      <c r="BR59" s="22">
        <v>11</v>
      </c>
      <c r="BS59" s="22" t="s">
        <v>116</v>
      </c>
      <c r="BT59" s="22">
        <v>0</v>
      </c>
      <c r="BU59" s="22" t="s">
        <v>16</v>
      </c>
      <c r="BV59" s="22">
        <v>0</v>
      </c>
      <c r="BW59" s="24">
        <f>IF(BN59=[1]BD_CUSTO!$Q$7,[1]BD_CUSTO!$R$7,[1]BD_CUSTO!$R$8)*BO59/E59</f>
        <v>1386.3636363636363</v>
      </c>
      <c r="BX59" s="24">
        <f>IF(BQ59=[1]BD_CUSTO!$Q$4,[1]BD_CUSTO!$R$4,[1]BD_CUSTO!$R$5)*BR59/E59</f>
        <v>62.5</v>
      </c>
      <c r="BY59" s="22">
        <f>IF(BS59=[1]BD_CUSTO!$Q$13,[1]BD_CUSTO!$R$13,[1]BD_CUSTO!$R$14)*BT59/E59</f>
        <v>0</v>
      </c>
      <c r="BZ59" s="24">
        <f>BV59*CUSTO!$R$10/E59</f>
        <v>0</v>
      </c>
      <c r="CA59" s="26">
        <f>SUM(Tabela1[[#This Row],[SOMA_PISO SALA E QUARTO]],Tabela1[[#This Row],[SOMA_PAREDE HIDR]],Tabela1[[#This Row],[SOMA_TETO]],Tabela1[[#This Row],[SOMA_BANCADA]],Tabela1[[#This Row],[SOMA_PEDRAS]])</f>
        <v>4290</v>
      </c>
      <c r="CB59" s="27" t="str">
        <f>IF(CA59&lt;=RÉGUAS!$D$4,"ACAB 01",IF(CA59&lt;=RÉGUAS!$F$4,"ACAB 02",IF(CA59&gt;RÉGUAS!$F$4,"ACAB 03",)))</f>
        <v>ACAB 02</v>
      </c>
      <c r="CC59" s="26">
        <f>SUM(Tabela1[[#This Row],[SOMA_LZ 01]:[SOMA_LZ 10]])</f>
        <v>2248.3903409090913</v>
      </c>
      <c r="CD59" s="22" t="str">
        <f>IF(CC59&lt;=RÉGUAS!$D$13,"LZ 01",IF(CC59&lt;=RÉGUAS!$F$13,"LZ 02",IF(CC59&lt;=RÉGUAS!$H$13,"LZ 03",IF(CC59&gt;RÉGUAS!$H$13,"LZ 04",))))</f>
        <v>LZ 03</v>
      </c>
      <c r="CE59" s="28">
        <f t="shared" si="8"/>
        <v>2863.636363636364</v>
      </c>
      <c r="CF59" s="22" t="str">
        <f>IF(CE59&lt;=RÉGUAS!$D$22,"TIP 01",IF(CE59&lt;=RÉGUAS!$F$22,"TIP 02",IF(CE59&gt;RÉGUAS!$F$22,"TIP 03",)))</f>
        <v>TIP 02</v>
      </c>
      <c r="CG59" s="28">
        <f t="shared" si="9"/>
        <v>1448.8636363636363</v>
      </c>
      <c r="CH59" s="22" t="str">
        <f>IF(CG59&lt;=RÉGUAS!$D$32,"VAGA 01",IF(CG59&lt;=RÉGUAS!$F$32,"VAGA 02",IF(CG59&gt;RÉGUAS!$F$32,"VAGA 03",)))</f>
        <v>VAGA 02</v>
      </c>
      <c r="CI59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6292.125</v>
      </c>
      <c r="CJ59" s="85" t="str">
        <f>IF(AND(G59="BLOCO",CI59&lt;=RÉGUAS!$D$40),"ELEV 01",IF(AND(G59="BLOCO",CI59&gt;RÉGUAS!$D$40),"ELEV 02",IF(AND(G59="TORRE",CI59&lt;=RÉGUAS!$K$40),"ELEV 01",IF(AND(G59="TORRE",CI59&lt;=RÉGUAS!$M$40),"ELEV 02",IF(AND(G59="TORRE",CI59&gt;RÉGUAS!$M$40),"ELEV 03",)))))</f>
        <v>ELEV 03</v>
      </c>
      <c r="CK59" s="85">
        <f>SUM(Tabela1[[#This Row],[TOTAL  ACAB]],Tabela1[[#This Row],[TOTAL LAZER ]],Tabela1[[#This Row],[TOTAL TIPOLOGIA]],Tabela1[[#This Row],[TOTAL VAGA]],Tabela1[[#This Row],[TOTAL ELEVADOR]])</f>
        <v>17143.015340909093</v>
      </c>
      <c r="CL59" s="72" t="str">
        <f>IF(AND(G59="BLOCO",CK59&lt;=RÉGUAS!$D$50),"ESSENCIAL",IF(AND(G59="BLOCO",CK59&lt;=RÉGUAS!$F$50),"ECO",IF(AND(G59="BLOCO",CK59&gt;RÉGUAS!$F$50),"BIO",IF(AND(G59="TORRE",CK59&lt;=RÉGUAS!$K$50),"ESSENCIAL",IF(AND(G59="TORRE",CK59&lt;=RÉGUAS!$M$50),"ECO",IF(AND(G59="TORRE",CK59&gt;RÉGUAS!$M$50),"BIO",))))))</f>
        <v>BIO</v>
      </c>
      <c r="CM59" s="28" t="str">
        <f>IF(AND(G59="BLOCO",CK59&gt;=RÉGUAS!$D$51,CK59&lt;=RÉGUAS!$D$50),"ESSENCIAL-10%",IF(AND(G59="BLOCO",CK59&gt;RÉGUAS!$D$50,CK59&lt;=RÉGUAS!$E$51),"ECO+10%",IF(AND(G59="BLOCO",CK59&gt;=RÉGUAS!$F$51,CK59&lt;=RÉGUAS!$F$50),"ECO-10%",IF(AND(G59="BLOCO",CK59&gt;RÉGUAS!$F$50,CK59&lt;=RÉGUAS!$G$51),"BIO+10%",IF(AND(G59="TORRE",CK59&gt;=RÉGUAS!$K$51,CK59&lt;=RÉGUAS!$K$50),"ESSENCIAL-10%",IF(AND(G59="TORRE",CK59&gt;RÉGUAS!$K$50,CK59&lt;=RÉGUAS!$L$51),"ECO+10%",IF(AND(G59="TORRE",CK59&gt;=RÉGUAS!$M$51,CK59&lt;=RÉGUAS!$M$50),"ECO-10%",IF(AND(G59="TORRE",CK59&gt;RÉGUAS!$M$50,CK59&lt;=RÉGUAS!$N$51),"BIO+10%","-"))))))))</f>
        <v>-</v>
      </c>
      <c r="CN59" s="73">
        <f t="shared" si="10"/>
        <v>10850.890340909091</v>
      </c>
      <c r="CO59" s="72" t="str">
        <f>IF(CN59&lt;=RÉGUAS!$D$58,"ESSENCIAL",IF(CN59&lt;=RÉGUAS!$F$58,"ECO",IF(CN59&gt;RÉGUAS!$F$58,"BIO",)))</f>
        <v>ECO</v>
      </c>
      <c r="CP59" s="72" t="str">
        <f>IF(Tabela1[[#This Row],[INTERVALO DE INTERSEÇÃO 5D]]="-",Tabela1[[#This Row],[CLASSIFICAÇÃO 
5D ]],Tabela1[[#This Row],[CLASSIFICAÇÃO 
4D]])</f>
        <v>BIO</v>
      </c>
      <c r="CQ59" s="72" t="str">
        <f t="shared" si="11"/>
        <v>-</v>
      </c>
      <c r="CR59" s="72" t="str">
        <f t="shared" si="12"/>
        <v>BIO</v>
      </c>
      <c r="CS59" s="22" t="str">
        <f>IF(Tabela1[[#This Row],[PRODUTO ATUAL ]]=Tabela1[[#This Row],[CLASSIFICAÇÃO FINAL 5D]],"ADERÊNTE","NÃO ADERÊNTE")</f>
        <v>NÃO ADERÊNTE</v>
      </c>
      <c r="CT59" s="24">
        <f>SUM(Tabela1[[#This Row],[TOTAL  ACAB]],Tabela1[[#This Row],[TOTAL LAZER ]],Tabela1[[#This Row],[TOTAL TIPOLOGIA]],Tabela1[[#This Row],[TOTAL VAGA]])</f>
        <v>10850.890340909091</v>
      </c>
      <c r="CU59" s="22" t="str">
        <f>IF(CT59&lt;=RÉGUAS!$D$58,"ESSENCIAL",IF(CT59&lt;=RÉGUAS!$F$58,"ECO",IF(CT59&gt;RÉGUAS!$F$58,"BIO",)))</f>
        <v>ECO</v>
      </c>
      <c r="CV59" s="22" t="str">
        <f>IF(AND(CT59&gt;=RÉGUAS!$D$59,CT59&lt;=RÉGUAS!$E$59),"ESSENCIAL/ECO",IF(AND(CT59&gt;=RÉGUAS!$F$59,CT59&lt;=RÉGUAS!$G$59),"ECO/BIO","-"))</f>
        <v>ECO/BIO</v>
      </c>
      <c r="CW59" s="85">
        <f>SUM(Tabela1[[#This Row],[TOTAL LAZER ]],Tabela1[[#This Row],[TOTAL TIPOLOGIA]])</f>
        <v>5112.0267045454548</v>
      </c>
      <c r="CX59" s="22" t="str">
        <f>IF(CW59&lt;=RÉGUAS!$D$72,"ESSENCIAL",IF(CW59&lt;=RÉGUAS!$F$72,"ECO",IF(CN59&gt;RÉGUAS!$F$72,"BIO",)))</f>
        <v>BIO</v>
      </c>
      <c r="CY59" s="22" t="str">
        <f t="shared" si="13"/>
        <v>BIO</v>
      </c>
      <c r="CZ59" s="22" t="str">
        <f>IF(Tabela1[[#This Row],[PRODUTO ATUAL ]]=CY59,"ADERENTE","NÃO ADERENTE")</f>
        <v>NÃO ADERENTE</v>
      </c>
      <c r="DA59" s="22" t="str">
        <f>IF(Tabela1[[#This Row],[PRODUTO ATUAL ]]=Tabela1[[#This Row],[CLASSIFICAÇÃO 
4D2]],"ADERENTE","NÃO ADERENTE")</f>
        <v>ADERENTE</v>
      </c>
    </row>
    <row r="60" spans="2:105" hidden="1" x14ac:dyDescent="0.35">
      <c r="B60" s="27">
        <v>82</v>
      </c>
      <c r="C60" s="22" t="s">
        <v>219</v>
      </c>
      <c r="D60" s="22" t="s">
        <v>100</v>
      </c>
      <c r="E60" s="23">
        <v>560</v>
      </c>
      <c r="F60" s="22" t="str">
        <f t="shared" si="7"/>
        <v>Acima de 400 und</v>
      </c>
      <c r="G60" s="22" t="s">
        <v>1</v>
      </c>
      <c r="H60" s="36">
        <v>35</v>
      </c>
      <c r="I60" s="36">
        <v>4</v>
      </c>
      <c r="J60" s="36"/>
      <c r="K60" s="36"/>
      <c r="L60" s="36">
        <f>SUM(Tabela1[[#This Row],[QTD DE B/T 2]],Tabela1[[#This Row],[QTD DE B/T]])</f>
        <v>35</v>
      </c>
      <c r="M60" s="22">
        <v>0</v>
      </c>
      <c r="N60" s="22">
        <f>Tabela1[[#This Row],[ELEVADOR]]/Tabela1[[#This Row],[BLOCO TOTAL]]</f>
        <v>0</v>
      </c>
      <c r="O60" s="22" t="s">
        <v>5</v>
      </c>
      <c r="P60" s="22" t="s">
        <v>101</v>
      </c>
      <c r="Q60" s="22" t="s">
        <v>101</v>
      </c>
      <c r="R60" s="22" t="s">
        <v>142</v>
      </c>
      <c r="S60" s="22" t="s">
        <v>103</v>
      </c>
      <c r="T60" s="22" t="s">
        <v>104</v>
      </c>
      <c r="U60" s="22" t="s">
        <v>105</v>
      </c>
      <c r="V60" s="22" t="s">
        <v>106</v>
      </c>
      <c r="W60" s="24">
        <f>IF(P60=[1]BD_CUSTO!$E$4,[1]BD_CUSTO!$F$4,[1]BD_CUSTO!$F$5)</f>
        <v>2430</v>
      </c>
      <c r="X60" s="24">
        <f>IF(Q60=[1]BD_CUSTO!$E$6,[1]BD_CUSTO!$F$6,[1]BD_CUSTO!$F$7)</f>
        <v>260</v>
      </c>
      <c r="Y60" s="24">
        <f>IF(R60=[1]BD_CUSTO!$E$8,[1]BD_CUSTO!$F$8,[1]BD_CUSTO!$F$9)</f>
        <v>900</v>
      </c>
      <c r="Z60" s="24">
        <f>IF(S60=[1]BD_CUSTO!$E$10,[1]BD_CUSTO!$F$10,[1]BD_CUSTO!$F$11)</f>
        <v>500</v>
      </c>
      <c r="AA60" s="24">
        <f>IF(T60=[1]BD_CUSTO!$E$12,[1]BD_CUSTO!$F$12,[1]BD_CUSTO!$F$13)</f>
        <v>370</v>
      </c>
      <c r="AB60" s="24">
        <f>IF(U60=[1]BD_CUSTO!$E$14,[1]BD_CUSTO!$F$14,[1]BD_CUSTO!$F$15)</f>
        <v>90</v>
      </c>
      <c r="AC60" s="24">
        <f>IF(V60=[1]BD_CUSTO!$E$16,[1]BD_CUSTO!$F$16,[1]BD_CUSTO!$F$17)</f>
        <v>720</v>
      </c>
      <c r="AD60" s="22" t="s">
        <v>107</v>
      </c>
      <c r="AE60" s="22">
        <v>3</v>
      </c>
      <c r="AF60" s="22" t="s">
        <v>110</v>
      </c>
      <c r="AG60" s="22">
        <v>1</v>
      </c>
      <c r="AH60" s="22" t="s">
        <v>111</v>
      </c>
      <c r="AI60" s="22">
        <v>1</v>
      </c>
      <c r="AJ60" s="22" t="s">
        <v>108</v>
      </c>
      <c r="AK60" s="22">
        <v>2</v>
      </c>
      <c r="AL60" s="22" t="s">
        <v>175</v>
      </c>
      <c r="AM60" s="22">
        <v>1</v>
      </c>
      <c r="AN60" s="22" t="s">
        <v>129</v>
      </c>
      <c r="AO60" s="22">
        <v>1</v>
      </c>
      <c r="AP60" s="22" t="s">
        <v>126</v>
      </c>
      <c r="AQ60" s="22">
        <v>1</v>
      </c>
      <c r="AR60" s="22" t="s">
        <v>109</v>
      </c>
      <c r="AS60" s="22">
        <v>1</v>
      </c>
      <c r="AT60" s="22"/>
      <c r="AU60" s="22"/>
      <c r="AV60" s="22"/>
      <c r="AW60" s="22"/>
      <c r="AX60" s="24">
        <f>IF(AD60="",0,VLOOKUP(AD60,[1]BD_CUSTO!I:J,2,0)*AE60/E60)</f>
        <v>456.15599999999995</v>
      </c>
      <c r="AY60" s="24">
        <f>IF(AF60="",0,VLOOKUP(AF60,[1]BD_CUSTO!I:J,2,0)*AG60/E60)</f>
        <v>9.4642857142857135</v>
      </c>
      <c r="AZ60" s="24">
        <f>IF(AH60="",0,VLOOKUP(AH60,[1]BD_CUSTO!I:J,2,0)*AI60/E60)</f>
        <v>28.928571428571427</v>
      </c>
      <c r="BA60" s="24">
        <f>IF(AJ60="",0,VLOOKUP(AJ60,[1]BD_CUSTO!I:J,2,0)*AK60/E60)</f>
        <v>82.678571428571431</v>
      </c>
      <c r="BB60" s="24">
        <f>IF(AL60="",0,VLOOKUP(AL60,[1]BD_CUSTO!I:J,2,0)*AM60/E60)</f>
        <v>19.267857142857142</v>
      </c>
      <c r="BC60" s="24">
        <f>IF(AN60="",0,VLOOKUP(AN60,[1]BD_CUSTO!I:J,2,0)*AO60/E60)</f>
        <v>491.37067857142858</v>
      </c>
      <c r="BD60" s="24">
        <f>IF(AP60="",0,VLOOKUP(AP60,[1]BD_CUSTO!I:J,2,0)*AQ60/E60)</f>
        <v>13.5</v>
      </c>
      <c r="BE60" s="24">
        <f>IF(AR60="",0,VLOOKUP(AR60,CUSTO!I:J,2,0)*AS60/E60)</f>
        <v>12.410714285714286</v>
      </c>
      <c r="BF60" s="24">
        <f>IF(AT60="",0,VLOOKUP(AT60,[1]BD_CUSTO!I:J,2,0)*AU60/E60)</f>
        <v>0</v>
      </c>
      <c r="BG60" s="24">
        <f>IF(Tabela1[[#This Row],[LZ 10]]="",0,VLOOKUP(Tabela1[[#This Row],[LZ 10]],[1]BD_CUSTO!I:J,2,0)*Tabela1[[#This Row],[QTD922]]/E60)</f>
        <v>0</v>
      </c>
      <c r="BH60" s="22" t="s">
        <v>112</v>
      </c>
      <c r="BI60" s="25">
        <f>210/Tabela1[[#This Row],[Nº UNDS]]</f>
        <v>0.375</v>
      </c>
      <c r="BJ60" s="22" t="s">
        <v>113</v>
      </c>
      <c r="BK60" s="25">
        <v>0</v>
      </c>
      <c r="BL60" s="24">
        <f>IF(BH60=[1]BD_CUSTO!$M$6,[1]BD_CUSTO!$N$6)*BI60</f>
        <v>1125</v>
      </c>
      <c r="BM60" s="24">
        <f>IF(BJ60=[1]BD_CUSTO!$M$4,[1]BD_CUSTO!$N$4,[1]BD_CUSTO!$N$5)*BK60</f>
        <v>0</v>
      </c>
      <c r="BN60" s="22" t="s">
        <v>114</v>
      </c>
      <c r="BO60" s="22">
        <f>568-168</f>
        <v>400</v>
      </c>
      <c r="BP60" s="25">
        <f>Tabela1[[#This Row],[QTD ]]/Tabela1[[#This Row],[Nº UNDS]]</f>
        <v>0.7142857142857143</v>
      </c>
      <c r="BQ60" s="22" t="s">
        <v>123</v>
      </c>
      <c r="BR60" s="22">
        <v>168</v>
      </c>
      <c r="BS60" s="22" t="s">
        <v>116</v>
      </c>
      <c r="BT60" s="22">
        <v>0</v>
      </c>
      <c r="BU60" s="22" t="s">
        <v>16</v>
      </c>
      <c r="BV60" s="22">
        <v>0</v>
      </c>
      <c r="BW60" s="24">
        <f>IF(BN60=[1]BD_CUSTO!$Q$7,[1]BD_CUSTO!$R$7,[1]BD_CUSTO!$R$8)*BO60/E60</f>
        <v>1428.5714285714287</v>
      </c>
      <c r="BX60" s="24">
        <f>IF(BQ60=[1]BD_CUSTO!$Q$4,[1]BD_CUSTO!$R$4,[1]BD_CUSTO!$R$5)*BR60/E60</f>
        <v>300</v>
      </c>
      <c r="BY60" s="22">
        <f>IF(BS60=[1]BD_CUSTO!$Q$13,[1]BD_CUSTO!$R$13,[1]BD_CUSTO!$R$14)*BT60/E60</f>
        <v>0</v>
      </c>
      <c r="BZ60" s="24">
        <f>BV60*CUSTO!$R$10/E60</f>
        <v>0</v>
      </c>
      <c r="CA60" s="26">
        <f>SUM(Tabela1[[#This Row],[SOMA_PISO SALA E QUARTO]],Tabela1[[#This Row],[SOMA_PAREDE HIDR]],Tabela1[[#This Row],[SOMA_TETO]],Tabela1[[#This Row],[SOMA_BANCADA]],Tabela1[[#This Row],[SOMA_PEDRAS]])</f>
        <v>4290</v>
      </c>
      <c r="CB60" s="27" t="str">
        <f>IF(CA60&lt;=RÉGUAS!$D$4,"ACAB 01",IF(CA60&lt;=RÉGUAS!$F$4,"ACAB 02",IF(CA60&gt;RÉGUAS!$F$4,"ACAB 03",)))</f>
        <v>ACAB 02</v>
      </c>
      <c r="CC60" s="26">
        <f>SUM(Tabela1[[#This Row],[SOMA_LZ 01]:[SOMA_LZ 10]])</f>
        <v>1113.7766785714284</v>
      </c>
      <c r="CD60" s="22" t="str">
        <f>IF(CC60&lt;=RÉGUAS!$D$13,"LZ 01",IF(CC60&lt;=RÉGUAS!$F$13,"LZ 02",IF(CC60&lt;=RÉGUAS!$H$13,"LZ 03",IF(CC60&gt;RÉGUAS!$H$13,"LZ 04",))))</f>
        <v>LZ 02</v>
      </c>
      <c r="CE60" s="28">
        <f t="shared" si="8"/>
        <v>1125</v>
      </c>
      <c r="CF60" s="22" t="str">
        <f>IF(CE60&lt;=RÉGUAS!$D$22,"TIP 01",IF(CE60&lt;=RÉGUAS!$F$22,"TIP 02",IF(CE60&gt;RÉGUAS!$F$22,"TIP 03",)))</f>
        <v>TIP 01</v>
      </c>
      <c r="CG60" s="28">
        <f t="shared" si="9"/>
        <v>1728.5714285714287</v>
      </c>
      <c r="CH60" s="22" t="str">
        <f>IF(CG60&lt;=RÉGUAS!$D$32,"VAGA 01",IF(CG60&lt;=RÉGUAS!$F$32,"VAGA 02",IF(CG60&gt;RÉGUAS!$F$32,"VAGA 03",)))</f>
        <v>VAGA 02</v>
      </c>
      <c r="CI60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60" s="85" t="str">
        <f>IF(AND(G60="BLOCO",CI60&lt;=RÉGUAS!$D$40),"ELEV 01",IF(AND(G60="BLOCO",CI60&gt;RÉGUAS!$D$40),"ELEV 02",IF(AND(G60="TORRE",CI60&lt;=RÉGUAS!$K$40),"ELEV 01",IF(AND(G60="TORRE",CI60&lt;=RÉGUAS!$M$40),"ELEV 02",IF(AND(G60="TORRE",CI60&gt;RÉGUAS!$M$40),"ELEV 03",)))))</f>
        <v>ELEV 01</v>
      </c>
      <c r="CK60" s="85">
        <f>SUM(Tabela1[[#This Row],[TOTAL  ACAB]],Tabela1[[#This Row],[TOTAL LAZER ]],Tabela1[[#This Row],[TOTAL TIPOLOGIA]],Tabela1[[#This Row],[TOTAL VAGA]],Tabela1[[#This Row],[TOTAL ELEVADOR]])</f>
        <v>8257.3481071428578</v>
      </c>
      <c r="CL60" s="72" t="str">
        <f>IF(AND(G60="BLOCO",CK60&lt;=RÉGUAS!$D$50),"ESSENCIAL",IF(AND(G60="BLOCO",CK60&lt;=RÉGUAS!$F$50),"ECO",IF(AND(G60="BLOCO",CK60&gt;RÉGUAS!$F$50),"BIO",IF(AND(G60="TORRE",CK60&lt;=RÉGUAS!$K$50),"ESSENCIAL",IF(AND(G60="TORRE",CK60&lt;=RÉGUAS!$M$50),"ECO",IF(AND(G60="TORRE",CK60&gt;RÉGUAS!$M$50),"BIO",))))))</f>
        <v>ECO</v>
      </c>
      <c r="CM60" s="28" t="str">
        <f>IF(AND(G60="BLOCO",CK60&gt;=RÉGUAS!$D$51,CK60&lt;=RÉGUAS!$D$50),"ESSENCIAL-10%",IF(AND(G60="BLOCO",CK60&gt;RÉGUAS!$D$50,CK60&lt;=RÉGUAS!$E$51),"ECO+10%",IF(AND(G60="BLOCO",CK60&gt;=RÉGUAS!$F$51,CK60&lt;=RÉGUAS!$F$50),"ECO-10%",IF(AND(G60="BLOCO",CK60&gt;RÉGUAS!$F$50,CK60&lt;=RÉGUAS!$G$51),"BIO+10%",IF(AND(G60="TORRE",CK60&gt;=RÉGUAS!$K$51,CK60&lt;=RÉGUAS!$K$50),"ESSENCIAL-10%",IF(AND(G60="TORRE",CK60&gt;RÉGUAS!$K$50,CK60&lt;=RÉGUAS!$L$51),"ECO+10%",IF(AND(G60="TORRE",CK60&gt;=RÉGUAS!$M$51,CK60&lt;=RÉGUAS!$M$50),"ECO-10%",IF(AND(G60="TORRE",CK60&gt;RÉGUAS!$M$50,CK60&lt;=RÉGUAS!$N$51),"BIO+10%","-"))))))))</f>
        <v>ECO+10%</v>
      </c>
      <c r="CN60" s="73">
        <f t="shared" si="10"/>
        <v>8257.3481071428578</v>
      </c>
      <c r="CO60" s="72" t="str">
        <f>IF(CN60&lt;=RÉGUAS!$D$58,"ESSENCIAL",IF(CN60&lt;=RÉGUAS!$F$58,"ECO",IF(CN60&gt;RÉGUAS!$F$58,"BIO",)))</f>
        <v>ECO</v>
      </c>
      <c r="CP60" s="72" t="str">
        <f>IF(Tabela1[[#This Row],[INTERVALO DE INTERSEÇÃO 5D]]="-",Tabela1[[#This Row],[CLASSIFICAÇÃO 
5D ]],Tabela1[[#This Row],[CLASSIFICAÇÃO 
4D]])</f>
        <v>ECO</v>
      </c>
      <c r="CQ60" s="72" t="str">
        <f t="shared" si="11"/>
        <v>-</v>
      </c>
      <c r="CR60" s="72" t="str">
        <f t="shared" si="12"/>
        <v>ECO</v>
      </c>
      <c r="CS60" s="22" t="str">
        <f>IF(Tabela1[[#This Row],[PRODUTO ATUAL ]]=Tabela1[[#This Row],[CLASSIFICAÇÃO FINAL 5D]],"ADERÊNTE","NÃO ADERÊNTE")</f>
        <v>ADERÊNTE</v>
      </c>
      <c r="CT60" s="24">
        <f>SUM(Tabela1[[#This Row],[TOTAL  ACAB]],Tabela1[[#This Row],[TOTAL LAZER ]],Tabela1[[#This Row],[TOTAL TIPOLOGIA]],Tabela1[[#This Row],[TOTAL VAGA]])</f>
        <v>8257.3481071428578</v>
      </c>
      <c r="CU60" s="22" t="str">
        <f>IF(CT60&lt;=RÉGUAS!$D$58,"ESSENCIAL",IF(CT60&lt;=RÉGUAS!$F$58,"ECO",IF(CT60&gt;RÉGUAS!$F$58,"BIO",)))</f>
        <v>ECO</v>
      </c>
      <c r="CV60" s="22" t="str">
        <f>IF(AND(CT60&gt;=RÉGUAS!$D$59,CT60&lt;=RÉGUAS!$E$59),"ESSENCIAL/ECO",IF(AND(CT60&gt;=RÉGUAS!$F$59,CT60&lt;=RÉGUAS!$G$59),"ECO/BIO","-"))</f>
        <v>-</v>
      </c>
      <c r="CW60" s="85">
        <f>SUM(Tabela1[[#This Row],[TOTAL LAZER ]],Tabela1[[#This Row],[TOTAL TIPOLOGIA]])</f>
        <v>2238.7766785714284</v>
      </c>
      <c r="CX60" s="22" t="str">
        <f>IF(CW60&lt;=RÉGUAS!$D$72,"ESSENCIAL",IF(CW60&lt;=RÉGUAS!$F$72,"ECO",IF(CN60&gt;RÉGUAS!$F$72,"BIO",)))</f>
        <v>ESSENCIAL</v>
      </c>
      <c r="CY60" s="22" t="str">
        <f t="shared" si="13"/>
        <v>ECO</v>
      </c>
      <c r="CZ60" s="22" t="str">
        <f>IF(Tabela1[[#This Row],[PRODUTO ATUAL ]]=CY60,"ADERENTE","NÃO ADERENTE")</f>
        <v>ADERENTE</v>
      </c>
      <c r="DA60" s="22" t="str">
        <f>IF(Tabela1[[#This Row],[PRODUTO ATUAL ]]=Tabela1[[#This Row],[CLASSIFICAÇÃO 
4D2]],"ADERENTE","NÃO ADERENTE")</f>
        <v>ADERENTE</v>
      </c>
    </row>
    <row r="61" spans="2:105" x14ac:dyDescent="0.35">
      <c r="B61" s="27">
        <v>54</v>
      </c>
      <c r="C61" s="22" t="s">
        <v>181</v>
      </c>
      <c r="D61" s="22" t="s">
        <v>154</v>
      </c>
      <c r="E61" s="128">
        <v>96</v>
      </c>
      <c r="F61" s="22" t="str">
        <f t="shared" si="7"/>
        <v>Até 200 und</v>
      </c>
      <c r="G61" s="76" t="s">
        <v>1</v>
      </c>
      <c r="H61" s="129">
        <v>6</v>
      </c>
      <c r="I61" s="129">
        <v>4</v>
      </c>
      <c r="J61" s="129"/>
      <c r="K61" s="129"/>
      <c r="L61" s="129">
        <f>SUM(Tabela1[[#This Row],[QTD DE B/T 2]],Tabela1[[#This Row],[QTD DE B/T]])</f>
        <v>6</v>
      </c>
      <c r="M61" s="22">
        <v>0</v>
      </c>
      <c r="N61" s="22">
        <f>Tabela1[[#This Row],[ELEVADOR]]/Tabela1[[#This Row],[BLOCO TOTAL]]</f>
        <v>0</v>
      </c>
      <c r="O61" s="22" t="s">
        <v>5</v>
      </c>
      <c r="P61" s="76" t="s">
        <v>101</v>
      </c>
      <c r="Q61" s="76" t="s">
        <v>101</v>
      </c>
      <c r="R61" s="76" t="s">
        <v>142</v>
      </c>
      <c r="S61" s="76" t="s">
        <v>103</v>
      </c>
      <c r="T61" s="76" t="s">
        <v>104</v>
      </c>
      <c r="U61" s="76" t="s">
        <v>105</v>
      </c>
      <c r="V61" s="22"/>
      <c r="W61" s="24">
        <f>IF(P61=[1]BD_CUSTO!$E$4,[1]BD_CUSTO!$F$4,[1]BD_CUSTO!$F$5)</f>
        <v>2430</v>
      </c>
      <c r="X61" s="24">
        <f>IF(Q61=[1]BD_CUSTO!$E$6,[1]BD_CUSTO!$F$6,[1]BD_CUSTO!$F$7)</f>
        <v>260</v>
      </c>
      <c r="Y61" s="24">
        <f>IF(R61=[1]BD_CUSTO!$E$8,[1]BD_CUSTO!$F$8,[1]BD_CUSTO!$F$9)</f>
        <v>900</v>
      </c>
      <c r="Z61" s="24">
        <f>IF(S61=[1]BD_CUSTO!$E$10,[1]BD_CUSTO!$F$10,[1]BD_CUSTO!$F$11)</f>
        <v>500</v>
      </c>
      <c r="AA61" s="24">
        <f>IF(T61=[1]BD_CUSTO!$E$12,[1]BD_CUSTO!$F$12,[1]BD_CUSTO!$F$13)</f>
        <v>370</v>
      </c>
      <c r="AB61" s="24">
        <f>IF(U61=[1]BD_CUSTO!$E$14,[1]BD_CUSTO!$F$14,[1]BD_CUSTO!$F$15)</f>
        <v>90</v>
      </c>
      <c r="AC61" s="24">
        <f>IF(V61=[1]BD_CUSTO!$E$16,[1]BD_CUSTO!$F$16,[1]BD_CUSTO!$F$17)</f>
        <v>1320</v>
      </c>
      <c r="AD61" s="76" t="s">
        <v>111</v>
      </c>
      <c r="AE61" s="76">
        <v>1</v>
      </c>
      <c r="AF61" s="76" t="s">
        <v>108</v>
      </c>
      <c r="AG61" s="76">
        <v>1</v>
      </c>
      <c r="AH61" s="76" t="s">
        <v>126</v>
      </c>
      <c r="AI61" s="76">
        <v>1</v>
      </c>
      <c r="AJ61" s="76" t="s">
        <v>109</v>
      </c>
      <c r="AK61" s="76">
        <v>1</v>
      </c>
      <c r="AL61" s="22" t="s">
        <v>110</v>
      </c>
      <c r="AM61" s="22">
        <v>1</v>
      </c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4">
        <f>IF(AD61="",0,VLOOKUP(AD61,[1]BD_CUSTO!I:J,2,0)*AE61/E61)</f>
        <v>168.75</v>
      </c>
      <c r="AY61" s="24">
        <f>IF(AF61="",0,VLOOKUP(AF61,[1]BD_CUSTO!I:J,2,0)*AG61/E61)</f>
        <v>241.14583333333334</v>
      </c>
      <c r="AZ61" s="24">
        <f>IF(AH61="",0,VLOOKUP(AH61,[1]BD_CUSTO!I:J,2,0)*AI61/E61)</f>
        <v>78.75</v>
      </c>
      <c r="BA61" s="24">
        <f>IF(AJ61="",0,VLOOKUP(AJ61,[1]BD_CUSTO!I:J,2,0)*AK61/E61)</f>
        <v>72.395833333333329</v>
      </c>
      <c r="BB61" s="24">
        <f>IF(AL61="",0,VLOOKUP(AL61,[1]BD_CUSTO!I:J,2,0)*AM61/E61)</f>
        <v>55.208333333333336</v>
      </c>
      <c r="BC61" s="24">
        <f>IF(AN61="",0,VLOOKUP(AN61,[1]BD_CUSTO!I:J,2,0)*AO61/E61)</f>
        <v>0</v>
      </c>
      <c r="BD61" s="24">
        <f>IF(AP61="",0,VLOOKUP(AP61,[1]BD_CUSTO!I:J,2,0)*AQ61/E61)</f>
        <v>0</v>
      </c>
      <c r="BE61" s="24">
        <f>IF(AR61="",0,VLOOKUP(AR61,CUSTO!I:J,2,0)*AS61/E61)</f>
        <v>0</v>
      </c>
      <c r="BF61" s="24">
        <f>IF(AT61="",0,VLOOKUP(AT61,[1]BD_CUSTO!I:J,2,0)*AU61/E61)</f>
        <v>0</v>
      </c>
      <c r="BG61" s="24">
        <f>IF(Tabela1[[#This Row],[LZ 10]]="",0,VLOOKUP(Tabela1[[#This Row],[LZ 10]],[1]BD_CUSTO!I:J,2,0)*Tabela1[[#This Row],[QTD922]]/E61)</f>
        <v>0</v>
      </c>
      <c r="BH61" s="76" t="s">
        <v>112</v>
      </c>
      <c r="BI61" s="127">
        <v>0.25</v>
      </c>
      <c r="BJ61" s="76" t="s">
        <v>113</v>
      </c>
      <c r="BK61" s="127">
        <v>0</v>
      </c>
      <c r="BL61" s="24">
        <f>IF(BH61=[1]BD_CUSTO!$M$6,[1]BD_CUSTO!$N$6)*BI61</f>
        <v>750</v>
      </c>
      <c r="BM61" s="24">
        <f>IF(BJ61=[1]BD_CUSTO!$M$4,[1]BD_CUSTO!$N$4,[1]BD_CUSTO!$N$5)*BK61</f>
        <v>0</v>
      </c>
      <c r="BN61" s="76" t="s">
        <v>114</v>
      </c>
      <c r="BO61" s="76">
        <v>69</v>
      </c>
      <c r="BP61" s="25">
        <f>Tabela1[[#This Row],[QTD ]]/Tabela1[[#This Row],[Nº UNDS]]</f>
        <v>0.71875</v>
      </c>
      <c r="BQ61" s="76" t="s">
        <v>123</v>
      </c>
      <c r="BR61" s="76">
        <v>9</v>
      </c>
      <c r="BS61" s="22" t="s">
        <v>116</v>
      </c>
      <c r="BT61" s="22">
        <v>0</v>
      </c>
      <c r="BU61" s="22" t="s">
        <v>16</v>
      </c>
      <c r="BV61" s="22">
        <v>0</v>
      </c>
      <c r="BW61" s="24">
        <f>IF(BN61=[1]BD_CUSTO!$Q$7,[1]BD_CUSTO!$R$7,[1]BD_CUSTO!$R$8)*BO61/E61</f>
        <v>1437.5</v>
      </c>
      <c r="BX61" s="24">
        <f>IF(BQ61=[1]BD_CUSTO!$Q$4,[1]BD_CUSTO!$R$4,[1]BD_CUSTO!$R$5)*BR61/E61</f>
        <v>93.75</v>
      </c>
      <c r="BY61" s="22">
        <f>IF(BS61=[1]BD_CUSTO!$Q$13,[1]BD_CUSTO!$R$13,[1]BD_CUSTO!$R$14)*BT61/E61</f>
        <v>0</v>
      </c>
      <c r="BZ61" s="24">
        <f>BV61*CUSTO!$R$10/E61</f>
        <v>0</v>
      </c>
      <c r="CA61" s="26">
        <f>SUM(Tabela1[[#This Row],[SOMA_PISO SALA E QUARTO]],Tabela1[[#This Row],[SOMA_PAREDE HIDR]],Tabela1[[#This Row],[SOMA_TETO]],Tabela1[[#This Row],[SOMA_BANCADA]],Tabela1[[#This Row],[SOMA_PEDRAS]])</f>
        <v>4290</v>
      </c>
      <c r="CB61" s="27" t="str">
        <f>IF(CA61&lt;=RÉGUAS!$D$4,"ACAB 01",IF(CA61&lt;=RÉGUAS!$F$4,"ACAB 02",IF(CA61&gt;RÉGUAS!$F$4,"ACAB 03",)))</f>
        <v>ACAB 02</v>
      </c>
      <c r="CC61" s="26">
        <f>SUM(Tabela1[[#This Row],[SOMA_LZ 01]:[SOMA_LZ 10]])</f>
        <v>616.25000000000011</v>
      </c>
      <c r="CD61" s="22" t="str">
        <f>IF(CC61&lt;=RÉGUAS!$D$13,"LZ 01",IF(CC61&lt;=RÉGUAS!$F$13,"LZ 02",IF(CC61&lt;=RÉGUAS!$H$13,"LZ 03",IF(CC61&gt;RÉGUAS!$H$13,"LZ 04",))))</f>
        <v>LZ 01</v>
      </c>
      <c r="CE61" s="28">
        <f t="shared" si="8"/>
        <v>750</v>
      </c>
      <c r="CF61" s="22" t="str">
        <f>IF(CE61&lt;=RÉGUAS!$D$22,"TIP 01",IF(CE61&lt;=RÉGUAS!$F$22,"TIP 02",IF(CE61&gt;RÉGUAS!$F$22,"TIP 03",)))</f>
        <v>TIP 01</v>
      </c>
      <c r="CG61" s="28">
        <f t="shared" si="9"/>
        <v>1531.25</v>
      </c>
      <c r="CH61" s="22" t="str">
        <f>IF(CG61&lt;=RÉGUAS!$D$32,"VAGA 01",IF(CG61&lt;=RÉGUAS!$F$32,"VAGA 02",IF(CG61&gt;RÉGUAS!$F$32,"VAGA 03",)))</f>
        <v>VAGA 02</v>
      </c>
      <c r="CI61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61" s="85" t="str">
        <f>IF(AND(G61="BLOCO",CI61&lt;=RÉGUAS!$D$40),"ELEV 01",IF(AND(G61="BLOCO",CI61&gt;RÉGUAS!$D$40),"ELEV 02",IF(AND(G61="TORRE",CI61&lt;=RÉGUAS!$K$40),"ELEV 01",IF(AND(G61="TORRE",CI61&lt;=RÉGUAS!$M$40),"ELEV 02",IF(AND(G61="TORRE",CI61&gt;RÉGUAS!$M$40),"ELEV 03",)))))</f>
        <v>ELEV 01</v>
      </c>
      <c r="CK61" s="85">
        <f>SUM(Tabela1[[#This Row],[TOTAL  ACAB]],Tabela1[[#This Row],[TOTAL LAZER ]],Tabela1[[#This Row],[TOTAL TIPOLOGIA]],Tabela1[[#This Row],[TOTAL VAGA]],Tabela1[[#This Row],[TOTAL ELEVADOR]])</f>
        <v>7187.5</v>
      </c>
      <c r="CL61" s="72" t="str">
        <f>IF(AND(G61="BLOCO",CK61&lt;=RÉGUAS!$D$50),"ESSENCIAL",IF(AND(G61="BLOCO",CK61&lt;=RÉGUAS!$F$50),"ECO",IF(AND(G61="BLOCO",CK61&gt;RÉGUAS!$F$50),"BIO",IF(AND(G61="TORRE",CK61&lt;=RÉGUAS!$K$50),"ESSENCIAL",IF(AND(G61="TORRE",CK61&lt;=RÉGUAS!$M$50),"ECO",IF(AND(G61="TORRE",CK61&gt;RÉGUAS!$M$50),"BIO",))))))</f>
        <v>ESSENCIAL</v>
      </c>
      <c r="CM61" s="28" t="str">
        <f>IF(AND(G61="BLOCO",CK61&gt;=RÉGUAS!$D$51,CK61&lt;=RÉGUAS!$D$50),"ESSENCIAL-10%",IF(AND(G61="BLOCO",CK61&gt;RÉGUAS!$D$50,CK61&lt;=RÉGUAS!$E$51),"ECO+10%",IF(AND(G61="BLOCO",CK61&gt;=RÉGUAS!$F$51,CK61&lt;=RÉGUAS!$F$50),"ECO-10%",IF(AND(G61="BLOCO",CK61&gt;RÉGUAS!$F$50,CK61&lt;=RÉGUAS!$G$51),"BIO+10%",IF(AND(G61="TORRE",CK61&gt;=RÉGUAS!$K$51,CK61&lt;=RÉGUAS!$K$50),"ESSENCIAL-10%",IF(AND(G61="TORRE",CK61&gt;RÉGUAS!$K$50,CK61&lt;=RÉGUAS!$L$51),"ECO+10%",IF(AND(G61="TORRE",CK61&gt;=RÉGUAS!$M$51,CK61&lt;=RÉGUAS!$M$50),"ECO-10%",IF(AND(G61="TORRE",CK61&gt;RÉGUAS!$M$50,CK61&lt;=RÉGUAS!$N$51),"BIO+10%","-"))))))))</f>
        <v>-</v>
      </c>
      <c r="CN61" s="73">
        <f t="shared" si="10"/>
        <v>7187.5</v>
      </c>
      <c r="CO61" s="72" t="str">
        <f>IF(CN61&lt;=RÉGUAS!$D$58,"ESSENCIAL",IF(CN61&lt;=RÉGUAS!$F$58,"ECO",IF(CN61&gt;RÉGUAS!$F$58,"BIO",)))</f>
        <v>ECO</v>
      </c>
      <c r="CP61" s="72" t="str">
        <f>IF(Tabela1[[#This Row],[INTERVALO DE INTERSEÇÃO 5D]]="-",Tabela1[[#This Row],[CLASSIFICAÇÃO 
5D ]],Tabela1[[#This Row],[CLASSIFICAÇÃO 
4D]])</f>
        <v>ESSENCIAL</v>
      </c>
      <c r="CQ61" s="72" t="str">
        <f t="shared" si="11"/>
        <v>-</v>
      </c>
      <c r="CR61" s="72" t="str">
        <f t="shared" si="12"/>
        <v>ESSENCIAL</v>
      </c>
      <c r="CS61" s="22" t="str">
        <f>IF(Tabela1[[#This Row],[PRODUTO ATUAL ]]=Tabela1[[#This Row],[CLASSIFICAÇÃO FINAL 5D]],"ADERÊNTE","NÃO ADERÊNTE")</f>
        <v>NÃO ADERÊNTE</v>
      </c>
      <c r="CT61" s="24">
        <f>SUM(Tabela1[[#This Row],[TOTAL  ACAB]],Tabela1[[#This Row],[TOTAL LAZER ]],Tabela1[[#This Row],[TOTAL TIPOLOGIA]],Tabela1[[#This Row],[TOTAL VAGA]])</f>
        <v>7187.5</v>
      </c>
      <c r="CU61" s="22" t="str">
        <f>IF(CT61&lt;=RÉGUAS!$D$58,"ESSENCIAL",IF(CT61&lt;=RÉGUAS!$F$58,"ECO",IF(CT61&gt;RÉGUAS!$F$58,"BIO",)))</f>
        <v>ECO</v>
      </c>
      <c r="CV61" s="22" t="str">
        <f>IF(AND(CT61&gt;=RÉGUAS!$D$59,CT61&lt;=RÉGUAS!$E$59),"ESSENCIAL/ECO",IF(AND(CT61&gt;=RÉGUAS!$F$59,CT61&lt;=RÉGUAS!$G$59),"ECO/BIO","-"))</f>
        <v>ESSENCIAL/ECO</v>
      </c>
      <c r="CW61" s="85">
        <f>SUM(Tabela1[[#This Row],[TOTAL LAZER ]],Tabela1[[#This Row],[TOTAL TIPOLOGIA]])</f>
        <v>1366.25</v>
      </c>
      <c r="CX61" s="22" t="str">
        <f>IF(CW61&lt;=RÉGUAS!$D$72,"ESSENCIAL",IF(CW61&lt;=RÉGUAS!$F$72,"ECO",IF(CN61&gt;RÉGUAS!$F$72,"BIO",)))</f>
        <v>ESSENCIAL</v>
      </c>
      <c r="CY61" s="22" t="str">
        <f t="shared" si="13"/>
        <v>ESSENCIAL</v>
      </c>
      <c r="CZ61" s="22" t="str">
        <f>IF(Tabela1[[#This Row],[PRODUTO ATUAL ]]=CY61,"ADERENTE","NÃO ADERENTE")</f>
        <v>NÃO ADERENTE</v>
      </c>
      <c r="DA61" s="22" t="str">
        <f>IF(Tabela1[[#This Row],[PRODUTO ATUAL ]]=Tabela1[[#This Row],[CLASSIFICAÇÃO 
4D2]],"ADERENTE","NÃO ADERENTE")</f>
        <v>ADERENTE</v>
      </c>
    </row>
    <row r="62" spans="2:105" hidden="1" x14ac:dyDescent="0.35">
      <c r="B62" s="27">
        <v>68</v>
      </c>
      <c r="C62" s="22" t="s">
        <v>187</v>
      </c>
      <c r="D62" s="22" t="s">
        <v>154</v>
      </c>
      <c r="E62" s="128">
        <v>176</v>
      </c>
      <c r="F62" s="22" t="str">
        <f t="shared" si="7"/>
        <v>Até 200 und</v>
      </c>
      <c r="G62" s="22" t="s">
        <v>1</v>
      </c>
      <c r="H62" s="129">
        <v>11</v>
      </c>
      <c r="I62" s="36">
        <v>4</v>
      </c>
      <c r="J62" s="36"/>
      <c r="K62" s="36"/>
      <c r="L62" s="36">
        <f>SUM(Tabela1[[#This Row],[QTD DE B/T 2]],Tabela1[[#This Row],[QTD DE B/T]])</f>
        <v>11</v>
      </c>
      <c r="M62" s="22">
        <v>0</v>
      </c>
      <c r="N62" s="22">
        <f>Tabela1[[#This Row],[ELEVADOR]]/Tabela1[[#This Row],[BLOCO TOTAL]]</f>
        <v>0</v>
      </c>
      <c r="O62" s="22" t="s">
        <v>5</v>
      </c>
      <c r="P62" s="76" t="s">
        <v>101</v>
      </c>
      <c r="Q62" s="76" t="s">
        <v>101</v>
      </c>
      <c r="R62" s="76" t="s">
        <v>142</v>
      </c>
      <c r="S62" s="76" t="s">
        <v>103</v>
      </c>
      <c r="T62" s="76" t="s">
        <v>104</v>
      </c>
      <c r="U62" s="76" t="s">
        <v>105</v>
      </c>
      <c r="V62" s="22" t="s">
        <v>106</v>
      </c>
      <c r="W62" s="24">
        <f>IF(P62=[1]BD_CUSTO!$E$4,[1]BD_CUSTO!$F$4,[1]BD_CUSTO!$F$5)</f>
        <v>2430</v>
      </c>
      <c r="X62" s="24">
        <f>IF(Q62=[1]BD_CUSTO!$E$6,[1]BD_CUSTO!$F$6,[1]BD_CUSTO!$F$7)</f>
        <v>260</v>
      </c>
      <c r="Y62" s="24">
        <f>IF(R62=[1]BD_CUSTO!$E$8,[1]BD_CUSTO!$F$8,[1]BD_CUSTO!$F$9)</f>
        <v>900</v>
      </c>
      <c r="Z62" s="24">
        <f>IF(S62=[1]BD_CUSTO!$E$10,[1]BD_CUSTO!$F$10,[1]BD_CUSTO!$F$11)</f>
        <v>500</v>
      </c>
      <c r="AA62" s="24">
        <f>IF(T62=[1]BD_CUSTO!$E$12,[1]BD_CUSTO!$F$12,[1]BD_CUSTO!$F$13)</f>
        <v>370</v>
      </c>
      <c r="AB62" s="24">
        <f>IF(U62=[1]BD_CUSTO!$E$14,[1]BD_CUSTO!$F$14,[1]BD_CUSTO!$F$15)</f>
        <v>90</v>
      </c>
      <c r="AC62" s="24">
        <f>IF(V62=[1]BD_CUSTO!$E$16,[1]BD_CUSTO!$F$16,[1]BD_CUSTO!$F$17)</f>
        <v>720</v>
      </c>
      <c r="AD62" s="76" t="s">
        <v>110</v>
      </c>
      <c r="AE62" s="76">
        <v>1</v>
      </c>
      <c r="AF62" s="76" t="s">
        <v>107</v>
      </c>
      <c r="AG62" s="76">
        <v>1</v>
      </c>
      <c r="AH62" s="76" t="s">
        <v>108</v>
      </c>
      <c r="AI62" s="76">
        <v>1</v>
      </c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4">
        <f>IF(AD62="",0,VLOOKUP(AD62,[1]BD_CUSTO!I:J,2,0)*AE62/E62)</f>
        <v>30.113636363636363</v>
      </c>
      <c r="AY62" s="24">
        <f>IF(AF62="",0,VLOOKUP(AF62,[1]BD_CUSTO!I:J,2,0)*AG62/E62)</f>
        <v>483.80181818181813</v>
      </c>
      <c r="AZ62" s="24">
        <f>IF(AH62="",0,VLOOKUP(AH62,[1]BD_CUSTO!I:J,2,0)*AI62/E62)</f>
        <v>131.53409090909091</v>
      </c>
      <c r="BA62" s="24">
        <f>IF(AJ62="",0,VLOOKUP(AJ62,[1]BD_CUSTO!I:J,2,0)*AK62/E62)</f>
        <v>0</v>
      </c>
      <c r="BB62" s="24">
        <f>IF(AL62="",0,VLOOKUP(AL62,[1]BD_CUSTO!I:J,2,0)*AM62/E62)</f>
        <v>0</v>
      </c>
      <c r="BC62" s="24">
        <f>IF(AN62="",0,VLOOKUP(AN62,[1]BD_CUSTO!I:J,2,0)*AO62/E62)</f>
        <v>0</v>
      </c>
      <c r="BD62" s="24">
        <f>IF(AP62="",0,VLOOKUP(AP62,[1]BD_CUSTO!I:J,2,0)*AQ62/E62)</f>
        <v>0</v>
      </c>
      <c r="BE62" s="24">
        <f>IF(AR62="",0,VLOOKUP(AR62,CUSTO!I:J,2,0)*AS62/E62)</f>
        <v>0</v>
      </c>
      <c r="BF62" s="24">
        <f>IF(AT62="",0,VLOOKUP(AT62,[1]BD_CUSTO!I:J,2,0)*AU62/E62)</f>
        <v>0</v>
      </c>
      <c r="BG62" s="24">
        <f>IF(Tabela1[[#This Row],[LZ 10]]="",0,VLOOKUP(Tabela1[[#This Row],[LZ 10]],[1]BD_CUSTO!I:J,2,0)*Tabela1[[#This Row],[QTD922]]/E62)</f>
        <v>0</v>
      </c>
      <c r="BH62" s="76" t="s">
        <v>112</v>
      </c>
      <c r="BI62" s="127">
        <f>66/Tabela1[[#This Row],[Nº UNDS]]</f>
        <v>0.375</v>
      </c>
      <c r="BJ62" s="76" t="s">
        <v>113</v>
      </c>
      <c r="BK62" s="127">
        <v>0</v>
      </c>
      <c r="BL62" s="24">
        <f>IF(BH62=[1]BD_CUSTO!$M$6,[1]BD_CUSTO!$N$6)*BI62</f>
        <v>1125</v>
      </c>
      <c r="BM62" s="24">
        <f>IF(BJ62=[1]BD_CUSTO!$M$4,[1]BD_CUSTO!$N$4,[1]BD_CUSTO!$N$5)*BK62</f>
        <v>0</v>
      </c>
      <c r="BN62" s="76" t="s">
        <v>114</v>
      </c>
      <c r="BO62" s="76">
        <v>145</v>
      </c>
      <c r="BP62" s="25">
        <f>Tabela1[[#This Row],[QTD ]]/Tabela1[[#This Row],[Nº UNDS]]</f>
        <v>0.82386363636363635</v>
      </c>
      <c r="BQ62" s="22" t="s">
        <v>115</v>
      </c>
      <c r="BR62" s="22">
        <v>0</v>
      </c>
      <c r="BS62" s="22" t="s">
        <v>116</v>
      </c>
      <c r="BT62" s="22">
        <v>0</v>
      </c>
      <c r="BU62" s="22" t="s">
        <v>16</v>
      </c>
      <c r="BV62" s="22">
        <v>0</v>
      </c>
      <c r="BW62" s="24">
        <f>IF(BN62=[1]BD_CUSTO!$Q$7,[1]BD_CUSTO!$R$7,[1]BD_CUSTO!$R$8)*BO62/E62</f>
        <v>1647.7272727272727</v>
      </c>
      <c r="BX62" s="24">
        <f>IF(BQ62=[1]BD_CUSTO!$Q$4,[1]BD_CUSTO!$R$4,[1]BD_CUSTO!$R$5)*BR62/E62</f>
        <v>0</v>
      </c>
      <c r="BY62" s="22">
        <f>IF(BS62=[1]BD_CUSTO!$Q$13,[1]BD_CUSTO!$R$13,[1]BD_CUSTO!$R$14)*BT62/E62</f>
        <v>0</v>
      </c>
      <c r="BZ62" s="24">
        <f>BV62*CUSTO!$R$10/E62</f>
        <v>0</v>
      </c>
      <c r="CA62" s="26">
        <f>SUM(Tabela1[[#This Row],[SOMA_PISO SALA E QUARTO]],Tabela1[[#This Row],[SOMA_PAREDE HIDR]],Tabela1[[#This Row],[SOMA_TETO]],Tabela1[[#This Row],[SOMA_BANCADA]],Tabela1[[#This Row],[SOMA_PEDRAS]])</f>
        <v>4290</v>
      </c>
      <c r="CB62" s="27" t="str">
        <f>IF(CA62&lt;=RÉGUAS!$D$4,"ACAB 01",IF(CA62&lt;=RÉGUAS!$F$4,"ACAB 02",IF(CA62&gt;RÉGUAS!$F$4,"ACAB 03",)))</f>
        <v>ACAB 02</v>
      </c>
      <c r="CC62" s="26">
        <f>SUM(Tabela1[[#This Row],[SOMA_LZ 01]:[SOMA_LZ 10]])</f>
        <v>645.44954545454539</v>
      </c>
      <c r="CD62" s="22" t="str">
        <f>IF(CC62&lt;=RÉGUAS!$D$13,"LZ 01",IF(CC62&lt;=RÉGUAS!$F$13,"LZ 02",IF(CC62&lt;=RÉGUAS!$H$13,"LZ 03",IF(CC62&gt;RÉGUAS!$H$13,"LZ 04",))))</f>
        <v>LZ 01</v>
      </c>
      <c r="CE62" s="28">
        <f t="shared" si="8"/>
        <v>1125</v>
      </c>
      <c r="CF62" s="22" t="str">
        <f>IF(CE62&lt;=RÉGUAS!$D$22,"TIP 01",IF(CE62&lt;=RÉGUAS!$F$22,"TIP 02",IF(CE62&gt;RÉGUAS!$F$22,"TIP 03",)))</f>
        <v>TIP 01</v>
      </c>
      <c r="CG62" s="28">
        <f t="shared" si="9"/>
        <v>1647.7272727272727</v>
      </c>
      <c r="CH62" s="22" t="str">
        <f>IF(CG62&lt;=RÉGUAS!$D$32,"VAGA 01",IF(CG62&lt;=RÉGUAS!$F$32,"VAGA 02",IF(CG62&gt;RÉGUAS!$F$32,"VAGA 03",)))</f>
        <v>VAGA 02</v>
      </c>
      <c r="CI62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62" s="85" t="str">
        <f>IF(AND(G62="BLOCO",CI62&lt;=RÉGUAS!$D$40),"ELEV 01",IF(AND(G62="BLOCO",CI62&gt;RÉGUAS!$D$40),"ELEV 02",IF(AND(G62="TORRE",CI62&lt;=RÉGUAS!$K$40),"ELEV 01",IF(AND(G62="TORRE",CI62&lt;=RÉGUAS!$M$40),"ELEV 02",IF(AND(G62="TORRE",CI62&gt;RÉGUAS!$M$40),"ELEV 03",)))))</f>
        <v>ELEV 01</v>
      </c>
      <c r="CK62" s="85">
        <f>SUM(Tabela1[[#This Row],[TOTAL  ACAB]],Tabela1[[#This Row],[TOTAL LAZER ]],Tabela1[[#This Row],[TOTAL TIPOLOGIA]],Tabela1[[#This Row],[TOTAL VAGA]],Tabela1[[#This Row],[TOTAL ELEVADOR]])</f>
        <v>7708.1768181818179</v>
      </c>
      <c r="CL62" s="72" t="str">
        <f>IF(AND(G62="BLOCO",CK62&lt;=RÉGUAS!$D$50),"ESSENCIAL",IF(AND(G62="BLOCO",CK62&lt;=RÉGUAS!$F$50),"ECO",IF(AND(G62="BLOCO",CK62&gt;RÉGUAS!$F$50),"BIO",IF(AND(G62="TORRE",CK62&lt;=RÉGUAS!$K$50),"ESSENCIAL",IF(AND(G62="TORRE",CK62&lt;=RÉGUAS!$M$50),"ECO",IF(AND(G62="TORRE",CK62&gt;RÉGUAS!$M$50),"BIO",))))))</f>
        <v>ESSENCIAL</v>
      </c>
      <c r="CM62" s="28" t="str">
        <f>IF(AND(G62="BLOCO",CK62&gt;=RÉGUAS!$D$51,CK62&lt;=RÉGUAS!$D$50),"ESSENCIAL-10%",IF(AND(G62="BLOCO",CK62&gt;RÉGUAS!$D$50,CK62&lt;=RÉGUAS!$E$51),"ECO+10%",IF(AND(G62="BLOCO",CK62&gt;=RÉGUAS!$F$51,CK62&lt;=RÉGUAS!$F$50),"ECO-10%",IF(AND(G62="BLOCO",CK62&gt;RÉGUAS!$F$50,CK62&lt;=RÉGUAS!$G$51),"BIO+10%",IF(AND(G62="TORRE",CK62&gt;=RÉGUAS!$K$51,CK62&lt;=RÉGUAS!$K$50),"ESSENCIAL-10%",IF(AND(G62="TORRE",CK62&gt;RÉGUAS!$K$50,CK62&lt;=RÉGUAS!$L$51),"ECO+10%",IF(AND(G62="TORRE",CK62&gt;=RÉGUAS!$M$51,CK62&lt;=RÉGUAS!$M$50),"ECO-10%",IF(AND(G62="TORRE",CK62&gt;RÉGUAS!$M$50,CK62&lt;=RÉGUAS!$N$51),"BIO+10%","-"))))))))</f>
        <v>ESSENCIAL-10%</v>
      </c>
      <c r="CN62" s="73">
        <f t="shared" si="10"/>
        <v>7708.1768181818179</v>
      </c>
      <c r="CO62" s="72" t="str">
        <f>IF(CN62&lt;=RÉGUAS!$D$58,"ESSENCIAL",IF(CN62&lt;=RÉGUAS!$F$58,"ECO",IF(CN62&gt;RÉGUAS!$F$58,"BIO",)))</f>
        <v>ECO</v>
      </c>
      <c r="CP62" s="72" t="str">
        <f>IF(Tabela1[[#This Row],[INTERVALO DE INTERSEÇÃO 5D]]="-",Tabela1[[#This Row],[CLASSIFICAÇÃO 
5D ]],Tabela1[[#This Row],[CLASSIFICAÇÃO 
4D]])</f>
        <v>ECO</v>
      </c>
      <c r="CQ62" s="72" t="str">
        <f t="shared" si="11"/>
        <v>-</v>
      </c>
      <c r="CR62" s="72" t="str">
        <f t="shared" si="12"/>
        <v>ECO</v>
      </c>
      <c r="CS62" s="22" t="str">
        <f>IF(Tabela1[[#This Row],[PRODUTO ATUAL ]]=Tabela1[[#This Row],[CLASSIFICAÇÃO FINAL 5D]],"ADERÊNTE","NÃO ADERÊNTE")</f>
        <v>ADERÊNTE</v>
      </c>
      <c r="CT62" s="24">
        <f>SUM(Tabela1[[#This Row],[TOTAL  ACAB]],Tabela1[[#This Row],[TOTAL LAZER ]],Tabela1[[#This Row],[TOTAL TIPOLOGIA]],Tabela1[[#This Row],[TOTAL VAGA]])</f>
        <v>7708.1768181818179</v>
      </c>
      <c r="CU62" s="22" t="str">
        <f>IF(CT62&lt;=RÉGUAS!$D$58,"ESSENCIAL",IF(CT62&lt;=RÉGUAS!$F$58,"ECO",IF(CT62&gt;RÉGUAS!$F$58,"BIO",)))</f>
        <v>ECO</v>
      </c>
      <c r="CV62" s="22" t="str">
        <f>IF(AND(CT62&gt;=RÉGUAS!$D$59,CT62&lt;=RÉGUAS!$E$59),"ESSENCIAL/ECO",IF(AND(CT62&gt;=RÉGUAS!$F$59,CT62&lt;=RÉGUAS!$G$59),"ECO/BIO","-"))</f>
        <v>-</v>
      </c>
      <c r="CW62" s="85">
        <f>SUM(Tabela1[[#This Row],[TOTAL LAZER ]],Tabela1[[#This Row],[TOTAL TIPOLOGIA]])</f>
        <v>1770.4495454545454</v>
      </c>
      <c r="CX62" s="22" t="str">
        <f>IF(CW62&lt;=RÉGUAS!$D$72,"ESSENCIAL",IF(CW62&lt;=RÉGUAS!$F$72,"ECO",IF(CN62&gt;RÉGUAS!$F$72,"BIO",)))</f>
        <v>ESSENCIAL</v>
      </c>
      <c r="CY62" s="22" t="str">
        <f t="shared" si="13"/>
        <v>ECO</v>
      </c>
      <c r="CZ62" s="22" t="str">
        <f>IF(Tabela1[[#This Row],[PRODUTO ATUAL ]]=CY62,"ADERENTE","NÃO ADERENTE")</f>
        <v>ADERENTE</v>
      </c>
      <c r="DA62" s="22" t="str">
        <f>IF(Tabela1[[#This Row],[PRODUTO ATUAL ]]=Tabela1[[#This Row],[CLASSIFICAÇÃO 
4D2]],"ADERENTE","NÃO ADERENTE")</f>
        <v>ADERENTE</v>
      </c>
    </row>
    <row r="63" spans="2:105" hidden="1" x14ac:dyDescent="0.35">
      <c r="B63" s="27">
        <v>67</v>
      </c>
      <c r="C63" s="22" t="s">
        <v>191</v>
      </c>
      <c r="D63" s="22" t="s">
        <v>128</v>
      </c>
      <c r="E63" s="23">
        <v>384</v>
      </c>
      <c r="F63" s="22" t="str">
        <f t="shared" si="7"/>
        <v>De 200 a 400 und</v>
      </c>
      <c r="G63" s="22" t="s">
        <v>14</v>
      </c>
      <c r="H63" s="36">
        <v>2</v>
      </c>
      <c r="I63" s="36">
        <v>16</v>
      </c>
      <c r="J63" s="36"/>
      <c r="K63" s="36"/>
      <c r="L63" s="36">
        <f>SUM(Tabela1[[#This Row],[QTD DE B/T 2]],Tabela1[[#This Row],[QTD DE B/T]])</f>
        <v>2</v>
      </c>
      <c r="M63" s="22">
        <v>8</v>
      </c>
      <c r="N63" s="22">
        <f>Tabela1[[#This Row],[ELEVADOR]]/Tabela1[[#This Row],[BLOCO TOTAL]]</f>
        <v>4</v>
      </c>
      <c r="O63" s="22" t="s">
        <v>5</v>
      </c>
      <c r="P63" s="22" t="s">
        <v>101</v>
      </c>
      <c r="Q63" s="22" t="s">
        <v>101</v>
      </c>
      <c r="R63" s="22" t="s">
        <v>142</v>
      </c>
      <c r="S63" s="22" t="s">
        <v>103</v>
      </c>
      <c r="T63" s="22" t="s">
        <v>104</v>
      </c>
      <c r="U63" s="22" t="s">
        <v>105</v>
      </c>
      <c r="V63" s="22" t="s">
        <v>106</v>
      </c>
      <c r="W63" s="24">
        <f>IF(P63=[1]BD_CUSTO!$E$4,[1]BD_CUSTO!$F$4,[1]BD_CUSTO!$F$5)</f>
        <v>2430</v>
      </c>
      <c r="X63" s="24">
        <f>IF(Q63=[1]BD_CUSTO!$E$6,[1]BD_CUSTO!$F$6,[1]BD_CUSTO!$F$7)</f>
        <v>260</v>
      </c>
      <c r="Y63" s="24">
        <f>IF(R63=[1]BD_CUSTO!$E$8,[1]BD_CUSTO!$F$8,[1]BD_CUSTO!$F$9)</f>
        <v>900</v>
      </c>
      <c r="Z63" s="24">
        <f>IF(S63=[1]BD_CUSTO!$E$10,[1]BD_CUSTO!$F$10,[1]BD_CUSTO!$F$11)</f>
        <v>500</v>
      </c>
      <c r="AA63" s="24">
        <f>IF(T63=[1]BD_CUSTO!$E$12,[1]BD_CUSTO!$F$12,[1]BD_CUSTO!$F$13)</f>
        <v>370</v>
      </c>
      <c r="AB63" s="24">
        <f>IF(U63=[1]BD_CUSTO!$E$14,[1]BD_CUSTO!$F$14,[1]BD_CUSTO!$F$15)</f>
        <v>90</v>
      </c>
      <c r="AC63" s="24">
        <f>IF(V63=[1]BD_CUSTO!$E$16,[1]BD_CUSTO!$F$16,[1]BD_CUSTO!$F$17)</f>
        <v>720</v>
      </c>
      <c r="AD63" s="22" t="s">
        <v>110</v>
      </c>
      <c r="AE63" s="22">
        <v>1</v>
      </c>
      <c r="AF63" s="22" t="s">
        <v>108</v>
      </c>
      <c r="AG63" s="22">
        <v>1</v>
      </c>
      <c r="AH63" s="22" t="s">
        <v>121</v>
      </c>
      <c r="AI63" s="22">
        <v>1</v>
      </c>
      <c r="AJ63" s="22" t="s">
        <v>129</v>
      </c>
      <c r="AK63" s="22">
        <v>1</v>
      </c>
      <c r="AL63" s="22" t="s">
        <v>107</v>
      </c>
      <c r="AM63" s="22">
        <v>1</v>
      </c>
      <c r="AN63" s="22" t="s">
        <v>111</v>
      </c>
      <c r="AO63" s="22">
        <v>1</v>
      </c>
      <c r="AP63" s="22" t="s">
        <v>109</v>
      </c>
      <c r="AQ63" s="22">
        <v>1</v>
      </c>
      <c r="AR63" s="22"/>
      <c r="AS63" s="22"/>
      <c r="AT63" s="22"/>
      <c r="AU63" s="22"/>
      <c r="AV63" s="22"/>
      <c r="AW63" s="22"/>
      <c r="AX63" s="24">
        <f>IF(AD63="",0,VLOOKUP(AD63,[1]BD_CUSTO!I:J,2,0)*AE63/E63)</f>
        <v>13.802083333333334</v>
      </c>
      <c r="AY63" s="24">
        <f>IF(AF63="",0,VLOOKUP(AF63,[1]BD_CUSTO!I:J,2,0)*AG63/E63)</f>
        <v>60.286458333333336</v>
      </c>
      <c r="AZ63" s="24">
        <f>IF(AH63="",0,VLOOKUP(AH63,[1]BD_CUSTO!I:J,2,0)*AI63/E63)</f>
        <v>320.72109374999997</v>
      </c>
      <c r="BA63" s="24">
        <f>IF(AJ63="",0,VLOOKUP(AJ63,[1]BD_CUSTO!I:J,2,0)*AK63/E63)</f>
        <v>716.58223958333338</v>
      </c>
      <c r="BB63" s="24">
        <f>IF(AL63="",0,VLOOKUP(AL63,[1]BD_CUSTO!I:J,2,0)*AM63/E63)</f>
        <v>221.74249999999998</v>
      </c>
      <c r="BC63" s="24">
        <f>IF(AN63="",0,VLOOKUP(AN63,[1]BD_CUSTO!I:J,2,0)*AO63/E63)</f>
        <v>42.1875</v>
      </c>
      <c r="BD63" s="24">
        <f>IF(AP63="",0,VLOOKUP(AP63,[1]BD_CUSTO!I:J,2,0)*AQ63/E63)</f>
        <v>18.098958333333332</v>
      </c>
      <c r="BE63" s="24">
        <f>IF(AR63="",0,VLOOKUP(AR63,CUSTO!I:J,2,0)*AS63/E63)</f>
        <v>0</v>
      </c>
      <c r="BF63" s="24">
        <f>IF(AT63="",0,VLOOKUP(AT63,[1]BD_CUSTO!I:J,2,0)*AU63/E63)</f>
        <v>0</v>
      </c>
      <c r="BG63" s="24">
        <f>IF(Tabela1[[#This Row],[LZ 10]]="",0,VLOOKUP(Tabela1[[#This Row],[LZ 10]],[1]BD_CUSTO!I:J,2,0)*Tabela1[[#This Row],[QTD922]]/E63)</f>
        <v>0</v>
      </c>
      <c r="BH63" s="22" t="s">
        <v>112</v>
      </c>
      <c r="BI63" s="25">
        <f>240/Tabela1[[#This Row],[Nº UNDS]]</f>
        <v>0.625</v>
      </c>
      <c r="BJ63" s="22" t="s">
        <v>113</v>
      </c>
      <c r="BK63" s="25">
        <v>0</v>
      </c>
      <c r="BL63" s="24">
        <f>IF(BH63=[1]BD_CUSTO!$M$6,[1]BD_CUSTO!$N$6)*BI63</f>
        <v>1875</v>
      </c>
      <c r="BM63" s="24">
        <f>IF(BJ63=[1]BD_CUSTO!$M$4,[1]BD_CUSTO!$N$4,[1]BD_CUSTO!$N$5)*BK63</f>
        <v>0</v>
      </c>
      <c r="BN63" s="22" t="s">
        <v>114</v>
      </c>
      <c r="BO63" s="22">
        <f>409-82</f>
        <v>327</v>
      </c>
      <c r="BP63" s="25">
        <f>Tabela1[[#This Row],[QTD ]]/Tabela1[[#This Row],[Nº UNDS]]</f>
        <v>0.8515625</v>
      </c>
      <c r="BQ63" s="22" t="s">
        <v>123</v>
      </c>
      <c r="BR63" s="22">
        <v>82</v>
      </c>
      <c r="BS63" s="22" t="s">
        <v>116</v>
      </c>
      <c r="BT63" s="22">
        <v>0</v>
      </c>
      <c r="BU63" s="22" t="s">
        <v>16</v>
      </c>
      <c r="BV63" s="22">
        <v>0</v>
      </c>
      <c r="BW63" s="24">
        <f>IF(BN63=[1]BD_CUSTO!$Q$7,[1]BD_CUSTO!$R$7,[1]BD_CUSTO!$R$8)*BO63/E63</f>
        <v>1703.125</v>
      </c>
      <c r="BX63" s="24">
        <f>IF(BQ63=[1]BD_CUSTO!$Q$4,[1]BD_CUSTO!$R$4,[1]BD_CUSTO!$R$5)*BR63/E63</f>
        <v>213.54166666666666</v>
      </c>
      <c r="BY63" s="22">
        <f>IF(BS63=[1]BD_CUSTO!$Q$13,[1]BD_CUSTO!$R$13,[1]BD_CUSTO!$R$14)*BT63/E63</f>
        <v>0</v>
      </c>
      <c r="BZ63" s="24">
        <f>BV63*CUSTO!$R$10/E63</f>
        <v>0</v>
      </c>
      <c r="CA63" s="26">
        <f>SUM(Tabela1[[#This Row],[SOMA_PISO SALA E QUARTO]],Tabela1[[#This Row],[SOMA_PAREDE HIDR]],Tabela1[[#This Row],[SOMA_TETO]],Tabela1[[#This Row],[SOMA_BANCADA]],Tabela1[[#This Row],[SOMA_PEDRAS]])</f>
        <v>4290</v>
      </c>
      <c r="CB63" s="27" t="str">
        <f>IF(CA63&lt;=RÉGUAS!$D$4,"ACAB 01",IF(CA63&lt;=RÉGUAS!$F$4,"ACAB 02",IF(CA63&gt;RÉGUAS!$F$4,"ACAB 03",)))</f>
        <v>ACAB 02</v>
      </c>
      <c r="CC63" s="26">
        <f>SUM(Tabela1[[#This Row],[SOMA_LZ 01]:[SOMA_LZ 10]])</f>
        <v>1393.4208333333333</v>
      </c>
      <c r="CD63" s="22" t="str">
        <f>IF(CC63&lt;=RÉGUAS!$D$13,"LZ 01",IF(CC63&lt;=RÉGUAS!$F$13,"LZ 02",IF(CC63&lt;=RÉGUAS!$H$13,"LZ 03",IF(CC63&gt;RÉGUAS!$H$13,"LZ 04",))))</f>
        <v>LZ 02</v>
      </c>
      <c r="CE63" s="28">
        <f t="shared" si="8"/>
        <v>1875</v>
      </c>
      <c r="CF63" s="22" t="str">
        <f>IF(CE63&lt;=RÉGUAS!$D$22,"TIP 01",IF(CE63&lt;=RÉGUAS!$F$22,"TIP 02",IF(CE63&gt;RÉGUAS!$F$22,"TIP 03",)))</f>
        <v>TIP 02</v>
      </c>
      <c r="CG63" s="28">
        <f t="shared" si="9"/>
        <v>1916.6666666666667</v>
      </c>
      <c r="CH63" s="22" t="str">
        <f>IF(CG63&lt;=RÉGUAS!$D$32,"VAGA 01",IF(CG63&lt;=RÉGUAS!$F$32,"VAGA 02",IF(CG63&gt;RÉGUAS!$F$32,"VAGA 03",)))</f>
        <v>VAGA 02</v>
      </c>
      <c r="CI63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5593</v>
      </c>
      <c r="CJ63" s="85" t="str">
        <f>IF(AND(G63="BLOCO",CI63&lt;=RÉGUAS!$D$40),"ELEV 01",IF(AND(G63="BLOCO",CI63&gt;RÉGUAS!$D$40),"ELEV 02",IF(AND(G63="TORRE",CI63&lt;=RÉGUAS!$K$40),"ELEV 01",IF(AND(G63="TORRE",CI63&lt;=RÉGUAS!$M$40),"ELEV 02",IF(AND(G63="TORRE",CI63&gt;RÉGUAS!$M$40),"ELEV 03",)))))</f>
        <v>ELEV 03</v>
      </c>
      <c r="CK63" s="85">
        <f>SUM(Tabela1[[#This Row],[TOTAL  ACAB]],Tabela1[[#This Row],[TOTAL LAZER ]],Tabela1[[#This Row],[TOTAL TIPOLOGIA]],Tabela1[[#This Row],[TOTAL VAGA]],Tabela1[[#This Row],[TOTAL ELEVADOR]])</f>
        <v>15068.0875</v>
      </c>
      <c r="CL63" s="72" t="str">
        <f>IF(AND(G63="BLOCO",CK63&lt;=RÉGUAS!$D$50),"ESSENCIAL",IF(AND(G63="BLOCO",CK63&lt;=RÉGUAS!$F$50),"ECO",IF(AND(G63="BLOCO",CK63&gt;RÉGUAS!$F$50),"BIO",IF(AND(G63="TORRE",CK63&lt;=RÉGUAS!$K$50),"ESSENCIAL",IF(AND(G63="TORRE",CK63&lt;=RÉGUAS!$M$50),"ECO",IF(AND(G63="TORRE",CK63&gt;RÉGUAS!$M$50),"BIO",))))))</f>
        <v>BIO</v>
      </c>
      <c r="CM63" s="28" t="str">
        <f>IF(AND(G63="BLOCO",CK63&gt;=RÉGUAS!$D$51,CK63&lt;=RÉGUAS!$D$50),"ESSENCIAL-10%",IF(AND(G63="BLOCO",CK63&gt;RÉGUAS!$D$50,CK63&lt;=RÉGUAS!$E$51),"ECO+10%",IF(AND(G63="BLOCO",CK63&gt;=RÉGUAS!$F$51,CK63&lt;=RÉGUAS!$F$50),"ECO-10%",IF(AND(G63="BLOCO",CK63&gt;RÉGUAS!$F$50,CK63&lt;=RÉGUAS!$G$51),"BIO+10%",IF(AND(G63="TORRE",CK63&gt;=RÉGUAS!$K$51,CK63&lt;=RÉGUAS!$K$50),"ESSENCIAL-10%",IF(AND(G63="TORRE",CK63&gt;RÉGUAS!$K$50,CK63&lt;=RÉGUAS!$L$51),"ECO+10%",IF(AND(G63="TORRE",CK63&gt;=RÉGUAS!$M$51,CK63&lt;=RÉGUAS!$M$50),"ECO-10%",IF(AND(G63="TORRE",CK63&gt;RÉGUAS!$M$50,CK63&lt;=RÉGUAS!$N$51),"BIO+10%","-"))))))))</f>
        <v>BIO+10%</v>
      </c>
      <c r="CN63" s="73">
        <f t="shared" si="10"/>
        <v>9475.0874999999996</v>
      </c>
      <c r="CO63" s="72" t="str">
        <f>IF(CN63&lt;=RÉGUAS!$D$58,"ESSENCIAL",IF(CN63&lt;=RÉGUAS!$F$58,"ECO",IF(CN63&gt;RÉGUAS!$F$58,"BIO",)))</f>
        <v>ECO</v>
      </c>
      <c r="CP63" s="72" t="str">
        <f>IF(Tabela1[[#This Row],[INTERVALO DE INTERSEÇÃO 5D]]="-",Tabela1[[#This Row],[CLASSIFICAÇÃO 
5D ]],Tabela1[[#This Row],[CLASSIFICAÇÃO 
4D]])</f>
        <v>ECO</v>
      </c>
      <c r="CQ63" s="72" t="str">
        <f t="shared" si="11"/>
        <v>-</v>
      </c>
      <c r="CR63" s="72" t="str">
        <f t="shared" si="12"/>
        <v>ECO</v>
      </c>
      <c r="CS63" s="22" t="str">
        <f>IF(Tabela1[[#This Row],[PRODUTO ATUAL ]]=Tabela1[[#This Row],[CLASSIFICAÇÃO FINAL 5D]],"ADERÊNTE","NÃO ADERÊNTE")</f>
        <v>ADERÊNTE</v>
      </c>
      <c r="CT63" s="24">
        <f>SUM(Tabela1[[#This Row],[TOTAL  ACAB]],Tabela1[[#This Row],[TOTAL LAZER ]],Tabela1[[#This Row],[TOTAL TIPOLOGIA]],Tabela1[[#This Row],[TOTAL VAGA]])</f>
        <v>9475.0874999999996</v>
      </c>
      <c r="CU63" s="22" t="str">
        <f>IF(CT63&lt;=RÉGUAS!$D$58,"ESSENCIAL",IF(CT63&lt;=RÉGUAS!$F$58,"ECO",IF(CT63&gt;RÉGUAS!$F$58,"BIO",)))</f>
        <v>ECO</v>
      </c>
      <c r="CV63" s="22" t="str">
        <f>IF(AND(CT63&gt;=RÉGUAS!$D$59,CT63&lt;=RÉGUAS!$E$59),"ESSENCIAL/ECO",IF(AND(CT63&gt;=RÉGUAS!$F$59,CT63&lt;=RÉGUAS!$G$59),"ECO/BIO","-"))</f>
        <v>-</v>
      </c>
      <c r="CW63" s="85">
        <f>SUM(Tabela1[[#This Row],[TOTAL LAZER ]],Tabela1[[#This Row],[TOTAL TIPOLOGIA]])</f>
        <v>3268.4208333333336</v>
      </c>
      <c r="CX63" s="22" t="str">
        <f>IF(CW63&lt;=RÉGUAS!$D$72,"ESSENCIAL",IF(CW63&lt;=RÉGUAS!$F$72,"ECO",IF(CN63&gt;RÉGUAS!$F$72,"BIO",)))</f>
        <v>ECO</v>
      </c>
      <c r="CY63" s="22" t="str">
        <f t="shared" si="13"/>
        <v>ECO</v>
      </c>
      <c r="CZ63" s="22" t="str">
        <f>IF(Tabela1[[#This Row],[PRODUTO ATUAL ]]=CY63,"ADERENTE","NÃO ADERENTE")</f>
        <v>ADERENTE</v>
      </c>
      <c r="DA63" s="22" t="str">
        <f>IF(Tabela1[[#This Row],[PRODUTO ATUAL ]]=Tabela1[[#This Row],[CLASSIFICAÇÃO 
4D2]],"ADERENTE","NÃO ADERENTE")</f>
        <v>ADERENTE</v>
      </c>
    </row>
    <row r="64" spans="2:105" hidden="1" x14ac:dyDescent="0.35">
      <c r="B64" s="27">
        <v>81</v>
      </c>
      <c r="C64" s="22" t="s">
        <v>233</v>
      </c>
      <c r="D64" s="22" t="s">
        <v>128</v>
      </c>
      <c r="E64" s="23">
        <v>372</v>
      </c>
      <c r="F64" s="22" t="str">
        <f t="shared" si="7"/>
        <v>De 200 a 400 und</v>
      </c>
      <c r="G64" s="22" t="s">
        <v>14</v>
      </c>
      <c r="H64" s="36">
        <v>2</v>
      </c>
      <c r="I64" s="36">
        <v>16</v>
      </c>
      <c r="J64" s="36"/>
      <c r="K64" s="36"/>
      <c r="L64" s="36">
        <f>SUM(Tabela1[[#This Row],[QTD DE B/T 2]],Tabela1[[#This Row],[QTD DE B/T]])</f>
        <v>2</v>
      </c>
      <c r="M64" s="22">
        <v>6</v>
      </c>
      <c r="N64" s="22">
        <f>Tabela1[[#This Row],[ELEVADOR]]/Tabela1[[#This Row],[BLOCO TOTAL]]</f>
        <v>3</v>
      </c>
      <c r="O64" s="22" t="s">
        <v>5</v>
      </c>
      <c r="P64" s="22" t="s">
        <v>101</v>
      </c>
      <c r="Q64" s="22" t="s">
        <v>101</v>
      </c>
      <c r="R64" s="22" t="s">
        <v>142</v>
      </c>
      <c r="S64" s="22" t="s">
        <v>103</v>
      </c>
      <c r="T64" s="22" t="s">
        <v>104</v>
      </c>
      <c r="U64" s="22" t="s">
        <v>105</v>
      </c>
      <c r="V64" s="22" t="s">
        <v>106</v>
      </c>
      <c r="W64" s="24">
        <f>IF(P64=[1]BD_CUSTO!$E$4,[1]BD_CUSTO!$F$4,[1]BD_CUSTO!$F$5)</f>
        <v>2430</v>
      </c>
      <c r="X64" s="24">
        <f>IF(Q64=[1]BD_CUSTO!$E$6,[1]BD_CUSTO!$F$6,[1]BD_CUSTO!$F$7)</f>
        <v>260</v>
      </c>
      <c r="Y64" s="24">
        <f>IF(R64=[1]BD_CUSTO!$E$8,[1]BD_CUSTO!$F$8,[1]BD_CUSTO!$F$9)</f>
        <v>900</v>
      </c>
      <c r="Z64" s="24">
        <f>IF(S64=[1]BD_CUSTO!$E$10,[1]BD_CUSTO!$F$10,[1]BD_CUSTO!$F$11)</f>
        <v>500</v>
      </c>
      <c r="AA64" s="24">
        <f>IF(T64=[1]BD_CUSTO!$E$12,[1]BD_CUSTO!$F$12,[1]BD_CUSTO!$F$13)</f>
        <v>370</v>
      </c>
      <c r="AB64" s="24">
        <f>IF(U64=[1]BD_CUSTO!$E$14,[1]BD_CUSTO!$F$14,[1]BD_CUSTO!$F$15)</f>
        <v>90</v>
      </c>
      <c r="AC64" s="24">
        <f>IF(V64=[1]BD_CUSTO!$E$16,[1]BD_CUSTO!$F$16,[1]BD_CUSTO!$F$17)</f>
        <v>720</v>
      </c>
      <c r="AD64" s="22" t="s">
        <v>129</v>
      </c>
      <c r="AE64" s="22">
        <v>1</v>
      </c>
      <c r="AF64" s="22" t="s">
        <v>108</v>
      </c>
      <c r="AG64" s="22">
        <v>1</v>
      </c>
      <c r="AH64" s="22" t="s">
        <v>121</v>
      </c>
      <c r="AI64" s="22">
        <v>1</v>
      </c>
      <c r="AJ64" s="22" t="s">
        <v>107</v>
      </c>
      <c r="AK64" s="22">
        <v>1</v>
      </c>
      <c r="AL64" s="22" t="s">
        <v>110</v>
      </c>
      <c r="AM64" s="22">
        <v>1</v>
      </c>
      <c r="AN64" s="22" t="s">
        <v>109</v>
      </c>
      <c r="AO64" s="22">
        <v>1</v>
      </c>
      <c r="AP64" s="22"/>
      <c r="AQ64" s="22"/>
      <c r="AR64" s="22"/>
      <c r="AS64" s="22"/>
      <c r="AT64" s="22"/>
      <c r="AU64" s="22"/>
      <c r="AV64" s="22"/>
      <c r="AW64" s="22"/>
      <c r="AX64" s="24">
        <f>IF(AD64="",0,VLOOKUP(AD64,[1]BD_CUSTO!I:J,2,0)*AE64/E64)</f>
        <v>739.69779569892478</v>
      </c>
      <c r="AY64" s="24">
        <f>IF(AF64="",0,VLOOKUP(AF64,[1]BD_CUSTO!I:J,2,0)*AG64/E64)</f>
        <v>62.231182795698928</v>
      </c>
      <c r="AZ64" s="24">
        <f>IF(AH64="",0,VLOOKUP(AH64,[1]BD_CUSTO!I:J,2,0)*AI64/E64)</f>
        <v>331.06693548387096</v>
      </c>
      <c r="BA64" s="24">
        <f>IF(AJ64="",0,VLOOKUP(AJ64,[1]BD_CUSTO!I:J,2,0)*AK64/E64)</f>
        <v>228.89548387096772</v>
      </c>
      <c r="BB64" s="24">
        <f>IF(AL64="",0,VLOOKUP(AL64,[1]BD_CUSTO!I:J,2,0)*AM64/E64)</f>
        <v>14.24731182795699</v>
      </c>
      <c r="BC64" s="24">
        <f>IF(AN64="",0,VLOOKUP(AN64,[1]BD_CUSTO!I:J,2,0)*AO64/E64)</f>
        <v>18.682795698924732</v>
      </c>
      <c r="BD64" s="24">
        <f>IF(AP64="",0,VLOOKUP(AP64,[1]BD_CUSTO!I:J,2,0)*AQ64/E64)</f>
        <v>0</v>
      </c>
      <c r="BE64" s="24">
        <f>IF(AR64="",0,VLOOKUP(AR64,CUSTO!I:J,2,0)*AS64/E64)</f>
        <v>0</v>
      </c>
      <c r="BF64" s="24">
        <f>IF(AT64="",0,VLOOKUP(AT64,[1]BD_CUSTO!I:J,2,0)*AU64/E64)</f>
        <v>0</v>
      </c>
      <c r="BG64" s="24">
        <f>IF(Tabela1[[#This Row],[LZ 10]]="",0,VLOOKUP(Tabela1[[#This Row],[LZ 10]],[1]BD_CUSTO!I:J,2,0)*Tabela1[[#This Row],[QTD922]]/E64)</f>
        <v>0</v>
      </c>
      <c r="BH64" s="22" t="s">
        <v>112</v>
      </c>
      <c r="BI64" s="25">
        <f>232/Tabela1[[#This Row],[Nº UNDS]]</f>
        <v>0.62365591397849462</v>
      </c>
      <c r="BJ64" s="22" t="s">
        <v>113</v>
      </c>
      <c r="BK64" s="25">
        <v>0</v>
      </c>
      <c r="BL64" s="24">
        <f>IF(BH64=[1]BD_CUSTO!$M$6,[1]BD_CUSTO!$N$6)*BI64</f>
        <v>1870.9677419354839</v>
      </c>
      <c r="BM64" s="24">
        <f>IF(BJ64=[1]BD_CUSTO!$M$4,[1]BD_CUSTO!$N$4,[1]BD_CUSTO!$N$5)*BK64</f>
        <v>0</v>
      </c>
      <c r="BN64" s="22" t="s">
        <v>114</v>
      </c>
      <c r="BO64" s="22">
        <f>387-37</f>
        <v>350</v>
      </c>
      <c r="BP64" s="25">
        <f>Tabela1[[#This Row],[QTD ]]/Tabela1[[#This Row],[Nº UNDS]]</f>
        <v>0.94086021505376349</v>
      </c>
      <c r="BQ64" s="22" t="s">
        <v>123</v>
      </c>
      <c r="BR64" s="22">
        <v>37</v>
      </c>
      <c r="BS64" s="22" t="s">
        <v>116</v>
      </c>
      <c r="BT64" s="22">
        <v>0</v>
      </c>
      <c r="BU64" s="22" t="s">
        <v>16</v>
      </c>
      <c r="BV64" s="22">
        <v>0</v>
      </c>
      <c r="BW64" s="24">
        <f>IF(BN64=[1]BD_CUSTO!$Q$7,[1]BD_CUSTO!$R$7,[1]BD_CUSTO!$R$8)*BO64/E64</f>
        <v>1881.7204301075269</v>
      </c>
      <c r="BX64" s="24">
        <f>IF(BQ64=[1]BD_CUSTO!$Q$4,[1]BD_CUSTO!$R$4,[1]BD_CUSTO!$R$5)*BR64/E64</f>
        <v>99.462365591397855</v>
      </c>
      <c r="BY64" s="22">
        <f>IF(BS64=[1]BD_CUSTO!$Q$13,[1]BD_CUSTO!$R$13,[1]BD_CUSTO!$R$14)*BT64/E64</f>
        <v>0</v>
      </c>
      <c r="BZ64" s="24">
        <f>BV64*CUSTO!$R$10/E64</f>
        <v>0</v>
      </c>
      <c r="CA64" s="26">
        <f>SUM(Tabela1[[#This Row],[SOMA_PISO SALA E QUARTO]],Tabela1[[#This Row],[SOMA_PAREDE HIDR]],Tabela1[[#This Row],[SOMA_TETO]],Tabela1[[#This Row],[SOMA_BANCADA]],Tabela1[[#This Row],[SOMA_PEDRAS]])</f>
        <v>4290</v>
      </c>
      <c r="CB64" s="27" t="str">
        <f>IF(CA64&lt;=RÉGUAS!$D$4,"ACAB 01",IF(CA64&lt;=RÉGUAS!$F$4,"ACAB 02",IF(CA64&gt;RÉGUAS!$F$4,"ACAB 03",)))</f>
        <v>ACAB 02</v>
      </c>
      <c r="CC64" s="26">
        <f>SUM(Tabela1[[#This Row],[SOMA_LZ 01]:[SOMA_LZ 10]])</f>
        <v>1394.8215053763442</v>
      </c>
      <c r="CD64" s="22" t="str">
        <f>IF(CC64&lt;=RÉGUAS!$D$13,"LZ 01",IF(CC64&lt;=RÉGUAS!$F$13,"LZ 02",IF(CC64&lt;=RÉGUAS!$H$13,"LZ 03",IF(CC64&gt;RÉGUAS!$H$13,"LZ 04",))))</f>
        <v>LZ 02</v>
      </c>
      <c r="CE64" s="28">
        <f t="shared" si="8"/>
        <v>1870.9677419354839</v>
      </c>
      <c r="CF64" s="22" t="str">
        <f>IF(CE64&lt;=RÉGUAS!$D$22,"TIP 01",IF(CE64&lt;=RÉGUAS!$F$22,"TIP 02",IF(CE64&gt;RÉGUAS!$F$22,"TIP 03",)))</f>
        <v>TIP 02</v>
      </c>
      <c r="CG64" s="28">
        <f t="shared" si="9"/>
        <v>1981.1827956989248</v>
      </c>
      <c r="CH64" s="22" t="str">
        <f>IF(CG64&lt;=RÉGUAS!$D$32,"VAGA 01",IF(CG64&lt;=RÉGUAS!$F$32,"VAGA 02",IF(CG64&gt;RÉGUAS!$F$32,"VAGA 03",)))</f>
        <v>VAGA 02</v>
      </c>
      <c r="CI64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4330.0645161290322</v>
      </c>
      <c r="CJ64" s="85" t="str">
        <f>IF(AND(G64="BLOCO",CI64&lt;=RÉGUAS!$D$40),"ELEV 01",IF(AND(G64="BLOCO",CI64&gt;RÉGUAS!$D$40),"ELEV 02",IF(AND(G64="TORRE",CI64&lt;=RÉGUAS!$K$40),"ELEV 01",IF(AND(G64="TORRE",CI64&lt;=RÉGUAS!$M$40),"ELEV 02",IF(AND(G64="TORRE",CI64&gt;RÉGUAS!$M$40),"ELEV 03",)))))</f>
        <v>ELEV 03</v>
      </c>
      <c r="CK64" s="85">
        <f>SUM(Tabela1[[#This Row],[TOTAL  ACAB]],Tabela1[[#This Row],[TOTAL LAZER ]],Tabela1[[#This Row],[TOTAL TIPOLOGIA]],Tabela1[[#This Row],[TOTAL VAGA]],Tabela1[[#This Row],[TOTAL ELEVADOR]])</f>
        <v>13867.036559139786</v>
      </c>
      <c r="CL64" s="72" t="str">
        <f>IF(AND(G64="BLOCO",CK64&lt;=RÉGUAS!$D$50),"ESSENCIAL",IF(AND(G64="BLOCO",CK64&lt;=RÉGUAS!$F$50),"ECO",IF(AND(G64="BLOCO",CK64&gt;RÉGUAS!$F$50),"BIO",IF(AND(G64="TORRE",CK64&lt;=RÉGUAS!$K$50),"ESSENCIAL",IF(AND(G64="TORRE",CK64&lt;=RÉGUAS!$M$50),"ECO",IF(AND(G64="TORRE",CK64&gt;RÉGUAS!$M$50),"BIO",))))))</f>
        <v>ECO</v>
      </c>
      <c r="CM64" s="28" t="str">
        <f>IF(AND(G64="BLOCO",CK64&gt;=RÉGUAS!$D$51,CK64&lt;=RÉGUAS!$D$50),"ESSENCIAL-10%",IF(AND(G64="BLOCO",CK64&gt;RÉGUAS!$D$50,CK64&lt;=RÉGUAS!$E$51),"ECO+10%",IF(AND(G64="BLOCO",CK64&gt;=RÉGUAS!$F$51,CK64&lt;=RÉGUAS!$F$50),"ECO-10%",IF(AND(G64="BLOCO",CK64&gt;RÉGUAS!$F$50,CK64&lt;=RÉGUAS!$G$51),"BIO+10%",IF(AND(G64="TORRE",CK64&gt;=RÉGUAS!$K$51,CK64&lt;=RÉGUAS!$K$50),"ESSENCIAL-10%",IF(AND(G64="TORRE",CK64&gt;RÉGUAS!$K$50,CK64&lt;=RÉGUAS!$L$51),"ECO+10%",IF(AND(G64="TORRE",CK64&gt;=RÉGUAS!$M$51,CK64&lt;=RÉGUAS!$M$50),"ECO-10%",IF(AND(G64="TORRE",CK64&gt;RÉGUAS!$M$50,CK64&lt;=RÉGUAS!$N$51),"BIO+10%","-"))))))))</f>
        <v>ECO-10%</v>
      </c>
      <c r="CN64" s="73">
        <f t="shared" si="10"/>
        <v>9536.9720430107536</v>
      </c>
      <c r="CO64" s="72" t="str">
        <f>IF(CN64&lt;=RÉGUAS!$D$58,"ESSENCIAL",IF(CN64&lt;=RÉGUAS!$F$58,"ECO",IF(CN64&gt;RÉGUAS!$F$58,"BIO",)))</f>
        <v>ECO</v>
      </c>
      <c r="CP64" s="72" t="str">
        <f>IF(Tabela1[[#This Row],[INTERVALO DE INTERSEÇÃO 5D]]="-",Tabela1[[#This Row],[CLASSIFICAÇÃO 
5D ]],Tabela1[[#This Row],[CLASSIFICAÇÃO 
4D]])</f>
        <v>ECO</v>
      </c>
      <c r="CQ64" s="72" t="str">
        <f t="shared" si="11"/>
        <v>-</v>
      </c>
      <c r="CR64" s="72" t="str">
        <f t="shared" si="12"/>
        <v>ECO</v>
      </c>
      <c r="CS64" s="22" t="str">
        <f>IF(Tabela1[[#This Row],[PRODUTO ATUAL ]]=Tabela1[[#This Row],[CLASSIFICAÇÃO FINAL 5D]],"ADERÊNTE","NÃO ADERÊNTE")</f>
        <v>ADERÊNTE</v>
      </c>
      <c r="CT64" s="24">
        <f>SUM(Tabela1[[#This Row],[TOTAL  ACAB]],Tabela1[[#This Row],[TOTAL LAZER ]],Tabela1[[#This Row],[TOTAL TIPOLOGIA]],Tabela1[[#This Row],[TOTAL VAGA]])</f>
        <v>9536.9720430107536</v>
      </c>
      <c r="CU64" s="22" t="str">
        <f>IF(CT64&lt;=RÉGUAS!$D$58,"ESSENCIAL",IF(CT64&lt;=RÉGUAS!$F$58,"ECO",IF(CT64&gt;RÉGUAS!$F$58,"BIO",)))</f>
        <v>ECO</v>
      </c>
      <c r="CV64" s="22" t="str">
        <f>IF(AND(CT64&gt;=RÉGUAS!$D$59,CT64&lt;=RÉGUAS!$E$59),"ESSENCIAL/ECO",IF(AND(CT64&gt;=RÉGUAS!$F$59,CT64&lt;=RÉGUAS!$G$59),"ECO/BIO","-"))</f>
        <v>-</v>
      </c>
      <c r="CW64" s="85">
        <f>SUM(Tabela1[[#This Row],[TOTAL LAZER ]],Tabela1[[#This Row],[TOTAL TIPOLOGIA]])</f>
        <v>3265.7892473118281</v>
      </c>
      <c r="CX64" s="22" t="str">
        <f>IF(CW64&lt;=RÉGUAS!$D$72,"ESSENCIAL",IF(CW64&lt;=RÉGUAS!$F$72,"ECO",IF(CN64&gt;RÉGUAS!$F$72,"BIO",)))</f>
        <v>ECO</v>
      </c>
      <c r="CY64" s="22" t="str">
        <f t="shared" si="13"/>
        <v>ECO</v>
      </c>
      <c r="CZ64" s="22" t="str">
        <f>IF(Tabela1[[#This Row],[PRODUTO ATUAL ]]=CY64,"ADERENTE","NÃO ADERENTE")</f>
        <v>ADERENTE</v>
      </c>
      <c r="DA64" s="22" t="str">
        <f>IF(Tabela1[[#This Row],[PRODUTO ATUAL ]]=Tabela1[[#This Row],[CLASSIFICAÇÃO 
4D2]],"ADERENTE","NÃO ADERENTE")</f>
        <v>ADERENTE</v>
      </c>
    </row>
    <row r="65" spans="2:105" x14ac:dyDescent="0.35">
      <c r="B65" s="27">
        <v>56</v>
      </c>
      <c r="C65" s="22" t="s">
        <v>223</v>
      </c>
      <c r="D65" s="22" t="s">
        <v>100</v>
      </c>
      <c r="E65" s="23">
        <v>320</v>
      </c>
      <c r="F65" s="22" t="str">
        <f t="shared" si="7"/>
        <v>De 200 a 400 und</v>
      </c>
      <c r="G65" s="109" t="s">
        <v>14</v>
      </c>
      <c r="H65" s="36">
        <v>5</v>
      </c>
      <c r="I65" s="36">
        <v>8</v>
      </c>
      <c r="J65" s="36"/>
      <c r="K65" s="36"/>
      <c r="L65" s="36">
        <f>SUM(Tabela1[[#This Row],[QTD DE B/T 2]],Tabela1[[#This Row],[QTD DE B/T]])</f>
        <v>5</v>
      </c>
      <c r="M65" s="22">
        <v>5</v>
      </c>
      <c r="N65" s="22">
        <f>Tabela1[[#This Row],[ELEVADOR]]/Tabela1[[#This Row],[BLOCO TOTAL]]</f>
        <v>1</v>
      </c>
      <c r="O65" s="22" t="s">
        <v>5</v>
      </c>
      <c r="P65" s="22" t="s">
        <v>101</v>
      </c>
      <c r="Q65" s="22" t="s">
        <v>101</v>
      </c>
      <c r="R65" s="22" t="s">
        <v>142</v>
      </c>
      <c r="S65" s="22" t="s">
        <v>103</v>
      </c>
      <c r="T65" s="22" t="s">
        <v>104</v>
      </c>
      <c r="U65" s="22" t="s">
        <v>105</v>
      </c>
      <c r="V65" s="22" t="s">
        <v>106</v>
      </c>
      <c r="W65" s="24">
        <f>IF(P65=[1]BD_CUSTO!$E$4,[1]BD_CUSTO!$F$4,[1]BD_CUSTO!$F$5)</f>
        <v>2430</v>
      </c>
      <c r="X65" s="24">
        <f>IF(Q65=[1]BD_CUSTO!$E$6,[1]BD_CUSTO!$F$6,[1]BD_CUSTO!$F$7)</f>
        <v>260</v>
      </c>
      <c r="Y65" s="24">
        <f>IF(R65=[1]BD_CUSTO!$E$8,[1]BD_CUSTO!$F$8,[1]BD_CUSTO!$F$9)</f>
        <v>900</v>
      </c>
      <c r="Z65" s="24">
        <f>IF(S65=[1]BD_CUSTO!$E$10,[1]BD_CUSTO!$F$10,[1]BD_CUSTO!$F$11)</f>
        <v>500</v>
      </c>
      <c r="AA65" s="24">
        <f>IF(T65=[1]BD_CUSTO!$E$12,[1]BD_CUSTO!$F$12,[1]BD_CUSTO!$F$13)</f>
        <v>370</v>
      </c>
      <c r="AB65" s="24">
        <f>IF(U65=[1]BD_CUSTO!$E$14,[1]BD_CUSTO!$F$14,[1]BD_CUSTO!$F$15)</f>
        <v>90</v>
      </c>
      <c r="AC65" s="24">
        <f>IF(V65=[1]BD_CUSTO!$E$16,[1]BD_CUSTO!$F$16,[1]BD_CUSTO!$F$17)</f>
        <v>720</v>
      </c>
      <c r="AD65" s="22" t="s">
        <v>110</v>
      </c>
      <c r="AE65" s="22">
        <v>1</v>
      </c>
      <c r="AF65" s="22" t="s">
        <v>109</v>
      </c>
      <c r="AG65" s="22">
        <v>1</v>
      </c>
      <c r="AH65" s="22" t="s">
        <v>156</v>
      </c>
      <c r="AI65" s="22">
        <v>1</v>
      </c>
      <c r="AJ65" s="22" t="s">
        <v>111</v>
      </c>
      <c r="AK65" s="22">
        <v>1</v>
      </c>
      <c r="AL65" s="22" t="s">
        <v>108</v>
      </c>
      <c r="AM65" s="22">
        <v>1</v>
      </c>
      <c r="AN65" s="22" t="s">
        <v>121</v>
      </c>
      <c r="AO65" s="22">
        <v>1</v>
      </c>
      <c r="AP65" s="22" t="s">
        <v>107</v>
      </c>
      <c r="AQ65" s="22">
        <v>1</v>
      </c>
      <c r="AR65" s="22" t="s">
        <v>129</v>
      </c>
      <c r="AS65" s="22">
        <v>1</v>
      </c>
      <c r="AT65" s="22"/>
      <c r="AU65" s="22"/>
      <c r="AV65" s="22"/>
      <c r="AW65" s="22"/>
      <c r="AX65" s="24">
        <f>IF(AD65="",0,VLOOKUP(AD65,[1]BD_CUSTO!I:J,2,0)*AE65/E65)</f>
        <v>16.5625</v>
      </c>
      <c r="AY65" s="24">
        <f>IF(AF65="",0,VLOOKUP(AF65,[1]BD_CUSTO!I:J,2,0)*AG65/E65)</f>
        <v>21.71875</v>
      </c>
      <c r="AZ65" s="24">
        <f>IF(AH65="",0,VLOOKUP(AH65,[1]BD_CUSTO!I:J,2,0)*AI65/E65)</f>
        <v>306.40625</v>
      </c>
      <c r="BA65" s="24">
        <f>IF(AJ65="",0,VLOOKUP(AJ65,[1]BD_CUSTO!I:J,2,0)*AK65/E65)</f>
        <v>50.625</v>
      </c>
      <c r="BB65" s="24">
        <f>IF(AL65="",0,VLOOKUP(AL65,[1]BD_CUSTO!I:J,2,0)*AM65/E65)</f>
        <v>72.34375</v>
      </c>
      <c r="BC65" s="24">
        <f>IF(AN65="",0,VLOOKUP(AN65,[1]BD_CUSTO!I:J,2,0)*AO65/E65)</f>
        <v>384.86531249999996</v>
      </c>
      <c r="BD65" s="24">
        <f>IF(AP65="",0,VLOOKUP(AP65,[1]BD_CUSTO!I:J,2,0)*AQ65/E65)</f>
        <v>266.09100000000001</v>
      </c>
      <c r="BE65" s="24">
        <f>IF(AR65="",0,VLOOKUP(AR65,CUSTO!I:J,2,0)*AS65/E65)</f>
        <v>859.89868750000005</v>
      </c>
      <c r="BF65" s="24">
        <f>IF(AT65="",0,VLOOKUP(AT65,[1]BD_CUSTO!I:J,2,0)*AU65/E65)</f>
        <v>0</v>
      </c>
      <c r="BG65" s="24">
        <f>IF(Tabela1[[#This Row],[LZ 10]]="",0,VLOOKUP(Tabela1[[#This Row],[LZ 10]],[1]BD_CUSTO!I:J,2,0)*Tabela1[[#This Row],[QTD922]]/E65)</f>
        <v>0</v>
      </c>
      <c r="BH65" s="22" t="s">
        <v>112</v>
      </c>
      <c r="BI65" s="25">
        <f>280/Tabela1[[#This Row],[Nº UNDS]]</f>
        <v>0.875</v>
      </c>
      <c r="BJ65" s="22" t="s">
        <v>113</v>
      </c>
      <c r="BK65" s="25">
        <v>0</v>
      </c>
      <c r="BL65" s="24">
        <f>IF(BH65=[1]BD_CUSTO!$M$6,[1]BD_CUSTO!$N$6)*BI65</f>
        <v>2625</v>
      </c>
      <c r="BM65" s="24">
        <f>IF(BJ65=[1]BD_CUSTO!$M$4,[1]BD_CUSTO!$N$4,[1]BD_CUSTO!$N$5)*BK65</f>
        <v>0</v>
      </c>
      <c r="BN65" s="22" t="s">
        <v>114</v>
      </c>
      <c r="BO65" s="22">
        <f>371-57</f>
        <v>314</v>
      </c>
      <c r="BP65" s="25">
        <f>Tabela1[[#This Row],[QTD ]]/Tabela1[[#This Row],[Nº UNDS]]</f>
        <v>0.98124999999999996</v>
      </c>
      <c r="BQ65" s="22" t="s">
        <v>123</v>
      </c>
      <c r="BR65" s="22">
        <v>57</v>
      </c>
      <c r="BS65" s="22" t="s">
        <v>116</v>
      </c>
      <c r="BT65" s="22">
        <v>0</v>
      </c>
      <c r="BU65" s="22" t="s">
        <v>16</v>
      </c>
      <c r="BV65" s="22">
        <v>0</v>
      </c>
      <c r="BW65" s="24">
        <f>IF(BN65=[1]BD_CUSTO!$Q$7,[1]BD_CUSTO!$R$7,[1]BD_CUSTO!$R$8)*BO65/E65</f>
        <v>1962.5</v>
      </c>
      <c r="BX65" s="24">
        <f>IF(BQ65=[1]BD_CUSTO!$Q$4,[1]BD_CUSTO!$R$4,[1]BD_CUSTO!$R$5)*BR65/E65</f>
        <v>178.125</v>
      </c>
      <c r="BY65" s="22">
        <f>IF(BS65=[1]BD_CUSTO!$Q$13,[1]BD_CUSTO!$R$13,[1]BD_CUSTO!$R$14)*BT65/E65</f>
        <v>0</v>
      </c>
      <c r="BZ65" s="24">
        <f>BV65*CUSTO!$R$10/E65</f>
        <v>0</v>
      </c>
      <c r="CA65" s="26">
        <f>SUM(Tabela1[[#This Row],[SOMA_PISO SALA E QUARTO]],Tabela1[[#This Row],[SOMA_PAREDE HIDR]],Tabela1[[#This Row],[SOMA_TETO]],Tabela1[[#This Row],[SOMA_BANCADA]],Tabela1[[#This Row],[SOMA_PEDRAS]])</f>
        <v>4290</v>
      </c>
      <c r="CB65" s="27" t="str">
        <f>IF(CA65&lt;=RÉGUAS!$D$4,"ACAB 01",IF(CA65&lt;=RÉGUAS!$F$4,"ACAB 02",IF(CA65&gt;RÉGUAS!$F$4,"ACAB 03",)))</f>
        <v>ACAB 02</v>
      </c>
      <c r="CC65" s="26">
        <f>SUM(Tabela1[[#This Row],[SOMA_LZ 01]:[SOMA_LZ 10]])</f>
        <v>1978.51125</v>
      </c>
      <c r="CD65" s="22" t="str">
        <f>IF(CC65&lt;=RÉGUAS!$D$13,"LZ 01",IF(CC65&lt;=RÉGUAS!$F$13,"LZ 02",IF(CC65&lt;=RÉGUAS!$H$13,"LZ 03",IF(CC65&gt;RÉGUAS!$H$13,"LZ 04",))))</f>
        <v>LZ 03</v>
      </c>
      <c r="CE65" s="28">
        <f t="shared" si="8"/>
        <v>2625</v>
      </c>
      <c r="CF65" s="22" t="str">
        <f>IF(CE65&lt;=RÉGUAS!$D$22,"TIP 01",IF(CE65&lt;=RÉGUAS!$F$22,"TIP 02",IF(CE65&gt;RÉGUAS!$F$22,"TIP 03",)))</f>
        <v>TIP 02</v>
      </c>
      <c r="CG65" s="28">
        <f t="shared" si="9"/>
        <v>2140.625</v>
      </c>
      <c r="CH65" s="22" t="str">
        <f>IF(CG65&lt;=RÉGUAS!$D$32,"VAGA 01",IF(CG65&lt;=RÉGUAS!$F$32,"VAGA 02",IF(CG65&gt;RÉGUAS!$F$32,"VAGA 03",)))</f>
        <v>VAGA 02</v>
      </c>
      <c r="CI65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2468.125</v>
      </c>
      <c r="CJ65" s="85" t="str">
        <f>IF(AND(G65="BLOCO",CI65&lt;=RÉGUAS!$D$40),"ELEV 01",IF(AND(G65="BLOCO",CI65&gt;RÉGUAS!$D$40),"ELEV 02",IF(AND(G65="TORRE",CI65&lt;=RÉGUAS!$K$40),"ELEV 01",IF(AND(G65="TORRE",CI65&lt;=RÉGUAS!$M$40),"ELEV 02",IF(AND(G65="TORRE",CI65&gt;RÉGUAS!$M$40),"ELEV 03",)))))</f>
        <v>ELEV 01</v>
      </c>
      <c r="CK65" s="85">
        <f>SUM(Tabela1[[#This Row],[TOTAL  ACAB]],Tabela1[[#This Row],[TOTAL LAZER ]],Tabela1[[#This Row],[TOTAL TIPOLOGIA]],Tabela1[[#This Row],[TOTAL VAGA]],Tabela1[[#This Row],[TOTAL ELEVADOR]])</f>
        <v>13502.26125</v>
      </c>
      <c r="CL65" s="72" t="str">
        <f>IF(AND(G65="BLOCO",CK65&lt;=RÉGUAS!$D$50),"ESSENCIAL",IF(AND(G65="BLOCO",CK65&lt;=RÉGUAS!$F$50),"ECO",IF(AND(G65="BLOCO",CK65&gt;RÉGUAS!$F$50),"BIO",IF(AND(G65="TORRE",CK65&lt;=RÉGUAS!$K$50),"ESSENCIAL",IF(AND(G65="TORRE",CK65&lt;=RÉGUAS!$M$50),"ECO",IF(AND(G65="TORRE",CK65&gt;RÉGUAS!$M$50),"BIO",))))))</f>
        <v>ECO</v>
      </c>
      <c r="CM65" s="28" t="str">
        <f>IF(AND(G65="BLOCO",CK65&gt;=RÉGUAS!$D$51,CK65&lt;=RÉGUAS!$D$50),"ESSENCIAL-10%",IF(AND(G65="BLOCO",CK65&gt;RÉGUAS!$D$50,CK65&lt;=RÉGUAS!$E$51),"ECO+10%",IF(AND(G65="BLOCO",CK65&gt;=RÉGUAS!$F$51,CK65&lt;=RÉGUAS!$F$50),"ECO-10%",IF(AND(G65="BLOCO",CK65&gt;RÉGUAS!$F$50,CK65&lt;=RÉGUAS!$G$51),"BIO+10%",IF(AND(G65="TORRE",CK65&gt;=RÉGUAS!$K$51,CK65&lt;=RÉGUAS!$K$50),"ESSENCIAL-10%",IF(AND(G65="TORRE",CK65&gt;RÉGUAS!$K$50,CK65&lt;=RÉGUAS!$L$51),"ECO+10%",IF(AND(G65="TORRE",CK65&gt;=RÉGUAS!$M$51,CK65&lt;=RÉGUAS!$M$50),"ECO-10%",IF(AND(G65="TORRE",CK65&gt;RÉGUAS!$M$50,CK65&lt;=RÉGUAS!$N$51),"BIO+10%","-"))))))))</f>
        <v>ECO-10%</v>
      </c>
      <c r="CN65" s="73">
        <f t="shared" si="10"/>
        <v>11034.13625</v>
      </c>
      <c r="CO65" s="72" t="str">
        <f>IF(CN65&lt;=RÉGUAS!$D$58,"ESSENCIAL",IF(CN65&lt;=RÉGUAS!$F$58,"ECO",IF(CN65&gt;RÉGUAS!$F$58,"BIO",)))</f>
        <v>ECO</v>
      </c>
      <c r="CP65" s="72" t="str">
        <f>IF(Tabela1[[#This Row],[INTERVALO DE INTERSEÇÃO 5D]]="-",Tabela1[[#This Row],[CLASSIFICAÇÃO 
5D ]],Tabela1[[#This Row],[CLASSIFICAÇÃO 
4D]])</f>
        <v>ECO</v>
      </c>
      <c r="CQ65" s="72" t="str">
        <f t="shared" si="11"/>
        <v>-</v>
      </c>
      <c r="CR65" s="72" t="str">
        <f t="shared" si="12"/>
        <v>ECO</v>
      </c>
      <c r="CS65" s="22" t="str">
        <f>IF(Tabela1[[#This Row],[PRODUTO ATUAL ]]=Tabela1[[#This Row],[CLASSIFICAÇÃO FINAL 5D]],"ADERÊNTE","NÃO ADERÊNTE")</f>
        <v>ADERÊNTE</v>
      </c>
      <c r="CT65" s="24">
        <f>SUM(Tabela1[[#This Row],[TOTAL  ACAB]],Tabela1[[#This Row],[TOTAL LAZER ]],Tabela1[[#This Row],[TOTAL TIPOLOGIA]],Tabela1[[#This Row],[TOTAL VAGA]])</f>
        <v>11034.13625</v>
      </c>
      <c r="CU65" s="22" t="str">
        <f>IF(CT65&lt;=RÉGUAS!$D$58,"ESSENCIAL",IF(CT65&lt;=RÉGUAS!$F$58,"ECO",IF(CT65&gt;RÉGUAS!$F$58,"BIO",)))</f>
        <v>ECO</v>
      </c>
      <c r="CV65" s="22" t="str">
        <f>IF(AND(CT65&gt;=RÉGUAS!$D$59,CT65&lt;=RÉGUAS!$E$59),"ESSENCIAL/ECO",IF(AND(CT65&gt;=RÉGUAS!$F$59,CT65&lt;=RÉGUAS!$G$59),"ECO/BIO","-"))</f>
        <v>ECO/BIO</v>
      </c>
      <c r="CW65" s="85">
        <f>SUM(Tabela1[[#This Row],[TOTAL LAZER ]],Tabela1[[#This Row],[TOTAL TIPOLOGIA]])</f>
        <v>4603.5112499999996</v>
      </c>
      <c r="CX65" s="22" t="str">
        <f>IF(CW65&lt;=RÉGUAS!$D$72,"ESSENCIAL",IF(CW65&lt;=RÉGUAS!$F$72,"ECO",IF(CN65&gt;RÉGUAS!$F$72,"BIO",)))</f>
        <v>ECO</v>
      </c>
      <c r="CY65" s="22" t="str">
        <f t="shared" si="13"/>
        <v>ECO</v>
      </c>
      <c r="CZ65" s="22" t="str">
        <f>IF(Tabela1[[#This Row],[PRODUTO ATUAL ]]=CY65,"ADERENTE","NÃO ADERENTE")</f>
        <v>ADERENTE</v>
      </c>
      <c r="DA65" s="22" t="str">
        <f>IF(Tabela1[[#This Row],[PRODUTO ATUAL ]]=Tabela1[[#This Row],[CLASSIFICAÇÃO 
4D2]],"ADERENTE","NÃO ADERENTE")</f>
        <v>ADERENTE</v>
      </c>
    </row>
    <row r="66" spans="2:105" hidden="1" x14ac:dyDescent="0.35">
      <c r="B66" s="27">
        <v>60</v>
      </c>
      <c r="C66" s="22" t="s">
        <v>224</v>
      </c>
      <c r="D66" s="22" t="s">
        <v>147</v>
      </c>
      <c r="E66" s="23">
        <v>336</v>
      </c>
      <c r="F66" s="22" t="str">
        <f t="shared" si="7"/>
        <v>De 200 a 400 und</v>
      </c>
      <c r="G66" s="22" t="s">
        <v>1</v>
      </c>
      <c r="H66" s="36">
        <v>24</v>
      </c>
      <c r="I66" s="36">
        <v>4</v>
      </c>
      <c r="J66" s="36"/>
      <c r="K66" s="36"/>
      <c r="L66" s="36">
        <f>SUM(Tabela1[[#This Row],[QTD DE B/T 2]],Tabela1[[#This Row],[QTD DE B/T]])</f>
        <v>24</v>
      </c>
      <c r="M66" s="22">
        <v>1</v>
      </c>
      <c r="N66" s="22">
        <f>Tabela1[[#This Row],[ELEVADOR]]/Tabela1[[#This Row],[BLOCO TOTAL]]</f>
        <v>4.1666666666666664E-2</v>
      </c>
      <c r="O66" s="22" t="s">
        <v>5</v>
      </c>
      <c r="P66" s="22" t="s">
        <v>101</v>
      </c>
      <c r="Q66" s="22" t="s">
        <v>101</v>
      </c>
      <c r="R66" s="22" t="s">
        <v>142</v>
      </c>
      <c r="S66" s="22" t="s">
        <v>103</v>
      </c>
      <c r="T66" s="22" t="s">
        <v>104</v>
      </c>
      <c r="U66" s="22" t="s">
        <v>105</v>
      </c>
      <c r="V66" s="22" t="s">
        <v>137</v>
      </c>
      <c r="W66" s="24">
        <f>IF(P66=[1]BD_CUSTO!$E$4,[1]BD_CUSTO!$F$4,[1]BD_CUSTO!$F$5)</f>
        <v>2430</v>
      </c>
      <c r="X66" s="24">
        <f>IF(Q66=[1]BD_CUSTO!$E$6,[1]BD_CUSTO!$F$6,[1]BD_CUSTO!$F$7)</f>
        <v>260</v>
      </c>
      <c r="Y66" s="24">
        <f>IF(R66=[1]BD_CUSTO!$E$8,[1]BD_CUSTO!$F$8,[1]BD_CUSTO!$F$9)</f>
        <v>900</v>
      </c>
      <c r="Z66" s="24">
        <f>IF(S66=[1]BD_CUSTO!$E$10,[1]BD_CUSTO!$F$10,[1]BD_CUSTO!$F$11)</f>
        <v>500</v>
      </c>
      <c r="AA66" s="24">
        <f>IF(T66=[1]BD_CUSTO!$E$12,[1]BD_CUSTO!$F$12,[1]BD_CUSTO!$F$13)</f>
        <v>370</v>
      </c>
      <c r="AB66" s="24">
        <f>IF(U66=[1]BD_CUSTO!$E$14,[1]BD_CUSTO!$F$14,[1]BD_CUSTO!$F$15)</f>
        <v>90</v>
      </c>
      <c r="AC66" s="24">
        <f>IF(V66=[1]BD_CUSTO!$E$16,[1]BD_CUSTO!$F$16,[1]BD_CUSTO!$F$17)</f>
        <v>1320</v>
      </c>
      <c r="AD66" s="22" t="s">
        <v>110</v>
      </c>
      <c r="AE66" s="22">
        <v>1</v>
      </c>
      <c r="AF66" s="22" t="s">
        <v>121</v>
      </c>
      <c r="AG66" s="22">
        <v>1</v>
      </c>
      <c r="AH66" s="22" t="s">
        <v>107</v>
      </c>
      <c r="AI66" s="22">
        <v>2</v>
      </c>
      <c r="AJ66" s="22" t="s">
        <v>151</v>
      </c>
      <c r="AK66" s="22">
        <v>1</v>
      </c>
      <c r="AL66" s="22" t="s">
        <v>139</v>
      </c>
      <c r="AM66" s="22">
        <v>1</v>
      </c>
      <c r="AN66" s="22" t="s">
        <v>129</v>
      </c>
      <c r="AO66" s="22">
        <v>1</v>
      </c>
      <c r="AP66" s="22" t="s">
        <v>108</v>
      </c>
      <c r="AQ66" s="22">
        <v>1</v>
      </c>
      <c r="AR66" s="22" t="s">
        <v>109</v>
      </c>
      <c r="AS66" s="22">
        <v>1</v>
      </c>
      <c r="AT66" s="22" t="s">
        <v>156</v>
      </c>
      <c r="AU66" s="22">
        <v>1</v>
      </c>
      <c r="AV66" s="22"/>
      <c r="AW66" s="22"/>
      <c r="AX66" s="24">
        <f>IF(AD66="",0,VLOOKUP(AD66,[1]BD_CUSTO!I:J,2,0)*AE66/E66)</f>
        <v>15.773809523809524</v>
      </c>
      <c r="AY66" s="24">
        <f>IF(AF66="",0,VLOOKUP(AF66,[1]BD_CUSTO!I:J,2,0)*AG66/E66)</f>
        <v>366.53839285714287</v>
      </c>
      <c r="AZ66" s="24">
        <f>IF(AH66="",0,VLOOKUP(AH66,[1]BD_CUSTO!I:J,2,0)*AI66/E66)</f>
        <v>506.84</v>
      </c>
      <c r="BA66" s="24">
        <f>IF(AJ66="",0,VLOOKUP(AJ66,[1]BD_CUSTO!I:J,2,0)*AK66/E66)</f>
        <v>237.30116071428571</v>
      </c>
      <c r="BB66" s="24">
        <f>IF(AL66="",0,VLOOKUP(AL66,[1]BD_CUSTO!I:J,2,0)*AM66/E66)</f>
        <v>184.98904761904762</v>
      </c>
      <c r="BC66" s="24">
        <f>IF(AN66="",0,VLOOKUP(AN66,[1]BD_CUSTO!I:J,2,0)*AO66/E66)</f>
        <v>818.95113095238105</v>
      </c>
      <c r="BD66" s="24">
        <f>IF(AP66="",0,VLOOKUP(AP66,[1]BD_CUSTO!I:J,2,0)*AQ66/E66)</f>
        <v>68.898809523809518</v>
      </c>
      <c r="BE66" s="24">
        <f>IF(AR66="",0,VLOOKUP(AR66,CUSTO!I:J,2,0)*AS66/E66)</f>
        <v>20.68452380952381</v>
      </c>
      <c r="BF66" s="24">
        <f>IF(AT66="",0,VLOOKUP(AT66,[1]BD_CUSTO!I:J,2,0)*AU66/E66)</f>
        <v>291.8154761904762</v>
      </c>
      <c r="BG66" s="24">
        <f>IF(Tabela1[[#This Row],[LZ 10]]="",0,VLOOKUP(Tabela1[[#This Row],[LZ 10]],[1]BD_CUSTO!I:J,2,0)*Tabela1[[#This Row],[QTD922]]/E66)</f>
        <v>0</v>
      </c>
      <c r="BH66" s="22" t="s">
        <v>112</v>
      </c>
      <c r="BI66" s="25">
        <f>120/Tabela1[[#This Row],[Nº UNDS]]</f>
        <v>0.35714285714285715</v>
      </c>
      <c r="BJ66" s="22" t="s">
        <v>113</v>
      </c>
      <c r="BK66" s="25">
        <v>0</v>
      </c>
      <c r="BL66" s="24">
        <f>IF(BH66=[1]BD_CUSTO!$M$6,[1]BD_CUSTO!$N$6)*BI66</f>
        <v>1071.4285714285716</v>
      </c>
      <c r="BM66" s="24">
        <f>IF(BJ66=[1]BD_CUSTO!$M$4,[1]BD_CUSTO!$N$4,[1]BD_CUSTO!$N$5)*BK66</f>
        <v>0</v>
      </c>
      <c r="BN66" s="22" t="s">
        <v>114</v>
      </c>
      <c r="BO66" s="22">
        <f>382-34</f>
        <v>348</v>
      </c>
      <c r="BP66" s="25">
        <f>Tabela1[[#This Row],[QTD ]]/Tabela1[[#This Row],[Nº UNDS]]</f>
        <v>1.0357142857142858</v>
      </c>
      <c r="BQ66" s="22" t="s">
        <v>123</v>
      </c>
      <c r="BR66" s="22">
        <v>34</v>
      </c>
      <c r="BS66" s="22" t="s">
        <v>116</v>
      </c>
      <c r="BT66" s="22">
        <v>0</v>
      </c>
      <c r="BU66" s="22" t="s">
        <v>222</v>
      </c>
      <c r="BV66" s="22">
        <v>0</v>
      </c>
      <c r="BW66" s="24">
        <f>IF(BN66=[1]BD_CUSTO!$Q$7,[1]BD_CUSTO!$R$7,[1]BD_CUSTO!$R$8)*BO66/E66</f>
        <v>2071.4285714285716</v>
      </c>
      <c r="BX66" s="24">
        <f>IF(BQ66=[1]BD_CUSTO!$Q$4,[1]BD_CUSTO!$R$4,[1]BD_CUSTO!$R$5)*BR66/E66</f>
        <v>101.19047619047619</v>
      </c>
      <c r="BY66" s="22">
        <f>IF(BS66=[1]BD_CUSTO!$Q$13,[1]BD_CUSTO!$R$13,[1]BD_CUSTO!$R$14)*BT66/E66</f>
        <v>0</v>
      </c>
      <c r="BZ66" s="24">
        <f>BV66*CUSTO!$R$10/E66</f>
        <v>0</v>
      </c>
      <c r="CA66" s="26">
        <f>SUM(Tabela1[[#This Row],[SOMA_PISO SALA E QUARTO]],Tabela1[[#This Row],[SOMA_PAREDE HIDR]],Tabela1[[#This Row],[SOMA_TETO]],Tabela1[[#This Row],[SOMA_BANCADA]],Tabela1[[#This Row],[SOMA_PEDRAS]])</f>
        <v>4290</v>
      </c>
      <c r="CB66" s="27" t="str">
        <f>IF(CA66&lt;=RÉGUAS!$D$4,"ACAB 01",IF(CA66&lt;=RÉGUAS!$F$4,"ACAB 02",IF(CA66&gt;RÉGUAS!$F$4,"ACAB 03",)))</f>
        <v>ACAB 02</v>
      </c>
      <c r="CC66" s="26">
        <f>SUM(Tabela1[[#This Row],[SOMA_LZ 01]:[SOMA_LZ 10]])</f>
        <v>2511.7923511904764</v>
      </c>
      <c r="CD66" s="22" t="str">
        <f>IF(CC66&lt;=RÉGUAS!$D$13,"LZ 01",IF(CC66&lt;=RÉGUAS!$F$13,"LZ 02",IF(CC66&lt;=RÉGUAS!$H$13,"LZ 03",IF(CC66&gt;RÉGUAS!$H$13,"LZ 04",))))</f>
        <v>LZ 04</v>
      </c>
      <c r="CE66" s="28">
        <f t="shared" si="8"/>
        <v>1071.4285714285716</v>
      </c>
      <c r="CF66" s="22" t="str">
        <f>IF(CE66&lt;=RÉGUAS!$D$22,"TIP 01",IF(CE66&lt;=RÉGUAS!$F$22,"TIP 02",IF(CE66&gt;RÉGUAS!$F$22,"TIP 03",)))</f>
        <v>TIP 01</v>
      </c>
      <c r="CG66" s="28">
        <f t="shared" si="9"/>
        <v>2172.6190476190477</v>
      </c>
      <c r="CH66" s="22" t="str">
        <f>IF(CG66&lt;=RÉGUAS!$D$32,"VAGA 01",IF(CG66&lt;=RÉGUAS!$F$32,"VAGA 02",IF(CG66&gt;RÉGUAS!$F$32,"VAGA 03",)))</f>
        <v>VAGA 02</v>
      </c>
      <c r="CI66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357.47619047619048</v>
      </c>
      <c r="CJ66" s="85" t="str">
        <f>IF(AND(G66="BLOCO",CI66&lt;=RÉGUAS!$D$40),"ELEV 01",IF(AND(G66="BLOCO",CI66&gt;RÉGUAS!$D$40),"ELEV 02",IF(AND(G66="TORRE",CI66&lt;=RÉGUAS!$K$40),"ELEV 01",IF(AND(G66="TORRE",CI66&lt;=RÉGUAS!$M$40),"ELEV 02",IF(AND(G66="TORRE",CI66&gt;RÉGUAS!$M$40),"ELEV 03",)))))</f>
        <v>ELEV 02</v>
      </c>
      <c r="CK66" s="85">
        <f>SUM(Tabela1[[#This Row],[TOTAL  ACAB]],Tabela1[[#This Row],[TOTAL LAZER ]],Tabela1[[#This Row],[TOTAL TIPOLOGIA]],Tabela1[[#This Row],[TOTAL VAGA]],Tabela1[[#This Row],[TOTAL ELEVADOR]])</f>
        <v>10403.316160714287</v>
      </c>
      <c r="CL66" s="72" t="str">
        <f>IF(AND(G66="BLOCO",CK66&lt;=RÉGUAS!$D$50),"ESSENCIAL",IF(AND(G66="BLOCO",CK66&lt;=RÉGUAS!$F$50),"ECO",IF(AND(G66="BLOCO",CK66&gt;RÉGUAS!$F$50),"BIO",IF(AND(G66="TORRE",CK66&lt;=RÉGUAS!$K$50),"ESSENCIAL",IF(AND(G66="TORRE",CK66&lt;=RÉGUAS!$M$50),"ECO",IF(AND(G66="TORRE",CK66&gt;RÉGUAS!$M$50),"BIO",))))))</f>
        <v>ECO</v>
      </c>
      <c r="CM66" s="28" t="str">
        <f>IF(AND(G66="BLOCO",CK66&gt;=RÉGUAS!$D$51,CK66&lt;=RÉGUAS!$D$50),"ESSENCIAL-10%",IF(AND(G66="BLOCO",CK66&gt;RÉGUAS!$D$50,CK66&lt;=RÉGUAS!$E$51),"ECO+10%",IF(AND(G66="BLOCO",CK66&gt;=RÉGUAS!$F$51,CK66&lt;=RÉGUAS!$F$50),"ECO-10%",IF(AND(G66="BLOCO",CK66&gt;RÉGUAS!$F$50,CK66&lt;=RÉGUAS!$G$51),"BIO+10%",IF(AND(G66="TORRE",CK66&gt;=RÉGUAS!$K$51,CK66&lt;=RÉGUAS!$K$50),"ESSENCIAL-10%",IF(AND(G66="TORRE",CK66&gt;RÉGUAS!$K$50,CK66&lt;=RÉGUAS!$L$51),"ECO+10%",IF(AND(G66="TORRE",CK66&gt;=RÉGUAS!$M$51,CK66&lt;=RÉGUAS!$M$50),"ECO-10%",IF(AND(G66="TORRE",CK66&gt;RÉGUAS!$M$50,CK66&lt;=RÉGUAS!$N$51),"BIO+10%","-"))))))))</f>
        <v>ECO-10%</v>
      </c>
      <c r="CN66" s="73">
        <f t="shared" si="10"/>
        <v>10045.839970238096</v>
      </c>
      <c r="CO66" s="72" t="str">
        <f>IF(CN66&lt;=RÉGUAS!$D$58,"ESSENCIAL",IF(CN66&lt;=RÉGUAS!$F$58,"ECO",IF(CN66&gt;RÉGUAS!$F$58,"BIO",)))</f>
        <v>ECO</v>
      </c>
      <c r="CP66" s="72" t="str">
        <f>IF(Tabela1[[#This Row],[INTERVALO DE INTERSEÇÃO 5D]]="-",Tabela1[[#This Row],[CLASSIFICAÇÃO 
5D ]],Tabela1[[#This Row],[CLASSIFICAÇÃO 
4D]])</f>
        <v>ECO</v>
      </c>
      <c r="CQ66" s="72" t="str">
        <f t="shared" si="11"/>
        <v>-</v>
      </c>
      <c r="CR66" s="72" t="str">
        <f t="shared" si="12"/>
        <v>ECO</v>
      </c>
      <c r="CS66" s="22" t="str">
        <f>IF(Tabela1[[#This Row],[PRODUTO ATUAL ]]=Tabela1[[#This Row],[CLASSIFICAÇÃO FINAL 5D]],"ADERÊNTE","NÃO ADERÊNTE")</f>
        <v>ADERÊNTE</v>
      </c>
      <c r="CT66" s="24">
        <f>SUM(Tabela1[[#This Row],[TOTAL  ACAB]],Tabela1[[#This Row],[TOTAL LAZER ]],Tabela1[[#This Row],[TOTAL TIPOLOGIA]],Tabela1[[#This Row],[TOTAL VAGA]])</f>
        <v>10045.839970238096</v>
      </c>
      <c r="CU66" s="22" t="str">
        <f>IF(CT66&lt;=RÉGUAS!$D$58,"ESSENCIAL",IF(CT66&lt;=RÉGUAS!$F$58,"ECO",IF(CT66&gt;RÉGUAS!$F$58,"BIO",)))</f>
        <v>ECO</v>
      </c>
      <c r="CV66" s="22" t="str">
        <f>IF(AND(CT66&gt;=RÉGUAS!$D$59,CT66&lt;=RÉGUAS!$E$59),"ESSENCIAL/ECO",IF(AND(CT66&gt;=RÉGUAS!$F$59,CT66&lt;=RÉGUAS!$G$59),"ECO/BIO","-"))</f>
        <v>-</v>
      </c>
      <c r="CW66" s="85">
        <f>SUM(Tabela1[[#This Row],[TOTAL LAZER ]],Tabela1[[#This Row],[TOTAL TIPOLOGIA]])</f>
        <v>3583.220922619048</v>
      </c>
      <c r="CX66" s="22" t="str">
        <f>IF(CW66&lt;=RÉGUAS!$D$72,"ESSENCIAL",IF(CW66&lt;=RÉGUAS!$F$72,"ECO",IF(CN66&gt;RÉGUAS!$F$72,"BIO",)))</f>
        <v>ECO</v>
      </c>
      <c r="CY66" s="22" t="str">
        <f t="shared" si="13"/>
        <v>ECO</v>
      </c>
      <c r="CZ66" s="22" t="str">
        <f>IF(Tabela1[[#This Row],[PRODUTO ATUAL ]]=CY66,"ADERENTE","NÃO ADERENTE")</f>
        <v>ADERENTE</v>
      </c>
      <c r="DA66" s="22" t="str">
        <f>IF(Tabela1[[#This Row],[PRODUTO ATUAL ]]=Tabela1[[#This Row],[CLASSIFICAÇÃO 
4D2]],"ADERENTE","NÃO ADERENTE")</f>
        <v>ADERENTE</v>
      </c>
    </row>
    <row r="67" spans="2:105" hidden="1" x14ac:dyDescent="0.35">
      <c r="B67" s="27">
        <v>51</v>
      </c>
      <c r="C67" s="22" t="s">
        <v>193</v>
      </c>
      <c r="D67" s="22" t="s">
        <v>128</v>
      </c>
      <c r="E67" s="23">
        <v>400</v>
      </c>
      <c r="F67" s="22" t="str">
        <f t="shared" ref="F67:F98" si="14">IF(E67&lt;=200,"Até 200 und",IF(E67&lt;=400,"De 200 a 400 und",IF(E67&gt;=401,"Acima de 400 und")))</f>
        <v>De 200 a 400 und</v>
      </c>
      <c r="G67" s="22" t="s">
        <v>1</v>
      </c>
      <c r="H67" s="36">
        <v>20</v>
      </c>
      <c r="I67" s="36">
        <v>5</v>
      </c>
      <c r="J67" s="36"/>
      <c r="K67" s="36"/>
      <c r="L67" s="36">
        <f>SUM(Tabela1[[#This Row],[QTD DE B/T 2]],Tabela1[[#This Row],[QTD DE B/T]])</f>
        <v>20</v>
      </c>
      <c r="M67" s="22">
        <v>2</v>
      </c>
      <c r="N67" s="22">
        <f>Tabela1[[#This Row],[ELEVADOR]]/Tabela1[[#This Row],[BLOCO TOTAL]]</f>
        <v>0.1</v>
      </c>
      <c r="O67" s="22" t="s">
        <v>5</v>
      </c>
      <c r="P67" s="22" t="s">
        <v>101</v>
      </c>
      <c r="Q67" s="22" t="s">
        <v>101</v>
      </c>
      <c r="R67" s="22" t="s">
        <v>142</v>
      </c>
      <c r="S67" s="22" t="s">
        <v>103</v>
      </c>
      <c r="T67" s="22" t="s">
        <v>104</v>
      </c>
      <c r="U67" s="22" t="s">
        <v>105</v>
      </c>
      <c r="V67" s="22" t="s">
        <v>106</v>
      </c>
      <c r="W67" s="24">
        <f>IF(P67=[1]BD_CUSTO!$E$4,[1]BD_CUSTO!$F$4,[1]BD_CUSTO!$F$5)</f>
        <v>2430</v>
      </c>
      <c r="X67" s="24">
        <f>IF(Q67=[1]BD_CUSTO!$E$6,[1]BD_CUSTO!$F$6,[1]BD_CUSTO!$F$7)</f>
        <v>260</v>
      </c>
      <c r="Y67" s="24">
        <f>IF(R67=[1]BD_CUSTO!$E$8,[1]BD_CUSTO!$F$8,[1]BD_CUSTO!$F$9)</f>
        <v>900</v>
      </c>
      <c r="Z67" s="24">
        <f>IF(S67=[1]BD_CUSTO!$E$10,[1]BD_CUSTO!$F$10,[1]BD_CUSTO!$F$11)</f>
        <v>500</v>
      </c>
      <c r="AA67" s="24">
        <f>IF(T67=[1]BD_CUSTO!$E$12,[1]BD_CUSTO!$F$12,[1]BD_CUSTO!$F$13)</f>
        <v>370</v>
      </c>
      <c r="AB67" s="24">
        <f>IF(U67=[1]BD_CUSTO!$E$14,[1]BD_CUSTO!$F$14,[1]BD_CUSTO!$F$15)</f>
        <v>90</v>
      </c>
      <c r="AC67" s="24">
        <f>IF(V67=[1]BD_CUSTO!$E$16,[1]BD_CUSTO!$F$16,[1]BD_CUSTO!$F$17)</f>
        <v>720</v>
      </c>
      <c r="AD67" s="22" t="s">
        <v>109</v>
      </c>
      <c r="AE67" s="22">
        <v>1</v>
      </c>
      <c r="AF67" s="22" t="s">
        <v>108</v>
      </c>
      <c r="AG67" s="22">
        <v>1</v>
      </c>
      <c r="AH67" s="22" t="s">
        <v>139</v>
      </c>
      <c r="AI67" s="22">
        <v>1</v>
      </c>
      <c r="AJ67" s="22" t="s">
        <v>121</v>
      </c>
      <c r="AK67" s="22">
        <v>1</v>
      </c>
      <c r="AL67" s="22" t="s">
        <v>107</v>
      </c>
      <c r="AM67" s="22">
        <v>1</v>
      </c>
      <c r="AN67" s="22" t="s">
        <v>129</v>
      </c>
      <c r="AO67" s="22">
        <v>1</v>
      </c>
      <c r="AP67" s="22" t="s">
        <v>110</v>
      </c>
      <c r="AQ67" s="22">
        <v>1</v>
      </c>
      <c r="AR67" s="22"/>
      <c r="AS67" s="22"/>
      <c r="AT67" s="22"/>
      <c r="AU67" s="22"/>
      <c r="AV67" s="22"/>
      <c r="AW67" s="22"/>
      <c r="AX67" s="24">
        <f>IF(AD67="",0,VLOOKUP(AD67,[1]BD_CUSTO!I:J,2,0)*AE67/E67)</f>
        <v>17.375</v>
      </c>
      <c r="AY67" s="24">
        <f>IF(AF67="",0,VLOOKUP(AF67,[1]BD_CUSTO!I:J,2,0)*AG67/E67)</f>
        <v>57.875</v>
      </c>
      <c r="AZ67" s="24">
        <f>IF(AH67="",0,VLOOKUP(AH67,[1]BD_CUSTO!I:J,2,0)*AI67/E67)</f>
        <v>155.39080000000001</v>
      </c>
      <c r="BA67" s="24">
        <f>IF(AJ67="",0,VLOOKUP(AJ67,[1]BD_CUSTO!I:J,2,0)*AK67/E67)</f>
        <v>307.89224999999999</v>
      </c>
      <c r="BB67" s="24">
        <f>IF(AL67="",0,VLOOKUP(AL67,[1]BD_CUSTO!I:J,2,0)*AM67/E67)</f>
        <v>212.87279999999998</v>
      </c>
      <c r="BC67" s="24">
        <f>IF(AN67="",0,VLOOKUP(AN67,[1]BD_CUSTO!I:J,2,0)*AO67/E67)</f>
        <v>687.91895</v>
      </c>
      <c r="BD67" s="24">
        <f>IF(AP67="",0,VLOOKUP(AP67,[1]BD_CUSTO!I:J,2,0)*AQ67/E67)</f>
        <v>13.25</v>
      </c>
      <c r="BE67" s="24">
        <f>IF(AR67="",0,VLOOKUP(AR67,CUSTO!I:J,2,0)*AS67/E67)</f>
        <v>0</v>
      </c>
      <c r="BF67" s="24">
        <f>IF(AT67="",0,VLOOKUP(AT67,[1]BD_CUSTO!I:J,2,0)*AU67/E67)</f>
        <v>0</v>
      </c>
      <c r="BG67" s="24">
        <f>IF(Tabela1[[#This Row],[LZ 10]]="",0,VLOOKUP(Tabela1[[#This Row],[LZ 10]],[1]BD_CUSTO!I:J,2,0)*Tabela1[[#This Row],[QTD922]]/E67)</f>
        <v>0</v>
      </c>
      <c r="BH67" s="22" t="s">
        <v>112</v>
      </c>
      <c r="BI67" s="25">
        <f>144/Tabela1[[#This Row],[Nº UNDS]]</f>
        <v>0.36</v>
      </c>
      <c r="BJ67" s="22" t="s">
        <v>113</v>
      </c>
      <c r="BK67" s="25">
        <v>0</v>
      </c>
      <c r="BL67" s="24">
        <f>IF(BH67=[1]BD_CUSTO!$M$6,[1]BD_CUSTO!$N$6)*BI67</f>
        <v>1080</v>
      </c>
      <c r="BM67" s="24">
        <f>IF(BJ67=[1]BD_CUSTO!$M$4,[1]BD_CUSTO!$N$4,[1]BD_CUSTO!$N$5)*BK67</f>
        <v>0</v>
      </c>
      <c r="BN67" s="22" t="s">
        <v>114</v>
      </c>
      <c r="BO67" s="22">
        <f>439-22</f>
        <v>417</v>
      </c>
      <c r="BP67" s="25">
        <f>Tabela1[[#This Row],[QTD ]]/Tabela1[[#This Row],[Nº UNDS]]</f>
        <v>1.0425</v>
      </c>
      <c r="BQ67" s="22" t="s">
        <v>123</v>
      </c>
      <c r="BR67" s="22">
        <v>22</v>
      </c>
      <c r="BS67" s="22" t="s">
        <v>116</v>
      </c>
      <c r="BT67" s="22">
        <v>0</v>
      </c>
      <c r="BU67" s="22" t="s">
        <v>16</v>
      </c>
      <c r="BV67" s="22">
        <v>0</v>
      </c>
      <c r="BW67" s="24">
        <f>IF(BN67=[1]BD_CUSTO!$Q$7,[1]BD_CUSTO!$R$7,[1]BD_CUSTO!$R$8)*BO67/E67</f>
        <v>2085</v>
      </c>
      <c r="BX67" s="24">
        <f>IF(BQ67=[1]BD_CUSTO!$Q$4,[1]BD_CUSTO!$R$4,[1]BD_CUSTO!$R$5)*BR67/E67</f>
        <v>55</v>
      </c>
      <c r="BY67" s="22">
        <f>IF(BS67=[1]BD_CUSTO!$Q$13,[1]BD_CUSTO!$R$13,[1]BD_CUSTO!$R$14)*BT67/E67</f>
        <v>0</v>
      </c>
      <c r="BZ67" s="24">
        <f>BV67*CUSTO!$R$10/E67</f>
        <v>0</v>
      </c>
      <c r="CA67" s="26">
        <f>SUM(Tabela1[[#This Row],[SOMA_PISO SALA E QUARTO]],Tabela1[[#This Row],[SOMA_PAREDE HIDR]],Tabela1[[#This Row],[SOMA_TETO]],Tabela1[[#This Row],[SOMA_BANCADA]],Tabela1[[#This Row],[SOMA_PEDRAS]])</f>
        <v>4290</v>
      </c>
      <c r="CB67" s="27" t="str">
        <f>IF(CA67&lt;=RÉGUAS!$D$4,"ACAB 01",IF(CA67&lt;=RÉGUAS!$F$4,"ACAB 02",IF(CA67&gt;RÉGUAS!$F$4,"ACAB 03",)))</f>
        <v>ACAB 02</v>
      </c>
      <c r="CC67" s="26">
        <f>SUM(Tabela1[[#This Row],[SOMA_LZ 01]:[SOMA_LZ 10]])</f>
        <v>1452.5747999999999</v>
      </c>
      <c r="CD67" s="22" t="str">
        <f>IF(CC67&lt;=RÉGUAS!$D$13,"LZ 01",IF(CC67&lt;=RÉGUAS!$F$13,"LZ 02",IF(CC67&lt;=RÉGUAS!$H$13,"LZ 03",IF(CC67&gt;RÉGUAS!$H$13,"LZ 04",))))</f>
        <v>LZ 02</v>
      </c>
      <c r="CE67" s="28">
        <f t="shared" ref="CE67:CE98" si="15">SUM(BL67:BM67)</f>
        <v>1080</v>
      </c>
      <c r="CF67" s="22" t="str">
        <f>IF(CE67&lt;=RÉGUAS!$D$22,"TIP 01",IF(CE67&lt;=RÉGUAS!$F$22,"TIP 02",IF(CE67&gt;RÉGUAS!$F$22,"TIP 03",)))</f>
        <v>TIP 01</v>
      </c>
      <c r="CG67" s="28">
        <f t="shared" ref="CG67:CG98" si="16">SUM(BW67:BZ67)</f>
        <v>2140</v>
      </c>
      <c r="CH67" s="22" t="str">
        <f>IF(CG67&lt;=RÉGUAS!$D$32,"VAGA 01",IF(CG67&lt;=RÉGUAS!$F$32,"VAGA 02",IF(CG67&gt;RÉGUAS!$F$32,"VAGA 03",)))</f>
        <v>VAGA 02</v>
      </c>
      <c r="CI67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750.7</v>
      </c>
      <c r="CJ67" s="85" t="str">
        <f>IF(AND(G67="BLOCO",CI67&lt;=RÉGUAS!$D$40),"ELEV 01",IF(AND(G67="BLOCO",CI67&gt;RÉGUAS!$D$40),"ELEV 02",IF(AND(G67="TORRE",CI67&lt;=RÉGUAS!$K$40),"ELEV 01",IF(AND(G67="TORRE",CI67&lt;=RÉGUAS!$M$40),"ELEV 02",IF(AND(G67="TORRE",CI67&gt;RÉGUAS!$M$40),"ELEV 03",)))))</f>
        <v>ELEV 02</v>
      </c>
      <c r="CK67" s="85">
        <f>SUM(Tabela1[[#This Row],[TOTAL  ACAB]],Tabela1[[#This Row],[TOTAL LAZER ]],Tabela1[[#This Row],[TOTAL TIPOLOGIA]],Tabela1[[#This Row],[TOTAL VAGA]],Tabela1[[#This Row],[TOTAL ELEVADOR]])</f>
        <v>9713.2748000000011</v>
      </c>
      <c r="CL67" s="72" t="str">
        <f>IF(AND(G67="BLOCO",CK67&lt;=RÉGUAS!$D$50),"ESSENCIAL",IF(AND(G67="BLOCO",CK67&lt;=RÉGUAS!$F$50),"ECO",IF(AND(G67="BLOCO",CK67&gt;RÉGUAS!$F$50),"BIO",IF(AND(G67="TORRE",CK67&lt;=RÉGUAS!$K$50),"ESSENCIAL",IF(AND(G67="TORRE",CK67&lt;=RÉGUAS!$M$50),"ECO",IF(AND(G67="TORRE",CK67&gt;RÉGUAS!$M$50),"BIO",))))))</f>
        <v>ECO</v>
      </c>
      <c r="CM67" s="28" t="str">
        <f>IF(AND(G67="BLOCO",CK67&gt;=RÉGUAS!$D$51,CK67&lt;=RÉGUAS!$D$50),"ESSENCIAL-10%",IF(AND(G67="BLOCO",CK67&gt;RÉGUAS!$D$50,CK67&lt;=RÉGUAS!$E$51),"ECO+10%",IF(AND(G67="BLOCO",CK67&gt;=RÉGUAS!$F$51,CK67&lt;=RÉGUAS!$F$50),"ECO-10%",IF(AND(G67="BLOCO",CK67&gt;RÉGUAS!$F$50,CK67&lt;=RÉGUAS!$G$51),"BIO+10%",IF(AND(G67="TORRE",CK67&gt;=RÉGUAS!$K$51,CK67&lt;=RÉGUAS!$K$50),"ESSENCIAL-10%",IF(AND(G67="TORRE",CK67&gt;RÉGUAS!$K$50,CK67&lt;=RÉGUAS!$L$51),"ECO+10%",IF(AND(G67="TORRE",CK67&gt;=RÉGUAS!$M$51,CK67&lt;=RÉGUAS!$M$50),"ECO-10%",IF(AND(G67="TORRE",CK67&gt;RÉGUAS!$M$50,CK67&lt;=RÉGUAS!$N$51),"BIO+10%","-"))))))))</f>
        <v>-</v>
      </c>
      <c r="CN67" s="73">
        <f t="shared" ref="CN67:CN98" si="17">SUM(CA67,CC67,CE67,CG67)</f>
        <v>8962.5748000000003</v>
      </c>
      <c r="CO67" s="72" t="str">
        <f>IF(CN67&lt;=RÉGUAS!$D$58,"ESSENCIAL",IF(CN67&lt;=RÉGUAS!$F$58,"ECO",IF(CN67&gt;RÉGUAS!$F$58,"BIO",)))</f>
        <v>ECO</v>
      </c>
      <c r="CP67" s="72" t="str">
        <f>IF(Tabela1[[#This Row],[INTERVALO DE INTERSEÇÃO 5D]]="-",Tabela1[[#This Row],[CLASSIFICAÇÃO 
5D ]],Tabela1[[#This Row],[CLASSIFICAÇÃO 
4D]])</f>
        <v>ECO</v>
      </c>
      <c r="CQ67" s="72" t="str">
        <f t="shared" ref="CQ67:CQ98" si="18">IF(AND(CL67="ESSENCIAL",CO67="BIO"),"OPOSTO",IF(AND(CL67="BIO",CO67="ESSENCIAL"),"OPOSTO","-"))</f>
        <v>-</v>
      </c>
      <c r="CR67" s="72" t="str">
        <f t="shared" ref="CR67:CR98" si="19">IF(AND(CL67="ESSENCIAL",CO67="BIO"),"ECO",IF(AND(CL67="BIO",CO67="ESSENCIAL"),"ECO",CP67))</f>
        <v>ECO</v>
      </c>
      <c r="CS67" s="22" t="str">
        <f>IF(Tabela1[[#This Row],[PRODUTO ATUAL ]]=Tabela1[[#This Row],[CLASSIFICAÇÃO FINAL 5D]],"ADERÊNTE","NÃO ADERÊNTE")</f>
        <v>ADERÊNTE</v>
      </c>
      <c r="CT67" s="24">
        <f>SUM(Tabela1[[#This Row],[TOTAL  ACAB]],Tabela1[[#This Row],[TOTAL LAZER ]],Tabela1[[#This Row],[TOTAL TIPOLOGIA]],Tabela1[[#This Row],[TOTAL VAGA]])</f>
        <v>8962.5748000000003</v>
      </c>
      <c r="CU67" s="22" t="str">
        <f>IF(CT67&lt;=RÉGUAS!$D$58,"ESSENCIAL",IF(CT67&lt;=RÉGUAS!$F$58,"ECO",IF(CT67&gt;RÉGUAS!$F$58,"BIO",)))</f>
        <v>ECO</v>
      </c>
      <c r="CV67" s="22" t="str">
        <f>IF(AND(CT67&gt;=RÉGUAS!$D$59,CT67&lt;=RÉGUAS!$E$59),"ESSENCIAL/ECO",IF(AND(CT67&gt;=RÉGUAS!$F$59,CT67&lt;=RÉGUAS!$G$59),"ECO/BIO","-"))</f>
        <v>-</v>
      </c>
      <c r="CW67" s="85">
        <f>SUM(Tabela1[[#This Row],[TOTAL LAZER ]],Tabela1[[#This Row],[TOTAL TIPOLOGIA]])</f>
        <v>2532.5747999999999</v>
      </c>
      <c r="CX67" s="22" t="str">
        <f>IF(CW67&lt;=RÉGUAS!$D$72,"ESSENCIAL",IF(CW67&lt;=RÉGUAS!$F$72,"ECO",IF(CN67&gt;RÉGUAS!$F$72,"BIO",)))</f>
        <v>ECO</v>
      </c>
      <c r="CY67" s="22" t="str">
        <f t="shared" ref="CY67:CY98" si="20">IF(CV67="-",CU67,CX67)</f>
        <v>ECO</v>
      </c>
      <c r="CZ67" s="22" t="str">
        <f>IF(Tabela1[[#This Row],[PRODUTO ATUAL ]]=CY67,"ADERENTE","NÃO ADERENTE")</f>
        <v>ADERENTE</v>
      </c>
      <c r="DA67" s="22" t="str">
        <f>IF(Tabela1[[#This Row],[PRODUTO ATUAL ]]=Tabela1[[#This Row],[CLASSIFICAÇÃO 
4D2]],"ADERENTE","NÃO ADERENTE")</f>
        <v>ADERENTE</v>
      </c>
    </row>
    <row r="68" spans="2:105" hidden="1" x14ac:dyDescent="0.35">
      <c r="B68" s="27">
        <v>66</v>
      </c>
      <c r="C68" s="22" t="s">
        <v>218</v>
      </c>
      <c r="D68" s="22" t="s">
        <v>100</v>
      </c>
      <c r="E68" s="23">
        <v>496</v>
      </c>
      <c r="F68" s="22" t="str">
        <f t="shared" si="14"/>
        <v>Acima de 400 und</v>
      </c>
      <c r="G68" s="22" t="s">
        <v>1</v>
      </c>
      <c r="H68" s="36">
        <v>31</v>
      </c>
      <c r="I68" s="36">
        <v>4</v>
      </c>
      <c r="J68" s="36"/>
      <c r="K68" s="36"/>
      <c r="L68" s="36">
        <f>SUM(Tabela1[[#This Row],[QTD DE B/T 2]],Tabela1[[#This Row],[QTD DE B/T]])</f>
        <v>31</v>
      </c>
      <c r="M68" s="22">
        <v>0</v>
      </c>
      <c r="N68" s="22">
        <f>Tabela1[[#This Row],[ELEVADOR]]/Tabela1[[#This Row],[BLOCO TOTAL]]</f>
        <v>0</v>
      </c>
      <c r="O68" s="22" t="s">
        <v>5</v>
      </c>
      <c r="P68" s="22" t="s">
        <v>101</v>
      </c>
      <c r="Q68" s="22" t="s">
        <v>101</v>
      </c>
      <c r="R68" s="22" t="s">
        <v>142</v>
      </c>
      <c r="S68" s="22" t="s">
        <v>103</v>
      </c>
      <c r="T68" s="22" t="s">
        <v>104</v>
      </c>
      <c r="U68" s="22" t="s">
        <v>105</v>
      </c>
      <c r="V68" s="22" t="s">
        <v>106</v>
      </c>
      <c r="W68" s="24">
        <f>IF(P68=[1]BD_CUSTO!$E$4,[1]BD_CUSTO!$F$4,[1]BD_CUSTO!$F$5)</f>
        <v>2430</v>
      </c>
      <c r="X68" s="24">
        <f>IF(Q68=[1]BD_CUSTO!$E$6,[1]BD_CUSTO!$F$6,[1]BD_CUSTO!$F$7)</f>
        <v>260</v>
      </c>
      <c r="Y68" s="24">
        <f>IF(R68=[1]BD_CUSTO!$E$8,[1]BD_CUSTO!$F$8,[1]BD_CUSTO!$F$9)</f>
        <v>900</v>
      </c>
      <c r="Z68" s="24">
        <f>IF(S68=[1]BD_CUSTO!$E$10,[1]BD_CUSTO!$F$10,[1]BD_CUSTO!$F$11)</f>
        <v>500</v>
      </c>
      <c r="AA68" s="24">
        <f>IF(T68=[1]BD_CUSTO!$E$12,[1]BD_CUSTO!$F$12,[1]BD_CUSTO!$F$13)</f>
        <v>370</v>
      </c>
      <c r="AB68" s="24">
        <f>IF(U68=[1]BD_CUSTO!$E$14,[1]BD_CUSTO!$F$14,[1]BD_CUSTO!$F$15)</f>
        <v>90</v>
      </c>
      <c r="AC68" s="24">
        <f>IF(V68=[1]BD_CUSTO!$E$16,[1]BD_CUSTO!$F$16,[1]BD_CUSTO!$F$17)</f>
        <v>720</v>
      </c>
      <c r="AD68" s="22" t="s">
        <v>129</v>
      </c>
      <c r="AE68" s="22">
        <v>1</v>
      </c>
      <c r="AF68" s="22" t="s">
        <v>108</v>
      </c>
      <c r="AG68" s="22">
        <v>1</v>
      </c>
      <c r="AH68" s="22" t="s">
        <v>111</v>
      </c>
      <c r="AI68" s="22">
        <v>2</v>
      </c>
      <c r="AJ68" s="22" t="s">
        <v>107</v>
      </c>
      <c r="AK68" s="22">
        <v>4</v>
      </c>
      <c r="AL68" s="22" t="s">
        <v>133</v>
      </c>
      <c r="AM68" s="22">
        <v>1</v>
      </c>
      <c r="AN68" s="22" t="s">
        <v>126</v>
      </c>
      <c r="AO68" s="22">
        <v>1</v>
      </c>
      <c r="AP68" s="22" t="s">
        <v>110</v>
      </c>
      <c r="AQ68" s="22">
        <v>1</v>
      </c>
      <c r="AR68" s="22" t="s">
        <v>109</v>
      </c>
      <c r="AS68" s="22">
        <v>1</v>
      </c>
      <c r="AT68" s="22"/>
      <c r="AU68" s="22"/>
      <c r="AV68" s="22"/>
      <c r="AW68" s="22"/>
      <c r="AX68" s="24">
        <f>IF(AD68="",0,VLOOKUP(AD68,[1]BD_CUSTO!I:J,2,0)*AE68/E68)</f>
        <v>554.77334677419356</v>
      </c>
      <c r="AY68" s="24">
        <f>IF(AF68="",0,VLOOKUP(AF68,[1]BD_CUSTO!I:J,2,0)*AG68/E68)</f>
        <v>46.673387096774192</v>
      </c>
      <c r="AZ68" s="24">
        <f>IF(AH68="",0,VLOOKUP(AH68,[1]BD_CUSTO!I:J,2,0)*AI68/E68)</f>
        <v>65.322580645161295</v>
      </c>
      <c r="BA68" s="24">
        <f>IF(AJ68="",0,VLOOKUP(AJ68,[1]BD_CUSTO!I:J,2,0)*AK68/E68)</f>
        <v>686.68645161290317</v>
      </c>
      <c r="BB68" s="24">
        <f>IF(AL68="",0,VLOOKUP(AL68,[1]BD_CUSTO!I:J,2,0)*AM68/E68)</f>
        <v>14.03225806451613</v>
      </c>
      <c r="BC68" s="24">
        <f>IF(AN68="",0,VLOOKUP(AN68,[1]BD_CUSTO!I:J,2,0)*AO68/E68)</f>
        <v>15.241935483870968</v>
      </c>
      <c r="BD68" s="24">
        <f>IF(AP68="",0,VLOOKUP(AP68,[1]BD_CUSTO!I:J,2,0)*AQ68/E68)</f>
        <v>10.685483870967742</v>
      </c>
      <c r="BE68" s="24">
        <f>IF(AR68="",0,VLOOKUP(AR68,CUSTO!I:J,2,0)*AS68/E68)</f>
        <v>14.012096774193548</v>
      </c>
      <c r="BF68" s="24">
        <f>IF(AT68="",0,VLOOKUP(AT68,[1]BD_CUSTO!I:J,2,0)*AU68/E68)</f>
        <v>0</v>
      </c>
      <c r="BG68" s="24">
        <f>IF(Tabela1[[#This Row],[LZ 10]]="",0,VLOOKUP(Tabela1[[#This Row],[LZ 10]],[1]BD_CUSTO!I:J,2,0)*Tabela1[[#This Row],[QTD922]]/E68)</f>
        <v>0</v>
      </c>
      <c r="BH68" s="22" t="s">
        <v>112</v>
      </c>
      <c r="BI68" s="25">
        <f>186/Tabela1[[#This Row],[Nº UNDS]]</f>
        <v>0.375</v>
      </c>
      <c r="BJ68" s="22" t="s">
        <v>113</v>
      </c>
      <c r="BK68" s="25">
        <v>0</v>
      </c>
      <c r="BL68" s="24">
        <f>IF(BH68=[1]BD_CUSTO!$M$6,[1]BD_CUSTO!$N$6)*BI68</f>
        <v>1125</v>
      </c>
      <c r="BM68" s="24">
        <f>IF(BJ68=[1]BD_CUSTO!$M$4,[1]BD_CUSTO!$N$4,[1]BD_CUSTO!$N$5)*BK68</f>
        <v>0</v>
      </c>
      <c r="BN68" s="22" t="s">
        <v>114</v>
      </c>
      <c r="BO68" s="22">
        <v>521</v>
      </c>
      <c r="BP68" s="25">
        <f>Tabela1[[#This Row],[QTD ]]/Tabela1[[#This Row],[Nº UNDS]]</f>
        <v>1.0504032258064515</v>
      </c>
      <c r="BQ68" s="22" t="s">
        <v>115</v>
      </c>
      <c r="BR68" s="22">
        <v>0</v>
      </c>
      <c r="BS68" s="22" t="s">
        <v>116</v>
      </c>
      <c r="BT68" s="22">
        <v>0</v>
      </c>
      <c r="BU68" s="22" t="s">
        <v>16</v>
      </c>
      <c r="BV68" s="22">
        <v>0</v>
      </c>
      <c r="BW68" s="24">
        <f>IF(BN68=[1]BD_CUSTO!$Q$7,[1]BD_CUSTO!$R$7,[1]BD_CUSTO!$R$8)*BO68/E68</f>
        <v>2100.8064516129034</v>
      </c>
      <c r="BX68" s="24">
        <f>IF(BQ68=[1]BD_CUSTO!$Q$4,[1]BD_CUSTO!$R$4,[1]BD_CUSTO!$R$5)*BR68/E68</f>
        <v>0</v>
      </c>
      <c r="BY68" s="22">
        <f>IF(BS68=[1]BD_CUSTO!$Q$13,[1]BD_CUSTO!$R$13,[1]BD_CUSTO!$R$14)*BT68/E68</f>
        <v>0</v>
      </c>
      <c r="BZ68" s="24">
        <f>BV68*CUSTO!$R$10/E68</f>
        <v>0</v>
      </c>
      <c r="CA68" s="26">
        <f>SUM(Tabela1[[#This Row],[SOMA_PISO SALA E QUARTO]],Tabela1[[#This Row],[SOMA_PAREDE HIDR]],Tabela1[[#This Row],[SOMA_TETO]],Tabela1[[#This Row],[SOMA_BANCADA]],Tabela1[[#This Row],[SOMA_PEDRAS]])</f>
        <v>4290</v>
      </c>
      <c r="CB68" s="27" t="str">
        <f>IF(CA68&lt;=RÉGUAS!$D$4,"ACAB 01",IF(CA68&lt;=RÉGUAS!$F$4,"ACAB 02",IF(CA68&gt;RÉGUAS!$F$4,"ACAB 03",)))</f>
        <v>ACAB 02</v>
      </c>
      <c r="CC68" s="26">
        <f>SUM(Tabela1[[#This Row],[SOMA_LZ 01]:[SOMA_LZ 10]])</f>
        <v>1407.4275403225809</v>
      </c>
      <c r="CD68" s="22" t="str">
        <f>IF(CC68&lt;=RÉGUAS!$D$13,"LZ 01",IF(CC68&lt;=RÉGUAS!$F$13,"LZ 02",IF(CC68&lt;=RÉGUAS!$H$13,"LZ 03",IF(CC68&gt;RÉGUAS!$H$13,"LZ 04",))))</f>
        <v>LZ 02</v>
      </c>
      <c r="CE68" s="28">
        <f t="shared" si="15"/>
        <v>1125</v>
      </c>
      <c r="CF68" s="22" t="str">
        <f>IF(CE68&lt;=RÉGUAS!$D$22,"TIP 01",IF(CE68&lt;=RÉGUAS!$F$22,"TIP 02",IF(CE68&gt;RÉGUAS!$F$22,"TIP 03",)))</f>
        <v>TIP 01</v>
      </c>
      <c r="CG68" s="28">
        <f t="shared" si="16"/>
        <v>2100.8064516129034</v>
      </c>
      <c r="CH68" s="22" t="str">
        <f>IF(CG68&lt;=RÉGUAS!$D$32,"VAGA 01",IF(CG68&lt;=RÉGUAS!$F$32,"VAGA 02",IF(CG68&gt;RÉGUAS!$F$32,"VAGA 03",)))</f>
        <v>VAGA 02</v>
      </c>
      <c r="CI68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68" s="85" t="str">
        <f>IF(AND(G68="BLOCO",CI68&lt;=RÉGUAS!$D$40),"ELEV 01",IF(AND(G68="BLOCO",CI68&gt;RÉGUAS!$D$40),"ELEV 02",IF(AND(G68="TORRE",CI68&lt;=RÉGUAS!$K$40),"ELEV 01",IF(AND(G68="TORRE",CI68&lt;=RÉGUAS!$M$40),"ELEV 02",IF(AND(G68="TORRE",CI68&gt;RÉGUAS!$M$40),"ELEV 03",)))))</f>
        <v>ELEV 01</v>
      </c>
      <c r="CK68" s="85">
        <f>SUM(Tabela1[[#This Row],[TOTAL  ACAB]],Tabela1[[#This Row],[TOTAL LAZER ]],Tabela1[[#This Row],[TOTAL TIPOLOGIA]],Tabela1[[#This Row],[TOTAL VAGA]],Tabela1[[#This Row],[TOTAL ELEVADOR]])</f>
        <v>8923.2339919354854</v>
      </c>
      <c r="CL68" s="72" t="str">
        <f>IF(AND(G68="BLOCO",CK68&lt;=RÉGUAS!$D$50),"ESSENCIAL",IF(AND(G68="BLOCO",CK68&lt;=RÉGUAS!$F$50),"ECO",IF(AND(G68="BLOCO",CK68&gt;RÉGUAS!$F$50),"BIO",IF(AND(G68="TORRE",CK68&lt;=RÉGUAS!$K$50),"ESSENCIAL",IF(AND(G68="TORRE",CK68&lt;=RÉGUAS!$M$50),"ECO",IF(AND(G68="TORRE",CK68&gt;RÉGUAS!$M$50),"BIO",))))))</f>
        <v>ECO</v>
      </c>
      <c r="CM68" s="28" t="str">
        <f>IF(AND(G68="BLOCO",CK68&gt;=RÉGUAS!$D$51,CK68&lt;=RÉGUAS!$D$50),"ESSENCIAL-10%",IF(AND(G68="BLOCO",CK68&gt;RÉGUAS!$D$50,CK68&lt;=RÉGUAS!$E$51),"ECO+10%",IF(AND(G68="BLOCO",CK68&gt;=RÉGUAS!$F$51,CK68&lt;=RÉGUAS!$F$50),"ECO-10%",IF(AND(G68="BLOCO",CK68&gt;RÉGUAS!$F$50,CK68&lt;=RÉGUAS!$G$51),"BIO+10%",IF(AND(G68="TORRE",CK68&gt;=RÉGUAS!$K$51,CK68&lt;=RÉGUAS!$K$50),"ESSENCIAL-10%",IF(AND(G68="TORRE",CK68&gt;RÉGUAS!$K$50,CK68&lt;=RÉGUAS!$L$51),"ECO+10%",IF(AND(G68="TORRE",CK68&gt;=RÉGUAS!$M$51,CK68&lt;=RÉGUAS!$M$50),"ECO-10%",IF(AND(G68="TORRE",CK68&gt;RÉGUAS!$M$50,CK68&lt;=RÉGUAS!$N$51),"BIO+10%","-"))))))))</f>
        <v>-</v>
      </c>
      <c r="CN68" s="73">
        <f t="shared" si="17"/>
        <v>8923.2339919354854</v>
      </c>
      <c r="CO68" s="72" t="str">
        <f>IF(CN68&lt;=RÉGUAS!$D$58,"ESSENCIAL",IF(CN68&lt;=RÉGUAS!$F$58,"ECO",IF(CN68&gt;RÉGUAS!$F$58,"BIO",)))</f>
        <v>ECO</v>
      </c>
      <c r="CP68" s="72" t="str">
        <f>IF(Tabela1[[#This Row],[INTERVALO DE INTERSEÇÃO 5D]]="-",Tabela1[[#This Row],[CLASSIFICAÇÃO 
5D ]],Tabela1[[#This Row],[CLASSIFICAÇÃO 
4D]])</f>
        <v>ECO</v>
      </c>
      <c r="CQ68" s="72" t="str">
        <f t="shared" si="18"/>
        <v>-</v>
      </c>
      <c r="CR68" s="72" t="str">
        <f t="shared" si="19"/>
        <v>ECO</v>
      </c>
      <c r="CS68" s="22" t="str">
        <f>IF(Tabela1[[#This Row],[PRODUTO ATUAL ]]=Tabela1[[#This Row],[CLASSIFICAÇÃO FINAL 5D]],"ADERÊNTE","NÃO ADERÊNTE")</f>
        <v>ADERÊNTE</v>
      </c>
      <c r="CT68" s="24">
        <f>SUM(Tabela1[[#This Row],[TOTAL  ACAB]],Tabela1[[#This Row],[TOTAL LAZER ]],Tabela1[[#This Row],[TOTAL TIPOLOGIA]],Tabela1[[#This Row],[TOTAL VAGA]])</f>
        <v>8923.2339919354854</v>
      </c>
      <c r="CU68" s="22" t="str">
        <f>IF(CT68&lt;=RÉGUAS!$D$58,"ESSENCIAL",IF(CT68&lt;=RÉGUAS!$F$58,"ECO",IF(CT68&gt;RÉGUAS!$F$58,"BIO",)))</f>
        <v>ECO</v>
      </c>
      <c r="CV68" s="22" t="str">
        <f>IF(AND(CT68&gt;=RÉGUAS!$D$59,CT68&lt;=RÉGUAS!$E$59),"ESSENCIAL/ECO",IF(AND(CT68&gt;=RÉGUAS!$F$59,CT68&lt;=RÉGUAS!$G$59),"ECO/BIO","-"))</f>
        <v>-</v>
      </c>
      <c r="CW68" s="85">
        <f>SUM(Tabela1[[#This Row],[TOTAL LAZER ]],Tabela1[[#This Row],[TOTAL TIPOLOGIA]])</f>
        <v>2532.4275403225811</v>
      </c>
      <c r="CX68" s="22" t="str">
        <f>IF(CW68&lt;=RÉGUAS!$D$72,"ESSENCIAL",IF(CW68&lt;=RÉGUAS!$F$72,"ECO",IF(CN68&gt;RÉGUAS!$F$72,"BIO",)))</f>
        <v>ECO</v>
      </c>
      <c r="CY68" s="22" t="str">
        <f t="shared" si="20"/>
        <v>ECO</v>
      </c>
      <c r="CZ68" s="22" t="str">
        <f>IF(Tabela1[[#This Row],[PRODUTO ATUAL ]]=CY68,"ADERENTE","NÃO ADERENTE")</f>
        <v>ADERENTE</v>
      </c>
      <c r="DA68" s="22" t="str">
        <f>IF(Tabela1[[#This Row],[PRODUTO ATUAL ]]=Tabela1[[#This Row],[CLASSIFICAÇÃO 
4D2]],"ADERENTE","NÃO ADERENTE")</f>
        <v>ADERENTE</v>
      </c>
    </row>
    <row r="69" spans="2:105" hidden="1" x14ac:dyDescent="0.35">
      <c r="B69" s="27">
        <v>80</v>
      </c>
      <c r="C69" s="22" t="s">
        <v>202</v>
      </c>
      <c r="D69" s="22"/>
      <c r="E69" s="23">
        <v>200</v>
      </c>
      <c r="F69" s="22" t="str">
        <f t="shared" si="14"/>
        <v>Até 200 und</v>
      </c>
      <c r="G69" s="22" t="s">
        <v>1</v>
      </c>
      <c r="H69" s="36">
        <v>10</v>
      </c>
      <c r="I69" s="36">
        <v>5</v>
      </c>
      <c r="J69" s="36"/>
      <c r="K69" s="36"/>
      <c r="L69" s="36">
        <f>SUM(Tabela1[[#This Row],[QTD DE B/T 2]],Tabela1[[#This Row],[QTD DE B/T]])</f>
        <v>10</v>
      </c>
      <c r="M69" s="22">
        <v>0</v>
      </c>
      <c r="N69" s="22">
        <f>Tabela1[[#This Row],[ELEVADOR]]/Tabela1[[#This Row],[BLOCO TOTAL]]</f>
        <v>0</v>
      </c>
      <c r="O69" s="22" t="s">
        <v>5</v>
      </c>
      <c r="P69" s="22" t="s">
        <v>101</v>
      </c>
      <c r="Q69" s="22" t="s">
        <v>101</v>
      </c>
      <c r="R69" s="22" t="s">
        <v>142</v>
      </c>
      <c r="S69" s="22" t="s">
        <v>103</v>
      </c>
      <c r="T69" s="22" t="s">
        <v>104</v>
      </c>
      <c r="U69" s="22" t="s">
        <v>105</v>
      </c>
      <c r="V69" s="22" t="s">
        <v>106</v>
      </c>
      <c r="W69" s="24">
        <f>IF(P69=[1]BD_CUSTO!$E$4,[1]BD_CUSTO!$F$4,[1]BD_CUSTO!$F$5)</f>
        <v>2430</v>
      </c>
      <c r="X69" s="24">
        <f>IF(Q69=[1]BD_CUSTO!$E$6,[1]BD_CUSTO!$F$6,[1]BD_CUSTO!$F$7)</f>
        <v>260</v>
      </c>
      <c r="Y69" s="24">
        <f>IF(R69=[1]BD_CUSTO!$E$8,[1]BD_CUSTO!$F$8,[1]BD_CUSTO!$F$9)</f>
        <v>900</v>
      </c>
      <c r="Z69" s="24">
        <f>IF(S69=[1]BD_CUSTO!$E$10,[1]BD_CUSTO!$F$10,[1]BD_CUSTO!$F$11)</f>
        <v>500</v>
      </c>
      <c r="AA69" s="24">
        <f>IF(T69=[1]BD_CUSTO!$E$12,[1]BD_CUSTO!$F$12,[1]BD_CUSTO!$F$13)</f>
        <v>370</v>
      </c>
      <c r="AB69" s="24">
        <f>IF(U69=[1]BD_CUSTO!$E$14,[1]BD_CUSTO!$F$14,[1]BD_CUSTO!$F$15)</f>
        <v>90</v>
      </c>
      <c r="AC69" s="24">
        <f>IF(V69=[1]BD_CUSTO!$E$16,[1]BD_CUSTO!$F$16,[1]BD_CUSTO!$F$17)</f>
        <v>720</v>
      </c>
      <c r="AD69" s="22" t="s">
        <v>110</v>
      </c>
      <c r="AE69" s="22">
        <v>1</v>
      </c>
      <c r="AF69" s="22" t="s">
        <v>129</v>
      </c>
      <c r="AG69" s="22">
        <v>1</v>
      </c>
      <c r="AH69" s="22" t="s">
        <v>108</v>
      </c>
      <c r="AI69" s="22">
        <v>1</v>
      </c>
      <c r="AJ69" s="22" t="s">
        <v>107</v>
      </c>
      <c r="AK69" s="22">
        <v>1</v>
      </c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4">
        <f>IF(AD69="",0,VLOOKUP(AD69,[1]BD_CUSTO!I:J,2,0)*AE69/E69)</f>
        <v>26.5</v>
      </c>
      <c r="AY69" s="24">
        <f>IF(AF69="",0,VLOOKUP(AF69,[1]BD_CUSTO!I:J,2,0)*AG69/E69)</f>
        <v>1375.8379</v>
      </c>
      <c r="AZ69" s="24">
        <f>IF(AH69="",0,VLOOKUP(AH69,[1]BD_CUSTO!I:J,2,0)*AI69/E69)</f>
        <v>115.75</v>
      </c>
      <c r="BA69" s="24">
        <f>IF(AJ69="",0,VLOOKUP(AJ69,[1]BD_CUSTO!I:J,2,0)*AK69/E69)</f>
        <v>425.74559999999997</v>
      </c>
      <c r="BB69" s="24">
        <f>IF(AL69="",0,VLOOKUP(AL69,[1]BD_CUSTO!I:J,2,0)*AM69/E69)</f>
        <v>0</v>
      </c>
      <c r="BC69" s="24">
        <f>IF(AN69="",0,VLOOKUP(AN69,[1]BD_CUSTO!I:J,2,0)*AO69/E69)</f>
        <v>0</v>
      </c>
      <c r="BD69" s="24">
        <f>IF(AP69="",0,VLOOKUP(AP69,[1]BD_CUSTO!I:J,2,0)*AQ69/E69)</f>
        <v>0</v>
      </c>
      <c r="BE69" s="24">
        <f>IF(AR69="",0,VLOOKUP(AR69,CUSTO!I:J,2,0)*AS69/E69)</f>
        <v>0</v>
      </c>
      <c r="BF69" s="24">
        <f>IF(AT69="",0,VLOOKUP(AT69,[1]BD_CUSTO!I:J,2,0)*AU69/E69)</f>
        <v>0</v>
      </c>
      <c r="BG69" s="24">
        <f>IF(Tabela1[[#This Row],[LZ 10]]="",0,VLOOKUP(Tabela1[[#This Row],[LZ 10]],[1]BD_CUSTO!I:J,2,0)*Tabela1[[#This Row],[QTD922]]/E69)</f>
        <v>0</v>
      </c>
      <c r="BH69" s="22" t="s">
        <v>112</v>
      </c>
      <c r="BI69" s="25">
        <v>0.4</v>
      </c>
      <c r="BJ69" s="22" t="s">
        <v>113</v>
      </c>
      <c r="BK69" s="25">
        <v>0</v>
      </c>
      <c r="BL69" s="24">
        <f>IF(BH69=[1]BD_CUSTO!$M$6,[1]BD_CUSTO!$N$6)*BI69</f>
        <v>1200</v>
      </c>
      <c r="BM69" s="24">
        <f>IF(BJ69=[1]BD_CUSTO!$M$4,[1]BD_CUSTO!$N$4,[1]BD_CUSTO!$N$5)*BK69</f>
        <v>0</v>
      </c>
      <c r="BN69" s="22" t="s">
        <v>114</v>
      </c>
      <c r="BO69" s="22">
        <v>212</v>
      </c>
      <c r="BP69" s="25">
        <f>Tabela1[[#This Row],[QTD ]]/Tabela1[[#This Row],[Nº UNDS]]</f>
        <v>1.06</v>
      </c>
      <c r="BQ69" s="22" t="s">
        <v>115</v>
      </c>
      <c r="BR69" s="22">
        <v>0</v>
      </c>
      <c r="BS69" s="22" t="s">
        <v>116</v>
      </c>
      <c r="BT69" s="22">
        <v>0</v>
      </c>
      <c r="BU69" s="22" t="s">
        <v>16</v>
      </c>
      <c r="BV69" s="22">
        <v>0</v>
      </c>
      <c r="BW69" s="24">
        <f>IF(BN69=[1]BD_CUSTO!$Q$7,[1]BD_CUSTO!$R$7,[1]BD_CUSTO!$R$8)*BO69/E69</f>
        <v>2120</v>
      </c>
      <c r="BX69" s="24">
        <f>IF(BQ69=[1]BD_CUSTO!$Q$4,[1]BD_CUSTO!$R$4,[1]BD_CUSTO!$R$5)*BR69/E69</f>
        <v>0</v>
      </c>
      <c r="BY69" s="22">
        <f>IF(BS69=[1]BD_CUSTO!$Q$13,[1]BD_CUSTO!$R$13,[1]BD_CUSTO!$R$14)*BT69/E69</f>
        <v>0</v>
      </c>
      <c r="BZ69" s="24">
        <f>BV69*CUSTO!$R$10/E69</f>
        <v>0</v>
      </c>
      <c r="CA69" s="26">
        <f>SUM(Tabela1[[#This Row],[SOMA_PISO SALA E QUARTO]],Tabela1[[#This Row],[SOMA_PAREDE HIDR]],Tabela1[[#This Row],[SOMA_TETO]],Tabela1[[#This Row],[SOMA_BANCADA]],Tabela1[[#This Row],[SOMA_PEDRAS]])</f>
        <v>4290</v>
      </c>
      <c r="CB69" s="27" t="str">
        <f>IF(CA69&lt;=RÉGUAS!$D$4,"ACAB 01",IF(CA69&lt;=RÉGUAS!$F$4,"ACAB 02",IF(CA69&gt;RÉGUAS!$F$4,"ACAB 03",)))</f>
        <v>ACAB 02</v>
      </c>
      <c r="CC69" s="26">
        <f>SUM(Tabela1[[#This Row],[SOMA_LZ 01]:[SOMA_LZ 10]])</f>
        <v>1943.8335</v>
      </c>
      <c r="CD69" s="22" t="str">
        <f>IF(CC69&lt;=RÉGUAS!$D$13,"LZ 01",IF(CC69&lt;=RÉGUAS!$F$13,"LZ 02",IF(CC69&lt;=RÉGUAS!$H$13,"LZ 03",IF(CC69&gt;RÉGUAS!$H$13,"LZ 04",))))</f>
        <v>LZ 03</v>
      </c>
      <c r="CE69" s="28">
        <f t="shared" si="15"/>
        <v>1200</v>
      </c>
      <c r="CF69" s="22" t="str">
        <f>IF(CE69&lt;=RÉGUAS!$D$22,"TIP 01",IF(CE69&lt;=RÉGUAS!$F$22,"TIP 02",IF(CE69&gt;RÉGUAS!$F$22,"TIP 03",)))</f>
        <v>TIP 01</v>
      </c>
      <c r="CG69" s="28">
        <f t="shared" si="16"/>
        <v>2120</v>
      </c>
      <c r="CH69" s="22" t="str">
        <f>IF(CG69&lt;=RÉGUAS!$D$32,"VAGA 01",IF(CG69&lt;=RÉGUAS!$F$32,"VAGA 02",IF(CG69&gt;RÉGUAS!$F$32,"VAGA 03",)))</f>
        <v>VAGA 02</v>
      </c>
      <c r="CI69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69" s="85" t="str">
        <f>IF(AND(G69="BLOCO",CI69&lt;=RÉGUAS!$D$40),"ELEV 01",IF(AND(G69="BLOCO",CI69&gt;RÉGUAS!$D$40),"ELEV 02",IF(AND(G69="TORRE",CI69&lt;=RÉGUAS!$K$40),"ELEV 01",IF(AND(G69="TORRE",CI69&lt;=RÉGUAS!$M$40),"ELEV 02",IF(AND(G69="TORRE",CI69&gt;RÉGUAS!$M$40),"ELEV 03",)))))</f>
        <v>ELEV 01</v>
      </c>
      <c r="CK69" s="85">
        <f>SUM(Tabela1[[#This Row],[TOTAL  ACAB]],Tabela1[[#This Row],[TOTAL LAZER ]],Tabela1[[#This Row],[TOTAL TIPOLOGIA]],Tabela1[[#This Row],[TOTAL VAGA]],Tabela1[[#This Row],[TOTAL ELEVADOR]])</f>
        <v>9553.8335000000006</v>
      </c>
      <c r="CL69" s="72" t="str">
        <f>IF(AND(G69="BLOCO",CK69&lt;=RÉGUAS!$D$50),"ESSENCIAL",IF(AND(G69="BLOCO",CK69&lt;=RÉGUAS!$F$50),"ECO",IF(AND(G69="BLOCO",CK69&gt;RÉGUAS!$F$50),"BIO",IF(AND(G69="TORRE",CK69&lt;=RÉGUAS!$K$50),"ESSENCIAL",IF(AND(G69="TORRE",CK69&lt;=RÉGUAS!$M$50),"ECO",IF(AND(G69="TORRE",CK69&gt;RÉGUAS!$M$50),"BIO",))))))</f>
        <v>ECO</v>
      </c>
      <c r="CM69" s="28" t="str">
        <f>IF(AND(G69="BLOCO",CK69&gt;=RÉGUAS!$D$51,CK69&lt;=RÉGUAS!$D$50),"ESSENCIAL-10%",IF(AND(G69="BLOCO",CK69&gt;RÉGUAS!$D$50,CK69&lt;=RÉGUAS!$E$51),"ECO+10%",IF(AND(G69="BLOCO",CK69&gt;=RÉGUAS!$F$51,CK69&lt;=RÉGUAS!$F$50),"ECO-10%",IF(AND(G69="BLOCO",CK69&gt;RÉGUAS!$F$50,CK69&lt;=RÉGUAS!$G$51),"BIO+10%",IF(AND(G69="TORRE",CK69&gt;=RÉGUAS!$K$51,CK69&lt;=RÉGUAS!$K$50),"ESSENCIAL-10%",IF(AND(G69="TORRE",CK69&gt;RÉGUAS!$K$50,CK69&lt;=RÉGUAS!$L$51),"ECO+10%",IF(AND(G69="TORRE",CK69&gt;=RÉGUAS!$M$51,CK69&lt;=RÉGUAS!$M$50),"ECO-10%",IF(AND(G69="TORRE",CK69&gt;RÉGUAS!$M$50,CK69&lt;=RÉGUAS!$N$51),"BIO+10%","-"))))))))</f>
        <v>-</v>
      </c>
      <c r="CN69" s="73">
        <f t="shared" si="17"/>
        <v>9553.8335000000006</v>
      </c>
      <c r="CO69" s="72" t="str">
        <f>IF(CN69&lt;=RÉGUAS!$D$58,"ESSENCIAL",IF(CN69&lt;=RÉGUAS!$F$58,"ECO",IF(CN69&gt;RÉGUAS!$F$58,"BIO",)))</f>
        <v>ECO</v>
      </c>
      <c r="CP69" s="72" t="str">
        <f>IF(Tabela1[[#This Row],[INTERVALO DE INTERSEÇÃO 5D]]="-",Tabela1[[#This Row],[CLASSIFICAÇÃO 
5D ]],Tabela1[[#This Row],[CLASSIFICAÇÃO 
4D]])</f>
        <v>ECO</v>
      </c>
      <c r="CQ69" s="72" t="str">
        <f t="shared" si="18"/>
        <v>-</v>
      </c>
      <c r="CR69" s="72" t="str">
        <f t="shared" si="19"/>
        <v>ECO</v>
      </c>
      <c r="CS69" s="22" t="str">
        <f>IF(Tabela1[[#This Row],[PRODUTO ATUAL ]]=Tabela1[[#This Row],[CLASSIFICAÇÃO FINAL 5D]],"ADERÊNTE","NÃO ADERÊNTE")</f>
        <v>ADERÊNTE</v>
      </c>
      <c r="CT69" s="24">
        <f>SUM(Tabela1[[#This Row],[TOTAL  ACAB]],Tabela1[[#This Row],[TOTAL LAZER ]],Tabela1[[#This Row],[TOTAL TIPOLOGIA]],Tabela1[[#This Row],[TOTAL VAGA]])</f>
        <v>9553.8335000000006</v>
      </c>
      <c r="CU69" s="22" t="str">
        <f>IF(CT69&lt;=RÉGUAS!$D$58,"ESSENCIAL",IF(CT69&lt;=RÉGUAS!$F$58,"ECO",IF(CT69&gt;RÉGUAS!$F$58,"BIO",)))</f>
        <v>ECO</v>
      </c>
      <c r="CV69" s="22" t="str">
        <f>IF(AND(CT69&gt;=RÉGUAS!$D$59,CT69&lt;=RÉGUAS!$E$59),"ESSENCIAL/ECO",IF(AND(CT69&gt;=RÉGUAS!$F$59,CT69&lt;=RÉGUAS!$G$59),"ECO/BIO","-"))</f>
        <v>-</v>
      </c>
      <c r="CW69" s="85">
        <f>SUM(Tabela1[[#This Row],[TOTAL LAZER ]],Tabela1[[#This Row],[TOTAL TIPOLOGIA]])</f>
        <v>3143.8334999999997</v>
      </c>
      <c r="CX69" s="22" t="str">
        <f>IF(CW69&lt;=RÉGUAS!$D$72,"ESSENCIAL",IF(CW69&lt;=RÉGUAS!$F$72,"ECO",IF(CN69&gt;RÉGUAS!$F$72,"BIO",)))</f>
        <v>ECO</v>
      </c>
      <c r="CY69" s="22" t="str">
        <f t="shared" si="20"/>
        <v>ECO</v>
      </c>
      <c r="CZ69" s="22" t="str">
        <f>IF(Tabela1[[#This Row],[PRODUTO ATUAL ]]=CY69,"ADERENTE","NÃO ADERENTE")</f>
        <v>ADERENTE</v>
      </c>
      <c r="DA69" s="22" t="str">
        <f>IF(Tabela1[[#This Row],[PRODUTO ATUAL ]]=Tabela1[[#This Row],[CLASSIFICAÇÃO 
4D2]],"ADERENTE","NÃO ADERENTE")</f>
        <v>ADERENTE</v>
      </c>
    </row>
    <row r="70" spans="2:105" hidden="1" x14ac:dyDescent="0.35">
      <c r="B70" s="27">
        <v>84</v>
      </c>
      <c r="C70" s="22" t="s">
        <v>220</v>
      </c>
      <c r="D70" s="22" t="s">
        <v>128</v>
      </c>
      <c r="E70" s="23">
        <v>320</v>
      </c>
      <c r="F70" s="22" t="str">
        <f t="shared" si="14"/>
        <v>De 200 a 400 und</v>
      </c>
      <c r="G70" s="22" t="s">
        <v>1</v>
      </c>
      <c r="H70" s="36">
        <v>16</v>
      </c>
      <c r="I70" s="36">
        <v>5</v>
      </c>
      <c r="J70" s="36"/>
      <c r="K70" s="36"/>
      <c r="L70" s="36">
        <f>SUM(Tabela1[[#This Row],[QTD DE B/T 2]],Tabela1[[#This Row],[QTD DE B/T]])</f>
        <v>16</v>
      </c>
      <c r="M70" s="22">
        <v>0</v>
      </c>
      <c r="N70" s="22">
        <f>Tabela1[[#This Row],[ELEVADOR]]/Tabela1[[#This Row],[BLOCO TOTAL]]</f>
        <v>0</v>
      </c>
      <c r="O70" s="22" t="s">
        <v>5</v>
      </c>
      <c r="P70" s="22" t="s">
        <v>101</v>
      </c>
      <c r="Q70" s="22" t="s">
        <v>101</v>
      </c>
      <c r="R70" s="22" t="s">
        <v>142</v>
      </c>
      <c r="S70" s="22" t="s">
        <v>103</v>
      </c>
      <c r="T70" s="22" t="s">
        <v>104</v>
      </c>
      <c r="U70" s="22" t="s">
        <v>105</v>
      </c>
      <c r="V70" s="22" t="s">
        <v>106</v>
      </c>
      <c r="W70" s="24">
        <f>IF(P70=[1]BD_CUSTO!$E$4,[1]BD_CUSTO!$F$4,[1]BD_CUSTO!$F$5)</f>
        <v>2430</v>
      </c>
      <c r="X70" s="24">
        <f>IF(Q70=[1]BD_CUSTO!$E$6,[1]BD_CUSTO!$F$6,[1]BD_CUSTO!$F$7)</f>
        <v>260</v>
      </c>
      <c r="Y70" s="24">
        <f>IF(R70=[1]BD_CUSTO!$E$8,[1]BD_CUSTO!$F$8,[1]BD_CUSTO!$F$9)</f>
        <v>900</v>
      </c>
      <c r="Z70" s="24">
        <f>IF(S70=[1]BD_CUSTO!$E$10,[1]BD_CUSTO!$F$10,[1]BD_CUSTO!$F$11)</f>
        <v>500</v>
      </c>
      <c r="AA70" s="24">
        <f>IF(T70=[1]BD_CUSTO!$E$12,[1]BD_CUSTO!$F$12,[1]BD_CUSTO!$F$13)</f>
        <v>370</v>
      </c>
      <c r="AB70" s="24">
        <f>IF(U70=[1]BD_CUSTO!$E$14,[1]BD_CUSTO!$F$14,[1]BD_CUSTO!$F$15)</f>
        <v>90</v>
      </c>
      <c r="AC70" s="24">
        <f>IF(V70=[1]BD_CUSTO!$E$16,[1]BD_CUSTO!$F$16,[1]BD_CUSTO!$F$17)</f>
        <v>720</v>
      </c>
      <c r="AD70" s="22" t="s">
        <v>110</v>
      </c>
      <c r="AE70" s="22">
        <v>1</v>
      </c>
      <c r="AF70" s="22" t="s">
        <v>107</v>
      </c>
      <c r="AG70" s="22">
        <v>1</v>
      </c>
      <c r="AH70" s="22" t="s">
        <v>121</v>
      </c>
      <c r="AI70" s="22">
        <v>1</v>
      </c>
      <c r="AJ70" s="22" t="s">
        <v>139</v>
      </c>
      <c r="AK70" s="22">
        <v>1</v>
      </c>
      <c r="AL70" s="22" t="s">
        <v>108</v>
      </c>
      <c r="AM70" s="22">
        <v>1</v>
      </c>
      <c r="AN70" s="22" t="s">
        <v>175</v>
      </c>
      <c r="AO70" s="22">
        <v>1</v>
      </c>
      <c r="AP70" s="22" t="s">
        <v>129</v>
      </c>
      <c r="AQ70" s="22">
        <v>1</v>
      </c>
      <c r="AR70" s="22"/>
      <c r="AS70" s="22"/>
      <c r="AT70" s="22"/>
      <c r="AU70" s="22"/>
      <c r="AV70" s="22"/>
      <c r="AW70" s="22"/>
      <c r="AX70" s="24">
        <f>IF(AD70="",0,VLOOKUP(AD70,[1]BD_CUSTO!I:J,2,0)*AE70/E70)</f>
        <v>16.5625</v>
      </c>
      <c r="AY70" s="24">
        <f>IF(AF70="",0,VLOOKUP(AF70,[1]BD_CUSTO!I:J,2,0)*AG70/E70)</f>
        <v>266.09100000000001</v>
      </c>
      <c r="AZ70" s="24">
        <f>IF(AH70="",0,VLOOKUP(AH70,[1]BD_CUSTO!I:J,2,0)*AI70/E70)</f>
        <v>384.86531249999996</v>
      </c>
      <c r="BA70" s="24">
        <f>IF(AJ70="",0,VLOOKUP(AJ70,[1]BD_CUSTO!I:J,2,0)*AK70/E70)</f>
        <v>194.23849999999999</v>
      </c>
      <c r="BB70" s="24">
        <f>IF(AL70="",0,VLOOKUP(AL70,[1]BD_CUSTO!I:J,2,0)*AM70/E70)</f>
        <v>72.34375</v>
      </c>
      <c r="BC70" s="24">
        <f>IF(AN70="",0,VLOOKUP(AN70,[1]BD_CUSTO!I:J,2,0)*AO70/E70)</f>
        <v>33.71875</v>
      </c>
      <c r="BD70" s="24">
        <f>IF(AP70="",0,VLOOKUP(AP70,[1]BD_CUSTO!I:J,2,0)*AQ70/E70)</f>
        <v>859.89868750000005</v>
      </c>
      <c r="BE70" s="24">
        <f>IF(AR70="",0,VLOOKUP(AR70,CUSTO!I:J,2,0)*AS70/E70)</f>
        <v>0</v>
      </c>
      <c r="BF70" s="24">
        <f>IF(AT70="",0,VLOOKUP(AT70,[1]BD_CUSTO!I:J,2,0)*AU70/E70)</f>
        <v>0</v>
      </c>
      <c r="BG70" s="24">
        <f>IF(Tabela1[[#This Row],[LZ 10]]="",0,VLOOKUP(Tabela1[[#This Row],[LZ 10]],[1]BD_CUSTO!I:J,2,0)*Tabela1[[#This Row],[QTD922]]/E70)</f>
        <v>0</v>
      </c>
      <c r="BH70" s="22" t="s">
        <v>122</v>
      </c>
      <c r="BI70" s="25">
        <v>0</v>
      </c>
      <c r="BJ70" s="22" t="s">
        <v>113</v>
      </c>
      <c r="BK70" s="25">
        <v>0</v>
      </c>
      <c r="BL70" s="24">
        <f>IF(BH70=[1]BD_CUSTO!$M$6,[1]BD_CUSTO!$N$6)*BI70</f>
        <v>0</v>
      </c>
      <c r="BM70" s="24">
        <f>IF(BJ70=[1]BD_CUSTO!$M$4,[1]BD_CUSTO!$N$4,[1]BD_CUSTO!$N$5)*BK70</f>
        <v>0</v>
      </c>
      <c r="BN70" s="22" t="s">
        <v>114</v>
      </c>
      <c r="BO70" s="22">
        <v>342</v>
      </c>
      <c r="BP70" s="25">
        <f>Tabela1[[#This Row],[QTD ]]/Tabela1[[#This Row],[Nº UNDS]]</f>
        <v>1.0687500000000001</v>
      </c>
      <c r="BQ70" s="22" t="s">
        <v>115</v>
      </c>
      <c r="BR70" s="22">
        <v>0</v>
      </c>
      <c r="BS70" s="22" t="s">
        <v>116</v>
      </c>
      <c r="BT70" s="22">
        <v>0</v>
      </c>
      <c r="BU70" s="22" t="s">
        <v>16</v>
      </c>
      <c r="BV70" s="22">
        <v>0</v>
      </c>
      <c r="BW70" s="24">
        <f>IF(BN70=[1]BD_CUSTO!$Q$7,[1]BD_CUSTO!$R$7,[1]BD_CUSTO!$R$8)*BO70/E70</f>
        <v>2137.5</v>
      </c>
      <c r="BX70" s="24">
        <f>IF(BQ70=[1]BD_CUSTO!$Q$4,[1]BD_CUSTO!$R$4,[1]BD_CUSTO!$R$5)*BR70/E70</f>
        <v>0</v>
      </c>
      <c r="BY70" s="22">
        <f>IF(BS70=[1]BD_CUSTO!$Q$13,[1]BD_CUSTO!$R$13,[1]BD_CUSTO!$R$14)*BT70/E70</f>
        <v>0</v>
      </c>
      <c r="BZ70" s="24">
        <f>BV70*CUSTO!$R$10/E70</f>
        <v>0</v>
      </c>
      <c r="CA70" s="26">
        <f>SUM(Tabela1[[#This Row],[SOMA_PISO SALA E QUARTO]],Tabela1[[#This Row],[SOMA_PAREDE HIDR]],Tabela1[[#This Row],[SOMA_TETO]],Tabela1[[#This Row],[SOMA_BANCADA]],Tabela1[[#This Row],[SOMA_PEDRAS]])</f>
        <v>4290</v>
      </c>
      <c r="CB70" s="27" t="str">
        <f>IF(CA70&lt;=RÉGUAS!$D$4,"ACAB 01",IF(CA70&lt;=RÉGUAS!$F$4,"ACAB 02",IF(CA70&gt;RÉGUAS!$F$4,"ACAB 03",)))</f>
        <v>ACAB 02</v>
      </c>
      <c r="CC70" s="26">
        <f>SUM(Tabela1[[#This Row],[SOMA_LZ 01]:[SOMA_LZ 10]])</f>
        <v>1827.7184999999999</v>
      </c>
      <c r="CD70" s="22" t="str">
        <f>IF(CC70&lt;=RÉGUAS!$D$13,"LZ 01",IF(CC70&lt;=RÉGUAS!$F$13,"LZ 02",IF(CC70&lt;=RÉGUAS!$H$13,"LZ 03",IF(CC70&gt;RÉGUAS!$H$13,"LZ 04",))))</f>
        <v>LZ 03</v>
      </c>
      <c r="CE70" s="28">
        <f t="shared" si="15"/>
        <v>0</v>
      </c>
      <c r="CF70" s="22" t="str">
        <f>IF(CE70&lt;=RÉGUAS!$D$22,"TIP 01",IF(CE70&lt;=RÉGUAS!$F$22,"TIP 02",IF(CE70&gt;RÉGUAS!$F$22,"TIP 03",)))</f>
        <v>TIP 01</v>
      </c>
      <c r="CG70" s="28">
        <f t="shared" si="16"/>
        <v>2137.5</v>
      </c>
      <c r="CH70" s="22" t="str">
        <f>IF(CG70&lt;=RÉGUAS!$D$32,"VAGA 01",IF(CG70&lt;=RÉGUAS!$F$32,"VAGA 02",IF(CG70&gt;RÉGUAS!$F$32,"VAGA 03",)))</f>
        <v>VAGA 02</v>
      </c>
      <c r="CI70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70" s="85" t="str">
        <f>IF(AND(G70="BLOCO",CI70&lt;=RÉGUAS!$D$40),"ELEV 01",IF(AND(G70="BLOCO",CI70&gt;RÉGUAS!$D$40),"ELEV 02",IF(AND(G70="TORRE",CI70&lt;=RÉGUAS!$K$40),"ELEV 01",IF(AND(G70="TORRE",CI70&lt;=RÉGUAS!$M$40),"ELEV 02",IF(AND(G70="TORRE",CI70&gt;RÉGUAS!$M$40),"ELEV 03",)))))</f>
        <v>ELEV 01</v>
      </c>
      <c r="CK70" s="85">
        <f>SUM(Tabela1[[#This Row],[TOTAL  ACAB]],Tabela1[[#This Row],[TOTAL LAZER ]],Tabela1[[#This Row],[TOTAL TIPOLOGIA]],Tabela1[[#This Row],[TOTAL VAGA]],Tabela1[[#This Row],[TOTAL ELEVADOR]])</f>
        <v>8255.218499999999</v>
      </c>
      <c r="CL70" s="72" t="str">
        <f>IF(AND(G70="BLOCO",CK70&lt;=RÉGUAS!$D$50),"ESSENCIAL",IF(AND(G70="BLOCO",CK70&lt;=RÉGUAS!$F$50),"ECO",IF(AND(G70="BLOCO",CK70&gt;RÉGUAS!$F$50),"BIO",IF(AND(G70="TORRE",CK70&lt;=RÉGUAS!$K$50),"ESSENCIAL",IF(AND(G70="TORRE",CK70&lt;=RÉGUAS!$M$50),"ECO",IF(AND(G70="TORRE",CK70&gt;RÉGUAS!$M$50),"BIO",))))))</f>
        <v>ECO</v>
      </c>
      <c r="CM70" s="28" t="str">
        <f>IF(AND(G70="BLOCO",CK70&gt;=RÉGUAS!$D$51,CK70&lt;=RÉGUAS!$D$50),"ESSENCIAL-10%",IF(AND(G70="BLOCO",CK70&gt;RÉGUAS!$D$50,CK70&lt;=RÉGUAS!$E$51),"ECO+10%",IF(AND(G70="BLOCO",CK70&gt;=RÉGUAS!$F$51,CK70&lt;=RÉGUAS!$F$50),"ECO-10%",IF(AND(G70="BLOCO",CK70&gt;RÉGUAS!$F$50,CK70&lt;=RÉGUAS!$G$51),"BIO+10%",IF(AND(G70="TORRE",CK70&gt;=RÉGUAS!$K$51,CK70&lt;=RÉGUAS!$K$50),"ESSENCIAL-10%",IF(AND(G70="TORRE",CK70&gt;RÉGUAS!$K$50,CK70&lt;=RÉGUAS!$L$51),"ECO+10%",IF(AND(G70="TORRE",CK70&gt;=RÉGUAS!$M$51,CK70&lt;=RÉGUAS!$M$50),"ECO-10%",IF(AND(G70="TORRE",CK70&gt;RÉGUAS!$M$50,CK70&lt;=RÉGUAS!$N$51),"BIO+10%","-"))))))))</f>
        <v>ECO+10%</v>
      </c>
      <c r="CN70" s="73">
        <f t="shared" si="17"/>
        <v>8255.218499999999</v>
      </c>
      <c r="CO70" s="72" t="str">
        <f>IF(CN70&lt;=RÉGUAS!$D$58,"ESSENCIAL",IF(CN70&lt;=RÉGUAS!$F$58,"ECO",IF(CN70&gt;RÉGUAS!$F$58,"BIO",)))</f>
        <v>ECO</v>
      </c>
      <c r="CP70" s="72" t="str">
        <f>IF(Tabela1[[#This Row],[INTERVALO DE INTERSEÇÃO 5D]]="-",Tabela1[[#This Row],[CLASSIFICAÇÃO 
5D ]],Tabela1[[#This Row],[CLASSIFICAÇÃO 
4D]])</f>
        <v>ECO</v>
      </c>
      <c r="CQ70" s="72" t="str">
        <f t="shared" si="18"/>
        <v>-</v>
      </c>
      <c r="CR70" s="72" t="str">
        <f t="shared" si="19"/>
        <v>ECO</v>
      </c>
      <c r="CS70" s="22" t="str">
        <f>IF(Tabela1[[#This Row],[PRODUTO ATUAL ]]=Tabela1[[#This Row],[CLASSIFICAÇÃO FINAL 5D]],"ADERÊNTE","NÃO ADERÊNTE")</f>
        <v>ADERÊNTE</v>
      </c>
      <c r="CT70" s="24">
        <f>SUM(Tabela1[[#This Row],[TOTAL  ACAB]],Tabela1[[#This Row],[TOTAL LAZER ]],Tabela1[[#This Row],[TOTAL TIPOLOGIA]],Tabela1[[#This Row],[TOTAL VAGA]])</f>
        <v>8255.218499999999</v>
      </c>
      <c r="CU70" s="22" t="str">
        <f>IF(CT70&lt;=RÉGUAS!$D$58,"ESSENCIAL",IF(CT70&lt;=RÉGUAS!$F$58,"ECO",IF(CT70&gt;RÉGUAS!$F$58,"BIO",)))</f>
        <v>ECO</v>
      </c>
      <c r="CV70" s="22" t="str">
        <f>IF(AND(CT70&gt;=RÉGUAS!$D$59,CT70&lt;=RÉGUAS!$E$59),"ESSENCIAL/ECO",IF(AND(CT70&gt;=RÉGUAS!$F$59,CT70&lt;=RÉGUAS!$G$59),"ECO/BIO","-"))</f>
        <v>-</v>
      </c>
      <c r="CW70" s="85">
        <f>SUM(Tabela1[[#This Row],[TOTAL LAZER ]],Tabela1[[#This Row],[TOTAL TIPOLOGIA]])</f>
        <v>1827.7184999999999</v>
      </c>
      <c r="CX70" s="22" t="str">
        <f>IF(CW70&lt;=RÉGUAS!$D$72,"ESSENCIAL",IF(CW70&lt;=RÉGUAS!$F$72,"ECO",IF(CN70&gt;RÉGUAS!$F$72,"BIO",)))</f>
        <v>ESSENCIAL</v>
      </c>
      <c r="CY70" s="22" t="str">
        <f t="shared" si="20"/>
        <v>ECO</v>
      </c>
      <c r="CZ70" s="22" t="str">
        <f>IF(Tabela1[[#This Row],[PRODUTO ATUAL ]]=CY70,"ADERENTE","NÃO ADERENTE")</f>
        <v>ADERENTE</v>
      </c>
      <c r="DA70" s="22" t="str">
        <f>IF(Tabela1[[#This Row],[PRODUTO ATUAL ]]=Tabela1[[#This Row],[CLASSIFICAÇÃO 
4D2]],"ADERENTE","NÃO ADERENTE")</f>
        <v>ADERENTE</v>
      </c>
    </row>
    <row r="71" spans="2:105" hidden="1" x14ac:dyDescent="0.35">
      <c r="B71" s="27">
        <v>74</v>
      </c>
      <c r="C71" s="22" t="s">
        <v>231</v>
      </c>
      <c r="D71" s="22" t="s">
        <v>100</v>
      </c>
      <c r="E71" s="23">
        <v>424</v>
      </c>
      <c r="F71" s="22" t="str">
        <f t="shared" si="14"/>
        <v>Acima de 400 und</v>
      </c>
      <c r="G71" s="22" t="s">
        <v>14</v>
      </c>
      <c r="H71" s="36">
        <v>5</v>
      </c>
      <c r="I71" s="36">
        <v>11</v>
      </c>
      <c r="J71" s="36"/>
      <c r="K71" s="36"/>
      <c r="L71" s="36">
        <f>SUM(Tabela1[[#This Row],[QTD DE B/T 2]],Tabela1[[#This Row],[QTD DE B/T]])</f>
        <v>5</v>
      </c>
      <c r="M71" s="22">
        <v>5</v>
      </c>
      <c r="N71" s="22">
        <f>Tabela1[[#This Row],[ELEVADOR]]/Tabela1[[#This Row],[BLOCO TOTAL]]</f>
        <v>1</v>
      </c>
      <c r="O71" s="22" t="s">
        <v>5</v>
      </c>
      <c r="P71" s="22" t="s">
        <v>101</v>
      </c>
      <c r="Q71" s="22" t="s">
        <v>101</v>
      </c>
      <c r="R71" s="22" t="s">
        <v>142</v>
      </c>
      <c r="S71" s="22" t="s">
        <v>103</v>
      </c>
      <c r="T71" s="22" t="s">
        <v>104</v>
      </c>
      <c r="U71" s="22" t="s">
        <v>105</v>
      </c>
      <c r="V71" s="22" t="s">
        <v>106</v>
      </c>
      <c r="W71" s="24">
        <f>IF(P71=[1]BD_CUSTO!$E$4,[1]BD_CUSTO!$F$4,[1]BD_CUSTO!$F$5)</f>
        <v>2430</v>
      </c>
      <c r="X71" s="24">
        <f>IF(Q71=[1]BD_CUSTO!$E$6,[1]BD_CUSTO!$F$6,[1]BD_CUSTO!$F$7)</f>
        <v>260</v>
      </c>
      <c r="Y71" s="24">
        <f>IF(R71=[1]BD_CUSTO!$E$8,[1]BD_CUSTO!$F$8,[1]BD_CUSTO!$F$9)</f>
        <v>900</v>
      </c>
      <c r="Z71" s="24">
        <f>IF(S71=[1]BD_CUSTO!$E$10,[1]BD_CUSTO!$F$10,[1]BD_CUSTO!$F$11)</f>
        <v>500</v>
      </c>
      <c r="AA71" s="24">
        <f>IF(T71=[1]BD_CUSTO!$E$12,[1]BD_CUSTO!$F$12,[1]BD_CUSTO!$F$13)</f>
        <v>370</v>
      </c>
      <c r="AB71" s="24">
        <f>IF(U71=[1]BD_CUSTO!$E$14,[1]BD_CUSTO!$F$14,[1]BD_CUSTO!$F$15)</f>
        <v>90</v>
      </c>
      <c r="AC71" s="24">
        <f>IF(V71=[1]BD_CUSTO!$E$16,[1]BD_CUSTO!$F$16,[1]BD_CUSTO!$F$17)</f>
        <v>720</v>
      </c>
      <c r="AD71" s="22" t="s">
        <v>110</v>
      </c>
      <c r="AE71" s="22">
        <v>1</v>
      </c>
      <c r="AF71" s="22" t="s">
        <v>129</v>
      </c>
      <c r="AG71" s="22">
        <v>1</v>
      </c>
      <c r="AH71" s="22" t="s">
        <v>139</v>
      </c>
      <c r="AI71" s="22">
        <v>1</v>
      </c>
      <c r="AJ71" s="22" t="s">
        <v>121</v>
      </c>
      <c r="AK71" s="22">
        <v>1</v>
      </c>
      <c r="AL71" s="22" t="s">
        <v>107</v>
      </c>
      <c r="AM71" s="22">
        <v>2</v>
      </c>
      <c r="AN71" s="22" t="s">
        <v>108</v>
      </c>
      <c r="AO71" s="22">
        <v>1</v>
      </c>
      <c r="AP71" s="22"/>
      <c r="AQ71" s="22"/>
      <c r="AR71" s="22"/>
      <c r="AS71" s="22"/>
      <c r="AT71" s="22"/>
      <c r="AU71" s="22"/>
      <c r="AV71" s="22"/>
      <c r="AW71" s="22"/>
      <c r="AX71" s="24">
        <f>IF(AD71="",0,VLOOKUP(AD71,[1]BD_CUSTO!I:J,2,0)*AE71/E71)</f>
        <v>12.5</v>
      </c>
      <c r="AY71" s="24">
        <f>IF(AF71="",0,VLOOKUP(AF71,[1]BD_CUSTO!I:J,2,0)*AG71/E71)</f>
        <v>648.98014150943402</v>
      </c>
      <c r="AZ71" s="24">
        <f>IF(AH71="",0,VLOOKUP(AH71,[1]BD_CUSTO!I:J,2,0)*AI71/E71)</f>
        <v>146.59509433962265</v>
      </c>
      <c r="BA71" s="24">
        <f>IF(AJ71="",0,VLOOKUP(AJ71,[1]BD_CUSTO!I:J,2,0)*AK71/E71)</f>
        <v>290.46438679245284</v>
      </c>
      <c r="BB71" s="24">
        <f>IF(AL71="",0,VLOOKUP(AL71,[1]BD_CUSTO!I:J,2,0)*AM71/E71)</f>
        <v>401.64679245283014</v>
      </c>
      <c r="BC71" s="24">
        <f>IF(AN71="",0,VLOOKUP(AN71,[1]BD_CUSTO!I:J,2,0)*AO71/E71)</f>
        <v>54.599056603773583</v>
      </c>
      <c r="BD71" s="24">
        <f>IF(AP71="",0,VLOOKUP(AP71,[1]BD_CUSTO!I:J,2,0)*AQ71/E71)</f>
        <v>0</v>
      </c>
      <c r="BE71" s="24">
        <f>IF(AR71="",0,VLOOKUP(AR71,CUSTO!I:J,2,0)*AS71/E71)</f>
        <v>0</v>
      </c>
      <c r="BF71" s="24">
        <f>IF(AT71="",0,VLOOKUP(AT71,[1]BD_CUSTO!I:J,2,0)*AU71/E71)</f>
        <v>0</v>
      </c>
      <c r="BG71" s="24">
        <f>IF(Tabela1[[#This Row],[LZ 10]]="",0,VLOOKUP(Tabela1[[#This Row],[LZ 10]],[1]BD_CUSTO!I:J,2,0)*Tabela1[[#This Row],[QTD922]]/E71)</f>
        <v>0</v>
      </c>
      <c r="BH71" s="22" t="s">
        <v>112</v>
      </c>
      <c r="BI71" s="25">
        <f>192/Tabela1[[#This Row],[Nº UNDS]]</f>
        <v>0.45283018867924529</v>
      </c>
      <c r="BJ71" s="22" t="s">
        <v>113</v>
      </c>
      <c r="BK71" s="25">
        <v>0</v>
      </c>
      <c r="BL71" s="24">
        <f>IF(BH71=[1]BD_CUSTO!$M$6,[1]BD_CUSTO!$N$6)*BI71</f>
        <v>1358.4905660377358</v>
      </c>
      <c r="BM71" s="24">
        <f>IF(BJ71=[1]BD_CUSTO!$M$4,[1]BD_CUSTO!$N$4,[1]BD_CUSTO!$N$5)*BK71</f>
        <v>0</v>
      </c>
      <c r="BN71" s="22" t="s">
        <v>114</v>
      </c>
      <c r="BO71" s="22">
        <v>455</v>
      </c>
      <c r="BP71" s="25">
        <f>Tabela1[[#This Row],[QTD ]]/Tabela1[[#This Row],[Nº UNDS]]</f>
        <v>1.0731132075471699</v>
      </c>
      <c r="BQ71" s="22" t="s">
        <v>115</v>
      </c>
      <c r="BR71" s="22">
        <v>0</v>
      </c>
      <c r="BS71" s="22" t="s">
        <v>116</v>
      </c>
      <c r="BT71" s="22">
        <v>0</v>
      </c>
      <c r="BU71" s="22" t="s">
        <v>16</v>
      </c>
      <c r="BV71" s="22">
        <v>0</v>
      </c>
      <c r="BW71" s="24">
        <f>IF(BN71=[1]BD_CUSTO!$Q$7,[1]BD_CUSTO!$R$7,[1]BD_CUSTO!$R$8)*BO71/E71</f>
        <v>2146.2264150943397</v>
      </c>
      <c r="BX71" s="24">
        <f>IF(BQ71=[1]BD_CUSTO!$Q$4,[1]BD_CUSTO!$R$4,[1]BD_CUSTO!$R$5)*BR71/E71</f>
        <v>0</v>
      </c>
      <c r="BY71" s="22">
        <f>IF(BS71=[1]BD_CUSTO!$Q$13,[1]BD_CUSTO!$R$13,[1]BD_CUSTO!$R$14)*BT71/E71</f>
        <v>0</v>
      </c>
      <c r="BZ71" s="24">
        <f>BV71*CUSTO!$R$10/E71</f>
        <v>0</v>
      </c>
      <c r="CA71" s="26">
        <f>SUM(Tabela1[[#This Row],[SOMA_PISO SALA E QUARTO]],Tabela1[[#This Row],[SOMA_PAREDE HIDR]],Tabela1[[#This Row],[SOMA_TETO]],Tabela1[[#This Row],[SOMA_BANCADA]],Tabela1[[#This Row],[SOMA_PEDRAS]])</f>
        <v>4290</v>
      </c>
      <c r="CB71" s="27" t="str">
        <f>IF(CA71&lt;=RÉGUAS!$D$4,"ACAB 01",IF(CA71&lt;=RÉGUAS!$F$4,"ACAB 02",IF(CA71&gt;RÉGUAS!$F$4,"ACAB 03",)))</f>
        <v>ACAB 02</v>
      </c>
      <c r="CC71" s="26">
        <f>SUM(Tabela1[[#This Row],[SOMA_LZ 01]:[SOMA_LZ 10]])</f>
        <v>1554.7854716981133</v>
      </c>
      <c r="CD71" s="22" t="str">
        <f>IF(CC71&lt;=RÉGUAS!$D$13,"LZ 01",IF(CC71&lt;=RÉGUAS!$F$13,"LZ 02",IF(CC71&lt;=RÉGUAS!$H$13,"LZ 03",IF(CC71&gt;RÉGUAS!$H$13,"LZ 04",))))</f>
        <v>LZ 02</v>
      </c>
      <c r="CE71" s="28">
        <f t="shared" si="15"/>
        <v>1358.4905660377358</v>
      </c>
      <c r="CF71" s="22" t="str">
        <f>IF(CE71&lt;=RÉGUAS!$D$22,"TIP 01",IF(CE71&lt;=RÉGUAS!$F$22,"TIP 02",IF(CE71&gt;RÉGUAS!$F$22,"TIP 03",)))</f>
        <v>TIP 01</v>
      </c>
      <c r="CG71" s="28">
        <f t="shared" si="16"/>
        <v>2146.2264150943397</v>
      </c>
      <c r="CH71" s="22" t="str">
        <f>IF(CG71&lt;=RÉGUAS!$D$32,"VAGA 01",IF(CG71&lt;=RÉGUAS!$F$32,"VAGA 02",IF(CG71&gt;RÉGUAS!$F$32,"VAGA 03",)))</f>
        <v>VAGA 02</v>
      </c>
      <c r="CI71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2561.2617924528304</v>
      </c>
      <c r="CJ71" s="85" t="str">
        <f>IF(AND(G71="BLOCO",CI71&lt;=RÉGUAS!$D$40),"ELEV 01",IF(AND(G71="BLOCO",CI71&gt;RÉGUAS!$D$40),"ELEV 02",IF(AND(G71="TORRE",CI71&lt;=RÉGUAS!$K$40),"ELEV 01",IF(AND(G71="TORRE",CI71&lt;=RÉGUAS!$M$40),"ELEV 02",IF(AND(G71="TORRE",CI71&gt;RÉGUAS!$M$40),"ELEV 03",)))))</f>
        <v>ELEV 03</v>
      </c>
      <c r="CK71" s="85">
        <f>SUM(Tabela1[[#This Row],[TOTAL  ACAB]],Tabela1[[#This Row],[TOTAL LAZER ]],Tabela1[[#This Row],[TOTAL TIPOLOGIA]],Tabela1[[#This Row],[TOTAL VAGA]],Tabela1[[#This Row],[TOTAL ELEVADOR]])</f>
        <v>11910.764245283019</v>
      </c>
      <c r="CL71" s="72" t="str">
        <f>IF(AND(G71="BLOCO",CK71&lt;=RÉGUAS!$D$50),"ESSENCIAL",IF(AND(G71="BLOCO",CK71&lt;=RÉGUAS!$F$50),"ECO",IF(AND(G71="BLOCO",CK71&gt;RÉGUAS!$F$50),"BIO",IF(AND(G71="TORRE",CK71&lt;=RÉGUAS!$K$50),"ESSENCIAL",IF(AND(G71="TORRE",CK71&lt;=RÉGUAS!$M$50),"ECO",IF(AND(G71="TORRE",CK71&gt;RÉGUAS!$M$50),"BIO",))))))</f>
        <v>ECO</v>
      </c>
      <c r="CM71" s="28" t="str">
        <f>IF(AND(G71="BLOCO",CK71&gt;=RÉGUAS!$D$51,CK71&lt;=RÉGUAS!$D$50),"ESSENCIAL-10%",IF(AND(G71="BLOCO",CK71&gt;RÉGUAS!$D$50,CK71&lt;=RÉGUAS!$E$51),"ECO+10%",IF(AND(G71="BLOCO",CK71&gt;=RÉGUAS!$F$51,CK71&lt;=RÉGUAS!$F$50),"ECO-10%",IF(AND(G71="BLOCO",CK71&gt;RÉGUAS!$F$50,CK71&lt;=RÉGUAS!$G$51),"BIO+10%",IF(AND(G71="TORRE",CK71&gt;=RÉGUAS!$K$51,CK71&lt;=RÉGUAS!$K$50),"ESSENCIAL-10%",IF(AND(G71="TORRE",CK71&gt;RÉGUAS!$K$50,CK71&lt;=RÉGUAS!$L$51),"ECO+10%",IF(AND(G71="TORRE",CK71&gt;=RÉGUAS!$M$51,CK71&lt;=RÉGUAS!$M$50),"ECO-10%",IF(AND(G71="TORRE",CK71&gt;RÉGUAS!$M$50,CK71&lt;=RÉGUAS!$N$51),"BIO+10%","-"))))))))</f>
        <v>-</v>
      </c>
      <c r="CN71" s="73">
        <f t="shared" si="17"/>
        <v>9349.5024528301874</v>
      </c>
      <c r="CO71" s="72" t="str">
        <f>IF(CN71&lt;=RÉGUAS!$D$58,"ESSENCIAL",IF(CN71&lt;=RÉGUAS!$F$58,"ECO",IF(CN71&gt;RÉGUAS!$F$58,"BIO",)))</f>
        <v>ECO</v>
      </c>
      <c r="CP71" s="72" t="str">
        <f>IF(Tabela1[[#This Row],[INTERVALO DE INTERSEÇÃO 5D]]="-",Tabela1[[#This Row],[CLASSIFICAÇÃO 
5D ]],Tabela1[[#This Row],[CLASSIFICAÇÃO 
4D]])</f>
        <v>ECO</v>
      </c>
      <c r="CQ71" s="72" t="str">
        <f t="shared" si="18"/>
        <v>-</v>
      </c>
      <c r="CR71" s="72" t="str">
        <f t="shared" si="19"/>
        <v>ECO</v>
      </c>
      <c r="CS71" s="22" t="str">
        <f>IF(Tabela1[[#This Row],[PRODUTO ATUAL ]]=Tabela1[[#This Row],[CLASSIFICAÇÃO FINAL 5D]],"ADERÊNTE","NÃO ADERÊNTE")</f>
        <v>ADERÊNTE</v>
      </c>
      <c r="CT71" s="24">
        <f>SUM(Tabela1[[#This Row],[TOTAL  ACAB]],Tabela1[[#This Row],[TOTAL LAZER ]],Tabela1[[#This Row],[TOTAL TIPOLOGIA]],Tabela1[[#This Row],[TOTAL VAGA]])</f>
        <v>9349.5024528301874</v>
      </c>
      <c r="CU71" s="22" t="str">
        <f>IF(CT71&lt;=RÉGUAS!$D$58,"ESSENCIAL",IF(CT71&lt;=RÉGUAS!$F$58,"ECO",IF(CT71&gt;RÉGUAS!$F$58,"BIO",)))</f>
        <v>ECO</v>
      </c>
      <c r="CV71" s="22" t="str">
        <f>IF(AND(CT71&gt;=RÉGUAS!$D$59,CT71&lt;=RÉGUAS!$E$59),"ESSENCIAL/ECO",IF(AND(CT71&gt;=RÉGUAS!$F$59,CT71&lt;=RÉGUAS!$G$59),"ECO/BIO","-"))</f>
        <v>-</v>
      </c>
      <c r="CW71" s="85">
        <f>SUM(Tabela1[[#This Row],[TOTAL LAZER ]],Tabela1[[#This Row],[TOTAL TIPOLOGIA]])</f>
        <v>2913.2760377358491</v>
      </c>
      <c r="CX71" s="22" t="str">
        <f>IF(CW71&lt;=RÉGUAS!$D$72,"ESSENCIAL",IF(CW71&lt;=RÉGUAS!$F$72,"ECO",IF(CN71&gt;RÉGUAS!$F$72,"BIO",)))</f>
        <v>ECO</v>
      </c>
      <c r="CY71" s="22" t="str">
        <f t="shared" si="20"/>
        <v>ECO</v>
      </c>
      <c r="CZ71" s="22" t="str">
        <f>IF(Tabela1[[#This Row],[PRODUTO ATUAL ]]=CY71,"ADERENTE","NÃO ADERENTE")</f>
        <v>ADERENTE</v>
      </c>
      <c r="DA71" s="22" t="str">
        <f>IF(Tabela1[[#This Row],[PRODUTO ATUAL ]]=Tabela1[[#This Row],[CLASSIFICAÇÃO 
4D2]],"ADERENTE","NÃO ADERENTE")</f>
        <v>ADERENTE</v>
      </c>
    </row>
    <row r="72" spans="2:105" hidden="1" x14ac:dyDescent="0.35">
      <c r="B72" s="27">
        <v>63</v>
      </c>
      <c r="C72" s="22" t="s">
        <v>208</v>
      </c>
      <c r="D72" s="22" t="s">
        <v>125</v>
      </c>
      <c r="E72" s="23">
        <v>368</v>
      </c>
      <c r="F72" s="22" t="str">
        <f t="shared" si="14"/>
        <v>De 200 a 400 und</v>
      </c>
      <c r="G72" s="22" t="s">
        <v>1</v>
      </c>
      <c r="H72" s="36">
        <v>23</v>
      </c>
      <c r="I72" s="36">
        <v>4</v>
      </c>
      <c r="J72" s="36"/>
      <c r="K72" s="36"/>
      <c r="L72" s="36">
        <f>SUM(Tabela1[[#This Row],[QTD DE B/T 2]],Tabela1[[#This Row],[QTD DE B/T]])</f>
        <v>23</v>
      </c>
      <c r="M72" s="22">
        <v>0</v>
      </c>
      <c r="N72" s="22">
        <f>Tabela1[[#This Row],[ELEVADOR]]/Tabela1[[#This Row],[BLOCO TOTAL]]</f>
        <v>0</v>
      </c>
      <c r="O72" s="22" t="s">
        <v>5</v>
      </c>
      <c r="P72" s="22" t="s">
        <v>101</v>
      </c>
      <c r="Q72" s="22" t="s">
        <v>101</v>
      </c>
      <c r="R72" s="22" t="s">
        <v>142</v>
      </c>
      <c r="S72" s="22" t="s">
        <v>103</v>
      </c>
      <c r="T72" s="22" t="s">
        <v>104</v>
      </c>
      <c r="U72" s="22" t="s">
        <v>105</v>
      </c>
      <c r="V72" s="22" t="s">
        <v>106</v>
      </c>
      <c r="W72" s="24">
        <f>IF(P72=[1]BD_CUSTO!$E$4,[1]BD_CUSTO!$F$4,[1]BD_CUSTO!$F$5)</f>
        <v>2430</v>
      </c>
      <c r="X72" s="24">
        <f>IF(Q72=[1]BD_CUSTO!$E$6,[1]BD_CUSTO!$F$6,[1]BD_CUSTO!$F$7)</f>
        <v>260</v>
      </c>
      <c r="Y72" s="24">
        <f>IF(R72=[1]BD_CUSTO!$E$8,[1]BD_CUSTO!$F$8,[1]BD_CUSTO!$F$9)</f>
        <v>900</v>
      </c>
      <c r="Z72" s="24">
        <f>IF(S72=[1]BD_CUSTO!$E$10,[1]BD_CUSTO!$F$10,[1]BD_CUSTO!$F$11)</f>
        <v>500</v>
      </c>
      <c r="AA72" s="24">
        <f>IF(T72=[1]BD_CUSTO!$E$12,[1]BD_CUSTO!$F$12,[1]BD_CUSTO!$F$13)</f>
        <v>370</v>
      </c>
      <c r="AB72" s="24">
        <f>IF(U72=[1]BD_CUSTO!$E$14,[1]BD_CUSTO!$F$14,[1]BD_CUSTO!$F$15)</f>
        <v>90</v>
      </c>
      <c r="AC72" s="24">
        <f>IF(V72=[1]BD_CUSTO!$E$16,[1]BD_CUSTO!$F$16,[1]BD_CUSTO!$F$17)</f>
        <v>720</v>
      </c>
      <c r="AD72" s="22" t="s">
        <v>135</v>
      </c>
      <c r="AE72" s="22">
        <v>1</v>
      </c>
      <c r="AF72" s="22" t="s">
        <v>107</v>
      </c>
      <c r="AG72" s="22">
        <v>2</v>
      </c>
      <c r="AH72" s="22" t="s">
        <v>121</v>
      </c>
      <c r="AI72" s="22">
        <v>1</v>
      </c>
      <c r="AJ72" s="22" t="s">
        <v>111</v>
      </c>
      <c r="AK72" s="22">
        <v>1</v>
      </c>
      <c r="AL72" s="22" t="s">
        <v>109</v>
      </c>
      <c r="AM72" s="22">
        <v>1</v>
      </c>
      <c r="AN72" s="22" t="s">
        <v>108</v>
      </c>
      <c r="AO72" s="22">
        <v>1</v>
      </c>
      <c r="AP72" s="22" t="s">
        <v>133</v>
      </c>
      <c r="AQ72" s="22">
        <v>1</v>
      </c>
      <c r="AR72" s="22" t="s">
        <v>110</v>
      </c>
      <c r="AS72" s="22">
        <v>1</v>
      </c>
      <c r="AT72" s="22"/>
      <c r="AU72" s="22"/>
      <c r="AV72" s="22"/>
      <c r="AW72" s="22"/>
      <c r="AX72" s="24">
        <f>IF(AD72="",0,VLOOKUP(AD72,[1]BD_CUSTO!I:J,2,0)*AE72/E72)</f>
        <v>342.57782608695652</v>
      </c>
      <c r="AY72" s="24">
        <f>IF(AF72="",0,VLOOKUP(AF72,[1]BD_CUSTO!I:J,2,0)*AG72/E72)</f>
        <v>462.76695652173913</v>
      </c>
      <c r="AZ72" s="24">
        <f>IF(AH72="",0,VLOOKUP(AH72,[1]BD_CUSTO!I:J,2,0)*AI72/E72)</f>
        <v>334.66548913043476</v>
      </c>
      <c r="BA72" s="24">
        <f>IF(AJ72="",0,VLOOKUP(AJ72,[1]BD_CUSTO!I:J,2,0)*AK72/E72)</f>
        <v>44.021739130434781</v>
      </c>
      <c r="BB72" s="24">
        <f>IF(AL72="",0,VLOOKUP(AL72,[1]BD_CUSTO!I:J,2,0)*AM72/E72)</f>
        <v>18.885869565217391</v>
      </c>
      <c r="BC72" s="24">
        <f>IF(AN72="",0,VLOOKUP(AN72,[1]BD_CUSTO!I:J,2,0)*AO72/E72)</f>
        <v>62.907608695652172</v>
      </c>
      <c r="BD72" s="24">
        <f>IF(AP72="",0,VLOOKUP(AP72,[1]BD_CUSTO!I:J,2,0)*AQ72/E72)</f>
        <v>18.913043478260871</v>
      </c>
      <c r="BE72" s="24">
        <f>IF(AR72="",0,VLOOKUP(AR72,CUSTO!I:J,2,0)*AS72/E72)</f>
        <v>14.402173913043478</v>
      </c>
      <c r="BF72" s="24">
        <f>IF(AT72="",0,VLOOKUP(AT72,[1]BD_CUSTO!I:J,2,0)*AU72/E72)</f>
        <v>0</v>
      </c>
      <c r="BG72" s="24">
        <f>IF(Tabela1[[#This Row],[LZ 10]]="",0,VLOOKUP(Tabela1[[#This Row],[LZ 10]],[1]BD_CUSTO!I:J,2,0)*Tabela1[[#This Row],[QTD922]]/E72)</f>
        <v>0</v>
      </c>
      <c r="BH72" s="22" t="s">
        <v>112</v>
      </c>
      <c r="BI72" s="25">
        <f>138/Tabela1[[#This Row],[Nº UNDS]]</f>
        <v>0.375</v>
      </c>
      <c r="BJ72" s="22" t="s">
        <v>113</v>
      </c>
      <c r="BK72" s="25">
        <v>0</v>
      </c>
      <c r="BL72" s="24">
        <f>IF(BH72=[1]BD_CUSTO!$M$6,[1]BD_CUSTO!$N$6)*BI72</f>
        <v>1125</v>
      </c>
      <c r="BM72" s="24">
        <f>IF(BJ72=[1]BD_CUSTO!$M$4,[1]BD_CUSTO!$N$4,[1]BD_CUSTO!$N$5)*BK72</f>
        <v>0</v>
      </c>
      <c r="BN72" s="22" t="s">
        <v>114</v>
      </c>
      <c r="BO72" s="22">
        <f>442-37</f>
        <v>405</v>
      </c>
      <c r="BP72" s="25">
        <f>Tabela1[[#This Row],[QTD ]]/Tabela1[[#This Row],[Nº UNDS]]</f>
        <v>1.1005434782608696</v>
      </c>
      <c r="BQ72" s="22" t="s">
        <v>115</v>
      </c>
      <c r="BR72" s="22">
        <v>37</v>
      </c>
      <c r="BS72" s="22" t="s">
        <v>116</v>
      </c>
      <c r="BT72" s="22">
        <v>0</v>
      </c>
      <c r="BU72" s="22" t="s">
        <v>16</v>
      </c>
      <c r="BV72" s="22">
        <v>0</v>
      </c>
      <c r="BW72" s="24">
        <f>IF(BN72=[1]BD_CUSTO!$Q$7,[1]BD_CUSTO!$R$7,[1]BD_CUSTO!$R$8)*BO72/E72</f>
        <v>2201.086956521739</v>
      </c>
      <c r="BX72" s="24">
        <f>IF(BQ72=[1]BD_CUSTO!$Q$4,[1]BD_CUSTO!$R$4,[1]BD_CUSTO!$R$5)*BR72/E72</f>
        <v>0</v>
      </c>
      <c r="BY72" s="22">
        <f>IF(BS72=[1]BD_CUSTO!$Q$13,[1]BD_CUSTO!$R$13,[1]BD_CUSTO!$R$14)*BT72/E72</f>
        <v>0</v>
      </c>
      <c r="BZ72" s="24">
        <f>BV72*CUSTO!$R$10/E72</f>
        <v>0</v>
      </c>
      <c r="CA72" s="26">
        <f>SUM(Tabela1[[#This Row],[SOMA_PISO SALA E QUARTO]],Tabela1[[#This Row],[SOMA_PAREDE HIDR]],Tabela1[[#This Row],[SOMA_TETO]],Tabela1[[#This Row],[SOMA_BANCADA]],Tabela1[[#This Row],[SOMA_PEDRAS]])</f>
        <v>4290</v>
      </c>
      <c r="CB72" s="27" t="str">
        <f>IF(CA72&lt;=RÉGUAS!$D$4,"ACAB 01",IF(CA72&lt;=RÉGUAS!$F$4,"ACAB 02",IF(CA72&gt;RÉGUAS!$F$4,"ACAB 03",)))</f>
        <v>ACAB 02</v>
      </c>
      <c r="CC72" s="26">
        <f>SUM(Tabela1[[#This Row],[SOMA_LZ 01]:[SOMA_LZ 10]])</f>
        <v>1299.140706521739</v>
      </c>
      <c r="CD72" s="22" t="str">
        <f>IF(CC72&lt;=RÉGUAS!$D$13,"LZ 01",IF(CC72&lt;=RÉGUAS!$F$13,"LZ 02",IF(CC72&lt;=RÉGUAS!$H$13,"LZ 03",IF(CC72&gt;RÉGUAS!$H$13,"LZ 04",))))</f>
        <v>LZ 02</v>
      </c>
      <c r="CE72" s="28">
        <f t="shared" si="15"/>
        <v>1125</v>
      </c>
      <c r="CF72" s="22" t="str">
        <f>IF(CE72&lt;=RÉGUAS!$D$22,"TIP 01",IF(CE72&lt;=RÉGUAS!$F$22,"TIP 02",IF(CE72&gt;RÉGUAS!$F$22,"TIP 03",)))</f>
        <v>TIP 01</v>
      </c>
      <c r="CG72" s="28">
        <f t="shared" si="16"/>
        <v>2201.086956521739</v>
      </c>
      <c r="CH72" s="22" t="str">
        <f>IF(CG72&lt;=RÉGUAS!$D$32,"VAGA 01",IF(CG72&lt;=RÉGUAS!$F$32,"VAGA 02",IF(CG72&gt;RÉGUAS!$F$32,"VAGA 03",)))</f>
        <v>VAGA 02</v>
      </c>
      <c r="CI72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72" s="85" t="str">
        <f>IF(AND(G72="BLOCO",CI72&lt;=RÉGUAS!$D$40),"ELEV 01",IF(AND(G72="BLOCO",CI72&gt;RÉGUAS!$D$40),"ELEV 02",IF(AND(G72="TORRE",CI72&lt;=RÉGUAS!$K$40),"ELEV 01",IF(AND(G72="TORRE",CI72&lt;=RÉGUAS!$M$40),"ELEV 02",IF(AND(G72="TORRE",CI72&gt;RÉGUAS!$M$40),"ELEV 03",)))))</f>
        <v>ELEV 01</v>
      </c>
      <c r="CK72" s="85">
        <f>SUM(Tabela1[[#This Row],[TOTAL  ACAB]],Tabela1[[#This Row],[TOTAL LAZER ]],Tabela1[[#This Row],[TOTAL TIPOLOGIA]],Tabela1[[#This Row],[TOTAL VAGA]],Tabela1[[#This Row],[TOTAL ELEVADOR]])</f>
        <v>8915.227663043479</v>
      </c>
      <c r="CL72" s="72" t="str">
        <f>IF(AND(G72="BLOCO",CK72&lt;=RÉGUAS!$D$50),"ESSENCIAL",IF(AND(G72="BLOCO",CK72&lt;=RÉGUAS!$F$50),"ECO",IF(AND(G72="BLOCO",CK72&gt;RÉGUAS!$F$50),"BIO",IF(AND(G72="TORRE",CK72&lt;=RÉGUAS!$K$50),"ESSENCIAL",IF(AND(G72="TORRE",CK72&lt;=RÉGUAS!$M$50),"ECO",IF(AND(G72="TORRE",CK72&gt;RÉGUAS!$M$50),"BIO",))))))</f>
        <v>ECO</v>
      </c>
      <c r="CM72" s="28" t="str">
        <f>IF(AND(G72="BLOCO",CK72&gt;=RÉGUAS!$D$51,CK72&lt;=RÉGUAS!$D$50),"ESSENCIAL-10%",IF(AND(G72="BLOCO",CK72&gt;RÉGUAS!$D$50,CK72&lt;=RÉGUAS!$E$51),"ECO+10%",IF(AND(G72="BLOCO",CK72&gt;=RÉGUAS!$F$51,CK72&lt;=RÉGUAS!$F$50),"ECO-10%",IF(AND(G72="BLOCO",CK72&gt;RÉGUAS!$F$50,CK72&lt;=RÉGUAS!$G$51),"BIO+10%",IF(AND(G72="TORRE",CK72&gt;=RÉGUAS!$K$51,CK72&lt;=RÉGUAS!$K$50),"ESSENCIAL-10%",IF(AND(G72="TORRE",CK72&gt;RÉGUAS!$K$50,CK72&lt;=RÉGUAS!$L$51),"ECO+10%",IF(AND(G72="TORRE",CK72&gt;=RÉGUAS!$M$51,CK72&lt;=RÉGUAS!$M$50),"ECO-10%",IF(AND(G72="TORRE",CK72&gt;RÉGUAS!$M$50,CK72&lt;=RÉGUAS!$N$51),"BIO+10%","-"))))))))</f>
        <v>-</v>
      </c>
      <c r="CN72" s="73">
        <f t="shared" si="17"/>
        <v>8915.227663043479</v>
      </c>
      <c r="CO72" s="72" t="str">
        <f>IF(CN72&lt;=RÉGUAS!$D$58,"ESSENCIAL",IF(CN72&lt;=RÉGUAS!$F$58,"ECO",IF(CN72&gt;RÉGUAS!$F$58,"BIO",)))</f>
        <v>ECO</v>
      </c>
      <c r="CP72" s="72" t="str">
        <f>IF(Tabela1[[#This Row],[INTERVALO DE INTERSEÇÃO 5D]]="-",Tabela1[[#This Row],[CLASSIFICAÇÃO 
5D ]],Tabela1[[#This Row],[CLASSIFICAÇÃO 
4D]])</f>
        <v>ECO</v>
      </c>
      <c r="CQ72" s="72" t="str">
        <f t="shared" si="18"/>
        <v>-</v>
      </c>
      <c r="CR72" s="72" t="str">
        <f t="shared" si="19"/>
        <v>ECO</v>
      </c>
      <c r="CS72" s="22" t="str">
        <f>IF(Tabela1[[#This Row],[PRODUTO ATUAL ]]=Tabela1[[#This Row],[CLASSIFICAÇÃO FINAL 5D]],"ADERÊNTE","NÃO ADERÊNTE")</f>
        <v>ADERÊNTE</v>
      </c>
      <c r="CT72" s="24">
        <f>SUM(Tabela1[[#This Row],[TOTAL  ACAB]],Tabela1[[#This Row],[TOTAL LAZER ]],Tabela1[[#This Row],[TOTAL TIPOLOGIA]],Tabela1[[#This Row],[TOTAL VAGA]])</f>
        <v>8915.227663043479</v>
      </c>
      <c r="CU72" s="22" t="str">
        <f>IF(CT72&lt;=RÉGUAS!$D$58,"ESSENCIAL",IF(CT72&lt;=RÉGUAS!$F$58,"ECO",IF(CT72&gt;RÉGUAS!$F$58,"BIO",)))</f>
        <v>ECO</v>
      </c>
      <c r="CV72" s="22" t="str">
        <f>IF(AND(CT72&gt;=RÉGUAS!$D$59,CT72&lt;=RÉGUAS!$E$59),"ESSENCIAL/ECO",IF(AND(CT72&gt;=RÉGUAS!$F$59,CT72&lt;=RÉGUAS!$G$59),"ECO/BIO","-"))</f>
        <v>-</v>
      </c>
      <c r="CW72" s="85">
        <f>SUM(Tabela1[[#This Row],[TOTAL LAZER ]],Tabela1[[#This Row],[TOTAL TIPOLOGIA]])</f>
        <v>2424.140706521739</v>
      </c>
      <c r="CX72" s="22" t="str">
        <f>IF(CW72&lt;=RÉGUAS!$D$72,"ESSENCIAL",IF(CW72&lt;=RÉGUAS!$F$72,"ECO",IF(CN72&gt;RÉGUAS!$F$72,"BIO",)))</f>
        <v>ECO</v>
      </c>
      <c r="CY72" s="22" t="str">
        <f t="shared" si="20"/>
        <v>ECO</v>
      </c>
      <c r="CZ72" s="22" t="str">
        <f>IF(Tabela1[[#This Row],[PRODUTO ATUAL ]]=CY72,"ADERENTE","NÃO ADERENTE")</f>
        <v>ADERENTE</v>
      </c>
      <c r="DA72" s="22" t="str">
        <f>IF(Tabela1[[#This Row],[PRODUTO ATUAL ]]=Tabela1[[#This Row],[CLASSIFICAÇÃO 
4D2]],"ADERENTE","NÃO ADERENTE")</f>
        <v>ADERENTE</v>
      </c>
    </row>
    <row r="73" spans="2:105" x14ac:dyDescent="0.35">
      <c r="B73" s="27">
        <v>57</v>
      </c>
      <c r="C73" s="22" t="s">
        <v>246</v>
      </c>
      <c r="D73" s="22" t="s">
        <v>118</v>
      </c>
      <c r="E73" s="23">
        <v>288</v>
      </c>
      <c r="F73" s="22" t="str">
        <f t="shared" si="14"/>
        <v>De 200 a 400 und</v>
      </c>
      <c r="G73" s="22" t="s">
        <v>14</v>
      </c>
      <c r="H73" s="36">
        <v>1</v>
      </c>
      <c r="I73" s="36">
        <v>24</v>
      </c>
      <c r="J73" s="36"/>
      <c r="K73" s="36"/>
      <c r="L73" s="36">
        <f>SUM(Tabela1[[#This Row],[QTD DE B/T 2]],Tabela1[[#This Row],[QTD DE B/T]])</f>
        <v>1</v>
      </c>
      <c r="M73" s="22">
        <v>4</v>
      </c>
      <c r="N73" s="22">
        <f>Tabela1[[#This Row],[ELEVADOR]]/Tabela1[[#This Row],[BLOCO TOTAL]]</f>
        <v>4</v>
      </c>
      <c r="O73" s="22" t="s">
        <v>5</v>
      </c>
      <c r="P73" s="22" t="s">
        <v>101</v>
      </c>
      <c r="Q73" s="22" t="s">
        <v>101</v>
      </c>
      <c r="R73" s="22" t="s">
        <v>142</v>
      </c>
      <c r="S73" s="22" t="s">
        <v>103</v>
      </c>
      <c r="T73" s="22" t="s">
        <v>104</v>
      </c>
      <c r="U73" s="22" t="s">
        <v>105</v>
      </c>
      <c r="V73" s="22" t="s">
        <v>137</v>
      </c>
      <c r="W73" s="24">
        <f>IF(P73=[1]BD_CUSTO!$E$4,[1]BD_CUSTO!$F$4,[1]BD_CUSTO!$F$5)</f>
        <v>2430</v>
      </c>
      <c r="X73" s="24">
        <f>IF(Q73=[1]BD_CUSTO!$E$6,[1]BD_CUSTO!$F$6,[1]BD_CUSTO!$F$7)</f>
        <v>260</v>
      </c>
      <c r="Y73" s="24">
        <f>IF(R73=[1]BD_CUSTO!$E$8,[1]BD_CUSTO!$F$8,[1]BD_CUSTO!$F$9)</f>
        <v>900</v>
      </c>
      <c r="Z73" s="24">
        <f>IF(S73=[1]BD_CUSTO!$E$10,[1]BD_CUSTO!$F$10,[1]BD_CUSTO!$F$11)</f>
        <v>500</v>
      </c>
      <c r="AA73" s="24">
        <f>IF(T73=[1]BD_CUSTO!$E$12,[1]BD_CUSTO!$F$12,[1]BD_CUSTO!$F$13)</f>
        <v>370</v>
      </c>
      <c r="AB73" s="24">
        <f>IF(U73=[1]BD_CUSTO!$E$14,[1]BD_CUSTO!$F$14,[1]BD_CUSTO!$F$15)</f>
        <v>90</v>
      </c>
      <c r="AC73" s="24">
        <f>IF(V73=[1]BD_CUSTO!$E$16,[1]BD_CUSTO!$F$16,[1]BD_CUSTO!$F$17)</f>
        <v>1320</v>
      </c>
      <c r="AD73" s="22" t="s">
        <v>109</v>
      </c>
      <c r="AE73" s="22">
        <v>1</v>
      </c>
      <c r="AF73" s="22" t="s">
        <v>120</v>
      </c>
      <c r="AG73" s="22">
        <v>1</v>
      </c>
      <c r="AH73" s="22" t="s">
        <v>139</v>
      </c>
      <c r="AI73" s="22">
        <v>1</v>
      </c>
      <c r="AJ73" s="22" t="s">
        <v>110</v>
      </c>
      <c r="AK73" s="22">
        <v>1</v>
      </c>
      <c r="AL73" s="22" t="s">
        <v>121</v>
      </c>
      <c r="AM73" s="22">
        <v>1</v>
      </c>
      <c r="AN73" s="22" t="s">
        <v>107</v>
      </c>
      <c r="AO73" s="22">
        <v>1</v>
      </c>
      <c r="AP73" s="22" t="s">
        <v>108</v>
      </c>
      <c r="AQ73" s="22">
        <v>1</v>
      </c>
      <c r="AR73" s="22" t="s">
        <v>129</v>
      </c>
      <c r="AS73" s="22">
        <v>1</v>
      </c>
      <c r="AT73" s="22" t="s">
        <v>133</v>
      </c>
      <c r="AU73" s="22">
        <v>1</v>
      </c>
      <c r="AV73" s="22"/>
      <c r="AW73" s="22"/>
      <c r="AX73" s="24">
        <f>IF(AD73="",0,VLOOKUP(AD73,[1]BD_CUSTO!I:J,2,0)*AE73/E73)</f>
        <v>24.131944444444443</v>
      </c>
      <c r="AY73" s="24">
        <f>IF(AF73="",0,VLOOKUP(AF73,[1]BD_CUSTO!I:J,2,0)*AG73/E73)</f>
        <v>197.60027777777776</v>
      </c>
      <c r="AZ73" s="24">
        <f>IF(AH73="",0,VLOOKUP(AH73,[1]BD_CUSTO!I:J,2,0)*AI73/E73)</f>
        <v>215.82055555555556</v>
      </c>
      <c r="BA73" s="24">
        <f>IF(AJ73="",0,VLOOKUP(AJ73,[1]BD_CUSTO!I:J,2,0)*AK73/E73)</f>
        <v>18.402777777777779</v>
      </c>
      <c r="BB73" s="24">
        <f>IF(AL73="",0,VLOOKUP(AL73,[1]BD_CUSTO!I:J,2,0)*AM73/E73)</f>
        <v>427.62812499999995</v>
      </c>
      <c r="BC73" s="24">
        <f>IF(AN73="",0,VLOOKUP(AN73,[1]BD_CUSTO!I:J,2,0)*AO73/E73)</f>
        <v>295.65666666666664</v>
      </c>
      <c r="BD73" s="24">
        <f>IF(AP73="",0,VLOOKUP(AP73,[1]BD_CUSTO!I:J,2,0)*AQ73/E73)</f>
        <v>80.381944444444443</v>
      </c>
      <c r="BE73" s="24">
        <f>IF(AR73="",0,VLOOKUP(AR73,CUSTO!I:J,2,0)*AS73/E73)</f>
        <v>955.44298611111117</v>
      </c>
      <c r="BF73" s="24">
        <f>IF(AT73="",0,VLOOKUP(AT73,[1]BD_CUSTO!I:J,2,0)*AU73/E73)</f>
        <v>24.166666666666668</v>
      </c>
      <c r="BG73" s="24">
        <f>IF(Tabela1[[#This Row],[LZ 10]]="",0,VLOOKUP(Tabela1[[#This Row],[LZ 10]],[1]BD_CUSTO!I:J,2,0)*Tabela1[[#This Row],[QTD922]]/E73)</f>
        <v>0</v>
      </c>
      <c r="BH73" s="22" t="s">
        <v>112</v>
      </c>
      <c r="BI73" s="25">
        <f>192/Tabela1[[#This Row],[Nº UNDS]]</f>
        <v>0.66666666666666663</v>
      </c>
      <c r="BJ73" s="22" t="s">
        <v>113</v>
      </c>
      <c r="BK73" s="25">
        <v>0</v>
      </c>
      <c r="BL73" s="24">
        <f>IF(BH73=[1]BD_CUSTO!$M$6,[1]BD_CUSTO!$N$6)*BI73</f>
        <v>2000</v>
      </c>
      <c r="BM73" s="24">
        <f>IF(BJ73=[1]BD_CUSTO!$M$4,[1]BD_CUSTO!$N$4,[1]BD_CUSTO!$N$5)*BK73</f>
        <v>0</v>
      </c>
      <c r="BN73" s="22" t="s">
        <v>114</v>
      </c>
      <c r="BO73" s="22">
        <f>279+28+10+1</f>
        <v>318</v>
      </c>
      <c r="BP73" s="25">
        <f>Tabela1[[#This Row],[QTD ]]/Tabela1[[#This Row],[Nº UNDS]]</f>
        <v>1.1041666666666667</v>
      </c>
      <c r="BQ73" s="22" t="s">
        <v>115</v>
      </c>
      <c r="BR73" s="22">
        <v>13</v>
      </c>
      <c r="BS73" s="22" t="s">
        <v>116</v>
      </c>
      <c r="BT73" s="22">
        <v>0</v>
      </c>
      <c r="BU73" s="22" t="s">
        <v>16</v>
      </c>
      <c r="BV73" s="22">
        <v>0</v>
      </c>
      <c r="BW73" s="24">
        <f>IF(BN73=[1]BD_CUSTO!$Q$7,[1]BD_CUSTO!$R$7,[1]BD_CUSTO!$R$8)*BO73/E73</f>
        <v>2208.3333333333335</v>
      </c>
      <c r="BX73" s="24">
        <f>IF(BQ73=[1]BD_CUSTO!$Q$4,[1]BD_CUSTO!$R$4,[1]BD_CUSTO!$R$5)*BR73/E73</f>
        <v>0</v>
      </c>
      <c r="BY73" s="22">
        <f>IF(BS73=[1]BD_CUSTO!$Q$13,[1]BD_CUSTO!$R$13,[1]BD_CUSTO!$R$14)*BT73/E73</f>
        <v>0</v>
      </c>
      <c r="BZ73" s="24">
        <f>BV73*CUSTO!$R$10/E73</f>
        <v>0</v>
      </c>
      <c r="CA73" s="26">
        <f>SUM(Tabela1[[#This Row],[SOMA_PISO SALA E QUARTO]],Tabela1[[#This Row],[SOMA_PAREDE HIDR]],Tabela1[[#This Row],[SOMA_TETO]],Tabela1[[#This Row],[SOMA_BANCADA]],Tabela1[[#This Row],[SOMA_PEDRAS]])</f>
        <v>4290</v>
      </c>
      <c r="CB73" s="27" t="str">
        <f>IF(CA73&lt;=RÉGUAS!$D$4,"ACAB 01",IF(CA73&lt;=RÉGUAS!$F$4,"ACAB 02",IF(CA73&gt;RÉGUAS!$F$4,"ACAB 03",)))</f>
        <v>ACAB 02</v>
      </c>
      <c r="CC73" s="26">
        <f>SUM(Tabela1[[#This Row],[SOMA_LZ 01]:[SOMA_LZ 10]])</f>
        <v>2239.2319444444443</v>
      </c>
      <c r="CD73" s="22" t="str">
        <f>IF(CC73&lt;=RÉGUAS!$D$13,"LZ 01",IF(CC73&lt;=RÉGUAS!$F$13,"LZ 02",IF(CC73&lt;=RÉGUAS!$H$13,"LZ 03",IF(CC73&gt;RÉGUAS!$H$13,"LZ 04",))))</f>
        <v>LZ 03</v>
      </c>
      <c r="CE73" s="28">
        <f t="shared" si="15"/>
        <v>2000</v>
      </c>
      <c r="CF73" s="22" t="str">
        <f>IF(CE73&lt;=RÉGUAS!$D$22,"TIP 01",IF(CE73&lt;=RÉGUAS!$F$22,"TIP 02",IF(CE73&gt;RÉGUAS!$F$22,"TIP 03",)))</f>
        <v>TIP 02</v>
      </c>
      <c r="CG73" s="28">
        <f t="shared" si="16"/>
        <v>2208.3333333333335</v>
      </c>
      <c r="CH73" s="22" t="str">
        <f>IF(CG73&lt;=RÉGUAS!$D$32,"VAGA 01",IF(CG73&lt;=RÉGUAS!$F$32,"VAGA 02",IF(CG73&gt;RÉGUAS!$F$32,"VAGA 03",)))</f>
        <v>VAGA 02</v>
      </c>
      <c r="CI73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5593</v>
      </c>
      <c r="CJ73" s="85" t="str">
        <f>IF(AND(G73="BLOCO",CI73&lt;=RÉGUAS!$D$40),"ELEV 01",IF(AND(G73="BLOCO",CI73&gt;RÉGUAS!$D$40),"ELEV 02",IF(AND(G73="TORRE",CI73&lt;=RÉGUAS!$K$40),"ELEV 01",IF(AND(G73="TORRE",CI73&lt;=RÉGUAS!$M$40),"ELEV 02",IF(AND(G73="TORRE",CI73&gt;RÉGUAS!$M$40),"ELEV 03",)))))</f>
        <v>ELEV 03</v>
      </c>
      <c r="CK73" s="85">
        <f>SUM(Tabela1[[#This Row],[TOTAL  ACAB]],Tabela1[[#This Row],[TOTAL LAZER ]],Tabela1[[#This Row],[TOTAL TIPOLOGIA]],Tabela1[[#This Row],[TOTAL VAGA]],Tabela1[[#This Row],[TOTAL ELEVADOR]])</f>
        <v>16330.565277777778</v>
      </c>
      <c r="CL73" s="72" t="str">
        <f>IF(AND(G73="BLOCO",CK73&lt;=RÉGUAS!$D$50),"ESSENCIAL",IF(AND(G73="BLOCO",CK73&lt;=RÉGUAS!$F$50),"ECO",IF(AND(G73="BLOCO",CK73&gt;RÉGUAS!$F$50),"BIO",IF(AND(G73="TORRE",CK73&lt;=RÉGUAS!$K$50),"ESSENCIAL",IF(AND(G73="TORRE",CK73&lt;=RÉGUAS!$M$50),"ECO",IF(AND(G73="TORRE",CK73&gt;RÉGUAS!$M$50),"BIO",))))))</f>
        <v>BIO</v>
      </c>
      <c r="CM73" s="28" t="str">
        <f>IF(AND(G73="BLOCO",CK73&gt;=RÉGUAS!$D$51,CK73&lt;=RÉGUAS!$D$50),"ESSENCIAL-10%",IF(AND(G73="BLOCO",CK73&gt;RÉGUAS!$D$50,CK73&lt;=RÉGUAS!$E$51),"ECO+10%",IF(AND(G73="BLOCO",CK73&gt;=RÉGUAS!$F$51,CK73&lt;=RÉGUAS!$F$50),"ECO-10%",IF(AND(G73="BLOCO",CK73&gt;RÉGUAS!$F$50,CK73&lt;=RÉGUAS!$G$51),"BIO+10%",IF(AND(G73="TORRE",CK73&gt;=RÉGUAS!$K$51,CK73&lt;=RÉGUAS!$K$50),"ESSENCIAL-10%",IF(AND(G73="TORRE",CK73&gt;RÉGUAS!$K$50,CK73&lt;=RÉGUAS!$L$51),"ECO+10%",IF(AND(G73="TORRE",CK73&gt;=RÉGUAS!$M$51,CK73&lt;=RÉGUAS!$M$50),"ECO-10%",IF(AND(G73="TORRE",CK73&gt;RÉGUAS!$M$50,CK73&lt;=RÉGUAS!$N$51),"BIO+10%","-"))))))))</f>
        <v>-</v>
      </c>
      <c r="CN73" s="73">
        <f t="shared" si="17"/>
        <v>10737.565277777778</v>
      </c>
      <c r="CO73" s="72" t="str">
        <f>IF(CN73&lt;=RÉGUAS!$D$58,"ESSENCIAL",IF(CN73&lt;=RÉGUAS!$F$58,"ECO",IF(CN73&gt;RÉGUAS!$F$58,"BIO",)))</f>
        <v>ECO</v>
      </c>
      <c r="CP73" s="72" t="str">
        <f>IF(Tabela1[[#This Row],[INTERVALO DE INTERSEÇÃO 5D]]="-",Tabela1[[#This Row],[CLASSIFICAÇÃO 
5D ]],Tabela1[[#This Row],[CLASSIFICAÇÃO 
4D]])</f>
        <v>BIO</v>
      </c>
      <c r="CQ73" s="72" t="str">
        <f t="shared" si="18"/>
        <v>-</v>
      </c>
      <c r="CR73" s="72" t="str">
        <f t="shared" si="19"/>
        <v>BIO</v>
      </c>
      <c r="CS73" s="22" t="str">
        <f>IF(Tabela1[[#This Row],[PRODUTO ATUAL ]]=Tabela1[[#This Row],[CLASSIFICAÇÃO FINAL 5D]],"ADERÊNTE","NÃO ADERÊNTE")</f>
        <v>NÃO ADERÊNTE</v>
      </c>
      <c r="CT73" s="24">
        <f>SUM(Tabela1[[#This Row],[TOTAL  ACAB]],Tabela1[[#This Row],[TOTAL LAZER ]],Tabela1[[#This Row],[TOTAL TIPOLOGIA]],Tabela1[[#This Row],[TOTAL VAGA]])</f>
        <v>10737.565277777778</v>
      </c>
      <c r="CU73" s="22" t="str">
        <f>IF(CT73&lt;=RÉGUAS!$D$58,"ESSENCIAL",IF(CT73&lt;=RÉGUAS!$F$58,"ECO",IF(CT73&gt;RÉGUAS!$F$58,"BIO",)))</f>
        <v>ECO</v>
      </c>
      <c r="CV73" s="22" t="str">
        <f>IF(AND(CT73&gt;=RÉGUAS!$D$59,CT73&lt;=RÉGUAS!$E$59),"ESSENCIAL/ECO",IF(AND(CT73&gt;=RÉGUAS!$F$59,CT73&lt;=RÉGUAS!$G$59),"ECO/BIO","-"))</f>
        <v>ECO/BIO</v>
      </c>
      <c r="CW73" s="85">
        <f>SUM(Tabela1[[#This Row],[TOTAL LAZER ]],Tabela1[[#This Row],[TOTAL TIPOLOGIA]])</f>
        <v>4239.2319444444438</v>
      </c>
      <c r="CX73" s="22" t="str">
        <f>IF(CW73&lt;=RÉGUAS!$D$72,"ESSENCIAL",IF(CW73&lt;=RÉGUAS!$F$72,"ECO",IF(CN73&gt;RÉGUAS!$F$72,"BIO",)))</f>
        <v>ECO</v>
      </c>
      <c r="CY73" s="22" t="str">
        <f t="shared" si="20"/>
        <v>ECO</v>
      </c>
      <c r="CZ73" s="22" t="str">
        <f>IF(Tabela1[[#This Row],[PRODUTO ATUAL ]]=CY73,"ADERENTE","NÃO ADERENTE")</f>
        <v>ADERENTE</v>
      </c>
      <c r="DA73" s="22" t="str">
        <f>IF(Tabela1[[#This Row],[PRODUTO ATUAL ]]=Tabela1[[#This Row],[CLASSIFICAÇÃO 
4D2]],"ADERENTE","NÃO ADERENTE")</f>
        <v>ADERENTE</v>
      </c>
    </row>
    <row r="74" spans="2:105" hidden="1" x14ac:dyDescent="0.35">
      <c r="B74" s="27">
        <v>71</v>
      </c>
      <c r="C74" s="22" t="s">
        <v>199</v>
      </c>
      <c r="D74" s="22" t="s">
        <v>100</v>
      </c>
      <c r="E74" s="23">
        <v>240</v>
      </c>
      <c r="F74" s="22" t="str">
        <f t="shared" si="14"/>
        <v>De 200 a 400 und</v>
      </c>
      <c r="G74" s="22" t="s">
        <v>1</v>
      </c>
      <c r="H74" s="36">
        <v>15</v>
      </c>
      <c r="I74" s="36">
        <v>4</v>
      </c>
      <c r="J74" s="36"/>
      <c r="K74" s="36"/>
      <c r="L74" s="36">
        <f>SUM(Tabela1[[#This Row],[QTD DE B/T 2]],Tabela1[[#This Row],[QTD DE B/T]])</f>
        <v>15</v>
      </c>
      <c r="M74" s="22">
        <v>0</v>
      </c>
      <c r="N74" s="22">
        <f>Tabela1[[#This Row],[ELEVADOR]]/Tabela1[[#This Row],[BLOCO TOTAL]]</f>
        <v>0</v>
      </c>
      <c r="O74" s="22" t="s">
        <v>5</v>
      </c>
      <c r="P74" s="22" t="s">
        <v>101</v>
      </c>
      <c r="Q74" s="22" t="s">
        <v>101</v>
      </c>
      <c r="R74" s="22" t="s">
        <v>142</v>
      </c>
      <c r="S74" s="22" t="s">
        <v>103</v>
      </c>
      <c r="T74" s="22" t="s">
        <v>104</v>
      </c>
      <c r="U74" s="22" t="s">
        <v>105</v>
      </c>
      <c r="V74" s="22" t="s">
        <v>106</v>
      </c>
      <c r="W74" s="24">
        <f>IF(P74=[1]BD_CUSTO!$E$4,[1]BD_CUSTO!$F$4,[1]BD_CUSTO!$F$5)</f>
        <v>2430</v>
      </c>
      <c r="X74" s="24">
        <f>IF(Q74=[1]BD_CUSTO!$E$6,[1]BD_CUSTO!$F$6,[1]BD_CUSTO!$F$7)</f>
        <v>260</v>
      </c>
      <c r="Y74" s="24">
        <f>IF(R74=[1]BD_CUSTO!$E$8,[1]BD_CUSTO!$F$8,[1]BD_CUSTO!$F$9)</f>
        <v>900</v>
      </c>
      <c r="Z74" s="24">
        <f>IF(S74=[1]BD_CUSTO!$E$10,[1]BD_CUSTO!$F$10,[1]BD_CUSTO!$F$11)</f>
        <v>500</v>
      </c>
      <c r="AA74" s="24">
        <f>IF(T74=[1]BD_CUSTO!$E$12,[1]BD_CUSTO!$F$12,[1]BD_CUSTO!$F$13)</f>
        <v>370</v>
      </c>
      <c r="AB74" s="24">
        <f>IF(U74=[1]BD_CUSTO!$E$14,[1]BD_CUSTO!$F$14,[1]BD_CUSTO!$F$15)</f>
        <v>90</v>
      </c>
      <c r="AC74" s="24">
        <f>IF(V74=[1]BD_CUSTO!$E$16,[1]BD_CUSTO!$F$16,[1]BD_CUSTO!$F$17)</f>
        <v>720</v>
      </c>
      <c r="AD74" s="22" t="s">
        <v>110</v>
      </c>
      <c r="AE74" s="22">
        <v>1</v>
      </c>
      <c r="AF74" s="22" t="s">
        <v>108</v>
      </c>
      <c r="AG74" s="22">
        <v>1</v>
      </c>
      <c r="AH74" s="22" t="s">
        <v>107</v>
      </c>
      <c r="AI74" s="22">
        <v>2</v>
      </c>
      <c r="AJ74" s="22" t="s">
        <v>129</v>
      </c>
      <c r="AK74" s="22">
        <v>1</v>
      </c>
      <c r="AL74" s="22" t="s">
        <v>109</v>
      </c>
      <c r="AM74" s="22">
        <v>1</v>
      </c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4">
        <f>IF(AD74="",0,VLOOKUP(AD74,[1]BD_CUSTO!I:J,2,0)*AE74/E74)</f>
        <v>22.083333333333332</v>
      </c>
      <c r="AY74" s="24">
        <f>IF(AF74="",0,VLOOKUP(AF74,[1]BD_CUSTO!I:J,2,0)*AG74/E74)</f>
        <v>96.458333333333329</v>
      </c>
      <c r="AZ74" s="24">
        <f>IF(AH74="",0,VLOOKUP(AH74,[1]BD_CUSTO!I:J,2,0)*AI74/E74)</f>
        <v>709.57599999999991</v>
      </c>
      <c r="BA74" s="24">
        <f>IF(AJ74="",0,VLOOKUP(AJ74,[1]BD_CUSTO!I:J,2,0)*AK74/E74)</f>
        <v>1146.5315833333334</v>
      </c>
      <c r="BB74" s="24">
        <f>IF(AL74="",0,VLOOKUP(AL74,[1]BD_CUSTO!I:J,2,0)*AM74/E74)</f>
        <v>28.958333333333332</v>
      </c>
      <c r="BC74" s="24">
        <f>IF(AN74="",0,VLOOKUP(AN74,[1]BD_CUSTO!I:J,2,0)*AO74/E74)</f>
        <v>0</v>
      </c>
      <c r="BD74" s="24">
        <f>IF(AP74="",0,VLOOKUP(AP74,[1]BD_CUSTO!I:J,2,0)*AQ74/E74)</f>
        <v>0</v>
      </c>
      <c r="BE74" s="24">
        <f>IF(AR74="",0,VLOOKUP(AR74,CUSTO!I:J,2,0)*AS74/E74)</f>
        <v>0</v>
      </c>
      <c r="BF74" s="24">
        <f>IF(AT74="",0,VLOOKUP(AT74,[1]BD_CUSTO!I:J,2,0)*AU74/E74)</f>
        <v>0</v>
      </c>
      <c r="BG74" s="24">
        <f>IF(Tabela1[[#This Row],[LZ 10]]="",0,VLOOKUP(Tabela1[[#This Row],[LZ 10]],[1]BD_CUSTO!I:J,2,0)*Tabela1[[#This Row],[QTD922]]/E74)</f>
        <v>0</v>
      </c>
      <c r="BH74" s="22" t="s">
        <v>112</v>
      </c>
      <c r="BI74" s="25">
        <f>90/Tabela1[[#This Row],[Nº UNDS]]</f>
        <v>0.375</v>
      </c>
      <c r="BJ74" s="22" t="s">
        <v>113</v>
      </c>
      <c r="BK74" s="25">
        <v>0</v>
      </c>
      <c r="BL74" s="24">
        <f>IF(BH74=[1]BD_CUSTO!$M$6,[1]BD_CUSTO!$N$6)*BI74</f>
        <v>1125</v>
      </c>
      <c r="BM74" s="24">
        <f>IF(BJ74=[1]BD_CUSTO!$M$4,[1]BD_CUSTO!$N$4,[1]BD_CUSTO!$N$5)*BK74</f>
        <v>0</v>
      </c>
      <c r="BN74" s="22" t="s">
        <v>114</v>
      </c>
      <c r="BO74" s="22">
        <f>291-25</f>
        <v>266</v>
      </c>
      <c r="BP74" s="25">
        <f>Tabela1[[#This Row],[QTD ]]/Tabela1[[#This Row],[Nº UNDS]]</f>
        <v>1.1083333333333334</v>
      </c>
      <c r="BQ74" s="22" t="s">
        <v>123</v>
      </c>
      <c r="BR74" s="22">
        <v>25</v>
      </c>
      <c r="BS74" s="22" t="s">
        <v>116</v>
      </c>
      <c r="BT74" s="22">
        <v>0</v>
      </c>
      <c r="BU74" s="22" t="s">
        <v>16</v>
      </c>
      <c r="BV74" s="22">
        <v>0</v>
      </c>
      <c r="BW74" s="24">
        <f>IF(BN74=[1]BD_CUSTO!$Q$7,[1]BD_CUSTO!$R$7,[1]BD_CUSTO!$R$8)*BO74/E74</f>
        <v>2216.6666666666665</v>
      </c>
      <c r="BX74" s="24">
        <f>IF(BQ74=[1]BD_CUSTO!$Q$4,[1]BD_CUSTO!$R$4,[1]BD_CUSTO!$R$5)*BR74/E74</f>
        <v>104.16666666666667</v>
      </c>
      <c r="BY74" s="22">
        <f>IF(BS74=[1]BD_CUSTO!$Q$13,[1]BD_CUSTO!$R$13,[1]BD_CUSTO!$R$14)*BT74/E74</f>
        <v>0</v>
      </c>
      <c r="BZ74" s="24">
        <f>BV74*CUSTO!$R$10/E74</f>
        <v>0</v>
      </c>
      <c r="CA74" s="26">
        <f>SUM(Tabela1[[#This Row],[SOMA_PISO SALA E QUARTO]],Tabela1[[#This Row],[SOMA_PAREDE HIDR]],Tabela1[[#This Row],[SOMA_TETO]],Tabela1[[#This Row],[SOMA_BANCADA]],Tabela1[[#This Row],[SOMA_PEDRAS]])</f>
        <v>4290</v>
      </c>
      <c r="CB74" s="27" t="str">
        <f>IF(CA74&lt;=RÉGUAS!$D$4,"ACAB 01",IF(CA74&lt;=RÉGUAS!$F$4,"ACAB 02",IF(CA74&gt;RÉGUAS!$F$4,"ACAB 03",)))</f>
        <v>ACAB 02</v>
      </c>
      <c r="CC74" s="26">
        <f>SUM(Tabela1[[#This Row],[SOMA_LZ 01]:[SOMA_LZ 10]])</f>
        <v>2003.6075833333332</v>
      </c>
      <c r="CD74" s="22" t="str">
        <f>IF(CC74&lt;=RÉGUAS!$D$13,"LZ 01",IF(CC74&lt;=RÉGUAS!$F$13,"LZ 02",IF(CC74&lt;=RÉGUAS!$H$13,"LZ 03",IF(CC74&gt;RÉGUAS!$H$13,"LZ 04",))))</f>
        <v>LZ 03</v>
      </c>
      <c r="CE74" s="28">
        <f t="shared" si="15"/>
        <v>1125</v>
      </c>
      <c r="CF74" s="22" t="str">
        <f>IF(CE74&lt;=RÉGUAS!$D$22,"TIP 01",IF(CE74&lt;=RÉGUAS!$F$22,"TIP 02",IF(CE74&gt;RÉGUAS!$F$22,"TIP 03",)))</f>
        <v>TIP 01</v>
      </c>
      <c r="CG74" s="28">
        <f t="shared" si="16"/>
        <v>2320.833333333333</v>
      </c>
      <c r="CH74" s="22" t="str">
        <f>IF(CG74&lt;=RÉGUAS!$D$32,"VAGA 01",IF(CG74&lt;=RÉGUAS!$F$32,"VAGA 02",IF(CG74&gt;RÉGUAS!$F$32,"VAGA 03",)))</f>
        <v>VAGA 02</v>
      </c>
      <c r="CI74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74" s="85" t="str">
        <f>IF(AND(G74="BLOCO",CI74&lt;=RÉGUAS!$D$40),"ELEV 01",IF(AND(G74="BLOCO",CI74&gt;RÉGUAS!$D$40),"ELEV 02",IF(AND(G74="TORRE",CI74&lt;=RÉGUAS!$K$40),"ELEV 01",IF(AND(G74="TORRE",CI74&lt;=RÉGUAS!$M$40),"ELEV 02",IF(AND(G74="TORRE",CI74&gt;RÉGUAS!$M$40),"ELEV 03",)))))</f>
        <v>ELEV 01</v>
      </c>
      <c r="CK74" s="85">
        <f>SUM(Tabela1[[#This Row],[TOTAL  ACAB]],Tabela1[[#This Row],[TOTAL LAZER ]],Tabela1[[#This Row],[TOTAL TIPOLOGIA]],Tabela1[[#This Row],[TOTAL VAGA]],Tabela1[[#This Row],[TOTAL ELEVADOR]])</f>
        <v>9739.4409166666665</v>
      </c>
      <c r="CL74" s="72" t="str">
        <f>IF(AND(G74="BLOCO",CK74&lt;=RÉGUAS!$D$50),"ESSENCIAL",IF(AND(G74="BLOCO",CK74&lt;=RÉGUAS!$F$50),"ECO",IF(AND(G74="BLOCO",CK74&gt;RÉGUAS!$F$50),"BIO",IF(AND(G74="TORRE",CK74&lt;=RÉGUAS!$K$50),"ESSENCIAL",IF(AND(G74="TORRE",CK74&lt;=RÉGUAS!$M$50),"ECO",IF(AND(G74="TORRE",CK74&gt;RÉGUAS!$M$50),"BIO",))))))</f>
        <v>ECO</v>
      </c>
      <c r="CM74" s="28" t="str">
        <f>IF(AND(G74="BLOCO",CK74&gt;=RÉGUAS!$D$51,CK74&lt;=RÉGUAS!$D$50),"ESSENCIAL-10%",IF(AND(G74="BLOCO",CK74&gt;RÉGUAS!$D$50,CK74&lt;=RÉGUAS!$E$51),"ECO+10%",IF(AND(G74="BLOCO",CK74&gt;=RÉGUAS!$F$51,CK74&lt;=RÉGUAS!$F$50),"ECO-10%",IF(AND(G74="BLOCO",CK74&gt;RÉGUAS!$F$50,CK74&lt;=RÉGUAS!$G$51),"BIO+10%",IF(AND(G74="TORRE",CK74&gt;=RÉGUAS!$K$51,CK74&lt;=RÉGUAS!$K$50),"ESSENCIAL-10%",IF(AND(G74="TORRE",CK74&gt;RÉGUAS!$K$50,CK74&lt;=RÉGUAS!$L$51),"ECO+10%",IF(AND(G74="TORRE",CK74&gt;=RÉGUAS!$M$51,CK74&lt;=RÉGUAS!$M$50),"ECO-10%",IF(AND(G74="TORRE",CK74&gt;RÉGUAS!$M$50,CK74&lt;=RÉGUAS!$N$51),"BIO+10%","-"))))))))</f>
        <v>-</v>
      </c>
      <c r="CN74" s="73">
        <f t="shared" si="17"/>
        <v>9739.4409166666665</v>
      </c>
      <c r="CO74" s="72" t="str">
        <f>IF(CN74&lt;=RÉGUAS!$D$58,"ESSENCIAL",IF(CN74&lt;=RÉGUAS!$F$58,"ECO",IF(CN74&gt;RÉGUAS!$F$58,"BIO",)))</f>
        <v>ECO</v>
      </c>
      <c r="CP74" s="72" t="str">
        <f>IF(Tabela1[[#This Row],[INTERVALO DE INTERSEÇÃO 5D]]="-",Tabela1[[#This Row],[CLASSIFICAÇÃO 
5D ]],Tabela1[[#This Row],[CLASSIFICAÇÃO 
4D]])</f>
        <v>ECO</v>
      </c>
      <c r="CQ74" s="72" t="str">
        <f t="shared" si="18"/>
        <v>-</v>
      </c>
      <c r="CR74" s="72" t="str">
        <f t="shared" si="19"/>
        <v>ECO</v>
      </c>
      <c r="CS74" s="22" t="str">
        <f>IF(Tabela1[[#This Row],[PRODUTO ATUAL ]]=Tabela1[[#This Row],[CLASSIFICAÇÃO FINAL 5D]],"ADERÊNTE","NÃO ADERÊNTE")</f>
        <v>ADERÊNTE</v>
      </c>
      <c r="CT74" s="24">
        <f>SUM(Tabela1[[#This Row],[TOTAL  ACAB]],Tabela1[[#This Row],[TOTAL LAZER ]],Tabela1[[#This Row],[TOTAL TIPOLOGIA]],Tabela1[[#This Row],[TOTAL VAGA]])</f>
        <v>9739.4409166666665</v>
      </c>
      <c r="CU74" s="22" t="str">
        <f>IF(CT74&lt;=RÉGUAS!$D$58,"ESSENCIAL",IF(CT74&lt;=RÉGUAS!$F$58,"ECO",IF(CT74&gt;RÉGUAS!$F$58,"BIO",)))</f>
        <v>ECO</v>
      </c>
      <c r="CV74" s="22" t="str">
        <f>IF(AND(CT74&gt;=RÉGUAS!$D$59,CT74&lt;=RÉGUAS!$E$59),"ESSENCIAL/ECO",IF(AND(CT74&gt;=RÉGUAS!$F$59,CT74&lt;=RÉGUAS!$G$59),"ECO/BIO","-"))</f>
        <v>-</v>
      </c>
      <c r="CW74" s="85">
        <f>SUM(Tabela1[[#This Row],[TOTAL LAZER ]],Tabela1[[#This Row],[TOTAL TIPOLOGIA]])</f>
        <v>3128.6075833333334</v>
      </c>
      <c r="CX74" s="22" t="str">
        <f>IF(CW74&lt;=RÉGUAS!$D$72,"ESSENCIAL",IF(CW74&lt;=RÉGUAS!$F$72,"ECO",IF(CN74&gt;RÉGUAS!$F$72,"BIO",)))</f>
        <v>ECO</v>
      </c>
      <c r="CY74" s="22" t="str">
        <f t="shared" si="20"/>
        <v>ECO</v>
      </c>
      <c r="CZ74" s="22" t="str">
        <f>IF(Tabela1[[#This Row],[PRODUTO ATUAL ]]=CY74,"ADERENTE","NÃO ADERENTE")</f>
        <v>ADERENTE</v>
      </c>
      <c r="DA74" s="22" t="str">
        <f>IF(Tabela1[[#This Row],[PRODUTO ATUAL ]]=Tabela1[[#This Row],[CLASSIFICAÇÃO 
4D2]],"ADERENTE","NÃO ADERENTE")</f>
        <v>ADERENTE</v>
      </c>
    </row>
    <row r="75" spans="2:105" hidden="1" x14ac:dyDescent="0.35">
      <c r="B75" s="27">
        <v>61</v>
      </c>
      <c r="C75" s="22" t="s">
        <v>198</v>
      </c>
      <c r="D75" s="22" t="s">
        <v>154</v>
      </c>
      <c r="E75" s="23">
        <v>192</v>
      </c>
      <c r="F75" s="22" t="str">
        <f t="shared" si="14"/>
        <v>Até 200 und</v>
      </c>
      <c r="G75" s="22" t="s">
        <v>1</v>
      </c>
      <c r="H75" s="36">
        <v>12</v>
      </c>
      <c r="I75" s="36">
        <v>4</v>
      </c>
      <c r="J75" s="36"/>
      <c r="K75" s="36"/>
      <c r="L75" s="36">
        <f>SUM(Tabela1[[#This Row],[QTD DE B/T 2]],Tabela1[[#This Row],[QTD DE B/T]])</f>
        <v>12</v>
      </c>
      <c r="M75" s="22">
        <v>1</v>
      </c>
      <c r="N75" s="22">
        <f>Tabela1[[#This Row],[ELEVADOR]]/Tabela1[[#This Row],[BLOCO TOTAL]]</f>
        <v>8.3333333333333329E-2</v>
      </c>
      <c r="O75" s="22" t="s">
        <v>5</v>
      </c>
      <c r="P75" s="22" t="s">
        <v>101</v>
      </c>
      <c r="Q75" s="22" t="s">
        <v>101</v>
      </c>
      <c r="R75" s="22" t="s">
        <v>142</v>
      </c>
      <c r="S75" s="22" t="s">
        <v>103</v>
      </c>
      <c r="T75" s="22" t="s">
        <v>104</v>
      </c>
      <c r="U75" s="22" t="s">
        <v>105</v>
      </c>
      <c r="V75" s="22" t="s">
        <v>106</v>
      </c>
      <c r="W75" s="24">
        <f>IF(P75=[1]BD_CUSTO!$E$4,[1]BD_CUSTO!$F$4,[1]BD_CUSTO!$F$5)</f>
        <v>2430</v>
      </c>
      <c r="X75" s="24">
        <f>IF(Q75=[1]BD_CUSTO!$E$6,[1]BD_CUSTO!$F$6,[1]BD_CUSTO!$F$7)</f>
        <v>260</v>
      </c>
      <c r="Y75" s="24">
        <f>IF(R75=[1]BD_CUSTO!$E$8,[1]BD_CUSTO!$F$8,[1]BD_CUSTO!$F$9)</f>
        <v>900</v>
      </c>
      <c r="Z75" s="24">
        <f>IF(S75=[1]BD_CUSTO!$E$10,[1]BD_CUSTO!$F$10,[1]BD_CUSTO!$F$11)</f>
        <v>500</v>
      </c>
      <c r="AA75" s="24">
        <f>IF(T75=[1]BD_CUSTO!$E$12,[1]BD_CUSTO!$F$12,[1]BD_CUSTO!$F$13)</f>
        <v>370</v>
      </c>
      <c r="AB75" s="24">
        <f>IF(U75=[1]BD_CUSTO!$E$14,[1]BD_CUSTO!$F$14,[1]BD_CUSTO!$F$15)</f>
        <v>90</v>
      </c>
      <c r="AC75" s="24">
        <f>IF(V75=[1]BD_CUSTO!$E$16,[1]BD_CUSTO!$F$16,[1]BD_CUSTO!$F$17)</f>
        <v>720</v>
      </c>
      <c r="AD75" s="22" t="s">
        <v>108</v>
      </c>
      <c r="AE75" s="22">
        <v>1</v>
      </c>
      <c r="AF75" s="22" t="s">
        <v>110</v>
      </c>
      <c r="AG75" s="22">
        <v>1</v>
      </c>
      <c r="AH75" s="22" t="s">
        <v>129</v>
      </c>
      <c r="AI75" s="22">
        <v>1</v>
      </c>
      <c r="AJ75" s="22" t="s">
        <v>109</v>
      </c>
      <c r="AK75" s="22">
        <v>1</v>
      </c>
      <c r="AL75" s="22" t="s">
        <v>107</v>
      </c>
      <c r="AM75" s="22">
        <v>1</v>
      </c>
      <c r="AN75" s="22" t="s">
        <v>121</v>
      </c>
      <c r="AO75" s="22">
        <v>1</v>
      </c>
      <c r="AP75" s="22"/>
      <c r="AQ75" s="22"/>
      <c r="AR75" s="22"/>
      <c r="AS75" s="22"/>
      <c r="AT75" s="22"/>
      <c r="AU75" s="22"/>
      <c r="AV75" s="22"/>
      <c r="AW75" s="22"/>
      <c r="AX75" s="24">
        <f>IF(AD75="",0,VLOOKUP(AD75,[1]BD_CUSTO!I:J,2,0)*AE75/E75)</f>
        <v>120.57291666666667</v>
      </c>
      <c r="AY75" s="24">
        <f>IF(AF75="",0,VLOOKUP(AF75,[1]BD_CUSTO!I:J,2,0)*AG75/E75)</f>
        <v>27.604166666666668</v>
      </c>
      <c r="AZ75" s="24">
        <f>IF(AH75="",0,VLOOKUP(AH75,[1]BD_CUSTO!I:J,2,0)*AI75/E75)</f>
        <v>1433.1644791666668</v>
      </c>
      <c r="BA75" s="24">
        <f>IF(AJ75="",0,VLOOKUP(AJ75,[1]BD_CUSTO!I:J,2,0)*AK75/E75)</f>
        <v>36.197916666666664</v>
      </c>
      <c r="BB75" s="24">
        <f>IF(AL75="",0,VLOOKUP(AL75,[1]BD_CUSTO!I:J,2,0)*AM75/E75)</f>
        <v>443.48499999999996</v>
      </c>
      <c r="BC75" s="24">
        <f>IF(AN75="",0,VLOOKUP(AN75,[1]BD_CUSTO!I:J,2,0)*AO75/E75)</f>
        <v>641.44218749999993</v>
      </c>
      <c r="BD75" s="24">
        <f>IF(AP75="",0,VLOOKUP(AP75,[1]BD_CUSTO!I:J,2,0)*AQ75/E75)</f>
        <v>0</v>
      </c>
      <c r="BE75" s="24">
        <f>IF(AR75="",0,VLOOKUP(AR75,CUSTO!I:J,2,0)*AS75/E75)</f>
        <v>0</v>
      </c>
      <c r="BF75" s="24">
        <f>IF(AT75="",0,VLOOKUP(AT75,[1]BD_CUSTO!I:J,2,0)*AU75/E75)</f>
        <v>0</v>
      </c>
      <c r="BG75" s="24">
        <f>IF(Tabela1[[#This Row],[LZ 10]]="",0,VLOOKUP(Tabela1[[#This Row],[LZ 10]],[1]BD_CUSTO!I:J,2,0)*Tabela1[[#This Row],[QTD922]]/E75)</f>
        <v>0</v>
      </c>
      <c r="BH75" s="22" t="s">
        <v>122</v>
      </c>
      <c r="BI75" s="25">
        <v>0</v>
      </c>
      <c r="BJ75" s="22" t="s">
        <v>113</v>
      </c>
      <c r="BK75" s="25">
        <v>0</v>
      </c>
      <c r="BL75" s="24">
        <f>IF(BH75=[1]BD_CUSTO!$M$6,[1]BD_CUSTO!$N$6)*BI75</f>
        <v>0</v>
      </c>
      <c r="BM75" s="24">
        <f>IF(BJ75=[1]BD_CUSTO!$M$4,[1]BD_CUSTO!$N$4,[1]BD_CUSTO!$N$5)*BK75</f>
        <v>0</v>
      </c>
      <c r="BN75" s="22" t="s">
        <v>114</v>
      </c>
      <c r="BO75" s="22">
        <v>226</v>
      </c>
      <c r="BP75" s="25">
        <f>Tabela1[[#This Row],[QTD ]]/Tabela1[[#This Row],[Nº UNDS]]</f>
        <v>1.1770833333333333</v>
      </c>
      <c r="BQ75" s="22" t="s">
        <v>115</v>
      </c>
      <c r="BR75" s="22">
        <v>0</v>
      </c>
      <c r="BS75" s="22" t="s">
        <v>116</v>
      </c>
      <c r="BT75" s="22">
        <v>0</v>
      </c>
      <c r="BU75" s="22" t="s">
        <v>16</v>
      </c>
      <c r="BV75" s="22">
        <v>0</v>
      </c>
      <c r="BW75" s="24">
        <f>IF(BN75=[1]BD_CUSTO!$Q$7,[1]BD_CUSTO!$R$7,[1]BD_CUSTO!$R$8)*BO75/E75</f>
        <v>2354.1666666666665</v>
      </c>
      <c r="BX75" s="24">
        <f>IF(BQ75=[1]BD_CUSTO!$Q$4,[1]BD_CUSTO!$R$4,[1]BD_CUSTO!$R$5)*BR75/E75</f>
        <v>0</v>
      </c>
      <c r="BY75" s="22">
        <f>IF(BS75=[1]BD_CUSTO!$Q$13,[1]BD_CUSTO!$R$13,[1]BD_CUSTO!$R$14)*BT75/E75</f>
        <v>0</v>
      </c>
      <c r="BZ75" s="24">
        <f>BV75*CUSTO!$R$10/E75</f>
        <v>0</v>
      </c>
      <c r="CA75" s="26">
        <f>SUM(Tabela1[[#This Row],[SOMA_PISO SALA E QUARTO]],Tabela1[[#This Row],[SOMA_PAREDE HIDR]],Tabela1[[#This Row],[SOMA_TETO]],Tabela1[[#This Row],[SOMA_BANCADA]],Tabela1[[#This Row],[SOMA_PEDRAS]])</f>
        <v>4290</v>
      </c>
      <c r="CB75" s="27" t="str">
        <f>IF(CA75&lt;=RÉGUAS!$D$4,"ACAB 01",IF(CA75&lt;=RÉGUAS!$F$4,"ACAB 02",IF(CA75&gt;RÉGUAS!$F$4,"ACAB 03",)))</f>
        <v>ACAB 02</v>
      </c>
      <c r="CC75" s="26">
        <f>SUM(Tabela1[[#This Row],[SOMA_LZ 01]:[SOMA_LZ 10]])</f>
        <v>2702.4666666666667</v>
      </c>
      <c r="CD75" s="22" t="str">
        <f>IF(CC75&lt;=RÉGUAS!$D$13,"LZ 01",IF(CC75&lt;=RÉGUAS!$F$13,"LZ 02",IF(CC75&lt;=RÉGUAS!$H$13,"LZ 03",IF(CC75&gt;RÉGUAS!$H$13,"LZ 04",))))</f>
        <v>LZ 04</v>
      </c>
      <c r="CE75" s="28">
        <f t="shared" si="15"/>
        <v>0</v>
      </c>
      <c r="CF75" s="22" t="str">
        <f>IF(CE75&lt;=RÉGUAS!$D$22,"TIP 01",IF(CE75&lt;=RÉGUAS!$F$22,"TIP 02",IF(CE75&gt;RÉGUAS!$F$22,"TIP 03",)))</f>
        <v>TIP 01</v>
      </c>
      <c r="CG75" s="28">
        <f t="shared" si="16"/>
        <v>2354.1666666666665</v>
      </c>
      <c r="CH75" s="22" t="str">
        <f>IF(CG75&lt;=RÉGUAS!$D$32,"VAGA 01",IF(CG75&lt;=RÉGUAS!$F$32,"VAGA 02",IF(CG75&gt;RÉGUAS!$F$32,"VAGA 03",)))</f>
        <v>VAGA 02</v>
      </c>
      <c r="CI75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625.58333333333337</v>
      </c>
      <c r="CJ75" s="85" t="str">
        <f>IF(AND(G75="BLOCO",CI75&lt;=RÉGUAS!$D$40),"ELEV 01",IF(AND(G75="BLOCO",CI75&gt;RÉGUAS!$D$40),"ELEV 02",IF(AND(G75="TORRE",CI75&lt;=RÉGUAS!$K$40),"ELEV 01",IF(AND(G75="TORRE",CI75&lt;=RÉGUAS!$M$40),"ELEV 02",IF(AND(G75="TORRE",CI75&gt;RÉGUAS!$M$40),"ELEV 03",)))))</f>
        <v>ELEV 02</v>
      </c>
      <c r="CK75" s="85">
        <f>SUM(Tabela1[[#This Row],[TOTAL  ACAB]],Tabela1[[#This Row],[TOTAL LAZER ]],Tabela1[[#This Row],[TOTAL TIPOLOGIA]],Tabela1[[#This Row],[TOTAL VAGA]],Tabela1[[#This Row],[TOTAL ELEVADOR]])</f>
        <v>9972.2166666666672</v>
      </c>
      <c r="CL75" s="72" t="str">
        <f>IF(AND(G75="BLOCO",CK75&lt;=RÉGUAS!$D$50),"ESSENCIAL",IF(AND(G75="BLOCO",CK75&lt;=RÉGUAS!$F$50),"ECO",IF(AND(G75="BLOCO",CK75&gt;RÉGUAS!$F$50),"BIO",IF(AND(G75="TORRE",CK75&lt;=RÉGUAS!$K$50),"ESSENCIAL",IF(AND(G75="TORRE",CK75&lt;=RÉGUAS!$M$50),"ECO",IF(AND(G75="TORRE",CK75&gt;RÉGUAS!$M$50),"BIO",))))))</f>
        <v>ECO</v>
      </c>
      <c r="CM75" s="28" t="str">
        <f>IF(AND(G75="BLOCO",CK75&gt;=RÉGUAS!$D$51,CK75&lt;=RÉGUAS!$D$50),"ESSENCIAL-10%",IF(AND(G75="BLOCO",CK75&gt;RÉGUAS!$D$50,CK75&lt;=RÉGUAS!$E$51),"ECO+10%",IF(AND(G75="BLOCO",CK75&gt;=RÉGUAS!$F$51,CK75&lt;=RÉGUAS!$F$50),"ECO-10%",IF(AND(G75="BLOCO",CK75&gt;RÉGUAS!$F$50,CK75&lt;=RÉGUAS!$G$51),"BIO+10%",IF(AND(G75="TORRE",CK75&gt;=RÉGUAS!$K$51,CK75&lt;=RÉGUAS!$K$50),"ESSENCIAL-10%",IF(AND(G75="TORRE",CK75&gt;RÉGUAS!$K$50,CK75&lt;=RÉGUAS!$L$51),"ECO+10%",IF(AND(G75="TORRE",CK75&gt;=RÉGUAS!$M$51,CK75&lt;=RÉGUAS!$M$50),"ECO-10%",IF(AND(G75="TORRE",CK75&gt;RÉGUAS!$M$50,CK75&lt;=RÉGUAS!$N$51),"BIO+10%","-"))))))))</f>
        <v>-</v>
      </c>
      <c r="CN75" s="73">
        <f t="shared" si="17"/>
        <v>9346.6333333333332</v>
      </c>
      <c r="CO75" s="72" t="str">
        <f>IF(CN75&lt;=RÉGUAS!$D$58,"ESSENCIAL",IF(CN75&lt;=RÉGUAS!$F$58,"ECO",IF(CN75&gt;RÉGUAS!$F$58,"BIO",)))</f>
        <v>ECO</v>
      </c>
      <c r="CP75" s="72" t="str">
        <f>IF(Tabela1[[#This Row],[INTERVALO DE INTERSEÇÃO 5D]]="-",Tabela1[[#This Row],[CLASSIFICAÇÃO 
5D ]],Tabela1[[#This Row],[CLASSIFICAÇÃO 
4D]])</f>
        <v>ECO</v>
      </c>
      <c r="CQ75" s="72" t="str">
        <f t="shared" si="18"/>
        <v>-</v>
      </c>
      <c r="CR75" s="72" t="str">
        <f t="shared" si="19"/>
        <v>ECO</v>
      </c>
      <c r="CS75" s="22" t="str">
        <f>IF(Tabela1[[#This Row],[PRODUTO ATUAL ]]=Tabela1[[#This Row],[CLASSIFICAÇÃO FINAL 5D]],"ADERÊNTE","NÃO ADERÊNTE")</f>
        <v>ADERÊNTE</v>
      </c>
      <c r="CT75" s="24">
        <f>SUM(Tabela1[[#This Row],[TOTAL  ACAB]],Tabela1[[#This Row],[TOTAL LAZER ]],Tabela1[[#This Row],[TOTAL TIPOLOGIA]],Tabela1[[#This Row],[TOTAL VAGA]])</f>
        <v>9346.6333333333332</v>
      </c>
      <c r="CU75" s="22" t="str">
        <f>IF(CT75&lt;=RÉGUAS!$D$58,"ESSENCIAL",IF(CT75&lt;=RÉGUAS!$F$58,"ECO",IF(CT75&gt;RÉGUAS!$F$58,"BIO",)))</f>
        <v>ECO</v>
      </c>
      <c r="CV75" s="22" t="str">
        <f>IF(AND(CT75&gt;=RÉGUAS!$D$59,CT75&lt;=RÉGUAS!$E$59),"ESSENCIAL/ECO",IF(AND(CT75&gt;=RÉGUAS!$F$59,CT75&lt;=RÉGUAS!$G$59),"ECO/BIO","-"))</f>
        <v>-</v>
      </c>
      <c r="CW75" s="85">
        <f>SUM(Tabela1[[#This Row],[TOTAL LAZER ]],Tabela1[[#This Row],[TOTAL TIPOLOGIA]])</f>
        <v>2702.4666666666667</v>
      </c>
      <c r="CX75" s="22" t="str">
        <f>IF(CW75&lt;=RÉGUAS!$D$72,"ESSENCIAL",IF(CW75&lt;=RÉGUAS!$F$72,"ECO",IF(CN75&gt;RÉGUAS!$F$72,"BIO",)))</f>
        <v>ECO</v>
      </c>
      <c r="CY75" s="22" t="str">
        <f t="shared" si="20"/>
        <v>ECO</v>
      </c>
      <c r="CZ75" s="22" t="str">
        <f>IF(Tabela1[[#This Row],[PRODUTO ATUAL ]]=CY75,"ADERENTE","NÃO ADERENTE")</f>
        <v>ADERENTE</v>
      </c>
      <c r="DA75" s="22" t="str">
        <f>IF(Tabela1[[#This Row],[PRODUTO ATUAL ]]=Tabela1[[#This Row],[CLASSIFICAÇÃO 
4D2]],"ADERENTE","NÃO ADERENTE")</f>
        <v>ADERENTE</v>
      </c>
    </row>
    <row r="76" spans="2:105" x14ac:dyDescent="0.35">
      <c r="B76" s="27">
        <v>75</v>
      </c>
      <c r="C76" s="22" t="s">
        <v>177</v>
      </c>
      <c r="D76" s="22" t="s">
        <v>154</v>
      </c>
      <c r="E76" s="23">
        <v>480</v>
      </c>
      <c r="F76" s="22" t="str">
        <f t="shared" si="14"/>
        <v>Acima de 400 und</v>
      </c>
      <c r="G76" s="22" t="s">
        <v>14</v>
      </c>
      <c r="H76" s="36">
        <v>5</v>
      </c>
      <c r="I76" s="36">
        <v>12</v>
      </c>
      <c r="J76" s="36"/>
      <c r="K76" s="36"/>
      <c r="L76" s="36">
        <f>SUM(Tabela1[[#This Row],[QTD DE B/T 2]],Tabela1[[#This Row],[QTD DE B/T]])</f>
        <v>5</v>
      </c>
      <c r="M76" s="22">
        <v>10</v>
      </c>
      <c r="N76" s="22">
        <f>Tabela1[[#This Row],[ELEVADOR]]/Tabela1[[#This Row],[BLOCO TOTAL]]</f>
        <v>2</v>
      </c>
      <c r="O76" s="22" t="s">
        <v>5</v>
      </c>
      <c r="P76" s="22" t="s">
        <v>101</v>
      </c>
      <c r="Q76" s="22" t="s">
        <v>101</v>
      </c>
      <c r="R76" s="22" t="s">
        <v>142</v>
      </c>
      <c r="S76" s="22" t="s">
        <v>103</v>
      </c>
      <c r="T76" s="22" t="s">
        <v>104</v>
      </c>
      <c r="U76" s="22" t="s">
        <v>105</v>
      </c>
      <c r="V76" s="22" t="s">
        <v>106</v>
      </c>
      <c r="W76" s="24">
        <f>IF(P76=[1]BD_CUSTO!$E$4,[1]BD_CUSTO!$F$4,[1]BD_CUSTO!$F$5)</f>
        <v>2430</v>
      </c>
      <c r="X76" s="24">
        <f>IF(Q76=[1]BD_CUSTO!$E$6,[1]BD_CUSTO!$F$6,[1]BD_CUSTO!$F$7)</f>
        <v>260</v>
      </c>
      <c r="Y76" s="24">
        <f>IF(R76=[1]BD_CUSTO!$E$8,[1]BD_CUSTO!$F$8,[1]BD_CUSTO!$F$9)</f>
        <v>900</v>
      </c>
      <c r="Z76" s="24">
        <f>IF(S76=[1]BD_CUSTO!$E$10,[1]BD_CUSTO!$F$10,[1]BD_CUSTO!$F$11)</f>
        <v>500</v>
      </c>
      <c r="AA76" s="24">
        <f>IF(T76=[1]BD_CUSTO!$E$12,[1]BD_CUSTO!$F$12,[1]BD_CUSTO!$F$13)</f>
        <v>370</v>
      </c>
      <c r="AB76" s="24">
        <f>IF(U76=[1]BD_CUSTO!$E$14,[1]BD_CUSTO!$F$14,[1]BD_CUSTO!$F$15)</f>
        <v>90</v>
      </c>
      <c r="AC76" s="24">
        <f>IF(V76=[1]BD_CUSTO!$E$16,[1]BD_CUSTO!$F$16,[1]BD_CUSTO!$F$17)</f>
        <v>720</v>
      </c>
      <c r="AD76" s="22" t="s">
        <v>129</v>
      </c>
      <c r="AE76" s="22">
        <v>1</v>
      </c>
      <c r="AF76" s="22" t="s">
        <v>135</v>
      </c>
      <c r="AG76" s="22">
        <v>1</v>
      </c>
      <c r="AH76" s="22" t="s">
        <v>175</v>
      </c>
      <c r="AI76" s="22">
        <v>1</v>
      </c>
      <c r="AJ76" s="22" t="s">
        <v>121</v>
      </c>
      <c r="AK76" s="22">
        <v>1</v>
      </c>
      <c r="AL76" s="22" t="s">
        <v>107</v>
      </c>
      <c r="AM76" s="22">
        <v>1</v>
      </c>
      <c r="AN76" s="22" t="s">
        <v>139</v>
      </c>
      <c r="AO76" s="22">
        <v>1</v>
      </c>
      <c r="AP76" s="22" t="s">
        <v>108</v>
      </c>
      <c r="AQ76" s="22">
        <v>1</v>
      </c>
      <c r="AR76" s="22" t="s">
        <v>111</v>
      </c>
      <c r="AS76" s="22">
        <v>1</v>
      </c>
      <c r="AT76" s="22"/>
      <c r="AU76" s="22"/>
      <c r="AV76" s="22"/>
      <c r="AW76" s="22"/>
      <c r="AX76" s="24">
        <f>IF(AD76="",0,VLOOKUP(AD76,[1]BD_CUSTO!I:J,2,0)*AE76/E76)</f>
        <v>573.2657916666667</v>
      </c>
      <c r="AY76" s="24">
        <f>IF(AF76="",0,VLOOKUP(AF76,[1]BD_CUSTO!I:J,2,0)*AG76/E76)</f>
        <v>262.64299999999997</v>
      </c>
      <c r="AZ76" s="24">
        <f>IF(AH76="",0,VLOOKUP(AH76,[1]BD_CUSTO!I:J,2,0)*AI76/E76)</f>
        <v>22.479166666666668</v>
      </c>
      <c r="BA76" s="24">
        <f>IF(AJ76="",0,VLOOKUP(AJ76,[1]BD_CUSTO!I:J,2,0)*AK76/E76)</f>
        <v>256.57687499999997</v>
      </c>
      <c r="BB76" s="24">
        <f>IF(AL76="",0,VLOOKUP(AL76,[1]BD_CUSTO!I:J,2,0)*AM76/E76)</f>
        <v>177.39399999999998</v>
      </c>
      <c r="BC76" s="24">
        <f>IF(AN76="",0,VLOOKUP(AN76,[1]BD_CUSTO!I:J,2,0)*AO76/E76)</f>
        <v>129.49233333333333</v>
      </c>
      <c r="BD76" s="24">
        <f>IF(AP76="",0,VLOOKUP(AP76,[1]BD_CUSTO!I:J,2,0)*AQ76/E76)</f>
        <v>48.229166666666664</v>
      </c>
      <c r="BE76" s="24">
        <f>IF(AR76="",0,VLOOKUP(AR76,CUSTO!I:J,2,0)*AS76/E76)</f>
        <v>33.75</v>
      </c>
      <c r="BF76" s="24">
        <f>IF(AT76="",0,VLOOKUP(AT76,[1]BD_CUSTO!I:J,2,0)*AU76/E76)</f>
        <v>0</v>
      </c>
      <c r="BG76" s="24">
        <f>IF(Tabela1[[#This Row],[LZ 10]]="",0,VLOOKUP(Tabela1[[#This Row],[LZ 10]],[1]BD_CUSTO!I:J,2,0)*Tabela1[[#This Row],[QTD922]]/E76)</f>
        <v>0</v>
      </c>
      <c r="BH76" s="22" t="s">
        <v>112</v>
      </c>
      <c r="BI76" s="25">
        <f>(456+15)/Tabela1[[#This Row],[Nº UNDS]]</f>
        <v>0.98124999999999996</v>
      </c>
      <c r="BJ76" s="22" t="s">
        <v>113</v>
      </c>
      <c r="BK76" s="25">
        <v>0</v>
      </c>
      <c r="BL76" s="24">
        <f>IF(BH76=[1]BD_CUSTO!$M$6,[1]BD_CUSTO!$N$6)*BI76</f>
        <v>2943.75</v>
      </c>
      <c r="BM76" s="24">
        <f>IF(BJ76=[1]BD_CUSTO!$M$4,[1]BD_CUSTO!$N$4,[1]BD_CUSTO!$N$5)*BK76</f>
        <v>0</v>
      </c>
      <c r="BN76" s="22" t="s">
        <v>114</v>
      </c>
      <c r="BO76" s="22">
        <v>590</v>
      </c>
      <c r="BP76" s="25">
        <f>Tabela1[[#This Row],[QTD ]]/Tabela1[[#This Row],[Nº UNDS]]</f>
        <v>1.2291666666666667</v>
      </c>
      <c r="BQ76" s="22" t="s">
        <v>115</v>
      </c>
      <c r="BR76" s="22">
        <v>0</v>
      </c>
      <c r="BS76" s="22" t="s">
        <v>116</v>
      </c>
      <c r="BT76" s="22">
        <v>0</v>
      </c>
      <c r="BU76" s="22" t="s">
        <v>16</v>
      </c>
      <c r="BV76" s="22">
        <v>0</v>
      </c>
      <c r="BW76" s="24">
        <f>IF(BN76=[1]BD_CUSTO!$Q$7,[1]BD_CUSTO!$R$7,[1]BD_CUSTO!$R$8)*BO76/E76</f>
        <v>2458.3333333333335</v>
      </c>
      <c r="BX76" s="24">
        <f>IF(BQ76=[1]BD_CUSTO!$Q$4,[1]BD_CUSTO!$R$4,[1]BD_CUSTO!$R$5)*BR76/E76</f>
        <v>0</v>
      </c>
      <c r="BY76" s="22">
        <f>IF(BS76=[1]BD_CUSTO!$Q$13,[1]BD_CUSTO!$R$13,[1]BD_CUSTO!$R$14)*BT76/E76</f>
        <v>0</v>
      </c>
      <c r="BZ76" s="24">
        <f>BV76*CUSTO!$R$10/E76</f>
        <v>0</v>
      </c>
      <c r="CA76" s="26">
        <f>SUM(Tabela1[[#This Row],[SOMA_PISO SALA E QUARTO]],Tabela1[[#This Row],[SOMA_PAREDE HIDR]],Tabela1[[#This Row],[SOMA_TETO]],Tabela1[[#This Row],[SOMA_BANCADA]],Tabela1[[#This Row],[SOMA_PEDRAS]])</f>
        <v>4290</v>
      </c>
      <c r="CB76" s="27" t="str">
        <f>IF(CA76&lt;=RÉGUAS!$D$4,"ACAB 01",IF(CA76&lt;=RÉGUAS!$F$4,"ACAB 02",IF(CA76&gt;RÉGUAS!$F$4,"ACAB 03",)))</f>
        <v>ACAB 02</v>
      </c>
      <c r="CC76" s="26">
        <f>SUM(Tabela1[[#This Row],[SOMA_LZ 01]:[SOMA_LZ 10]])</f>
        <v>1503.8303333333336</v>
      </c>
      <c r="CD76" s="22" t="str">
        <f>IF(CC76&lt;=RÉGUAS!$D$13,"LZ 01",IF(CC76&lt;=RÉGUAS!$F$13,"LZ 02",IF(CC76&lt;=RÉGUAS!$H$13,"LZ 03",IF(CC76&gt;RÉGUAS!$H$13,"LZ 04",))))</f>
        <v>LZ 02</v>
      </c>
      <c r="CE76" s="28">
        <f t="shared" si="15"/>
        <v>2943.75</v>
      </c>
      <c r="CF76" s="22" t="str">
        <f>IF(CE76&lt;=RÉGUAS!$D$22,"TIP 01",IF(CE76&lt;=RÉGUAS!$F$22,"TIP 02",IF(CE76&gt;RÉGUAS!$F$22,"TIP 03",)))</f>
        <v>TIP 02</v>
      </c>
      <c r="CG76" s="28">
        <f t="shared" si="16"/>
        <v>2458.3333333333335</v>
      </c>
      <c r="CH76" s="22" t="str">
        <f>IF(CG76&lt;=RÉGUAS!$D$32,"VAGA 01",IF(CG76&lt;=RÉGUAS!$F$32,"VAGA 02",IF(CG76&gt;RÉGUAS!$F$32,"VAGA 03",)))</f>
        <v>VAGA 02</v>
      </c>
      <c r="CI76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4194.75</v>
      </c>
      <c r="CJ76" s="85" t="str">
        <f>IF(AND(G76="BLOCO",CI76&lt;=RÉGUAS!$D$40),"ELEV 01",IF(AND(G76="BLOCO",CI76&gt;RÉGUAS!$D$40),"ELEV 02",IF(AND(G76="TORRE",CI76&lt;=RÉGUAS!$K$40),"ELEV 01",IF(AND(G76="TORRE",CI76&lt;=RÉGUAS!$M$40),"ELEV 02",IF(AND(G76="TORRE",CI76&gt;RÉGUAS!$M$40),"ELEV 03",)))))</f>
        <v>ELEV 03</v>
      </c>
      <c r="CK76" s="85">
        <f>SUM(Tabela1[[#This Row],[TOTAL  ACAB]],Tabela1[[#This Row],[TOTAL LAZER ]],Tabela1[[#This Row],[TOTAL TIPOLOGIA]],Tabela1[[#This Row],[TOTAL VAGA]],Tabela1[[#This Row],[TOTAL ELEVADOR]])</f>
        <v>15390.663666666667</v>
      </c>
      <c r="CL76" s="72" t="str">
        <f>IF(AND(G76="BLOCO",CK76&lt;=RÉGUAS!$D$50),"ESSENCIAL",IF(AND(G76="BLOCO",CK76&lt;=RÉGUAS!$F$50),"ECO",IF(AND(G76="BLOCO",CK76&gt;RÉGUAS!$F$50),"BIO",IF(AND(G76="TORRE",CK76&lt;=RÉGUAS!$K$50),"ESSENCIAL",IF(AND(G76="TORRE",CK76&lt;=RÉGUAS!$M$50),"ECO",IF(AND(G76="TORRE",CK76&gt;RÉGUAS!$M$50),"BIO",))))))</f>
        <v>BIO</v>
      </c>
      <c r="CM76" s="28" t="str">
        <f>IF(AND(G76="BLOCO",CK76&gt;=RÉGUAS!$D$51,CK76&lt;=RÉGUAS!$D$50),"ESSENCIAL-10%",IF(AND(G76="BLOCO",CK76&gt;RÉGUAS!$D$50,CK76&lt;=RÉGUAS!$E$51),"ECO+10%",IF(AND(G76="BLOCO",CK76&gt;=RÉGUAS!$F$51,CK76&lt;=RÉGUAS!$F$50),"ECO-10%",IF(AND(G76="BLOCO",CK76&gt;RÉGUAS!$F$50,CK76&lt;=RÉGUAS!$G$51),"BIO+10%",IF(AND(G76="TORRE",CK76&gt;=RÉGUAS!$K$51,CK76&lt;=RÉGUAS!$K$50),"ESSENCIAL-10%",IF(AND(G76="TORRE",CK76&gt;RÉGUAS!$K$50,CK76&lt;=RÉGUAS!$L$51),"ECO+10%",IF(AND(G76="TORRE",CK76&gt;=RÉGUAS!$M$51,CK76&lt;=RÉGUAS!$M$50),"ECO-10%",IF(AND(G76="TORRE",CK76&gt;RÉGUAS!$M$50,CK76&lt;=RÉGUAS!$N$51),"BIO+10%","-"))))))))</f>
        <v>-</v>
      </c>
      <c r="CN76" s="73">
        <f t="shared" si="17"/>
        <v>11195.913666666667</v>
      </c>
      <c r="CO76" s="72" t="str">
        <f>IF(CN76&lt;=RÉGUAS!$D$58,"ESSENCIAL",IF(CN76&lt;=RÉGUAS!$F$58,"ECO",IF(CN76&gt;RÉGUAS!$F$58,"BIO",)))</f>
        <v>ECO</v>
      </c>
      <c r="CP76" s="72" t="str">
        <f>IF(Tabela1[[#This Row],[INTERVALO DE INTERSEÇÃO 5D]]="-",Tabela1[[#This Row],[CLASSIFICAÇÃO 
5D ]],Tabela1[[#This Row],[CLASSIFICAÇÃO 
4D]])</f>
        <v>BIO</v>
      </c>
      <c r="CQ76" s="72" t="str">
        <f t="shared" si="18"/>
        <v>-</v>
      </c>
      <c r="CR76" s="72" t="str">
        <f t="shared" si="19"/>
        <v>BIO</v>
      </c>
      <c r="CS76" s="22" t="str">
        <f>IF(Tabela1[[#This Row],[PRODUTO ATUAL ]]=Tabela1[[#This Row],[CLASSIFICAÇÃO FINAL 5D]],"ADERÊNTE","NÃO ADERÊNTE")</f>
        <v>NÃO ADERÊNTE</v>
      </c>
      <c r="CT76" s="24">
        <f>SUM(Tabela1[[#This Row],[TOTAL  ACAB]],Tabela1[[#This Row],[TOTAL LAZER ]],Tabela1[[#This Row],[TOTAL TIPOLOGIA]],Tabela1[[#This Row],[TOTAL VAGA]])</f>
        <v>11195.913666666667</v>
      </c>
      <c r="CU76" s="22" t="str">
        <f>IF(CT76&lt;=RÉGUAS!$D$58,"ESSENCIAL",IF(CT76&lt;=RÉGUAS!$F$58,"ECO",IF(CT76&gt;RÉGUAS!$F$58,"BIO",)))</f>
        <v>ECO</v>
      </c>
      <c r="CV76" s="22" t="str">
        <f>IF(AND(CT76&gt;=RÉGUAS!$D$59,CT76&lt;=RÉGUAS!$E$59),"ESSENCIAL/ECO",IF(AND(CT76&gt;=RÉGUAS!$F$59,CT76&lt;=RÉGUAS!$G$59),"ECO/BIO","-"))</f>
        <v>ECO/BIO</v>
      </c>
      <c r="CW76" s="85">
        <f>SUM(Tabela1[[#This Row],[TOTAL LAZER ]],Tabela1[[#This Row],[TOTAL TIPOLOGIA]])</f>
        <v>4447.5803333333333</v>
      </c>
      <c r="CX76" s="22" t="str">
        <f>IF(CW76&lt;=RÉGUAS!$D$72,"ESSENCIAL",IF(CW76&lt;=RÉGUAS!$F$72,"ECO",IF(CN76&gt;RÉGUAS!$F$72,"BIO",)))</f>
        <v>ECO</v>
      </c>
      <c r="CY76" s="22" t="str">
        <f t="shared" si="20"/>
        <v>ECO</v>
      </c>
      <c r="CZ76" s="22" t="str">
        <f>IF(Tabela1[[#This Row],[PRODUTO ATUAL ]]=CY76,"ADERENTE","NÃO ADERENTE")</f>
        <v>ADERENTE</v>
      </c>
      <c r="DA76" s="22" t="str">
        <f>IF(Tabela1[[#This Row],[PRODUTO ATUAL ]]=Tabela1[[#This Row],[CLASSIFICAÇÃO 
4D2]],"ADERENTE","NÃO ADERENTE")</f>
        <v>ADERENTE</v>
      </c>
    </row>
    <row r="77" spans="2:105" hidden="1" x14ac:dyDescent="0.35">
      <c r="B77" s="27">
        <v>52</v>
      </c>
      <c r="C77" s="22" t="s">
        <v>158</v>
      </c>
      <c r="D77" s="22" t="s">
        <v>118</v>
      </c>
      <c r="E77" s="23">
        <v>680</v>
      </c>
      <c r="F77" s="22" t="str">
        <f t="shared" si="14"/>
        <v>Acima de 400 und</v>
      </c>
      <c r="G77" s="22" t="s">
        <v>14</v>
      </c>
      <c r="H77" s="36">
        <v>5</v>
      </c>
      <c r="I77" s="36">
        <v>17</v>
      </c>
      <c r="J77" s="36"/>
      <c r="K77" s="36"/>
      <c r="L77" s="36">
        <f>SUM(Tabela1[[#This Row],[QTD DE B/T 2]],Tabela1[[#This Row],[QTD DE B/T]])</f>
        <v>5</v>
      </c>
      <c r="M77" s="22">
        <v>10</v>
      </c>
      <c r="N77" s="22">
        <f>Tabela1[[#This Row],[ELEVADOR]]/Tabela1[[#This Row],[BLOCO TOTAL]]</f>
        <v>2</v>
      </c>
      <c r="O77" s="22" t="s">
        <v>5</v>
      </c>
      <c r="P77" s="22" t="s">
        <v>101</v>
      </c>
      <c r="Q77" s="22" t="s">
        <v>101</v>
      </c>
      <c r="R77" s="22" t="s">
        <v>142</v>
      </c>
      <c r="S77" s="22" t="s">
        <v>159</v>
      </c>
      <c r="T77" s="22" t="s">
        <v>104</v>
      </c>
      <c r="U77" s="22" t="s">
        <v>105</v>
      </c>
      <c r="V77" s="22" t="s">
        <v>106</v>
      </c>
      <c r="W77" s="24">
        <f>IF(P77=[1]BD_CUSTO!$E$4,[1]BD_CUSTO!$F$4,[1]BD_CUSTO!$F$5)</f>
        <v>2430</v>
      </c>
      <c r="X77" s="24">
        <f>IF(Q77=[1]BD_CUSTO!$E$6,[1]BD_CUSTO!$F$6,[1]BD_CUSTO!$F$7)</f>
        <v>260</v>
      </c>
      <c r="Y77" s="24">
        <f>IF(R77=[1]BD_CUSTO!$E$8,[1]BD_CUSTO!$F$8,[1]BD_CUSTO!$F$9)</f>
        <v>900</v>
      </c>
      <c r="Z77" s="24">
        <f>IF(S77=[1]BD_CUSTO!$E$10,[1]BD_CUSTO!$F$10,[1]BD_CUSTO!$F$11)</f>
        <v>935</v>
      </c>
      <c r="AA77" s="24">
        <f>IF(T77=[1]BD_CUSTO!$E$12,[1]BD_CUSTO!$F$12,[1]BD_CUSTO!$F$13)</f>
        <v>370</v>
      </c>
      <c r="AB77" s="24">
        <f>IF(U77=[1]BD_CUSTO!$E$14,[1]BD_CUSTO!$F$14,[1]BD_CUSTO!$F$15)</f>
        <v>90</v>
      </c>
      <c r="AC77" s="24">
        <f>IF(V77=[1]BD_CUSTO!$E$16,[1]BD_CUSTO!$F$16,[1]BD_CUSTO!$F$17)</f>
        <v>720</v>
      </c>
      <c r="AD77" s="22" t="s">
        <v>109</v>
      </c>
      <c r="AE77" s="22">
        <v>1</v>
      </c>
      <c r="AF77" s="22" t="s">
        <v>121</v>
      </c>
      <c r="AG77" s="22">
        <v>2</v>
      </c>
      <c r="AH77" s="22" t="s">
        <v>107</v>
      </c>
      <c r="AI77" s="22">
        <v>3</v>
      </c>
      <c r="AJ77" s="22" t="s">
        <v>108</v>
      </c>
      <c r="AK77" s="22">
        <v>1</v>
      </c>
      <c r="AL77" s="22" t="s">
        <v>139</v>
      </c>
      <c r="AM77" s="22">
        <v>1</v>
      </c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4">
        <f>IF(AD77="",0,VLOOKUP(AD77,[1]BD_CUSTO!I:J,2,0)*AE77/E77)</f>
        <v>10.220588235294118</v>
      </c>
      <c r="AY77" s="24">
        <f>IF(AF77="",0,VLOOKUP(AF77,[1]BD_CUSTO!I:J,2,0)*AG77/E77)</f>
        <v>362.2261764705882</v>
      </c>
      <c r="AZ77" s="24">
        <f>IF(AH77="",0,VLOOKUP(AH77,[1]BD_CUSTO!I:J,2,0)*AI77/E77)</f>
        <v>375.65788235294116</v>
      </c>
      <c r="BA77" s="24">
        <f>IF(AJ77="",0,VLOOKUP(AJ77,[1]BD_CUSTO!I:J,2,0)*AK77/E77)</f>
        <v>34.044117647058826</v>
      </c>
      <c r="BB77" s="24">
        <f>IF(AL77="",0,VLOOKUP(AL77,[1]BD_CUSTO!I:J,2,0)*AM77/E77)</f>
        <v>91.406352941176465</v>
      </c>
      <c r="BC77" s="24">
        <f>IF(AN77="",0,VLOOKUP(AN77,[1]BD_CUSTO!I:J,2,0)*AO77/E77)</f>
        <v>0</v>
      </c>
      <c r="BD77" s="24">
        <f>IF(AP77="",0,VLOOKUP(AP77,[1]BD_CUSTO!I:J,2,0)*AQ77/E77)</f>
        <v>0</v>
      </c>
      <c r="BE77" s="24">
        <f>IF(AR77="",0,VLOOKUP(AR77,CUSTO!I:J,2,0)*AS77/E77)</f>
        <v>0</v>
      </c>
      <c r="BF77" s="24">
        <f>IF(AT77="",0,VLOOKUP(AT77,[1]BD_CUSTO!I:J,2,0)*AU77/E77)</f>
        <v>0</v>
      </c>
      <c r="BG77" s="24">
        <f>IF(Tabela1[[#This Row],[LZ 10]]="",0,VLOOKUP(Tabela1[[#This Row],[LZ 10]],[1]BD_CUSTO!I:J,2,0)*Tabela1[[#This Row],[QTD922]]/E77)</f>
        <v>0</v>
      </c>
      <c r="BH77" s="22" t="s">
        <v>122</v>
      </c>
      <c r="BI77" s="25">
        <v>0</v>
      </c>
      <c r="BJ77" s="22" t="s">
        <v>113</v>
      </c>
      <c r="BK77" s="25">
        <v>0</v>
      </c>
      <c r="BL77" s="24">
        <f>IF(BH77=[1]BD_CUSTO!$M$6,[1]BD_CUSTO!$N$6)*BI77</f>
        <v>0</v>
      </c>
      <c r="BM77" s="24">
        <f>IF(BJ77=[1]BD_CUSTO!$M$4,[1]BD_CUSTO!$N$4,[1]BD_CUSTO!$N$5)*BK77</f>
        <v>0</v>
      </c>
      <c r="BN77" s="22" t="s">
        <v>114</v>
      </c>
      <c r="BO77" s="22">
        <f>133+5</f>
        <v>138</v>
      </c>
      <c r="BP77" s="25">
        <f>Tabela1[[#This Row],[QTD ]]/Tabela1[[#This Row],[Nº UNDS]]</f>
        <v>0.20294117647058824</v>
      </c>
      <c r="BQ77" s="22"/>
      <c r="BR77" s="22"/>
      <c r="BS77" s="22" t="s">
        <v>116</v>
      </c>
      <c r="BT77" s="22">
        <v>0</v>
      </c>
      <c r="BU77" s="22" t="s">
        <v>222</v>
      </c>
      <c r="BV77" s="22">
        <v>171</v>
      </c>
      <c r="BW77" s="24">
        <f>IF(BN77=[1]BD_CUSTO!$Q$7,[1]BD_CUSTO!$R$7,[1]BD_CUSTO!$R$8)*BO77/E77</f>
        <v>405.88235294117646</v>
      </c>
      <c r="BX77" s="24">
        <f>IF(BQ77=[1]BD_CUSTO!$Q$4,[1]BD_CUSTO!$R$4,[1]BD_CUSTO!$R$5)*BR77/E77</f>
        <v>0</v>
      </c>
      <c r="BY77" s="22">
        <f>IF(BS77=[1]BD_CUSTO!$Q$13,[1]BD_CUSTO!$R$13,[1]BD_CUSTO!$R$14)*BT77/E77</f>
        <v>0</v>
      </c>
      <c r="BZ77" s="24">
        <f>BV77*CUSTO!$R$10/E77</f>
        <v>3772.0588235294117</v>
      </c>
      <c r="CA77" s="26">
        <f>SUM(Tabela1[[#This Row],[SOMA_PISO SALA E QUARTO]],Tabela1[[#This Row],[SOMA_PAREDE HIDR]],Tabela1[[#This Row],[SOMA_TETO]],Tabela1[[#This Row],[SOMA_BANCADA]],Tabela1[[#This Row],[SOMA_PEDRAS]])</f>
        <v>4725</v>
      </c>
      <c r="CB77" s="27" t="str">
        <f>IF(CA77&lt;=RÉGUAS!$D$4,"ACAB 01",IF(CA77&lt;=RÉGUAS!$F$4,"ACAB 02",IF(CA77&gt;RÉGUAS!$F$4,"ACAB 03",)))</f>
        <v>ACAB 03</v>
      </c>
      <c r="CC77" s="26">
        <f>SUM(Tabela1[[#This Row],[SOMA_LZ 01]:[SOMA_LZ 10]])</f>
        <v>873.55511764705875</v>
      </c>
      <c r="CD77" s="22" t="str">
        <f>IF(CC77&lt;=RÉGUAS!$D$13,"LZ 01",IF(CC77&lt;=RÉGUAS!$F$13,"LZ 02",IF(CC77&lt;=RÉGUAS!$H$13,"LZ 03",IF(CC77&gt;RÉGUAS!$H$13,"LZ 04",))))</f>
        <v>LZ 02</v>
      </c>
      <c r="CE77" s="28">
        <f t="shared" si="15"/>
        <v>0</v>
      </c>
      <c r="CF77" s="22" t="str">
        <f>IF(CE77&lt;=RÉGUAS!$D$22,"TIP 01",IF(CE77&lt;=RÉGUAS!$F$22,"TIP 02",IF(CE77&gt;RÉGUAS!$F$22,"TIP 03",)))</f>
        <v>TIP 01</v>
      </c>
      <c r="CG77" s="28">
        <f t="shared" si="16"/>
        <v>4177.9411764705883</v>
      </c>
      <c r="CH77" s="22" t="str">
        <f>IF(CG77&lt;=RÉGUAS!$D$32,"VAGA 01",IF(CG77&lt;=RÉGUAS!$F$32,"VAGA 02",IF(CG77&gt;RÉGUAS!$F$32,"VAGA 03",)))</f>
        <v>VAGA 03</v>
      </c>
      <c r="CI77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4194.75</v>
      </c>
      <c r="CJ77" s="85" t="str">
        <f>IF(AND(G77="BLOCO",CI77&lt;=RÉGUAS!$D$40),"ELEV 01",IF(AND(G77="BLOCO",CI77&gt;RÉGUAS!$D$40),"ELEV 02",IF(AND(G77="TORRE",CI77&lt;=RÉGUAS!$K$40),"ELEV 01",IF(AND(G77="TORRE",CI77&lt;=RÉGUAS!$M$40),"ELEV 02",IF(AND(G77="TORRE",CI77&gt;RÉGUAS!$M$40),"ELEV 03",)))))</f>
        <v>ELEV 03</v>
      </c>
      <c r="CK77" s="85">
        <f>SUM(Tabela1[[#This Row],[TOTAL  ACAB]],Tabela1[[#This Row],[TOTAL LAZER ]],Tabela1[[#This Row],[TOTAL TIPOLOGIA]],Tabela1[[#This Row],[TOTAL VAGA]],Tabela1[[#This Row],[TOTAL ELEVADOR]])</f>
        <v>13971.246294117647</v>
      </c>
      <c r="CL77" s="72" t="str">
        <f>IF(AND(G77="BLOCO",CK77&lt;=RÉGUAS!$D$50),"ESSENCIAL",IF(AND(G77="BLOCO",CK77&lt;=RÉGUAS!$F$50),"ECO",IF(AND(G77="BLOCO",CK77&gt;RÉGUAS!$F$50),"BIO",IF(AND(G77="TORRE",CK77&lt;=RÉGUAS!$K$50),"ESSENCIAL",IF(AND(G77="TORRE",CK77&lt;=RÉGUAS!$M$50),"ECO",IF(AND(G77="TORRE",CK77&gt;RÉGUAS!$M$50),"BIO",))))))</f>
        <v>BIO</v>
      </c>
      <c r="CM77" s="28" t="str">
        <f>IF(AND(G77="BLOCO",CK77&gt;=RÉGUAS!$D$51,CK77&lt;=RÉGUAS!$D$50),"ESSENCIAL-10%",IF(AND(G77="BLOCO",CK77&gt;RÉGUAS!$D$50,CK77&lt;=RÉGUAS!$E$51),"ECO+10%",IF(AND(G77="BLOCO",CK77&gt;=RÉGUAS!$F$51,CK77&lt;=RÉGUAS!$F$50),"ECO-10%",IF(AND(G77="BLOCO",CK77&gt;RÉGUAS!$F$50,CK77&lt;=RÉGUAS!$G$51),"BIO+10%",IF(AND(G77="TORRE",CK77&gt;=RÉGUAS!$K$51,CK77&lt;=RÉGUAS!$K$50),"ESSENCIAL-10%",IF(AND(G77="TORRE",CK77&gt;RÉGUAS!$K$50,CK77&lt;=RÉGUAS!$L$51),"ECO+10%",IF(AND(G77="TORRE",CK77&gt;=RÉGUAS!$M$51,CK77&lt;=RÉGUAS!$M$50),"ECO-10%",IF(AND(G77="TORRE",CK77&gt;RÉGUAS!$M$50,CK77&lt;=RÉGUAS!$N$51),"BIO+10%","-"))))))))</f>
        <v>BIO+10%</v>
      </c>
      <c r="CN77" s="73">
        <f t="shared" si="17"/>
        <v>9776.4962941176473</v>
      </c>
      <c r="CO77" s="72" t="str">
        <f>IF(CN77&lt;=RÉGUAS!$D$58,"ESSENCIAL",IF(CN77&lt;=RÉGUAS!$F$58,"ECO",IF(CN77&gt;RÉGUAS!$F$58,"BIO",)))</f>
        <v>ECO</v>
      </c>
      <c r="CP77" s="72" t="str">
        <f>IF(Tabela1[[#This Row],[INTERVALO DE INTERSEÇÃO 5D]]="-",Tabela1[[#This Row],[CLASSIFICAÇÃO 
5D ]],Tabela1[[#This Row],[CLASSIFICAÇÃO 
4D]])</f>
        <v>ECO</v>
      </c>
      <c r="CQ77" s="72" t="str">
        <f t="shared" si="18"/>
        <v>-</v>
      </c>
      <c r="CR77" s="72" t="str">
        <f t="shared" si="19"/>
        <v>ECO</v>
      </c>
      <c r="CS77" s="22" t="str">
        <f>IF(Tabela1[[#This Row],[PRODUTO ATUAL ]]=Tabela1[[#This Row],[CLASSIFICAÇÃO FINAL 5D]],"ADERÊNTE","NÃO ADERÊNTE")</f>
        <v>ADERÊNTE</v>
      </c>
      <c r="CT77" s="24">
        <f>SUM(Tabela1[[#This Row],[TOTAL  ACAB]],Tabela1[[#This Row],[TOTAL LAZER ]],Tabela1[[#This Row],[TOTAL TIPOLOGIA]],Tabela1[[#This Row],[TOTAL VAGA]])</f>
        <v>9776.4962941176473</v>
      </c>
      <c r="CU77" s="22" t="str">
        <f>IF(CT77&lt;=RÉGUAS!$D$58,"ESSENCIAL",IF(CT77&lt;=RÉGUAS!$F$58,"ECO",IF(CT77&gt;RÉGUAS!$F$58,"BIO",)))</f>
        <v>ECO</v>
      </c>
      <c r="CV77" s="22" t="str">
        <f>IF(AND(CT77&gt;=RÉGUAS!$D$59,CT77&lt;=RÉGUAS!$E$59),"ESSENCIAL/ECO",IF(AND(CT77&gt;=RÉGUAS!$F$59,CT77&lt;=RÉGUAS!$G$59),"ECO/BIO","-"))</f>
        <v>-</v>
      </c>
      <c r="CW77" s="85">
        <f>SUM(Tabela1[[#This Row],[TOTAL LAZER ]],Tabela1[[#This Row],[TOTAL TIPOLOGIA]])</f>
        <v>873.55511764705875</v>
      </c>
      <c r="CX77" s="22" t="str">
        <f>IF(CW77&lt;=RÉGUAS!$D$72,"ESSENCIAL",IF(CW77&lt;=RÉGUAS!$F$72,"ECO",IF(CN77&gt;RÉGUAS!$F$72,"BIO",)))</f>
        <v>ESSENCIAL</v>
      </c>
      <c r="CY77" s="22" t="str">
        <f t="shared" si="20"/>
        <v>ECO</v>
      </c>
      <c r="CZ77" s="22" t="str">
        <f>IF(Tabela1[[#This Row],[PRODUTO ATUAL ]]=CY77,"ADERENTE","NÃO ADERENTE")</f>
        <v>ADERENTE</v>
      </c>
      <c r="DA77" s="22" t="str">
        <f>IF(Tabela1[[#This Row],[PRODUTO ATUAL ]]=Tabela1[[#This Row],[CLASSIFICAÇÃO 
4D2]],"ADERENTE","NÃO ADERENTE")</f>
        <v>ADERENTE</v>
      </c>
    </row>
    <row r="78" spans="2:105" hidden="1" x14ac:dyDescent="0.35">
      <c r="B78" s="27">
        <v>83</v>
      </c>
      <c r="C78" s="22" t="s">
        <v>234</v>
      </c>
      <c r="D78" s="22" t="s">
        <v>128</v>
      </c>
      <c r="E78" s="23">
        <v>384</v>
      </c>
      <c r="F78" s="22" t="str">
        <f t="shared" si="14"/>
        <v>De 200 a 400 und</v>
      </c>
      <c r="G78" s="22" t="s">
        <v>14</v>
      </c>
      <c r="H78" s="36">
        <v>2</v>
      </c>
      <c r="I78" s="36">
        <v>16</v>
      </c>
      <c r="J78" s="36"/>
      <c r="K78" s="36"/>
      <c r="L78" s="36">
        <f>SUM(Tabela1[[#This Row],[QTD DE B/T 2]],Tabela1[[#This Row],[QTD DE B/T]])</f>
        <v>2</v>
      </c>
      <c r="M78" s="22">
        <v>6</v>
      </c>
      <c r="N78" s="22">
        <f>Tabela1[[#This Row],[ELEVADOR]]/Tabela1[[#This Row],[BLOCO TOTAL]]</f>
        <v>3</v>
      </c>
      <c r="O78" s="22" t="s">
        <v>5</v>
      </c>
      <c r="P78" s="22" t="s">
        <v>101</v>
      </c>
      <c r="Q78" s="22" t="s">
        <v>101</v>
      </c>
      <c r="R78" s="22" t="s">
        <v>142</v>
      </c>
      <c r="S78" s="22" t="s">
        <v>103</v>
      </c>
      <c r="T78" s="22" t="s">
        <v>173</v>
      </c>
      <c r="U78" s="22" t="s">
        <v>105</v>
      </c>
      <c r="V78" s="22" t="s">
        <v>106</v>
      </c>
      <c r="W78" s="24">
        <f>IF(P78=[1]BD_CUSTO!$E$4,[1]BD_CUSTO!$F$4,[1]BD_CUSTO!$F$5)</f>
        <v>2430</v>
      </c>
      <c r="X78" s="24">
        <f>IF(Q78=[1]BD_CUSTO!$E$6,[1]BD_CUSTO!$F$6,[1]BD_CUSTO!$F$7)</f>
        <v>260</v>
      </c>
      <c r="Y78" s="24">
        <f>IF(R78=[1]BD_CUSTO!$E$8,[1]BD_CUSTO!$F$8,[1]BD_CUSTO!$F$9)</f>
        <v>900</v>
      </c>
      <c r="Z78" s="24">
        <f>IF(S78=[1]BD_CUSTO!$E$10,[1]BD_CUSTO!$F$10,[1]BD_CUSTO!$F$11)</f>
        <v>500</v>
      </c>
      <c r="AA78" s="24">
        <f>IF(T78=[1]BD_CUSTO!$E$12,[1]BD_CUSTO!$F$12,[1]BD_CUSTO!$F$13)</f>
        <v>930</v>
      </c>
      <c r="AB78" s="24">
        <f>IF(U78=[1]BD_CUSTO!$E$14,[1]BD_CUSTO!$F$14,[1]BD_CUSTO!$F$15)</f>
        <v>90</v>
      </c>
      <c r="AC78" s="24">
        <f>IF(V78=[1]BD_CUSTO!$E$16,[1]BD_CUSTO!$F$16,[1]BD_CUSTO!$F$17)</f>
        <v>720</v>
      </c>
      <c r="AD78" s="22" t="s">
        <v>110</v>
      </c>
      <c r="AE78" s="22">
        <v>1</v>
      </c>
      <c r="AF78" s="22" t="s">
        <v>126</v>
      </c>
      <c r="AG78" s="22">
        <v>1</v>
      </c>
      <c r="AH78" s="22" t="s">
        <v>107</v>
      </c>
      <c r="AI78" s="22">
        <v>1</v>
      </c>
      <c r="AJ78" s="22" t="s">
        <v>111</v>
      </c>
      <c r="AK78" s="22">
        <v>1</v>
      </c>
      <c r="AL78" s="22" t="s">
        <v>108</v>
      </c>
      <c r="AM78" s="22">
        <v>1</v>
      </c>
      <c r="AN78" s="22" t="s">
        <v>129</v>
      </c>
      <c r="AO78" s="22">
        <v>1</v>
      </c>
      <c r="AP78" s="22"/>
      <c r="AQ78" s="22"/>
      <c r="AR78" s="22"/>
      <c r="AS78" s="22"/>
      <c r="AT78" s="22"/>
      <c r="AU78" s="22"/>
      <c r="AV78" s="22"/>
      <c r="AW78" s="22"/>
      <c r="AX78" s="24">
        <f>IF(AD78="",0,VLOOKUP(AD78,[1]BD_CUSTO!I:J,2,0)*AE78/E78)</f>
        <v>13.802083333333334</v>
      </c>
      <c r="AY78" s="24">
        <f>IF(AF78="",0,VLOOKUP(AF78,[1]BD_CUSTO!I:J,2,0)*AG78/E78)</f>
        <v>19.6875</v>
      </c>
      <c r="AZ78" s="24">
        <f>IF(AH78="",0,VLOOKUP(AH78,[1]BD_CUSTO!I:J,2,0)*AI78/E78)</f>
        <v>221.74249999999998</v>
      </c>
      <c r="BA78" s="24">
        <f>IF(AJ78="",0,VLOOKUP(AJ78,[1]BD_CUSTO!I:J,2,0)*AK78/E78)</f>
        <v>42.1875</v>
      </c>
      <c r="BB78" s="24">
        <f>IF(AL78="",0,VLOOKUP(AL78,[1]BD_CUSTO!I:J,2,0)*AM78/E78)</f>
        <v>60.286458333333336</v>
      </c>
      <c r="BC78" s="24">
        <f>IF(AN78="",0,VLOOKUP(AN78,[1]BD_CUSTO!I:J,2,0)*AO78/E78)</f>
        <v>716.58223958333338</v>
      </c>
      <c r="BD78" s="24">
        <f>IF(AP78="",0,VLOOKUP(AP78,[1]BD_CUSTO!I:J,2,0)*AQ78/E78)</f>
        <v>0</v>
      </c>
      <c r="BE78" s="24">
        <f>IF(AR78="",0,VLOOKUP(AR78,CUSTO!I:J,2,0)*AS78/E78)</f>
        <v>0</v>
      </c>
      <c r="BF78" s="24">
        <f>IF(AT78="",0,VLOOKUP(AT78,[1]BD_CUSTO!I:J,2,0)*AU78/E78)</f>
        <v>0</v>
      </c>
      <c r="BG78" s="24">
        <f>IF(Tabela1[[#This Row],[LZ 10]]="",0,VLOOKUP(Tabela1[[#This Row],[LZ 10]],[1]BD_CUSTO!I:J,2,0)*Tabela1[[#This Row],[QTD922]]/E78)</f>
        <v>0</v>
      </c>
      <c r="BH78" s="22" t="s">
        <v>112</v>
      </c>
      <c r="BI78" s="25">
        <f>240/Tabela1[[#This Row],[Nº UNDS]]</f>
        <v>0.625</v>
      </c>
      <c r="BJ78" s="22" t="s">
        <v>113</v>
      </c>
      <c r="BK78" s="25">
        <v>0</v>
      </c>
      <c r="BL78" s="24">
        <f>IF(BH78=[1]BD_CUSTO!$M$6,[1]BD_CUSTO!$N$6)*BI78</f>
        <v>1875</v>
      </c>
      <c r="BM78" s="24">
        <f>IF(BJ78=[1]BD_CUSTO!$M$4,[1]BD_CUSTO!$N$4,[1]BD_CUSTO!$N$5)*BK78</f>
        <v>0</v>
      </c>
      <c r="BN78" s="22" t="s">
        <v>114</v>
      </c>
      <c r="BO78" s="22">
        <v>111</v>
      </c>
      <c r="BP78" s="25">
        <f>Tabela1[[#This Row],[QTD ]]/Tabela1[[#This Row],[Nº UNDS]]</f>
        <v>0.2890625</v>
      </c>
      <c r="BQ78" s="22" t="s">
        <v>115</v>
      </c>
      <c r="BR78" s="22">
        <v>0</v>
      </c>
      <c r="BS78" s="22" t="s">
        <v>116</v>
      </c>
      <c r="BT78" s="22">
        <v>0</v>
      </c>
      <c r="BU78" s="22" t="s">
        <v>16</v>
      </c>
      <c r="BV78" s="22">
        <v>0</v>
      </c>
      <c r="BW78" s="24">
        <f>IF(BN78=[1]BD_CUSTO!$Q$7,[1]BD_CUSTO!$R$7,[1]BD_CUSTO!$R$8)*BO78/E78</f>
        <v>578.125</v>
      </c>
      <c r="BX78" s="24">
        <f>IF(BQ78=[1]BD_CUSTO!$Q$4,[1]BD_CUSTO!$R$4,[1]BD_CUSTO!$R$5)*BR78/E78</f>
        <v>0</v>
      </c>
      <c r="BY78" s="22">
        <f>IF(BS78=[1]BD_CUSTO!$Q$13,[1]BD_CUSTO!$R$13,[1]BD_CUSTO!$R$14)*BT78/E78</f>
        <v>0</v>
      </c>
      <c r="BZ78" s="24">
        <f>BV78*CUSTO!$R$10/E78</f>
        <v>0</v>
      </c>
      <c r="CA78" s="26">
        <f>SUM(Tabela1[[#This Row],[SOMA_PISO SALA E QUARTO]],Tabela1[[#This Row],[SOMA_PAREDE HIDR]],Tabela1[[#This Row],[SOMA_TETO]],Tabela1[[#This Row],[SOMA_BANCADA]],Tabela1[[#This Row],[SOMA_PEDRAS]])</f>
        <v>4850</v>
      </c>
      <c r="CB78" s="27" t="str">
        <f>IF(CA78&lt;=RÉGUAS!$D$4,"ACAB 01",IF(CA78&lt;=RÉGUAS!$F$4,"ACAB 02",IF(CA78&gt;RÉGUAS!$F$4,"ACAB 03",)))</f>
        <v>ACAB 03</v>
      </c>
      <c r="CC78" s="26">
        <f>SUM(Tabela1[[#This Row],[SOMA_LZ 01]:[SOMA_LZ 10]])</f>
        <v>1074.28828125</v>
      </c>
      <c r="CD78" s="22" t="str">
        <f>IF(CC78&lt;=RÉGUAS!$D$13,"LZ 01",IF(CC78&lt;=RÉGUAS!$F$13,"LZ 02",IF(CC78&lt;=RÉGUAS!$H$13,"LZ 03",IF(CC78&gt;RÉGUAS!$H$13,"LZ 04",))))</f>
        <v>LZ 02</v>
      </c>
      <c r="CE78" s="28">
        <f t="shared" si="15"/>
        <v>1875</v>
      </c>
      <c r="CF78" s="22" t="str">
        <f>IF(CE78&lt;=RÉGUAS!$D$22,"TIP 01",IF(CE78&lt;=RÉGUAS!$F$22,"TIP 02",IF(CE78&gt;RÉGUAS!$F$22,"TIP 03",)))</f>
        <v>TIP 02</v>
      </c>
      <c r="CG78" s="28">
        <f t="shared" si="16"/>
        <v>578.125</v>
      </c>
      <c r="CH78" s="22" t="str">
        <f>IF(CG78&lt;=RÉGUAS!$D$32,"VAGA 01",IF(CG78&lt;=RÉGUAS!$F$32,"VAGA 02",IF(CG78&gt;RÉGUAS!$F$32,"VAGA 03",)))</f>
        <v>VAGA 01</v>
      </c>
      <c r="CI78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4194.75</v>
      </c>
      <c r="CJ78" s="85" t="str">
        <f>IF(AND(G78="BLOCO",CI78&lt;=RÉGUAS!$D$40),"ELEV 01",IF(AND(G78="BLOCO",CI78&gt;RÉGUAS!$D$40),"ELEV 02",IF(AND(G78="TORRE",CI78&lt;=RÉGUAS!$K$40),"ELEV 01",IF(AND(G78="TORRE",CI78&lt;=RÉGUAS!$M$40),"ELEV 02",IF(AND(G78="TORRE",CI78&gt;RÉGUAS!$M$40),"ELEV 03",)))))</f>
        <v>ELEV 03</v>
      </c>
      <c r="CK78" s="85">
        <f>SUM(Tabela1[[#This Row],[TOTAL  ACAB]],Tabela1[[#This Row],[TOTAL LAZER ]],Tabela1[[#This Row],[TOTAL TIPOLOGIA]],Tabela1[[#This Row],[TOTAL VAGA]],Tabela1[[#This Row],[TOTAL ELEVADOR]])</f>
        <v>12572.163281249999</v>
      </c>
      <c r="CL78" s="72" t="str">
        <f>IF(AND(G78="BLOCO",CK78&lt;=RÉGUAS!$D$50),"ESSENCIAL",IF(AND(G78="BLOCO",CK78&lt;=RÉGUAS!$F$50),"ECO",IF(AND(G78="BLOCO",CK78&gt;RÉGUAS!$F$50),"BIO",IF(AND(G78="TORRE",CK78&lt;=RÉGUAS!$K$50),"ESSENCIAL",IF(AND(G78="TORRE",CK78&lt;=RÉGUAS!$M$50),"ECO",IF(AND(G78="TORRE",CK78&gt;RÉGUAS!$M$50),"BIO",))))))</f>
        <v>ECO</v>
      </c>
      <c r="CM78" s="28" t="str">
        <f>IF(AND(G78="BLOCO",CK78&gt;=RÉGUAS!$D$51,CK78&lt;=RÉGUAS!$D$50),"ESSENCIAL-10%",IF(AND(G78="BLOCO",CK78&gt;RÉGUAS!$D$50,CK78&lt;=RÉGUAS!$E$51),"ECO+10%",IF(AND(G78="BLOCO",CK78&gt;=RÉGUAS!$F$51,CK78&lt;=RÉGUAS!$F$50),"ECO-10%",IF(AND(G78="BLOCO",CK78&gt;RÉGUAS!$F$50,CK78&lt;=RÉGUAS!$G$51),"BIO+10%",IF(AND(G78="TORRE",CK78&gt;=RÉGUAS!$K$51,CK78&lt;=RÉGUAS!$K$50),"ESSENCIAL-10%",IF(AND(G78="TORRE",CK78&gt;RÉGUAS!$K$50,CK78&lt;=RÉGUAS!$L$51),"ECO+10%",IF(AND(G78="TORRE",CK78&gt;=RÉGUAS!$M$51,CK78&lt;=RÉGUAS!$M$50),"ECO-10%",IF(AND(G78="TORRE",CK78&gt;RÉGUAS!$M$50,CK78&lt;=RÉGUAS!$N$51),"BIO+10%","-"))))))))</f>
        <v>ECO-10%</v>
      </c>
      <c r="CN78" s="73">
        <f t="shared" si="17"/>
        <v>8377.4132812499993</v>
      </c>
      <c r="CO78" s="72" t="str">
        <f>IF(CN78&lt;=RÉGUAS!$D$58,"ESSENCIAL",IF(CN78&lt;=RÉGUAS!$F$58,"ECO",IF(CN78&gt;RÉGUAS!$F$58,"BIO",)))</f>
        <v>ECO</v>
      </c>
      <c r="CP78" s="72" t="str">
        <f>IF(Tabela1[[#This Row],[INTERVALO DE INTERSEÇÃO 5D]]="-",Tabela1[[#This Row],[CLASSIFICAÇÃO 
5D ]],Tabela1[[#This Row],[CLASSIFICAÇÃO 
4D]])</f>
        <v>ECO</v>
      </c>
      <c r="CQ78" s="72" t="str">
        <f t="shared" si="18"/>
        <v>-</v>
      </c>
      <c r="CR78" s="72" t="str">
        <f t="shared" si="19"/>
        <v>ECO</v>
      </c>
      <c r="CS78" s="22" t="str">
        <f>IF(Tabela1[[#This Row],[PRODUTO ATUAL ]]=Tabela1[[#This Row],[CLASSIFICAÇÃO FINAL 5D]],"ADERÊNTE","NÃO ADERÊNTE")</f>
        <v>ADERÊNTE</v>
      </c>
      <c r="CT78" s="24">
        <f>SUM(Tabela1[[#This Row],[TOTAL  ACAB]],Tabela1[[#This Row],[TOTAL LAZER ]],Tabela1[[#This Row],[TOTAL TIPOLOGIA]],Tabela1[[#This Row],[TOTAL VAGA]])</f>
        <v>8377.4132812499993</v>
      </c>
      <c r="CU78" s="22" t="str">
        <f>IF(CT78&lt;=RÉGUAS!$D$58,"ESSENCIAL",IF(CT78&lt;=RÉGUAS!$F$58,"ECO",IF(CT78&gt;RÉGUAS!$F$58,"BIO",)))</f>
        <v>ECO</v>
      </c>
      <c r="CV78" s="22" t="str">
        <f>IF(AND(CT78&gt;=RÉGUAS!$D$59,CT78&lt;=RÉGUAS!$E$59),"ESSENCIAL/ECO",IF(AND(CT78&gt;=RÉGUAS!$F$59,CT78&lt;=RÉGUAS!$G$59),"ECO/BIO","-"))</f>
        <v>-</v>
      </c>
      <c r="CW78" s="85">
        <f>SUM(Tabela1[[#This Row],[TOTAL LAZER ]],Tabela1[[#This Row],[TOTAL TIPOLOGIA]])</f>
        <v>2949.2882812500002</v>
      </c>
      <c r="CX78" s="22" t="str">
        <f>IF(CW78&lt;=RÉGUAS!$D$72,"ESSENCIAL",IF(CW78&lt;=RÉGUAS!$F$72,"ECO",IF(CN78&gt;RÉGUAS!$F$72,"BIO",)))</f>
        <v>ECO</v>
      </c>
      <c r="CY78" s="22" t="str">
        <f t="shared" si="20"/>
        <v>ECO</v>
      </c>
      <c r="CZ78" s="22" t="str">
        <f>IF(Tabela1[[#This Row],[PRODUTO ATUAL ]]=CY78,"ADERENTE","NÃO ADERENTE")</f>
        <v>ADERENTE</v>
      </c>
      <c r="DA78" s="22" t="str">
        <f>IF(Tabela1[[#This Row],[PRODUTO ATUAL ]]=Tabela1[[#This Row],[CLASSIFICAÇÃO 
4D2]],"ADERENTE","NÃO ADERENTE")</f>
        <v>ADERENTE</v>
      </c>
    </row>
    <row r="79" spans="2:105" hidden="1" x14ac:dyDescent="0.35">
      <c r="B79" s="27">
        <v>69</v>
      </c>
      <c r="C79" s="22" t="s">
        <v>176</v>
      </c>
      <c r="D79" s="22" t="s">
        <v>131</v>
      </c>
      <c r="E79" s="134">
        <v>612</v>
      </c>
      <c r="F79" s="22" t="str">
        <f t="shared" si="14"/>
        <v>Acima de 400 und</v>
      </c>
      <c r="G79" s="133" t="s">
        <v>14</v>
      </c>
      <c r="H79" s="135">
        <v>3</v>
      </c>
      <c r="I79" s="135">
        <v>17</v>
      </c>
      <c r="J79" s="36"/>
      <c r="K79" s="36"/>
      <c r="L79" s="36">
        <f>SUM(Tabela1[[#This Row],[QTD DE B/T 2]],Tabela1[[#This Row],[QTD DE B/T]])</f>
        <v>3</v>
      </c>
      <c r="M79" s="22">
        <v>12</v>
      </c>
      <c r="N79" s="22">
        <f>Tabela1[[#This Row],[ELEVADOR]]/Tabela1[[#This Row],[BLOCO TOTAL]]</f>
        <v>4</v>
      </c>
      <c r="O79" s="22" t="s">
        <v>5</v>
      </c>
      <c r="P79" s="22" t="s">
        <v>101</v>
      </c>
      <c r="Q79" s="22" t="s">
        <v>101</v>
      </c>
      <c r="R79" s="22" t="s">
        <v>142</v>
      </c>
      <c r="S79" s="22" t="s">
        <v>103</v>
      </c>
      <c r="T79" s="22" t="s">
        <v>173</v>
      </c>
      <c r="U79" s="22" t="s">
        <v>105</v>
      </c>
      <c r="V79" s="22" t="s">
        <v>106</v>
      </c>
      <c r="W79" s="24">
        <f>IF(P79=[1]BD_CUSTO!$E$4,[1]BD_CUSTO!$F$4,[1]BD_CUSTO!$F$5)</f>
        <v>2430</v>
      </c>
      <c r="X79" s="24">
        <f>IF(Q79=[1]BD_CUSTO!$E$6,[1]BD_CUSTO!$F$6,[1]BD_CUSTO!$F$7)</f>
        <v>260</v>
      </c>
      <c r="Y79" s="24">
        <f>IF(R79=[1]BD_CUSTO!$E$8,[1]BD_CUSTO!$F$8,[1]BD_CUSTO!$F$9)</f>
        <v>900</v>
      </c>
      <c r="Z79" s="24">
        <f>IF(S79=[1]BD_CUSTO!$E$10,[1]BD_CUSTO!$F$10,[1]BD_CUSTO!$F$11)</f>
        <v>500</v>
      </c>
      <c r="AA79" s="24">
        <f>IF(T79=[1]BD_CUSTO!$E$12,[1]BD_CUSTO!$F$12,[1]BD_CUSTO!$F$13)</f>
        <v>930</v>
      </c>
      <c r="AB79" s="24">
        <f>IF(U79=[1]BD_CUSTO!$E$14,[1]BD_CUSTO!$F$14,[1]BD_CUSTO!$F$15)</f>
        <v>90</v>
      </c>
      <c r="AC79" s="24">
        <f>IF(V79=[1]BD_CUSTO!$E$16,[1]BD_CUSTO!$F$16,[1]BD_CUSTO!$F$17)</f>
        <v>720</v>
      </c>
      <c r="AD79" s="22" t="s">
        <v>129</v>
      </c>
      <c r="AE79" s="22">
        <v>1</v>
      </c>
      <c r="AF79" s="22" t="s">
        <v>107</v>
      </c>
      <c r="AG79" s="22">
        <v>2</v>
      </c>
      <c r="AH79" s="22" t="s">
        <v>108</v>
      </c>
      <c r="AI79" s="22">
        <v>1</v>
      </c>
      <c r="AJ79" s="22" t="s">
        <v>156</v>
      </c>
      <c r="AK79" s="22">
        <v>1</v>
      </c>
      <c r="AL79" s="22" t="s">
        <v>121</v>
      </c>
      <c r="AM79" s="22">
        <v>2</v>
      </c>
      <c r="AN79" s="22" t="s">
        <v>175</v>
      </c>
      <c r="AO79" s="22">
        <v>1</v>
      </c>
      <c r="AP79" s="22" t="s">
        <v>110</v>
      </c>
      <c r="AQ79" s="22">
        <v>1</v>
      </c>
      <c r="AR79" s="22" t="s">
        <v>126</v>
      </c>
      <c r="AS79" s="22">
        <v>1</v>
      </c>
      <c r="AT79" s="22"/>
      <c r="AU79" s="22"/>
      <c r="AV79" s="22"/>
      <c r="AW79" s="22"/>
      <c r="AX79" s="24">
        <f>IF(AD79="",0,VLOOKUP(AD79,[1]BD_CUSTO!I:J,2,0)*AE79/E79)</f>
        <v>449.62022875816996</v>
      </c>
      <c r="AY79" s="24">
        <f>IF(AF79="",0,VLOOKUP(AF79,[1]BD_CUSTO!I:J,2,0)*AG79/E79)</f>
        <v>278.26509803921567</v>
      </c>
      <c r="AZ79" s="24">
        <f>IF(AH79="",0,VLOOKUP(AH79,[1]BD_CUSTO!I:J,2,0)*AI79/E79)</f>
        <v>37.826797385620914</v>
      </c>
      <c r="BA79" s="24">
        <f>IF(AJ79="",0,VLOOKUP(AJ79,[1]BD_CUSTO!I:J,2,0)*AK79/E79)</f>
        <v>160.21241830065358</v>
      </c>
      <c r="BB79" s="24">
        <f>IF(AL79="",0,VLOOKUP(AL79,[1]BD_CUSTO!I:J,2,0)*AM79/E79)</f>
        <v>402.47352941176467</v>
      </c>
      <c r="BC79" s="24">
        <f>IF(AN79="",0,VLOOKUP(AN79,[1]BD_CUSTO!I:J,2,0)*AO79/E79)</f>
        <v>17.630718954248366</v>
      </c>
      <c r="BD79" s="24">
        <f>IF(AP79="",0,VLOOKUP(AP79,[1]BD_CUSTO!I:J,2,0)*AQ79/E79)</f>
        <v>8.6601307189542478</v>
      </c>
      <c r="BE79" s="24">
        <f>IF(AR79="",0,VLOOKUP(AR79,CUSTO!I:J,2,0)*AS79/E79)</f>
        <v>12.352941176470589</v>
      </c>
      <c r="BF79" s="24">
        <f>IF(AT79="",0,VLOOKUP(AT79,[1]BD_CUSTO!I:J,2,0)*AU79/E79)</f>
        <v>0</v>
      </c>
      <c r="BG79" s="24">
        <f>IF(Tabela1[[#This Row],[LZ 10]]="",0,VLOOKUP(Tabela1[[#This Row],[LZ 10]],[1]BD_CUSTO!I:J,2,0)*Tabela1[[#This Row],[QTD922]]/E79)</f>
        <v>0</v>
      </c>
      <c r="BH79" s="133" t="s">
        <v>112</v>
      </c>
      <c r="BI79" s="136">
        <f>384/Tabela1[[#This Row],[Nº UNDS]]</f>
        <v>0.62745098039215685</v>
      </c>
      <c r="BJ79" s="133" t="s">
        <v>113</v>
      </c>
      <c r="BK79" s="136">
        <v>0</v>
      </c>
      <c r="BL79" s="24">
        <f>IF(BH79=[1]BD_CUSTO!$M$6,[1]BD_CUSTO!$N$6)*BI79</f>
        <v>1882.3529411764705</v>
      </c>
      <c r="BM79" s="24">
        <f>IF(BJ79=[1]BD_CUSTO!$M$4,[1]BD_CUSTO!$N$4,[1]BD_CUSTO!$N$5)*BK79</f>
        <v>0</v>
      </c>
      <c r="BN79" s="133" t="s">
        <v>114</v>
      </c>
      <c r="BO79" s="133">
        <f>179-22</f>
        <v>157</v>
      </c>
      <c r="BP79" s="25">
        <f>Tabela1[[#This Row],[QTD ]]/Tabela1[[#This Row],[Nº UNDS]]</f>
        <v>0.25653594771241828</v>
      </c>
      <c r="BQ79" s="133" t="s">
        <v>123</v>
      </c>
      <c r="BR79" s="133">
        <v>22</v>
      </c>
      <c r="BS79" s="22" t="s">
        <v>116</v>
      </c>
      <c r="BT79" s="22">
        <v>0</v>
      </c>
      <c r="BU79" s="22" t="s">
        <v>16</v>
      </c>
      <c r="BV79" s="22">
        <v>0</v>
      </c>
      <c r="BW79" s="24">
        <f>IF(BN79=[1]BD_CUSTO!$Q$7,[1]BD_CUSTO!$R$7,[1]BD_CUSTO!$R$8)*BO79/E79</f>
        <v>513.07189542483661</v>
      </c>
      <c r="BX79" s="24">
        <f>IF(BQ79=[1]BD_CUSTO!$Q$4,[1]BD_CUSTO!$R$4,[1]BD_CUSTO!$R$5)*BR79/E79</f>
        <v>35.947712418300654</v>
      </c>
      <c r="BY79" s="22">
        <f>IF(BS79=[1]BD_CUSTO!$Q$13,[1]BD_CUSTO!$R$13,[1]BD_CUSTO!$R$14)*BT79/E79</f>
        <v>0</v>
      </c>
      <c r="BZ79" s="24">
        <f>BV79*CUSTO!$R$10/E79</f>
        <v>0</v>
      </c>
      <c r="CA79" s="26">
        <f>SUM(Tabela1[[#This Row],[SOMA_PISO SALA E QUARTO]],Tabela1[[#This Row],[SOMA_PAREDE HIDR]],Tabela1[[#This Row],[SOMA_TETO]],Tabela1[[#This Row],[SOMA_BANCADA]],Tabela1[[#This Row],[SOMA_PEDRAS]])</f>
        <v>4850</v>
      </c>
      <c r="CB79" s="27" t="str">
        <f>IF(CA79&lt;=RÉGUAS!$D$4,"ACAB 01",IF(CA79&lt;=RÉGUAS!$F$4,"ACAB 02",IF(CA79&gt;RÉGUAS!$F$4,"ACAB 03",)))</f>
        <v>ACAB 03</v>
      </c>
      <c r="CC79" s="26">
        <f>SUM(Tabela1[[#This Row],[SOMA_LZ 01]:[SOMA_LZ 10]])</f>
        <v>1367.0418627450979</v>
      </c>
      <c r="CD79" s="22" t="str">
        <f>IF(CC79&lt;=RÉGUAS!$D$13,"LZ 01",IF(CC79&lt;=RÉGUAS!$F$13,"LZ 02",IF(CC79&lt;=RÉGUAS!$H$13,"LZ 03",IF(CC79&gt;RÉGUAS!$H$13,"LZ 04",))))</f>
        <v>LZ 02</v>
      </c>
      <c r="CE79" s="28">
        <f t="shared" si="15"/>
        <v>1882.3529411764705</v>
      </c>
      <c r="CF79" s="22" t="str">
        <f>IF(CE79&lt;=RÉGUAS!$D$22,"TIP 01",IF(CE79&lt;=RÉGUAS!$F$22,"TIP 02",IF(CE79&gt;RÉGUAS!$F$22,"TIP 03",)))</f>
        <v>TIP 02</v>
      </c>
      <c r="CG79" s="28">
        <f t="shared" si="16"/>
        <v>549.01960784313724</v>
      </c>
      <c r="CH79" s="22" t="str">
        <f>IF(CG79&lt;=RÉGUAS!$D$32,"VAGA 01",IF(CG79&lt;=RÉGUAS!$F$32,"VAGA 02",IF(CG79&gt;RÉGUAS!$F$32,"VAGA 03",)))</f>
        <v>VAGA 01</v>
      </c>
      <c r="CI79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5593</v>
      </c>
      <c r="CJ79" s="85" t="str">
        <f>IF(AND(G79="BLOCO",CI79&lt;=RÉGUAS!$D$40),"ELEV 01",IF(AND(G79="BLOCO",CI79&gt;RÉGUAS!$D$40),"ELEV 02",IF(AND(G79="TORRE",CI79&lt;=RÉGUAS!$K$40),"ELEV 01",IF(AND(G79="TORRE",CI79&lt;=RÉGUAS!$M$40),"ELEV 02",IF(AND(G79="TORRE",CI79&gt;RÉGUAS!$M$40),"ELEV 03",)))))</f>
        <v>ELEV 03</v>
      </c>
      <c r="CK79" s="85">
        <f>SUM(Tabela1[[#This Row],[TOTAL  ACAB]],Tabela1[[#This Row],[TOTAL LAZER ]],Tabela1[[#This Row],[TOTAL TIPOLOGIA]],Tabela1[[#This Row],[TOTAL VAGA]],Tabela1[[#This Row],[TOTAL ELEVADOR]])</f>
        <v>14241.414411764705</v>
      </c>
      <c r="CL79" s="72" t="str">
        <f>IF(AND(G79="BLOCO",CK79&lt;=RÉGUAS!$D$50),"ESSENCIAL",IF(AND(G79="BLOCO",CK79&lt;=RÉGUAS!$F$50),"ECO",IF(AND(G79="BLOCO",CK79&gt;RÉGUAS!$F$50),"BIO",IF(AND(G79="TORRE",CK79&lt;=RÉGUAS!$K$50),"ESSENCIAL",IF(AND(G79="TORRE",CK79&lt;=RÉGUAS!$M$50),"ECO",IF(AND(G79="TORRE",CK79&gt;RÉGUAS!$M$50),"BIO",))))))</f>
        <v>BIO</v>
      </c>
      <c r="CM79" s="28" t="str">
        <f>IF(AND(G79="BLOCO",CK79&gt;=RÉGUAS!$D$51,CK79&lt;=RÉGUAS!$D$50),"ESSENCIAL-10%",IF(AND(G79="BLOCO",CK79&gt;RÉGUAS!$D$50,CK79&lt;=RÉGUAS!$E$51),"ECO+10%",IF(AND(G79="BLOCO",CK79&gt;=RÉGUAS!$F$51,CK79&lt;=RÉGUAS!$F$50),"ECO-10%",IF(AND(G79="BLOCO",CK79&gt;RÉGUAS!$F$50,CK79&lt;=RÉGUAS!$G$51),"BIO+10%",IF(AND(G79="TORRE",CK79&gt;=RÉGUAS!$K$51,CK79&lt;=RÉGUAS!$K$50),"ESSENCIAL-10%",IF(AND(G79="TORRE",CK79&gt;RÉGUAS!$K$50,CK79&lt;=RÉGUAS!$L$51),"ECO+10%",IF(AND(G79="TORRE",CK79&gt;=RÉGUAS!$M$51,CK79&lt;=RÉGUAS!$M$50),"ECO-10%",IF(AND(G79="TORRE",CK79&gt;RÉGUAS!$M$50,CK79&lt;=RÉGUAS!$N$51),"BIO+10%","-"))))))))</f>
        <v>BIO+10%</v>
      </c>
      <c r="CN79" s="73">
        <f t="shared" si="17"/>
        <v>8648.4144117647047</v>
      </c>
      <c r="CO79" s="72" t="str">
        <f>IF(CN79&lt;=RÉGUAS!$D$58,"ESSENCIAL",IF(CN79&lt;=RÉGUAS!$F$58,"ECO",IF(CN79&gt;RÉGUAS!$F$58,"BIO",)))</f>
        <v>ECO</v>
      </c>
      <c r="CP79" s="72" t="str">
        <f>IF(Tabela1[[#This Row],[INTERVALO DE INTERSEÇÃO 5D]]="-",Tabela1[[#This Row],[CLASSIFICAÇÃO 
5D ]],Tabela1[[#This Row],[CLASSIFICAÇÃO 
4D]])</f>
        <v>ECO</v>
      </c>
      <c r="CQ79" s="72" t="str">
        <f t="shared" si="18"/>
        <v>-</v>
      </c>
      <c r="CR79" s="72" t="str">
        <f t="shared" si="19"/>
        <v>ECO</v>
      </c>
      <c r="CS79" s="22" t="str">
        <f>IF(Tabela1[[#This Row],[PRODUTO ATUAL ]]=Tabela1[[#This Row],[CLASSIFICAÇÃO FINAL 5D]],"ADERÊNTE","NÃO ADERÊNTE")</f>
        <v>ADERÊNTE</v>
      </c>
      <c r="CT79" s="24">
        <f>SUM(Tabela1[[#This Row],[TOTAL  ACAB]],Tabela1[[#This Row],[TOTAL LAZER ]],Tabela1[[#This Row],[TOTAL TIPOLOGIA]],Tabela1[[#This Row],[TOTAL VAGA]])</f>
        <v>8648.4144117647047</v>
      </c>
      <c r="CU79" s="22" t="str">
        <f>IF(CT79&lt;=RÉGUAS!$D$58,"ESSENCIAL",IF(CT79&lt;=RÉGUAS!$F$58,"ECO",IF(CT79&gt;RÉGUAS!$F$58,"BIO",)))</f>
        <v>ECO</v>
      </c>
      <c r="CV79" s="22" t="str">
        <f>IF(AND(CT79&gt;=RÉGUAS!$D$59,CT79&lt;=RÉGUAS!$E$59),"ESSENCIAL/ECO",IF(AND(CT79&gt;=RÉGUAS!$F$59,CT79&lt;=RÉGUAS!$G$59),"ECO/BIO","-"))</f>
        <v>-</v>
      </c>
      <c r="CW79" s="85">
        <f>SUM(Tabela1[[#This Row],[TOTAL LAZER ]],Tabela1[[#This Row],[TOTAL TIPOLOGIA]])</f>
        <v>3249.3948039215684</v>
      </c>
      <c r="CX79" s="22" t="str">
        <f>IF(CW79&lt;=RÉGUAS!$D$72,"ESSENCIAL",IF(CW79&lt;=RÉGUAS!$F$72,"ECO",IF(CN79&gt;RÉGUAS!$F$72,"BIO",)))</f>
        <v>ECO</v>
      </c>
      <c r="CY79" s="22" t="str">
        <f t="shared" si="20"/>
        <v>ECO</v>
      </c>
      <c r="CZ79" s="22" t="str">
        <f>IF(Tabela1[[#This Row],[PRODUTO ATUAL ]]=CY79,"ADERENTE","NÃO ADERENTE")</f>
        <v>ADERENTE</v>
      </c>
      <c r="DA79" s="22" t="str">
        <f>IF(Tabela1[[#This Row],[PRODUTO ATUAL ]]=Tabela1[[#This Row],[CLASSIFICAÇÃO 
4D2]],"ADERENTE","NÃO ADERENTE")</f>
        <v>ADERENTE</v>
      </c>
    </row>
    <row r="80" spans="2:105" hidden="1" x14ac:dyDescent="0.35">
      <c r="B80" s="27">
        <v>55</v>
      </c>
      <c r="C80" s="22" t="s">
        <v>238</v>
      </c>
      <c r="D80" s="22" t="s">
        <v>128</v>
      </c>
      <c r="E80" s="128">
        <v>400</v>
      </c>
      <c r="F80" s="22" t="str">
        <f t="shared" si="14"/>
        <v>De 200 a 400 und</v>
      </c>
      <c r="G80" s="22" t="s">
        <v>1</v>
      </c>
      <c r="H80" s="129">
        <v>20</v>
      </c>
      <c r="I80" s="36">
        <v>5</v>
      </c>
      <c r="J80" s="36"/>
      <c r="K80" s="36"/>
      <c r="L80" s="36">
        <f>SUM(Tabela1[[#This Row],[QTD DE B/T 2]],Tabela1[[#This Row],[QTD DE B/T]])</f>
        <v>20</v>
      </c>
      <c r="M80" s="22">
        <v>20</v>
      </c>
      <c r="N80" s="22">
        <f>Tabela1[[#This Row],[ELEVADOR]]/Tabela1[[#This Row],[BLOCO TOTAL]]</f>
        <v>1</v>
      </c>
      <c r="O80" s="22" t="s">
        <v>5</v>
      </c>
      <c r="P80" s="76" t="s">
        <v>101</v>
      </c>
      <c r="Q80" s="22" t="s">
        <v>101</v>
      </c>
      <c r="R80" s="76" t="s">
        <v>142</v>
      </c>
      <c r="S80" s="76" t="s">
        <v>103</v>
      </c>
      <c r="T80" s="76" t="s">
        <v>173</v>
      </c>
      <c r="U80" s="76" t="s">
        <v>105</v>
      </c>
      <c r="V80" s="22" t="s">
        <v>106</v>
      </c>
      <c r="W80" s="24">
        <f>IF(P80=[1]BD_CUSTO!$E$4,[1]BD_CUSTO!$F$4,[1]BD_CUSTO!$F$5)</f>
        <v>2430</v>
      </c>
      <c r="X80" s="24">
        <f>IF(Q80=[1]BD_CUSTO!$E$6,[1]BD_CUSTO!$F$6,[1]BD_CUSTO!$F$7)</f>
        <v>260</v>
      </c>
      <c r="Y80" s="24">
        <f>IF(R80=[1]BD_CUSTO!$E$8,[1]BD_CUSTO!$F$8,[1]BD_CUSTO!$F$9)</f>
        <v>900</v>
      </c>
      <c r="Z80" s="24">
        <f>IF(S80=[1]BD_CUSTO!$E$10,[1]BD_CUSTO!$F$10,[1]BD_CUSTO!$F$11)</f>
        <v>500</v>
      </c>
      <c r="AA80" s="24">
        <f>IF(T80=[1]BD_CUSTO!$E$12,[1]BD_CUSTO!$F$12,[1]BD_CUSTO!$F$13)</f>
        <v>930</v>
      </c>
      <c r="AB80" s="24">
        <f>IF(U80=[1]BD_CUSTO!$E$14,[1]BD_CUSTO!$F$14,[1]BD_CUSTO!$F$15)</f>
        <v>90</v>
      </c>
      <c r="AC80" s="24">
        <f>IF(V80=[1]BD_CUSTO!$E$16,[1]BD_CUSTO!$F$16,[1]BD_CUSTO!$F$17)</f>
        <v>720</v>
      </c>
      <c r="AD80" s="76" t="s">
        <v>110</v>
      </c>
      <c r="AE80" s="76">
        <v>1</v>
      </c>
      <c r="AF80" s="76" t="s">
        <v>121</v>
      </c>
      <c r="AG80" s="76">
        <v>1</v>
      </c>
      <c r="AH80" s="76" t="s">
        <v>107</v>
      </c>
      <c r="AI80" s="76">
        <v>1</v>
      </c>
      <c r="AJ80" s="76" t="s">
        <v>108</v>
      </c>
      <c r="AK80" s="76">
        <v>1</v>
      </c>
      <c r="AL80" s="76" t="s">
        <v>129</v>
      </c>
      <c r="AM80" s="76">
        <v>1</v>
      </c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4">
        <f>IF(AD80="",0,VLOOKUP(AD80,[1]BD_CUSTO!I:J,2,0)*AE80/E80)</f>
        <v>13.25</v>
      </c>
      <c r="AY80" s="24">
        <f>IF(AF80="",0,VLOOKUP(AF80,[1]BD_CUSTO!I:J,2,0)*AG80/E80)</f>
        <v>307.89224999999999</v>
      </c>
      <c r="AZ80" s="24">
        <f>IF(AH80="",0,VLOOKUP(AH80,[1]BD_CUSTO!I:J,2,0)*AI80/E80)</f>
        <v>212.87279999999998</v>
      </c>
      <c r="BA80" s="24">
        <f>IF(AJ80="",0,VLOOKUP(AJ80,[1]BD_CUSTO!I:J,2,0)*AK80/E80)</f>
        <v>57.875</v>
      </c>
      <c r="BB80" s="24">
        <f>IF(AL80="",0,VLOOKUP(AL80,[1]BD_CUSTO!I:J,2,0)*AM80/E80)</f>
        <v>687.91895</v>
      </c>
      <c r="BC80" s="24">
        <f>IF(AN80="",0,VLOOKUP(AN80,[1]BD_CUSTO!I:J,2,0)*AO80/E80)</f>
        <v>0</v>
      </c>
      <c r="BD80" s="24">
        <f>IF(AP80="",0,VLOOKUP(AP80,[1]BD_CUSTO!I:J,2,0)*AQ80/E80)</f>
        <v>0</v>
      </c>
      <c r="BE80" s="24">
        <f>IF(AR80="",0,VLOOKUP(AR80,CUSTO!I:J,2,0)*AS80/E80)</f>
        <v>0</v>
      </c>
      <c r="BF80" s="24">
        <f>IF(AT80="",0,VLOOKUP(AT80,[1]BD_CUSTO!I:J,2,0)*AU80/E80)</f>
        <v>0</v>
      </c>
      <c r="BG80" s="24">
        <f>IF(Tabela1[[#This Row],[LZ 10]]="",0,VLOOKUP(Tabela1[[#This Row],[LZ 10]],[1]BD_CUSTO!I:J,2,0)*Tabela1[[#This Row],[QTD922]]/E80)</f>
        <v>0</v>
      </c>
      <c r="BH80" s="76" t="s">
        <v>112</v>
      </c>
      <c r="BI80" s="127">
        <f>144/Tabela1[[#This Row],[Nº UNDS]]</f>
        <v>0.36</v>
      </c>
      <c r="BJ80" s="76" t="s">
        <v>113</v>
      </c>
      <c r="BK80" s="127">
        <v>0</v>
      </c>
      <c r="BL80" s="24">
        <f>IF(BH80=[1]BD_CUSTO!$M$6,[1]BD_CUSTO!$N$6)*BI80</f>
        <v>1080</v>
      </c>
      <c r="BM80" s="24">
        <f>IF(BJ80=[1]BD_CUSTO!$M$4,[1]BD_CUSTO!$N$4,[1]BD_CUSTO!$N$5)*BK80</f>
        <v>0</v>
      </c>
      <c r="BN80" s="76" t="s">
        <v>114</v>
      </c>
      <c r="BO80" s="76">
        <v>401</v>
      </c>
      <c r="BP80" s="25">
        <f>Tabela1[[#This Row],[QTD ]]/Tabela1[[#This Row],[Nº UNDS]]</f>
        <v>1.0024999999999999</v>
      </c>
      <c r="BQ80" s="76" t="s">
        <v>115</v>
      </c>
      <c r="BR80" s="76">
        <v>0</v>
      </c>
      <c r="BS80" s="22" t="s">
        <v>116</v>
      </c>
      <c r="BT80" s="22">
        <v>0</v>
      </c>
      <c r="BU80" s="22" t="s">
        <v>16</v>
      </c>
      <c r="BV80" s="22">
        <v>0</v>
      </c>
      <c r="BW80" s="24">
        <f>IF(BN80=[1]BD_CUSTO!$Q$7,[1]BD_CUSTO!$R$7,[1]BD_CUSTO!$R$8)*BO80/E80</f>
        <v>2005</v>
      </c>
      <c r="BX80" s="24">
        <f>IF(BQ80=[1]BD_CUSTO!$Q$4,[1]BD_CUSTO!$R$4,[1]BD_CUSTO!$R$5)*BR80/E80</f>
        <v>0</v>
      </c>
      <c r="BY80" s="22">
        <f>IF(BS80=[1]BD_CUSTO!$Q$13,[1]BD_CUSTO!$R$13,[1]BD_CUSTO!$R$14)*BT80/E80</f>
        <v>0</v>
      </c>
      <c r="BZ80" s="24">
        <f>BV80*CUSTO!$R$10/E80</f>
        <v>0</v>
      </c>
      <c r="CA80" s="26">
        <f>SUM(Tabela1[[#This Row],[SOMA_PISO SALA E QUARTO]],Tabela1[[#This Row],[SOMA_PAREDE HIDR]],Tabela1[[#This Row],[SOMA_TETO]],Tabela1[[#This Row],[SOMA_BANCADA]],Tabela1[[#This Row],[SOMA_PEDRAS]])</f>
        <v>4850</v>
      </c>
      <c r="CB80" s="27" t="str">
        <f>IF(CA80&lt;=RÉGUAS!$D$4,"ACAB 01",IF(CA80&lt;=RÉGUAS!$F$4,"ACAB 02",IF(CA80&gt;RÉGUAS!$F$4,"ACAB 03",)))</f>
        <v>ACAB 03</v>
      </c>
      <c r="CC80" s="26">
        <f>SUM(Tabela1[[#This Row],[SOMA_LZ 01]:[SOMA_LZ 10]])</f>
        <v>1279.809</v>
      </c>
      <c r="CD80" s="22" t="str">
        <f>IF(CC80&lt;=RÉGUAS!$D$13,"LZ 01",IF(CC80&lt;=RÉGUAS!$F$13,"LZ 02",IF(CC80&lt;=RÉGUAS!$H$13,"LZ 03",IF(CC80&gt;RÉGUAS!$H$13,"LZ 04",))))</f>
        <v>LZ 02</v>
      </c>
      <c r="CE80" s="28">
        <f t="shared" si="15"/>
        <v>1080</v>
      </c>
      <c r="CF80" s="22" t="str">
        <f>IF(CE80&lt;=RÉGUAS!$D$22,"TIP 01",IF(CE80&lt;=RÉGUAS!$F$22,"TIP 02",IF(CE80&gt;RÉGUAS!$F$22,"TIP 03",)))</f>
        <v>TIP 01</v>
      </c>
      <c r="CG80" s="28">
        <f t="shared" si="16"/>
        <v>2005</v>
      </c>
      <c r="CH80" s="22" t="str">
        <f>IF(CG80&lt;=RÉGUAS!$D$32,"VAGA 01",IF(CG80&lt;=RÉGUAS!$F$32,"VAGA 02",IF(CG80&gt;RÉGUAS!$F$32,"VAGA 03",)))</f>
        <v>VAGA 02</v>
      </c>
      <c r="CI80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7507</v>
      </c>
      <c r="CJ80" s="85" t="str">
        <f>IF(AND(G80="BLOCO",CI80&lt;=RÉGUAS!$D$40),"ELEV 01",IF(AND(G80="BLOCO",CI80&gt;RÉGUAS!$D$40),"ELEV 02",IF(AND(G80="TORRE",CI80&lt;=RÉGUAS!$K$40),"ELEV 01",IF(AND(G80="TORRE",CI80&lt;=RÉGUAS!$M$40),"ELEV 02",IF(AND(G80="TORRE",CI80&gt;RÉGUAS!$M$40),"ELEV 03",)))))</f>
        <v>ELEV 02</v>
      </c>
      <c r="CK80" s="85">
        <f>SUM(Tabela1[[#This Row],[TOTAL  ACAB]],Tabela1[[#This Row],[TOTAL LAZER ]],Tabela1[[#This Row],[TOTAL TIPOLOGIA]],Tabela1[[#This Row],[TOTAL VAGA]],Tabela1[[#This Row],[TOTAL ELEVADOR]])</f>
        <v>16721.809000000001</v>
      </c>
      <c r="CL80" s="72" t="str">
        <f>IF(AND(G80="BLOCO",CK80&lt;=RÉGUAS!$D$50),"ESSENCIAL",IF(AND(G80="BLOCO",CK80&lt;=RÉGUAS!$F$50),"ECO",IF(AND(G80="BLOCO",CK80&gt;RÉGUAS!$F$50),"BIO",IF(AND(G80="TORRE",CK80&lt;=RÉGUAS!$K$50),"ESSENCIAL",IF(AND(G80="TORRE",CK80&lt;=RÉGUAS!$M$50),"ECO",IF(AND(G80="TORRE",CK80&gt;RÉGUAS!$M$50),"BIO",))))))</f>
        <v>BIO</v>
      </c>
      <c r="CM80" s="28" t="str">
        <f>IF(AND(G80="BLOCO",CK80&gt;=RÉGUAS!$D$51,CK80&lt;=RÉGUAS!$D$50),"ESSENCIAL-10%",IF(AND(G80="BLOCO",CK80&gt;RÉGUAS!$D$50,CK80&lt;=RÉGUAS!$E$51),"ECO+10%",IF(AND(G80="BLOCO",CK80&gt;=RÉGUAS!$F$51,CK80&lt;=RÉGUAS!$F$50),"ECO-10%",IF(AND(G80="BLOCO",CK80&gt;RÉGUAS!$F$50,CK80&lt;=RÉGUAS!$G$51),"BIO+10%",IF(AND(G80="TORRE",CK80&gt;=RÉGUAS!$K$51,CK80&lt;=RÉGUAS!$K$50),"ESSENCIAL-10%",IF(AND(G80="TORRE",CK80&gt;RÉGUAS!$K$50,CK80&lt;=RÉGUAS!$L$51),"ECO+10%",IF(AND(G80="TORRE",CK80&gt;=RÉGUAS!$M$51,CK80&lt;=RÉGUAS!$M$50),"ECO-10%",IF(AND(G80="TORRE",CK80&gt;RÉGUAS!$M$50,CK80&lt;=RÉGUAS!$N$51),"BIO+10%","-"))))))))</f>
        <v>-</v>
      </c>
      <c r="CN80" s="73">
        <f t="shared" si="17"/>
        <v>9214.8090000000011</v>
      </c>
      <c r="CO80" s="72" t="str">
        <f>IF(CN80&lt;=RÉGUAS!$D$58,"ESSENCIAL",IF(CN80&lt;=RÉGUAS!$F$58,"ECO",IF(CN80&gt;RÉGUAS!$F$58,"BIO",)))</f>
        <v>ECO</v>
      </c>
      <c r="CP80" s="72" t="str">
        <f>IF(Tabela1[[#This Row],[INTERVALO DE INTERSEÇÃO 5D]]="-",Tabela1[[#This Row],[CLASSIFICAÇÃO 
5D ]],Tabela1[[#This Row],[CLASSIFICAÇÃO 
4D]])</f>
        <v>BIO</v>
      </c>
      <c r="CQ80" s="72" t="str">
        <f t="shared" si="18"/>
        <v>-</v>
      </c>
      <c r="CR80" s="72" t="str">
        <f t="shared" si="19"/>
        <v>BIO</v>
      </c>
      <c r="CS80" s="22" t="str">
        <f>IF(Tabela1[[#This Row],[PRODUTO ATUAL ]]=Tabela1[[#This Row],[CLASSIFICAÇÃO FINAL 5D]],"ADERÊNTE","NÃO ADERÊNTE")</f>
        <v>NÃO ADERÊNTE</v>
      </c>
      <c r="CT80" s="24">
        <f>SUM(Tabela1[[#This Row],[TOTAL  ACAB]],Tabela1[[#This Row],[TOTAL LAZER ]],Tabela1[[#This Row],[TOTAL TIPOLOGIA]],Tabela1[[#This Row],[TOTAL VAGA]])</f>
        <v>9214.8090000000011</v>
      </c>
      <c r="CU80" s="22" t="str">
        <f>IF(CT80&lt;=RÉGUAS!$D$58,"ESSENCIAL",IF(CT80&lt;=RÉGUAS!$F$58,"ECO",IF(CT80&gt;RÉGUAS!$F$58,"BIO",)))</f>
        <v>ECO</v>
      </c>
      <c r="CV80" s="22" t="str">
        <f>IF(AND(CT80&gt;=RÉGUAS!$D$59,CT80&lt;=RÉGUAS!$E$59),"ESSENCIAL/ECO",IF(AND(CT80&gt;=RÉGUAS!$F$59,CT80&lt;=RÉGUAS!$G$59),"ECO/BIO","-"))</f>
        <v>-</v>
      </c>
      <c r="CW80" s="85">
        <f>SUM(Tabela1[[#This Row],[TOTAL LAZER ]],Tabela1[[#This Row],[TOTAL TIPOLOGIA]])</f>
        <v>2359.8090000000002</v>
      </c>
      <c r="CX80" s="22" t="str">
        <f>IF(CW80&lt;=RÉGUAS!$D$72,"ESSENCIAL",IF(CW80&lt;=RÉGUAS!$F$72,"ECO",IF(CN80&gt;RÉGUAS!$F$72,"BIO",)))</f>
        <v>ECO</v>
      </c>
      <c r="CY80" s="22" t="str">
        <f t="shared" si="20"/>
        <v>ECO</v>
      </c>
      <c r="CZ80" s="22" t="str">
        <f>IF(Tabela1[[#This Row],[PRODUTO ATUAL ]]=CY80,"ADERENTE","NÃO ADERENTE")</f>
        <v>ADERENTE</v>
      </c>
      <c r="DA80" s="22" t="str">
        <f>IF(Tabela1[[#This Row],[PRODUTO ATUAL ]]=Tabela1[[#This Row],[CLASSIFICAÇÃO 
4D2]],"ADERENTE","NÃO ADERENTE")</f>
        <v>ADERENTE</v>
      </c>
    </row>
    <row r="81" spans="2:105" customFormat="1" hidden="1" x14ac:dyDescent="0.35">
      <c r="B81" s="27">
        <v>65</v>
      </c>
      <c r="C81" s="22" t="s">
        <v>200</v>
      </c>
      <c r="D81" s="22" t="s">
        <v>128</v>
      </c>
      <c r="E81" s="23">
        <v>408</v>
      </c>
      <c r="F81" s="22" t="str">
        <f t="shared" si="14"/>
        <v>Acima de 400 und</v>
      </c>
      <c r="G81" s="22" t="s">
        <v>14</v>
      </c>
      <c r="H81" s="36">
        <v>3</v>
      </c>
      <c r="I81" s="36">
        <v>17</v>
      </c>
      <c r="J81" s="36"/>
      <c r="K81" s="36"/>
      <c r="L81" s="36">
        <f>SUM(Tabela1[[#This Row],[QTD DE B/T 2]],Tabela1[[#This Row],[QTD DE B/T]])</f>
        <v>3</v>
      </c>
      <c r="M81" s="22">
        <v>3</v>
      </c>
      <c r="N81" s="22">
        <f>Tabela1[[#This Row],[ELEVADOR]]/Tabela1[[#This Row],[BLOCO TOTAL]]</f>
        <v>1</v>
      </c>
      <c r="O81" s="22" t="s">
        <v>5</v>
      </c>
      <c r="P81" s="22" t="s">
        <v>101</v>
      </c>
      <c r="Q81" s="22" t="s">
        <v>101</v>
      </c>
      <c r="R81" s="22" t="s">
        <v>142</v>
      </c>
      <c r="S81" s="22" t="s">
        <v>103</v>
      </c>
      <c r="T81" s="22" t="s">
        <v>173</v>
      </c>
      <c r="U81" s="22" t="s">
        <v>105</v>
      </c>
      <c r="V81" s="22" t="s">
        <v>106</v>
      </c>
      <c r="W81" s="24">
        <f>IF(P81=[1]BD_CUSTO!$E$4,[1]BD_CUSTO!$F$4,[1]BD_CUSTO!$F$5)</f>
        <v>2430</v>
      </c>
      <c r="X81" s="24">
        <f>IF(Q81=[1]BD_CUSTO!$E$6,[1]BD_CUSTO!$F$6,[1]BD_CUSTO!$F$7)</f>
        <v>260</v>
      </c>
      <c r="Y81" s="24">
        <f>IF(R81=[1]BD_CUSTO!$E$8,[1]BD_CUSTO!$F$8,[1]BD_CUSTO!$F$9)</f>
        <v>900</v>
      </c>
      <c r="Z81" s="24">
        <f>IF(S81=[1]BD_CUSTO!$E$10,[1]BD_CUSTO!$F$10,[1]BD_CUSTO!$F$11)</f>
        <v>500</v>
      </c>
      <c r="AA81" s="24">
        <f>IF(T81=[1]BD_CUSTO!$E$12,[1]BD_CUSTO!$F$12,[1]BD_CUSTO!$F$13)</f>
        <v>930</v>
      </c>
      <c r="AB81" s="24">
        <f>IF(U81=[1]BD_CUSTO!$E$14,[1]BD_CUSTO!$F$14,[1]BD_CUSTO!$F$15)</f>
        <v>90</v>
      </c>
      <c r="AC81" s="24">
        <f>IF(V81=[1]BD_CUSTO!$E$16,[1]BD_CUSTO!$F$16,[1]BD_CUSTO!$F$17)</f>
        <v>720</v>
      </c>
      <c r="AD81" s="22" t="s">
        <v>110</v>
      </c>
      <c r="AE81" s="22">
        <v>3</v>
      </c>
      <c r="AF81" s="22" t="s">
        <v>107</v>
      </c>
      <c r="AG81" s="22">
        <v>1</v>
      </c>
      <c r="AH81" s="22" t="s">
        <v>121</v>
      </c>
      <c r="AI81" s="22">
        <v>1</v>
      </c>
      <c r="AJ81" s="22" t="s">
        <v>129</v>
      </c>
      <c r="AK81" s="22">
        <v>1</v>
      </c>
      <c r="AL81" s="22" t="s">
        <v>108</v>
      </c>
      <c r="AM81" s="22">
        <v>1</v>
      </c>
      <c r="AN81" s="22" t="s">
        <v>175</v>
      </c>
      <c r="AO81" s="22">
        <v>1</v>
      </c>
      <c r="AP81" s="22" t="s">
        <v>109</v>
      </c>
      <c r="AQ81" s="22">
        <v>1</v>
      </c>
      <c r="AR81" s="22"/>
      <c r="AS81" s="22"/>
      <c r="AT81" s="22"/>
      <c r="AU81" s="22"/>
      <c r="AV81" s="22"/>
      <c r="AW81" s="22"/>
      <c r="AX81" s="24">
        <f>IF(AD81="",0,VLOOKUP(AD81,[1]BD_CUSTO!I:J,2,0)*AE81/E81)</f>
        <v>38.970588235294116</v>
      </c>
      <c r="AY81" s="24">
        <f>IF(AF81="",0,VLOOKUP(AF81,[1]BD_CUSTO!I:J,2,0)*AG81/E81)</f>
        <v>208.69882352941175</v>
      </c>
      <c r="AZ81" s="24">
        <f>IF(AH81="",0,VLOOKUP(AH81,[1]BD_CUSTO!I:J,2,0)*AI81/E81)</f>
        <v>301.85514705882349</v>
      </c>
      <c r="BA81" s="24">
        <f>IF(AJ81="",0,VLOOKUP(AJ81,[1]BD_CUSTO!I:J,2,0)*AK81/E81)</f>
        <v>674.43034313725491</v>
      </c>
      <c r="BB81" s="24">
        <f>IF(AL81="",0,VLOOKUP(AL81,[1]BD_CUSTO!I:J,2,0)*AM81/E81)</f>
        <v>56.740196078431374</v>
      </c>
      <c r="BC81" s="24">
        <f>IF(AN81="",0,VLOOKUP(AN81,[1]BD_CUSTO!I:J,2,0)*AO81/E81)</f>
        <v>26.446078431372548</v>
      </c>
      <c r="BD81" s="24">
        <f>IF(AP81="",0,VLOOKUP(AP81,[1]BD_CUSTO!I:J,2,0)*AQ81/E81)</f>
        <v>17.034313725490197</v>
      </c>
      <c r="BE81" s="24">
        <f>IF(AR81="",0,VLOOKUP(AR81,CUSTO!I:J,2,0)*AS81/E81)</f>
        <v>0</v>
      </c>
      <c r="BF81" s="24">
        <f>IF(AT81="",0,VLOOKUP(AT81,[1]BD_CUSTO!I:J,2,0)*AU81/E81)</f>
        <v>0</v>
      </c>
      <c r="BG81" s="24">
        <f>IF(Tabela1[[#This Row],[LZ 10]]="",0,VLOOKUP(Tabela1[[#This Row],[LZ 10]],[1]BD_CUSTO!I:J,2,0)*Tabela1[[#This Row],[QTD922]]/E81)</f>
        <v>0</v>
      </c>
      <c r="BH81" s="22" t="s">
        <v>112</v>
      </c>
      <c r="BI81" s="25">
        <v>0.47</v>
      </c>
      <c r="BJ81" s="22" t="s">
        <v>113</v>
      </c>
      <c r="BK81" s="25">
        <v>0</v>
      </c>
      <c r="BL81" s="24">
        <f>IF(BH81=[1]BD_CUSTO!$M$6,[1]BD_CUSTO!$N$6)*BI81</f>
        <v>1410</v>
      </c>
      <c r="BM81" s="24">
        <f>IF(BJ81=[1]BD_CUSTO!$M$4,[1]BD_CUSTO!$N$4,[1]BD_CUSTO!$N$5)*BK81</f>
        <v>0</v>
      </c>
      <c r="BN81" s="22" t="s">
        <v>114</v>
      </c>
      <c r="BO81" s="22">
        <v>423</v>
      </c>
      <c r="BP81" s="25">
        <f>Tabela1[[#This Row],[QTD ]]/Tabela1[[#This Row],[Nº UNDS]]</f>
        <v>1.036764705882353</v>
      </c>
      <c r="BQ81" s="22" t="s">
        <v>123</v>
      </c>
      <c r="BR81" s="22">
        <v>7</v>
      </c>
      <c r="BS81" s="22" t="s">
        <v>116</v>
      </c>
      <c r="BT81" s="22">
        <v>0</v>
      </c>
      <c r="BU81" s="22" t="s">
        <v>16</v>
      </c>
      <c r="BV81" s="22">
        <v>0</v>
      </c>
      <c r="BW81" s="24">
        <f>IF(BN81=[1]BD_CUSTO!$Q$7,[1]BD_CUSTO!$R$7,[1]BD_CUSTO!$R$8)*BO81/E81</f>
        <v>2073.5294117647059</v>
      </c>
      <c r="BX81" s="24">
        <f>IF(BQ81=[1]BD_CUSTO!$Q$4,[1]BD_CUSTO!$R$4,[1]BD_CUSTO!$R$5)*BR81/E81</f>
        <v>17.156862745098039</v>
      </c>
      <c r="BY81" s="22">
        <f>IF(BS81=[1]BD_CUSTO!$Q$13,[1]BD_CUSTO!$R$13,[1]BD_CUSTO!$R$14)*BT81/E81</f>
        <v>0</v>
      </c>
      <c r="BZ81" s="24">
        <f>BV81*CUSTO!$R$10/E81</f>
        <v>0</v>
      </c>
      <c r="CA81" s="26">
        <f>SUM(Tabela1[[#This Row],[SOMA_PISO SALA E QUARTO]],Tabela1[[#This Row],[SOMA_PAREDE HIDR]],Tabela1[[#This Row],[SOMA_TETO]],Tabela1[[#This Row],[SOMA_BANCADA]],Tabela1[[#This Row],[SOMA_PEDRAS]])</f>
        <v>4850</v>
      </c>
      <c r="CB81" s="27" t="str">
        <f>IF(CA81&lt;=RÉGUAS!$D$4,"ACAB 01",IF(CA81&lt;=RÉGUAS!$F$4,"ACAB 02",IF(CA81&gt;RÉGUAS!$F$4,"ACAB 03",)))</f>
        <v>ACAB 03</v>
      </c>
      <c r="CC81" s="26">
        <f>SUM(Tabela1[[#This Row],[SOMA_LZ 01]:[SOMA_LZ 10]])</f>
        <v>1324.1754901960785</v>
      </c>
      <c r="CD81" s="22" t="str">
        <f>IF(CC81&lt;=RÉGUAS!$D$13,"LZ 01",IF(CC81&lt;=RÉGUAS!$F$13,"LZ 02",IF(CC81&lt;=RÉGUAS!$H$13,"LZ 03",IF(CC81&gt;RÉGUAS!$H$13,"LZ 04",))))</f>
        <v>LZ 02</v>
      </c>
      <c r="CE81" s="28">
        <f t="shared" si="15"/>
        <v>1410</v>
      </c>
      <c r="CF81" s="22" t="str">
        <f>IF(CE81&lt;=RÉGUAS!$D$22,"TIP 01",IF(CE81&lt;=RÉGUAS!$F$22,"TIP 02",IF(CE81&gt;RÉGUAS!$F$22,"TIP 03",)))</f>
        <v>TIP 01</v>
      </c>
      <c r="CG81" s="28">
        <f t="shared" si="16"/>
        <v>2090.6862745098038</v>
      </c>
      <c r="CH81" s="22" t="str">
        <f>IF(CG81&lt;=RÉGUAS!$D$32,"VAGA 01",IF(CG81&lt;=RÉGUAS!$F$32,"VAGA 02",IF(CG81&gt;RÉGUAS!$F$32,"VAGA 03",)))</f>
        <v>VAGA 02</v>
      </c>
      <c r="CI81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2097.375</v>
      </c>
      <c r="CJ81" s="85" t="str">
        <f>IF(AND(G81="BLOCO",CI81&lt;=RÉGUAS!$D$40),"ELEV 01",IF(AND(G81="BLOCO",CI81&gt;RÉGUAS!$D$40),"ELEV 02",IF(AND(G81="TORRE",CI81&lt;=RÉGUAS!$K$40),"ELEV 01",IF(AND(G81="TORRE",CI81&lt;=RÉGUAS!$M$40),"ELEV 02",IF(AND(G81="TORRE",CI81&gt;RÉGUAS!$M$40),"ELEV 03",)))))</f>
        <v>ELEV 01</v>
      </c>
      <c r="CK81" s="85">
        <f>SUM(Tabela1[[#This Row],[TOTAL  ACAB]],Tabela1[[#This Row],[TOTAL LAZER ]],Tabela1[[#This Row],[TOTAL TIPOLOGIA]],Tabela1[[#This Row],[TOTAL VAGA]],Tabela1[[#This Row],[TOTAL ELEVADOR]])</f>
        <v>11772.236764705882</v>
      </c>
      <c r="CL81" s="72" t="str">
        <f>IF(AND(G81="BLOCO",CK81&lt;=RÉGUAS!$D$50),"ESSENCIAL",IF(AND(G81="BLOCO",CK81&lt;=RÉGUAS!$F$50),"ECO",IF(AND(G81="BLOCO",CK81&gt;RÉGUAS!$F$50),"BIO",IF(AND(G81="TORRE",CK81&lt;=RÉGUAS!$K$50),"ESSENCIAL",IF(AND(G81="TORRE",CK81&lt;=RÉGUAS!$M$50),"ECO",IF(AND(G81="TORRE",CK81&gt;RÉGUAS!$M$50),"BIO",))))))</f>
        <v>ECO</v>
      </c>
      <c r="CM81" s="28" t="str">
        <f>IF(AND(G81="BLOCO",CK81&gt;=RÉGUAS!$D$51,CK81&lt;=RÉGUAS!$D$50),"ESSENCIAL-10%",IF(AND(G81="BLOCO",CK81&gt;RÉGUAS!$D$50,CK81&lt;=RÉGUAS!$E$51),"ECO+10%",IF(AND(G81="BLOCO",CK81&gt;=RÉGUAS!$F$51,CK81&lt;=RÉGUAS!$F$50),"ECO-10%",IF(AND(G81="BLOCO",CK81&gt;RÉGUAS!$F$50,CK81&lt;=RÉGUAS!$G$51),"BIO+10%",IF(AND(G81="TORRE",CK81&gt;=RÉGUAS!$K$51,CK81&lt;=RÉGUAS!$K$50),"ESSENCIAL-10%",IF(AND(G81="TORRE",CK81&gt;RÉGUAS!$K$50,CK81&lt;=RÉGUAS!$L$51),"ECO+10%",IF(AND(G81="TORRE",CK81&gt;=RÉGUAS!$M$51,CK81&lt;=RÉGUAS!$M$50),"ECO-10%",IF(AND(G81="TORRE",CK81&gt;RÉGUAS!$M$50,CK81&lt;=RÉGUAS!$N$51),"BIO+10%","-"))))))))</f>
        <v>-</v>
      </c>
      <c r="CN81" s="73">
        <f t="shared" si="17"/>
        <v>9674.8617647058818</v>
      </c>
      <c r="CO81" s="72" t="str">
        <f>IF(CN81&lt;=RÉGUAS!$D$58,"ESSENCIAL",IF(CN81&lt;=RÉGUAS!$F$58,"ECO",IF(CN81&gt;RÉGUAS!$F$58,"BIO",)))</f>
        <v>ECO</v>
      </c>
      <c r="CP81" s="72" t="str">
        <f>IF(Tabela1[[#This Row],[INTERVALO DE INTERSEÇÃO 5D]]="-",Tabela1[[#This Row],[CLASSIFICAÇÃO 
5D ]],Tabela1[[#This Row],[CLASSIFICAÇÃO 
4D]])</f>
        <v>ECO</v>
      </c>
      <c r="CQ81" s="72" t="str">
        <f t="shared" si="18"/>
        <v>-</v>
      </c>
      <c r="CR81" s="72" t="str">
        <f t="shared" si="19"/>
        <v>ECO</v>
      </c>
      <c r="CS81" s="22" t="str">
        <f>IF(Tabela1[[#This Row],[PRODUTO ATUAL ]]=Tabela1[[#This Row],[CLASSIFICAÇÃO FINAL 5D]],"ADERÊNTE","NÃO ADERÊNTE")</f>
        <v>ADERÊNTE</v>
      </c>
      <c r="CT81" s="24">
        <f>SUM(Tabela1[[#This Row],[TOTAL  ACAB]],Tabela1[[#This Row],[TOTAL LAZER ]],Tabela1[[#This Row],[TOTAL TIPOLOGIA]],Tabela1[[#This Row],[TOTAL VAGA]])</f>
        <v>9674.8617647058818</v>
      </c>
      <c r="CU81" s="22" t="str">
        <f>IF(CT81&lt;=RÉGUAS!$D$58,"ESSENCIAL",IF(CT81&lt;=RÉGUAS!$F$58,"ECO",IF(CT81&gt;RÉGUAS!$F$58,"BIO",)))</f>
        <v>ECO</v>
      </c>
      <c r="CV81" s="22" t="str">
        <f>IF(AND(CT81&gt;=RÉGUAS!$D$59,CT81&lt;=RÉGUAS!$E$59),"ESSENCIAL/ECO",IF(AND(CT81&gt;=RÉGUAS!$F$59,CT81&lt;=RÉGUAS!$G$59),"ECO/BIO","-"))</f>
        <v>-</v>
      </c>
      <c r="CW81" s="85">
        <f>SUM(Tabela1[[#This Row],[TOTAL LAZER ]],Tabela1[[#This Row],[TOTAL TIPOLOGIA]])</f>
        <v>2734.1754901960785</v>
      </c>
      <c r="CX81" s="22" t="str">
        <f>IF(CW81&lt;=RÉGUAS!$D$72,"ESSENCIAL",IF(CW81&lt;=RÉGUAS!$F$72,"ECO",IF(CN81&gt;RÉGUAS!$F$72,"BIO",)))</f>
        <v>ECO</v>
      </c>
      <c r="CY81" s="22" t="str">
        <f t="shared" si="20"/>
        <v>ECO</v>
      </c>
      <c r="CZ81" s="22" t="str">
        <f>IF(Tabela1[[#This Row],[PRODUTO ATUAL ]]=CY81,"ADERENTE","NÃO ADERENTE")</f>
        <v>ADERENTE</v>
      </c>
      <c r="DA81" s="22" t="str">
        <f>IF(Tabela1[[#This Row],[PRODUTO ATUAL ]]=Tabela1[[#This Row],[CLASSIFICAÇÃO 
4D2]],"ADERENTE","NÃO ADERENTE")</f>
        <v>ADERENTE</v>
      </c>
    </row>
    <row r="82" spans="2:105" x14ac:dyDescent="0.35">
      <c r="B82" s="27">
        <v>70</v>
      </c>
      <c r="C82" s="22" t="s">
        <v>227</v>
      </c>
      <c r="D82" s="22" t="s">
        <v>131</v>
      </c>
      <c r="E82" s="134">
        <v>320</v>
      </c>
      <c r="F82" s="22" t="str">
        <f t="shared" si="14"/>
        <v>De 200 a 400 und</v>
      </c>
      <c r="G82" s="133" t="s">
        <v>1</v>
      </c>
      <c r="H82" s="135">
        <v>4</v>
      </c>
      <c r="I82" s="135">
        <v>5</v>
      </c>
      <c r="J82" s="36"/>
      <c r="K82" s="36"/>
      <c r="L82" s="36">
        <f>SUM(Tabela1[[#This Row],[QTD DE B/T 2]],Tabela1[[#This Row],[QTD DE B/T]])</f>
        <v>4</v>
      </c>
      <c r="M82" s="22">
        <v>0</v>
      </c>
      <c r="N82" s="22">
        <f>Tabela1[[#This Row],[ELEVADOR]]/Tabela1[[#This Row],[BLOCO TOTAL]]</f>
        <v>0</v>
      </c>
      <c r="O82" s="22" t="s">
        <v>5</v>
      </c>
      <c r="P82" s="133" t="s">
        <v>101</v>
      </c>
      <c r="Q82" s="22" t="s">
        <v>101</v>
      </c>
      <c r="R82" s="133" t="s">
        <v>142</v>
      </c>
      <c r="S82" s="133" t="s">
        <v>103</v>
      </c>
      <c r="T82" s="133" t="s">
        <v>173</v>
      </c>
      <c r="U82" s="133" t="s">
        <v>105</v>
      </c>
      <c r="V82" s="22" t="s">
        <v>106</v>
      </c>
      <c r="W82" s="24">
        <f>IF(P82=[1]BD_CUSTO!$E$4,[1]BD_CUSTO!$F$4,[1]BD_CUSTO!$F$5)</f>
        <v>2430</v>
      </c>
      <c r="X82" s="24">
        <f>IF(Q82=[1]BD_CUSTO!$E$6,[1]BD_CUSTO!$F$6,[1]BD_CUSTO!$F$7)</f>
        <v>260</v>
      </c>
      <c r="Y82" s="24">
        <f>IF(R82=[1]BD_CUSTO!$E$8,[1]BD_CUSTO!$F$8,[1]BD_CUSTO!$F$9)</f>
        <v>900</v>
      </c>
      <c r="Z82" s="24">
        <f>IF(S82=[1]BD_CUSTO!$E$10,[1]BD_CUSTO!$F$10,[1]BD_CUSTO!$F$11)</f>
        <v>500</v>
      </c>
      <c r="AA82" s="24">
        <f>IF(T82=[1]BD_CUSTO!$E$12,[1]BD_CUSTO!$F$12,[1]BD_CUSTO!$F$13)</f>
        <v>930</v>
      </c>
      <c r="AB82" s="24">
        <f>IF(U82=[1]BD_CUSTO!$E$14,[1]BD_CUSTO!$F$14,[1]BD_CUSTO!$F$15)</f>
        <v>90</v>
      </c>
      <c r="AC82" s="24">
        <f>IF(V82=[1]BD_CUSTO!$E$16,[1]BD_CUSTO!$F$16,[1]BD_CUSTO!$F$17)</f>
        <v>720</v>
      </c>
      <c r="AD82" s="133" t="s">
        <v>120</v>
      </c>
      <c r="AE82" s="133">
        <v>1</v>
      </c>
      <c r="AF82" s="133" t="s">
        <v>109</v>
      </c>
      <c r="AG82" s="133">
        <v>1</v>
      </c>
      <c r="AH82" s="133" t="s">
        <v>175</v>
      </c>
      <c r="AI82" s="133">
        <v>1</v>
      </c>
      <c r="AJ82" s="133" t="s">
        <v>121</v>
      </c>
      <c r="AK82" s="133">
        <v>1</v>
      </c>
      <c r="AL82" s="133" t="s">
        <v>108</v>
      </c>
      <c r="AM82" s="133">
        <v>1</v>
      </c>
      <c r="AN82" s="133" t="s">
        <v>107</v>
      </c>
      <c r="AO82" s="133">
        <v>1</v>
      </c>
      <c r="AP82" s="133" t="s">
        <v>126</v>
      </c>
      <c r="AQ82" s="133">
        <v>1</v>
      </c>
      <c r="AR82" s="133" t="s">
        <v>110</v>
      </c>
      <c r="AS82" s="133">
        <v>1</v>
      </c>
      <c r="AT82" s="133" t="s">
        <v>129</v>
      </c>
      <c r="AU82" s="133">
        <v>1</v>
      </c>
      <c r="AV82" s="22"/>
      <c r="AW82" s="22"/>
      <c r="AX82" s="24">
        <f>IF(AD82="",0,VLOOKUP(AD82,[1]BD_CUSTO!I:J,2,0)*AE82/E82)</f>
        <v>177.84025</v>
      </c>
      <c r="AY82" s="24">
        <f>IF(AF82="",0,VLOOKUP(AF82,[1]BD_CUSTO!I:J,2,0)*AG82/E82)</f>
        <v>21.71875</v>
      </c>
      <c r="AZ82" s="24">
        <f>IF(AH82="",0,VLOOKUP(AH82,[1]BD_CUSTO!I:J,2,0)*AI82/E82)</f>
        <v>33.71875</v>
      </c>
      <c r="BA82" s="24">
        <f>IF(AJ82="",0,VLOOKUP(AJ82,[1]BD_CUSTO!I:J,2,0)*AK82/E82)</f>
        <v>384.86531249999996</v>
      </c>
      <c r="BB82" s="24">
        <f>IF(AL82="",0,VLOOKUP(AL82,[1]BD_CUSTO!I:J,2,0)*AM82/E82)</f>
        <v>72.34375</v>
      </c>
      <c r="BC82" s="24">
        <f>IF(AN82="",0,VLOOKUP(AN82,[1]BD_CUSTO!I:J,2,0)*AO82/E82)</f>
        <v>266.09100000000001</v>
      </c>
      <c r="BD82" s="24">
        <f>IF(AP82="",0,VLOOKUP(AP82,[1]BD_CUSTO!I:J,2,0)*AQ82/E82)</f>
        <v>23.625</v>
      </c>
      <c r="BE82" s="24">
        <f>IF(AR82="",0,VLOOKUP(AR82,CUSTO!I:J,2,0)*AS82/E82)</f>
        <v>16.5625</v>
      </c>
      <c r="BF82" s="24">
        <f>IF(AT82="",0,VLOOKUP(AT82,[1]BD_CUSTO!I:J,2,0)*AU82/E82)</f>
        <v>859.89868750000005</v>
      </c>
      <c r="BG82" s="24">
        <f>IF(Tabela1[[#This Row],[LZ 10]]="",0,VLOOKUP(Tabela1[[#This Row],[LZ 10]],[1]BD_CUSTO!I:J,2,0)*Tabela1[[#This Row],[QTD922]]/E82)</f>
        <v>0</v>
      </c>
      <c r="BH82" s="22" t="s">
        <v>112</v>
      </c>
      <c r="BI82" s="25">
        <f>(288+10)/Tabela1[[#This Row],[Nº UNDS]]</f>
        <v>0.93125000000000002</v>
      </c>
      <c r="BJ82" s="22" t="s">
        <v>212</v>
      </c>
      <c r="BK82" s="25"/>
      <c r="BL82" s="24">
        <f>IF(BH82=[1]BD_CUSTO!$M$6,[1]BD_CUSTO!$N$6)*BI82</f>
        <v>2793.75</v>
      </c>
      <c r="BM82" s="24">
        <f>IF(BJ82=[1]BD_CUSTO!$M$4,[1]BD_CUSTO!$N$4,[1]BD_CUSTO!$N$5)*BK82</f>
        <v>0</v>
      </c>
      <c r="BN82" s="133" t="s">
        <v>114</v>
      </c>
      <c r="BO82" s="133">
        <f>185-31</f>
        <v>154</v>
      </c>
      <c r="BP82" s="25">
        <f>Tabela1[[#This Row],[QTD ]]/Tabela1[[#This Row],[Nº UNDS]]</f>
        <v>0.48125000000000001</v>
      </c>
      <c r="BQ82" s="22" t="s">
        <v>123</v>
      </c>
      <c r="BR82" s="22">
        <v>51</v>
      </c>
      <c r="BS82" s="22" t="s">
        <v>116</v>
      </c>
      <c r="BT82" s="22">
        <v>0</v>
      </c>
      <c r="BU82" s="22" t="s">
        <v>16</v>
      </c>
      <c r="BV82" s="22">
        <v>0</v>
      </c>
      <c r="BW82" s="24">
        <f>IF(BN82=[1]BD_CUSTO!$Q$7,[1]BD_CUSTO!$R$7,[1]BD_CUSTO!$R$8)*BO82/E82</f>
        <v>962.5</v>
      </c>
      <c r="BX82" s="24">
        <f>IF(BQ82=[1]BD_CUSTO!$Q$4,[1]BD_CUSTO!$R$4,[1]BD_CUSTO!$R$5)*BR82/E82</f>
        <v>159.375</v>
      </c>
      <c r="BY82" s="22">
        <f>IF(BS82=[1]BD_CUSTO!$Q$13,[1]BD_CUSTO!$R$13,[1]BD_CUSTO!$R$14)*BT82/E82</f>
        <v>0</v>
      </c>
      <c r="BZ82" s="24">
        <f>BV82*CUSTO!$R$10/E82</f>
        <v>0</v>
      </c>
      <c r="CA82" s="26">
        <f>SUM(Tabela1[[#This Row],[SOMA_PISO SALA E QUARTO]],Tabela1[[#This Row],[SOMA_PAREDE HIDR]],Tabela1[[#This Row],[SOMA_TETO]],Tabela1[[#This Row],[SOMA_BANCADA]],Tabela1[[#This Row],[SOMA_PEDRAS]])</f>
        <v>4850</v>
      </c>
      <c r="CB82" s="27" t="str">
        <f>IF(CA82&lt;=RÉGUAS!$D$4,"ACAB 01",IF(CA82&lt;=RÉGUAS!$F$4,"ACAB 02",IF(CA82&gt;RÉGUAS!$F$4,"ACAB 03",)))</f>
        <v>ACAB 03</v>
      </c>
      <c r="CC82" s="26">
        <f>SUM(Tabela1[[#This Row],[SOMA_LZ 01]:[SOMA_LZ 10]])</f>
        <v>1856.664</v>
      </c>
      <c r="CD82" s="22" t="str">
        <f>IF(CC82&lt;=RÉGUAS!$D$13,"LZ 01",IF(CC82&lt;=RÉGUAS!$F$13,"LZ 02",IF(CC82&lt;=RÉGUAS!$H$13,"LZ 03",IF(CC82&gt;RÉGUAS!$H$13,"LZ 04",))))</f>
        <v>LZ 03</v>
      </c>
      <c r="CE82" s="28">
        <f t="shared" si="15"/>
        <v>2793.75</v>
      </c>
      <c r="CF82" s="22" t="str">
        <f>IF(CE82&lt;=RÉGUAS!$D$22,"TIP 01",IF(CE82&lt;=RÉGUAS!$F$22,"TIP 02",IF(CE82&gt;RÉGUAS!$F$22,"TIP 03",)))</f>
        <v>TIP 02</v>
      </c>
      <c r="CG82" s="28">
        <f t="shared" si="16"/>
        <v>1121.875</v>
      </c>
      <c r="CH82" s="22" t="str">
        <f>IF(CG82&lt;=RÉGUAS!$D$32,"VAGA 01",IF(CG82&lt;=RÉGUAS!$F$32,"VAGA 02",IF(CG82&gt;RÉGUAS!$F$32,"VAGA 03",)))</f>
        <v>VAGA 01</v>
      </c>
      <c r="CI82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0</v>
      </c>
      <c r="CJ82" s="85" t="str">
        <f>IF(AND(G82="BLOCO",CI82&lt;=RÉGUAS!$D$40),"ELEV 01",IF(AND(G82="BLOCO",CI82&gt;RÉGUAS!$D$40),"ELEV 02",IF(AND(G82="TORRE",CI82&lt;=RÉGUAS!$K$40),"ELEV 01",IF(AND(G82="TORRE",CI82&lt;=RÉGUAS!$M$40),"ELEV 02",IF(AND(G82="TORRE",CI82&gt;RÉGUAS!$M$40),"ELEV 03",)))))</f>
        <v>ELEV 01</v>
      </c>
      <c r="CK82" s="85">
        <f>SUM(Tabela1[[#This Row],[TOTAL  ACAB]],Tabela1[[#This Row],[TOTAL LAZER ]],Tabela1[[#This Row],[TOTAL TIPOLOGIA]],Tabela1[[#This Row],[TOTAL VAGA]],Tabela1[[#This Row],[TOTAL ELEVADOR]])</f>
        <v>10622.289000000001</v>
      </c>
      <c r="CL82" s="72" t="str">
        <f>IF(AND(G82="BLOCO",CK82&lt;=RÉGUAS!$D$50),"ESSENCIAL",IF(AND(G82="BLOCO",CK82&lt;=RÉGUAS!$F$50),"ECO",IF(AND(G82="BLOCO",CK82&gt;RÉGUAS!$F$50),"BIO",IF(AND(G82="TORRE",CK82&lt;=RÉGUAS!$K$50),"ESSENCIAL",IF(AND(G82="TORRE",CK82&lt;=RÉGUAS!$M$50),"ECO",IF(AND(G82="TORRE",CK82&gt;RÉGUAS!$M$50),"BIO",))))))</f>
        <v>ECO</v>
      </c>
      <c r="CM82" s="28" t="str">
        <f>IF(AND(G82="BLOCO",CK82&gt;=RÉGUAS!$D$51,CK82&lt;=RÉGUAS!$D$50),"ESSENCIAL-10%",IF(AND(G82="BLOCO",CK82&gt;RÉGUAS!$D$50,CK82&lt;=RÉGUAS!$E$51),"ECO+10%",IF(AND(G82="BLOCO",CK82&gt;=RÉGUAS!$F$51,CK82&lt;=RÉGUAS!$F$50),"ECO-10%",IF(AND(G82="BLOCO",CK82&gt;RÉGUAS!$F$50,CK82&lt;=RÉGUAS!$G$51),"BIO+10%",IF(AND(G82="TORRE",CK82&gt;=RÉGUAS!$K$51,CK82&lt;=RÉGUAS!$K$50),"ESSENCIAL-10%",IF(AND(G82="TORRE",CK82&gt;RÉGUAS!$K$50,CK82&lt;=RÉGUAS!$L$51),"ECO+10%",IF(AND(G82="TORRE",CK82&gt;=RÉGUAS!$M$51,CK82&lt;=RÉGUAS!$M$50),"ECO-10%",IF(AND(G82="TORRE",CK82&gt;RÉGUAS!$M$50,CK82&lt;=RÉGUAS!$N$51),"BIO+10%","-"))))))))</f>
        <v>ECO-10%</v>
      </c>
      <c r="CN82" s="73">
        <f t="shared" si="17"/>
        <v>10622.289000000001</v>
      </c>
      <c r="CO82" s="72" t="str">
        <f>IF(CN82&lt;=RÉGUAS!$D$58,"ESSENCIAL",IF(CN82&lt;=RÉGUAS!$F$58,"ECO",IF(CN82&gt;RÉGUAS!$F$58,"BIO",)))</f>
        <v>ECO</v>
      </c>
      <c r="CP82" s="72" t="str">
        <f>IF(Tabela1[[#This Row],[INTERVALO DE INTERSEÇÃO 5D]]="-",Tabela1[[#This Row],[CLASSIFICAÇÃO 
5D ]],Tabela1[[#This Row],[CLASSIFICAÇÃO 
4D]])</f>
        <v>ECO</v>
      </c>
      <c r="CQ82" s="72" t="str">
        <f t="shared" si="18"/>
        <v>-</v>
      </c>
      <c r="CR82" s="72" t="str">
        <f t="shared" si="19"/>
        <v>ECO</v>
      </c>
      <c r="CS82" s="22" t="str">
        <f>IF(Tabela1[[#This Row],[PRODUTO ATUAL ]]=Tabela1[[#This Row],[CLASSIFICAÇÃO FINAL 5D]],"ADERÊNTE","NÃO ADERÊNTE")</f>
        <v>ADERÊNTE</v>
      </c>
      <c r="CT82" s="24">
        <f>SUM(Tabela1[[#This Row],[TOTAL  ACAB]],Tabela1[[#This Row],[TOTAL LAZER ]],Tabela1[[#This Row],[TOTAL TIPOLOGIA]],Tabela1[[#This Row],[TOTAL VAGA]])</f>
        <v>10622.289000000001</v>
      </c>
      <c r="CU82" s="22" t="str">
        <f>IF(CT82&lt;=RÉGUAS!$D$58,"ESSENCIAL",IF(CT82&lt;=RÉGUAS!$F$58,"ECO",IF(CT82&gt;RÉGUAS!$F$58,"BIO",)))</f>
        <v>ECO</v>
      </c>
      <c r="CV82" s="22" t="str">
        <f>IF(AND(CT82&gt;=RÉGUAS!$D$59,CT82&lt;=RÉGUAS!$E$59),"ESSENCIAL/ECO",IF(AND(CT82&gt;=RÉGUAS!$F$59,CT82&lt;=RÉGUAS!$G$59),"ECO/BIO","-"))</f>
        <v>ECO/BIO</v>
      </c>
      <c r="CW82" s="85">
        <f>SUM(Tabela1[[#This Row],[TOTAL LAZER ]],Tabela1[[#This Row],[TOTAL TIPOLOGIA]])</f>
        <v>4650.4139999999998</v>
      </c>
      <c r="CX82" s="22" t="str">
        <f>IF(CW82&lt;=RÉGUAS!$D$72,"ESSENCIAL",IF(CW82&lt;=RÉGUAS!$F$72,"ECO",IF(CN82&gt;RÉGUAS!$F$72,"BIO",)))</f>
        <v>BIO</v>
      </c>
      <c r="CY82" s="22" t="str">
        <f t="shared" si="20"/>
        <v>BIO</v>
      </c>
      <c r="CZ82" s="22" t="str">
        <f>IF(Tabela1[[#This Row],[PRODUTO ATUAL ]]=CY82,"ADERENTE","NÃO ADERENTE")</f>
        <v>NÃO ADERENTE</v>
      </c>
      <c r="DA82" s="22" t="str">
        <f>IF(Tabela1[[#This Row],[PRODUTO ATUAL ]]=Tabela1[[#This Row],[CLASSIFICAÇÃO 
4D2]],"ADERENTE","NÃO ADERENTE")</f>
        <v>ADERENTE</v>
      </c>
    </row>
    <row r="83" spans="2:105" s="217" customFormat="1" x14ac:dyDescent="0.35">
      <c r="B83" s="218">
        <v>64</v>
      </c>
      <c r="C83" s="219" t="s">
        <v>236</v>
      </c>
      <c r="D83" s="219" t="s">
        <v>128</v>
      </c>
      <c r="E83" s="220">
        <v>360</v>
      </c>
      <c r="F83" s="219" t="str">
        <f t="shared" si="14"/>
        <v>De 200 a 400 und</v>
      </c>
      <c r="G83" s="219" t="s">
        <v>14</v>
      </c>
      <c r="H83" s="221">
        <v>2</v>
      </c>
      <c r="I83" s="221">
        <v>15</v>
      </c>
      <c r="J83" s="221"/>
      <c r="K83" s="221"/>
      <c r="L83" s="221">
        <f>SUM(Tabela1[[#This Row],[QTD DE B/T 2]],Tabela1[[#This Row],[QTD DE B/T]])</f>
        <v>2</v>
      </c>
      <c r="M83" s="219">
        <v>6</v>
      </c>
      <c r="N83" s="219">
        <f>Tabela1[[#This Row],[ELEVADOR]]/Tabela1[[#This Row],[BLOCO TOTAL]]</f>
        <v>3</v>
      </c>
      <c r="O83" s="219" t="s">
        <v>5</v>
      </c>
      <c r="P83" s="219" t="s">
        <v>101</v>
      </c>
      <c r="Q83" s="219" t="s">
        <v>101</v>
      </c>
      <c r="R83" s="219" t="s">
        <v>142</v>
      </c>
      <c r="S83" s="219" t="s">
        <v>103</v>
      </c>
      <c r="T83" s="219" t="s">
        <v>104</v>
      </c>
      <c r="U83" s="219" t="s">
        <v>105</v>
      </c>
      <c r="V83" s="219" t="s">
        <v>106</v>
      </c>
      <c r="W83" s="222">
        <f>IF(P83=[1]BD_CUSTO!$E$4,[1]BD_CUSTO!$F$4,[1]BD_CUSTO!$F$5)</f>
        <v>2430</v>
      </c>
      <c r="X83" s="222">
        <f>IF(Q83=[1]BD_CUSTO!$E$6,[1]BD_CUSTO!$F$6,[1]BD_CUSTO!$F$7)</f>
        <v>260</v>
      </c>
      <c r="Y83" s="222">
        <f>IF(R83=[1]BD_CUSTO!$E$8,[1]BD_CUSTO!$F$8,[1]BD_CUSTO!$F$9)</f>
        <v>900</v>
      </c>
      <c r="Z83" s="222">
        <f>IF(S83=[1]BD_CUSTO!$E$10,[1]BD_CUSTO!$F$10,[1]BD_CUSTO!$F$11)</f>
        <v>500</v>
      </c>
      <c r="AA83" s="222">
        <f>IF(T83=[1]BD_CUSTO!$E$12,[1]BD_CUSTO!$F$12,[1]BD_CUSTO!$F$13)</f>
        <v>370</v>
      </c>
      <c r="AB83" s="222">
        <f>IF(U83=[1]BD_CUSTO!$E$14,[1]BD_CUSTO!$F$14,[1]BD_CUSTO!$F$15)</f>
        <v>90</v>
      </c>
      <c r="AC83" s="222">
        <f>IF(V83=[1]BD_CUSTO!$E$16,[1]BD_CUSTO!$F$16,[1]BD_CUSTO!$F$17)</f>
        <v>720</v>
      </c>
      <c r="AD83" s="219" t="s">
        <v>107</v>
      </c>
      <c r="AE83" s="219">
        <v>1</v>
      </c>
      <c r="AF83" s="219" t="s">
        <v>121</v>
      </c>
      <c r="AG83" s="219">
        <v>1</v>
      </c>
      <c r="AH83" s="219" t="s">
        <v>175</v>
      </c>
      <c r="AI83" s="219">
        <v>1</v>
      </c>
      <c r="AJ83" s="219" t="s">
        <v>108</v>
      </c>
      <c r="AK83" s="219">
        <v>1</v>
      </c>
      <c r="AL83" s="219" t="s">
        <v>129</v>
      </c>
      <c r="AM83" s="219">
        <v>1</v>
      </c>
      <c r="AN83" s="219" t="s">
        <v>109</v>
      </c>
      <c r="AO83" s="219">
        <v>1</v>
      </c>
      <c r="AP83" s="219" t="s">
        <v>110</v>
      </c>
      <c r="AQ83" s="219">
        <v>1</v>
      </c>
      <c r="AR83" s="219"/>
      <c r="AS83" s="219"/>
      <c r="AT83" s="219"/>
      <c r="AU83" s="219"/>
      <c r="AV83" s="219"/>
      <c r="AW83" s="219"/>
      <c r="AX83" s="222">
        <f>IF(AD83="",0,VLOOKUP(AD83,[1]BD_CUSTO!I:J,2,0)*AE83/E83)</f>
        <v>236.52533333333332</v>
      </c>
      <c r="AY83" s="222">
        <f>IF(AF83="",0,VLOOKUP(AF83,[1]BD_CUSTO!I:J,2,0)*AG83/E83)</f>
        <v>342.10249999999996</v>
      </c>
      <c r="AZ83" s="222">
        <f>IF(AH83="",0,VLOOKUP(AH83,[1]BD_CUSTO!I:J,2,0)*AI83/E83)</f>
        <v>29.972222222222221</v>
      </c>
      <c r="BA83" s="222">
        <f>IF(AJ83="",0,VLOOKUP(AJ83,[1]BD_CUSTO!I:J,2,0)*AK83/E83)</f>
        <v>64.305555555555557</v>
      </c>
      <c r="BB83" s="222">
        <f>IF(AL83="",0,VLOOKUP(AL83,[1]BD_CUSTO!I:J,2,0)*AM83/E83)</f>
        <v>764.35438888888893</v>
      </c>
      <c r="BC83" s="222">
        <f>IF(AN83="",0,VLOOKUP(AN83,[1]BD_CUSTO!I:J,2,0)*AO83/E83)</f>
        <v>19.305555555555557</v>
      </c>
      <c r="BD83" s="222">
        <f>IF(AP83="",0,VLOOKUP(AP83,[1]BD_CUSTO!I:J,2,0)*AQ83/E83)</f>
        <v>14.722222222222221</v>
      </c>
      <c r="BE83" s="222">
        <f>IF(AR83="",0,VLOOKUP(AR83,CUSTO!I:J,2,0)*AS83/E83)</f>
        <v>0</v>
      </c>
      <c r="BF83" s="222">
        <f>IF(AT83="",0,VLOOKUP(AT83,[1]BD_CUSTO!I:J,2,0)*AU83/E83)</f>
        <v>0</v>
      </c>
      <c r="BG83" s="222">
        <f>IF(Tabela1[[#This Row],[LZ 10]]="",0,VLOOKUP(Tabela1[[#This Row],[LZ 10]],[1]BD_CUSTO!I:J,2,0)*Tabela1[[#This Row],[QTD922]]/E83)</f>
        <v>0</v>
      </c>
      <c r="BH83" s="219" t="s">
        <v>112</v>
      </c>
      <c r="BI83" s="223">
        <f>(112+224)/Tabela1[[#This Row],[Nº UNDS]]</f>
        <v>0.93333333333333335</v>
      </c>
      <c r="BJ83" s="219" t="s">
        <v>212</v>
      </c>
      <c r="BK83" s="223">
        <f>(112+8)/Tabela1[[#This Row],[Nº UNDS]]</f>
        <v>0.33333333333333331</v>
      </c>
      <c r="BL83" s="222">
        <f>IF(BH83=[1]BD_CUSTO!$M$6,[1]BD_CUSTO!$N$6)*BI83</f>
        <v>2800</v>
      </c>
      <c r="BM83" s="222">
        <f>IF(BJ83=[1]BD_CUSTO!$M$4,[1]BD_CUSTO!$N$4,[1]BD_CUSTO!$N$5)*BK83</f>
        <v>2000</v>
      </c>
      <c r="BN83" s="219" t="s">
        <v>114</v>
      </c>
      <c r="BO83" s="219">
        <f>212-21</f>
        <v>191</v>
      </c>
      <c r="BP83" s="223">
        <f>Tabela1[[#This Row],[QTD ]]/Tabela1[[#This Row],[Nº UNDS]]</f>
        <v>0.53055555555555556</v>
      </c>
      <c r="BQ83" s="219" t="s">
        <v>123</v>
      </c>
      <c r="BR83" s="219">
        <v>21</v>
      </c>
      <c r="BS83" s="219" t="s">
        <v>116</v>
      </c>
      <c r="BT83" s="219">
        <v>0</v>
      </c>
      <c r="BU83" s="219" t="s">
        <v>16</v>
      </c>
      <c r="BV83" s="219">
        <v>0</v>
      </c>
      <c r="BW83" s="222">
        <f>IF(BN83=[1]BD_CUSTO!$Q$7,[1]BD_CUSTO!$R$7,[1]BD_CUSTO!$R$8)*BO83/E83</f>
        <v>1061.1111111111111</v>
      </c>
      <c r="BX83" s="222">
        <f>IF(BQ83=[1]BD_CUSTO!$Q$4,[1]BD_CUSTO!$R$4,[1]BD_CUSTO!$R$5)*BR83/E83</f>
        <v>58.333333333333336</v>
      </c>
      <c r="BY83" s="219">
        <f>IF(BS83=[1]BD_CUSTO!$Q$13,[1]BD_CUSTO!$R$13,[1]BD_CUSTO!$R$14)*BT83/E83</f>
        <v>0</v>
      </c>
      <c r="BZ83" s="222">
        <f>BV83*CUSTO!$R$10/E83</f>
        <v>0</v>
      </c>
      <c r="CA83" s="224">
        <f>SUM(Tabela1[[#This Row],[SOMA_PISO SALA E QUARTO]],Tabela1[[#This Row],[SOMA_PAREDE HIDR]],Tabela1[[#This Row],[SOMA_TETO]],Tabela1[[#This Row],[SOMA_BANCADA]],Tabela1[[#This Row],[SOMA_PEDRAS]])</f>
        <v>4290</v>
      </c>
      <c r="CB83" s="218" t="str">
        <f>IF(CA83&lt;=RÉGUAS!$D$4,"ACAB 01",IF(CA83&lt;=RÉGUAS!$F$4,"ACAB 02",IF(CA83&gt;RÉGUAS!$F$4,"ACAB 03",)))</f>
        <v>ACAB 02</v>
      </c>
      <c r="CC83" s="224">
        <f>SUM(Tabela1[[#This Row],[SOMA_LZ 01]:[SOMA_LZ 10]])</f>
        <v>1471.2877777777776</v>
      </c>
      <c r="CD83" s="219" t="str">
        <f>IF(CC83&lt;=RÉGUAS!$D$13,"LZ 01",IF(CC83&lt;=RÉGUAS!$F$13,"LZ 02",IF(CC83&lt;=RÉGUAS!$H$13,"LZ 03",IF(CC83&gt;RÉGUAS!$H$13,"LZ 04",))))</f>
        <v>LZ 02</v>
      </c>
      <c r="CE83" s="225">
        <f t="shared" si="15"/>
        <v>4800</v>
      </c>
      <c r="CF83" s="219" t="str">
        <f>IF(CE83&lt;=RÉGUAS!$D$22,"TIP 01",IF(CE83&lt;=RÉGUAS!$F$22,"TIP 02",IF(CE83&gt;RÉGUAS!$F$22,"TIP 03",)))</f>
        <v>TIP 03</v>
      </c>
      <c r="CG83" s="225">
        <f t="shared" si="16"/>
        <v>1119.4444444444443</v>
      </c>
      <c r="CH83" s="219" t="str">
        <f>IF(CG83&lt;=RÉGUAS!$D$32,"VAGA 01",IF(CG83&lt;=RÉGUAS!$F$32,"VAGA 02",IF(CG83&gt;RÉGUAS!$F$32,"VAGA 03",)))</f>
        <v>VAGA 01</v>
      </c>
      <c r="CI83" s="226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4194.75</v>
      </c>
      <c r="CJ83" s="226" t="str">
        <f>IF(AND(G83="BLOCO",CI83&lt;=RÉGUAS!$D$40),"ELEV 01",IF(AND(G83="BLOCO",CI83&gt;RÉGUAS!$D$40),"ELEV 02",IF(AND(G83="TORRE",CI83&lt;=RÉGUAS!$K$40),"ELEV 01",IF(AND(G83="TORRE",CI83&lt;=RÉGUAS!$M$40),"ELEV 02",IF(AND(G83="TORRE",CI83&gt;RÉGUAS!$M$40),"ELEV 03",)))))</f>
        <v>ELEV 03</v>
      </c>
      <c r="CK83" s="85">
        <f>SUM(Tabela1[[#This Row],[TOTAL  ACAB]],Tabela1[[#This Row],[TOTAL LAZER ]],Tabela1[[#This Row],[TOTAL TIPOLOGIA]],Tabela1[[#This Row],[TOTAL VAGA]],Tabela1[[#This Row],[TOTAL ELEVADOR]])</f>
        <v>15875.482222222221</v>
      </c>
      <c r="CL83" s="72" t="str">
        <f>IF(AND(G83="BLOCO",CK83&lt;=RÉGUAS!$D$50),"ESSENCIAL",IF(AND(G83="BLOCO",CK83&lt;=RÉGUAS!$F$50),"ECO",IF(AND(G83="BLOCO",CK83&gt;RÉGUAS!$F$50),"BIO",IF(AND(G83="TORRE",CK83&lt;=RÉGUAS!$K$50),"ESSENCIAL",IF(AND(G83="TORRE",CK83&lt;=RÉGUAS!$M$50),"ECO",IF(AND(G83="TORRE",CK83&gt;RÉGUAS!$M$50),"BIO",))))))</f>
        <v>BIO</v>
      </c>
      <c r="CM83" s="28" t="str">
        <f>IF(AND(G83="BLOCO",CK83&gt;=RÉGUAS!$D$51,CK83&lt;=RÉGUAS!$D$50),"ESSENCIAL-10%",IF(AND(G83="BLOCO",CK83&gt;RÉGUAS!$D$50,CK83&lt;=RÉGUAS!$E$51),"ECO+10%",IF(AND(G83="BLOCO",CK83&gt;=RÉGUAS!$F$51,CK83&lt;=RÉGUAS!$F$50),"ECO-10%",IF(AND(G83="BLOCO",CK83&gt;RÉGUAS!$F$50,CK83&lt;=RÉGUAS!$G$51),"BIO+10%",IF(AND(G83="TORRE",CK83&gt;=RÉGUAS!$K$51,CK83&lt;=RÉGUAS!$K$50),"ESSENCIAL-10%",IF(AND(G83="TORRE",CK83&gt;RÉGUAS!$K$50,CK83&lt;=RÉGUAS!$L$51),"ECO+10%",IF(AND(G83="TORRE",CK83&gt;=RÉGUAS!$M$51,CK83&lt;=RÉGUAS!$M$50),"ECO-10%",IF(AND(G83="TORRE",CK83&gt;RÉGUAS!$M$50,CK83&lt;=RÉGUAS!$N$51),"BIO+10%","-"))))))))</f>
        <v>-</v>
      </c>
      <c r="CN83" s="73">
        <f t="shared" si="17"/>
        <v>11680.732222222221</v>
      </c>
      <c r="CO83" s="72" t="str">
        <f>IF(CN83&lt;=RÉGUAS!$D$58,"ESSENCIAL",IF(CN83&lt;=RÉGUAS!$F$58,"ECO",IF(CN83&gt;RÉGUAS!$F$58,"BIO",)))</f>
        <v>BIO</v>
      </c>
      <c r="CP83" s="72" t="str">
        <f>IF(Tabela1[[#This Row],[INTERVALO DE INTERSEÇÃO 5D]]="-",Tabela1[[#This Row],[CLASSIFICAÇÃO 
5D ]],Tabela1[[#This Row],[CLASSIFICAÇÃO 
4D]])</f>
        <v>BIO</v>
      </c>
      <c r="CQ83" s="72" t="str">
        <f t="shared" si="18"/>
        <v>-</v>
      </c>
      <c r="CR83" s="72" t="str">
        <f t="shared" si="19"/>
        <v>BIO</v>
      </c>
      <c r="CS83" s="22" t="str">
        <f>IF(Tabela1[[#This Row],[PRODUTO ATUAL ]]=Tabela1[[#This Row],[CLASSIFICAÇÃO FINAL 5D]],"ADERÊNTE","NÃO ADERÊNTE")</f>
        <v>NÃO ADERÊNTE</v>
      </c>
      <c r="CT83" s="222">
        <f>SUM(Tabela1[[#This Row],[TOTAL  ACAB]],Tabela1[[#This Row],[TOTAL LAZER ]],Tabela1[[#This Row],[TOTAL TIPOLOGIA]],Tabela1[[#This Row],[TOTAL VAGA]])</f>
        <v>11680.732222222221</v>
      </c>
      <c r="CU83" s="219" t="str">
        <f>IF(CT83&lt;=RÉGUAS!$D$58,"ESSENCIAL",IF(CT83&lt;=RÉGUAS!$F$58,"ECO",IF(CT83&gt;RÉGUAS!$F$58,"BIO",)))</f>
        <v>BIO</v>
      </c>
      <c r="CV83" s="219" t="str">
        <f>IF(AND(CT83&gt;=RÉGUAS!$D$59,CT83&lt;=RÉGUAS!$E$59),"ESSENCIAL/ECO",IF(AND(CT83&gt;=RÉGUAS!$F$59,CT83&lt;=RÉGUAS!$G$59),"ECO/BIO","-"))</f>
        <v>ECO/BIO</v>
      </c>
      <c r="CW83" s="226">
        <f>SUM(Tabela1[[#This Row],[TOTAL LAZER ]],Tabela1[[#This Row],[TOTAL TIPOLOGIA]])</f>
        <v>6271.2877777777776</v>
      </c>
      <c r="CX83" s="219" t="str">
        <f>IF(CW83&lt;=RÉGUAS!$D$72,"ESSENCIAL",IF(CW83&lt;=RÉGUAS!$F$72,"ECO",IF(CN83&gt;RÉGUAS!$F$72,"BIO",)))</f>
        <v>BIO</v>
      </c>
      <c r="CY83" s="219" t="str">
        <f t="shared" si="20"/>
        <v>BIO</v>
      </c>
      <c r="CZ83" s="219" t="str">
        <f>IF(Tabela1[[#This Row],[PRODUTO ATUAL ]]=CY83,"ADERENTE","NÃO ADERENTE")</f>
        <v>NÃO ADERENTE</v>
      </c>
      <c r="DA83" s="219" t="str">
        <f>IF(Tabela1[[#This Row],[PRODUTO ATUAL ]]=Tabela1[[#This Row],[CLASSIFICAÇÃO 
4D2]],"ADERENTE","NÃO ADERENTE")</f>
        <v>NÃO ADERENTE</v>
      </c>
    </row>
    <row r="84" spans="2:105" hidden="1" x14ac:dyDescent="0.35">
      <c r="B84" s="27">
        <v>5</v>
      </c>
      <c r="C84" s="22" t="s">
        <v>237</v>
      </c>
      <c r="D84" s="76" t="s">
        <v>118</v>
      </c>
      <c r="E84" s="76">
        <v>368</v>
      </c>
      <c r="F84" s="22" t="str">
        <f t="shared" si="14"/>
        <v>De 200 a 400 und</v>
      </c>
      <c r="G84" s="22" t="s">
        <v>14</v>
      </c>
      <c r="H84" s="129">
        <v>3</v>
      </c>
      <c r="I84" s="135">
        <v>16</v>
      </c>
      <c r="J84" s="135"/>
      <c r="K84" s="135"/>
      <c r="L84" s="135">
        <f>SUM(Tabela1[[#This Row],[QTD DE B/T 2]],Tabela1[[#This Row],[QTD DE B/T]])</f>
        <v>3</v>
      </c>
      <c r="M84" s="22">
        <v>6</v>
      </c>
      <c r="N84" s="22">
        <f>Tabela1[[#This Row],[ELEVADOR]]/Tabela1[[#This Row],[BLOCO TOTAL]]</f>
        <v>2</v>
      </c>
      <c r="O84" s="133" t="s">
        <v>5</v>
      </c>
      <c r="P84" s="76" t="s">
        <v>101</v>
      </c>
      <c r="Q84" s="76" t="s">
        <v>101</v>
      </c>
      <c r="R84" s="76" t="s">
        <v>142</v>
      </c>
      <c r="S84" s="76" t="s">
        <v>103</v>
      </c>
      <c r="T84" s="76" t="s">
        <v>104</v>
      </c>
      <c r="U84" s="76" t="s">
        <v>105</v>
      </c>
      <c r="V84" s="22" t="s">
        <v>137</v>
      </c>
      <c r="W84" s="24">
        <f>IF(P84=[1]BD_CUSTO!$E$4,[1]BD_CUSTO!$F$4,[1]BD_CUSTO!$F$5)</f>
        <v>2430</v>
      </c>
      <c r="X84" s="24">
        <f>IF(Q84=[1]BD_CUSTO!$E$6,[1]BD_CUSTO!$F$6,[1]BD_CUSTO!$F$7)</f>
        <v>260</v>
      </c>
      <c r="Y84" s="24">
        <f>IF(R84=[1]BD_CUSTO!$E$8,[1]BD_CUSTO!$F$8,[1]BD_CUSTO!$F$9)</f>
        <v>900</v>
      </c>
      <c r="Z84" s="24">
        <f>IF(S84=[1]BD_CUSTO!$E$10,[1]BD_CUSTO!$F$10,[1]BD_CUSTO!$F$11)</f>
        <v>500</v>
      </c>
      <c r="AA84" s="24">
        <f>IF(T84=[1]BD_CUSTO!$E$12,[1]BD_CUSTO!$F$12,[1]BD_CUSTO!$F$13)</f>
        <v>370</v>
      </c>
      <c r="AB84" s="24">
        <f>IF(U84=[1]BD_CUSTO!$E$14,[1]BD_CUSTO!$F$14,[1]BD_CUSTO!$F$15)</f>
        <v>90</v>
      </c>
      <c r="AC84" s="24">
        <f>IF(V84=[1]BD_CUSTO!$E$16,[1]BD_CUSTO!$F$16,[1]BD_CUSTO!$F$17)</f>
        <v>1320</v>
      </c>
      <c r="AD84" s="133" t="s">
        <v>109</v>
      </c>
      <c r="AE84" s="133">
        <v>1</v>
      </c>
      <c r="AF84" s="133" t="s">
        <v>120</v>
      </c>
      <c r="AG84" s="133">
        <v>1</v>
      </c>
      <c r="AH84" s="133" t="s">
        <v>121</v>
      </c>
      <c r="AI84" s="133">
        <v>1</v>
      </c>
      <c r="AJ84" s="133" t="s">
        <v>107</v>
      </c>
      <c r="AK84" s="133">
        <v>1</v>
      </c>
      <c r="AL84" s="133" t="s">
        <v>108</v>
      </c>
      <c r="AM84" s="133">
        <v>1</v>
      </c>
      <c r="AN84" s="133" t="s">
        <v>129</v>
      </c>
      <c r="AO84" s="133">
        <v>1</v>
      </c>
      <c r="AP84" s="133" t="s">
        <v>110</v>
      </c>
      <c r="AQ84" s="133">
        <v>1</v>
      </c>
      <c r="AR84" s="22"/>
      <c r="AS84" s="22">
        <v>0</v>
      </c>
      <c r="AT84" s="22"/>
      <c r="AU84" s="22"/>
      <c r="AV84" s="22"/>
      <c r="AW84" s="22"/>
      <c r="AX84" s="24">
        <f>IF(AD84="",0,VLOOKUP(AD84,[1]BD_CUSTO!I:J,2,0)*AE84/E84)</f>
        <v>18.885869565217391</v>
      </c>
      <c r="AY84" s="24">
        <f>IF(AF84="",0,VLOOKUP(AF84,[1]BD_CUSTO!I:J,2,0)*AG84/E84)</f>
        <v>154.6436956521739</v>
      </c>
      <c r="AZ84" s="24">
        <f>IF(AH84="",0,VLOOKUP(AH84,[1]BD_CUSTO!I:J,2,0)*AI84/E84)</f>
        <v>334.66548913043476</v>
      </c>
      <c r="BA84" s="24">
        <f>IF(AJ84="",0,VLOOKUP(AJ84,[1]BD_CUSTO!I:J,2,0)*AK84/E84)</f>
        <v>231.38347826086957</v>
      </c>
      <c r="BB84" s="24">
        <f>IF(AL84="",0,VLOOKUP(AL84,[1]BD_CUSTO!I:J,2,0)*AM84/E84)</f>
        <v>62.907608695652172</v>
      </c>
      <c r="BC84" s="24">
        <f>IF(AN84="",0,VLOOKUP(AN84,[1]BD_CUSTO!I:J,2,0)*AO84/E84)</f>
        <v>747.73798913043481</v>
      </c>
      <c r="BD84" s="24">
        <f>IF(AP84="",0,VLOOKUP(AP84,[1]BD_CUSTO!I:J,2,0)*AQ84/E84)</f>
        <v>14.402173913043478</v>
      </c>
      <c r="BE84" s="24">
        <f>IF(AR84="",0,VLOOKUP(AR84,CUSTO!I:J,2,0)*AS84/E84)</f>
        <v>0</v>
      </c>
      <c r="BF84" s="24">
        <f>IF(AT84="",0,VLOOKUP(AT84,[1]BD_CUSTO!I:J,2,0)*AU84/E84)</f>
        <v>0</v>
      </c>
      <c r="BG84" s="24">
        <f>IF(Tabela1[[#This Row],[LZ 10]]="",0,VLOOKUP(Tabela1[[#This Row],[LZ 10]],[1]BD_CUSTO!I:J,2,0)*Tabela1[[#This Row],[QTD922]]/E84)</f>
        <v>0</v>
      </c>
      <c r="BH84" s="133" t="s">
        <v>112</v>
      </c>
      <c r="BI84" s="136">
        <v>0.98</v>
      </c>
      <c r="BJ84" s="137" t="s">
        <v>212</v>
      </c>
      <c r="BK84" s="136">
        <v>0.52</v>
      </c>
      <c r="BL84" s="24">
        <f>IF(BH84=[1]BD_CUSTO!$M$6,[1]BD_CUSTO!$N$6)*BI84</f>
        <v>2940</v>
      </c>
      <c r="BM84" s="24">
        <f>IF(BJ84=[1]BD_CUSTO!$M$4,[1]BD_CUSTO!$N$4,[1]BD_CUSTO!$N$5)*BK84</f>
        <v>3120</v>
      </c>
      <c r="BN84" s="133" t="s">
        <v>114</v>
      </c>
      <c r="BO84" s="133">
        <v>383</v>
      </c>
      <c r="BP84" s="25">
        <f>Tabela1[[#This Row],[QTD ]]/Tabela1[[#This Row],[Nº UNDS]]</f>
        <v>1.0407608695652173</v>
      </c>
      <c r="BQ84" s="22" t="s">
        <v>115</v>
      </c>
      <c r="BR84" s="22">
        <v>0</v>
      </c>
      <c r="BS84" s="22" t="s">
        <v>116</v>
      </c>
      <c r="BT84" s="22">
        <v>0</v>
      </c>
      <c r="BU84" s="22" t="s">
        <v>16</v>
      </c>
      <c r="BV84" s="29">
        <v>0</v>
      </c>
      <c r="BW84" s="24">
        <f>IF(BN84=[1]BD_CUSTO!$Q$7,[1]BD_CUSTO!$R$7,[1]BD_CUSTO!$R$8)*BO84/E84</f>
        <v>2081.521739130435</v>
      </c>
      <c r="BX84" s="24">
        <f>IF(BQ84=[1]BD_CUSTO!$Q$4,[1]BD_CUSTO!$R$4,[1]BD_CUSTO!$R$5)*BR84/E84</f>
        <v>0</v>
      </c>
      <c r="BY84" s="22">
        <f>IF(BS84=[1]BD_CUSTO!$Q$13,[1]BD_CUSTO!$R$13,[1]BD_CUSTO!$R$14)*BT84/E84</f>
        <v>0</v>
      </c>
      <c r="BZ84" s="24">
        <f>BV84*CUSTO!$R$10/E84</f>
        <v>0</v>
      </c>
      <c r="CA84" s="26">
        <f>SUM(Tabela1[[#This Row],[SOMA_PISO SALA E QUARTO]],Tabela1[[#This Row],[SOMA_PAREDE HIDR]],Tabela1[[#This Row],[SOMA_TETO]],Tabela1[[#This Row],[SOMA_BANCADA]],Tabela1[[#This Row],[SOMA_PEDRAS]])</f>
        <v>4290</v>
      </c>
      <c r="CB84" s="27" t="str">
        <f>IF(CA84&lt;=RÉGUAS!$D$4,"ACAB 01",IF(CA84&lt;=RÉGUAS!$F$4,"ACAB 02",IF(CA84&gt;RÉGUAS!$F$4,"ACAB 03",)))</f>
        <v>ACAB 02</v>
      </c>
      <c r="CC84" s="26">
        <f>SUM(Tabela1[[#This Row],[SOMA_LZ 01]:[SOMA_LZ 10]])</f>
        <v>1564.6263043478261</v>
      </c>
      <c r="CD84" s="22" t="str">
        <f>IF(CC84&lt;=RÉGUAS!$D$13,"LZ 01",IF(CC84&lt;=RÉGUAS!$F$13,"LZ 02",IF(CC84&lt;=RÉGUAS!$H$13,"LZ 03",IF(CC84&gt;RÉGUAS!$H$13,"LZ 04",))))</f>
        <v>LZ 02</v>
      </c>
      <c r="CE84" s="28">
        <f t="shared" si="15"/>
        <v>6060</v>
      </c>
      <c r="CF84" s="22" t="str">
        <f>IF(CE84&lt;=RÉGUAS!$D$22,"TIP 01",IF(CE84&lt;=RÉGUAS!$F$22,"TIP 02",IF(CE84&gt;RÉGUAS!$F$22,"TIP 03",)))</f>
        <v>TIP 03</v>
      </c>
      <c r="CG84" s="28">
        <f t="shared" si="16"/>
        <v>2081.521739130435</v>
      </c>
      <c r="CH84" s="22" t="str">
        <f>IF(CG84&lt;=RÉGUAS!$D$32,"VAGA 01",IF(CG84&lt;=RÉGUAS!$F$32,"VAGA 02",IF(CG84&gt;RÉGUAS!$F$32,"VAGA 03",)))</f>
        <v>VAGA 02</v>
      </c>
      <c r="CI84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4377.130434782609</v>
      </c>
      <c r="CJ84" s="85" t="str">
        <f>IF(AND(G84="BLOCO",CI84&lt;=RÉGUAS!$D$40),"ELEV 01",IF(AND(G84="BLOCO",CI84&gt;RÉGUAS!$D$40),"ELEV 02",IF(AND(G84="TORRE",CI84&lt;=RÉGUAS!$K$40),"ELEV 01",IF(AND(G84="TORRE",CI84&lt;=RÉGUAS!$M$40),"ELEV 02",IF(AND(G84="TORRE",CI84&gt;RÉGUAS!$M$40),"ELEV 03",)))))</f>
        <v>ELEV 03</v>
      </c>
      <c r="CK84" s="85">
        <f>SUM(Tabela1[[#This Row],[TOTAL  ACAB]],Tabela1[[#This Row],[TOTAL LAZER ]],Tabela1[[#This Row],[TOTAL TIPOLOGIA]],Tabela1[[#This Row],[TOTAL VAGA]],Tabela1[[#This Row],[TOTAL ELEVADOR]])</f>
        <v>18373.278478260869</v>
      </c>
      <c r="CL84" s="72" t="str">
        <f>IF(AND(G84="BLOCO",CK84&lt;=RÉGUAS!$D$50),"ESSENCIAL",IF(AND(G84="BLOCO",CK84&lt;=RÉGUAS!$F$50),"ECO",IF(AND(G84="BLOCO",CK84&gt;RÉGUAS!$F$50),"BIO",IF(AND(G84="TORRE",CK84&lt;=RÉGUAS!$K$50),"ESSENCIAL",IF(AND(G84="TORRE",CK84&lt;=RÉGUAS!$M$50),"ECO",IF(AND(G84="TORRE",CK84&gt;RÉGUAS!$M$50),"BIO",))))))</f>
        <v>BIO</v>
      </c>
      <c r="CM84" s="28" t="str">
        <f>IF(AND(G84="BLOCO",CK84&gt;=RÉGUAS!$D$51,CK84&lt;=RÉGUAS!$D$50),"ESSENCIAL-10%",IF(AND(G84="BLOCO",CK84&gt;RÉGUAS!$D$50,CK84&lt;=RÉGUAS!$E$51),"ECO+10%",IF(AND(G84="BLOCO",CK84&gt;=RÉGUAS!$F$51,CK84&lt;=RÉGUAS!$F$50),"ECO-10%",IF(AND(G84="BLOCO",CK84&gt;RÉGUAS!$F$50,CK84&lt;=RÉGUAS!$G$51),"BIO+10%",IF(AND(G84="TORRE",CK84&gt;=RÉGUAS!$K$51,CK84&lt;=RÉGUAS!$K$50),"ESSENCIAL-10%",IF(AND(G84="TORRE",CK84&gt;RÉGUAS!$K$50,CK84&lt;=RÉGUAS!$L$51),"ECO+10%",IF(AND(G84="TORRE",CK84&gt;=RÉGUAS!$M$51,CK84&lt;=RÉGUAS!$M$50),"ECO-10%",IF(AND(G84="TORRE",CK84&gt;RÉGUAS!$M$50,CK84&lt;=RÉGUAS!$N$51),"BIO+10%","-"))))))))</f>
        <v>-</v>
      </c>
      <c r="CN84" s="73">
        <f t="shared" si="17"/>
        <v>13996.148043478261</v>
      </c>
      <c r="CO84" s="72" t="str">
        <f>IF(CN84&lt;=RÉGUAS!$D$58,"ESSENCIAL",IF(CN84&lt;=RÉGUAS!$F$58,"ECO",IF(CN84&gt;RÉGUAS!$F$58,"BIO",)))</f>
        <v>BIO</v>
      </c>
      <c r="CP84" s="72" t="str">
        <f>IF(Tabela1[[#This Row],[INTERVALO DE INTERSEÇÃO 5D]]="-",Tabela1[[#This Row],[CLASSIFICAÇÃO 
5D ]],Tabela1[[#This Row],[CLASSIFICAÇÃO 
4D]])</f>
        <v>BIO</v>
      </c>
      <c r="CQ84" s="72" t="str">
        <f t="shared" si="18"/>
        <v>-</v>
      </c>
      <c r="CR84" s="72" t="str">
        <f t="shared" si="19"/>
        <v>BIO</v>
      </c>
      <c r="CS84" s="22" t="str">
        <f>IF(Tabela1[[#This Row],[PRODUTO ATUAL ]]=Tabela1[[#This Row],[CLASSIFICAÇÃO FINAL 5D]],"ADERÊNTE","NÃO ADERÊNTE")</f>
        <v>NÃO ADERÊNTE</v>
      </c>
      <c r="CT84" s="24">
        <f>SUM(Tabela1[[#This Row],[TOTAL  ACAB]],Tabela1[[#This Row],[TOTAL LAZER ]],Tabela1[[#This Row],[TOTAL TIPOLOGIA]],Tabela1[[#This Row],[TOTAL VAGA]])</f>
        <v>13996.148043478261</v>
      </c>
      <c r="CU84" s="22" t="str">
        <f>IF(CT84&lt;=RÉGUAS!$D$58,"ESSENCIAL",IF(CT84&lt;=RÉGUAS!$F$58,"ECO",IF(CT84&gt;RÉGUAS!$F$58,"BIO",)))</f>
        <v>BIO</v>
      </c>
      <c r="CV84" s="22" t="str">
        <f>IF(AND(CT84&gt;=RÉGUAS!$D$59,CT84&lt;=RÉGUAS!$E$59),"ESSENCIAL/ECO",IF(AND(CT84&gt;=RÉGUAS!$F$59,CT84&lt;=RÉGUAS!$G$59),"ECO/BIO","-"))</f>
        <v>-</v>
      </c>
      <c r="CW84" s="85">
        <f>SUM(Tabela1[[#This Row],[TOTAL LAZER ]],Tabela1[[#This Row],[TOTAL TIPOLOGIA]])</f>
        <v>7624.6263043478266</v>
      </c>
      <c r="CX84" s="22" t="str">
        <f>IF(CW84&lt;=RÉGUAS!$D$72,"ESSENCIAL",IF(CW84&lt;=RÉGUAS!$F$72,"ECO",IF(CN84&gt;RÉGUAS!$F$72,"BIO",)))</f>
        <v>BIO</v>
      </c>
      <c r="CY84" s="22" t="str">
        <f t="shared" si="20"/>
        <v>BIO</v>
      </c>
      <c r="CZ84" s="22" t="str">
        <f>IF(Tabela1[[#This Row],[PRODUTO ATUAL ]]=CY84,"ADERENTE","NÃO ADERENTE")</f>
        <v>NÃO ADERENTE</v>
      </c>
      <c r="DA84" s="22" t="str">
        <f>IF(Tabela1[[#This Row],[PRODUTO ATUAL ]]=Tabela1[[#This Row],[CLASSIFICAÇÃO 
4D2]],"ADERENTE","NÃO ADERENTE")</f>
        <v>NÃO ADERENTE</v>
      </c>
    </row>
    <row r="85" spans="2:105" hidden="1" x14ac:dyDescent="0.35">
      <c r="B85" s="27">
        <v>102</v>
      </c>
      <c r="C85" s="22" t="s">
        <v>209</v>
      </c>
      <c r="D85" s="76" t="s">
        <v>147</v>
      </c>
      <c r="E85" s="128">
        <v>306</v>
      </c>
      <c r="F85" s="22" t="str">
        <f t="shared" si="14"/>
        <v>De 200 a 400 und</v>
      </c>
      <c r="G85" s="22" t="s">
        <v>14</v>
      </c>
      <c r="H85" s="129">
        <v>2</v>
      </c>
      <c r="I85" s="129">
        <v>17</v>
      </c>
      <c r="J85" s="129"/>
      <c r="K85" s="129"/>
      <c r="L85" s="129">
        <f>SUM(Tabela1[[#This Row],[QTD DE B/T 2]],Tabela1[[#This Row],[QTD DE B/T]])</f>
        <v>2</v>
      </c>
      <c r="M85" s="22">
        <v>4</v>
      </c>
      <c r="N85" s="22">
        <f>Tabela1[[#This Row],[ELEVADOR]]/Tabela1[[#This Row],[BLOCO TOTAL]]</f>
        <v>2</v>
      </c>
      <c r="O85" s="76" t="s">
        <v>4</v>
      </c>
      <c r="P85" s="76" t="s">
        <v>119</v>
      </c>
      <c r="Q85" s="76" t="s">
        <v>101</v>
      </c>
      <c r="R85" s="76" t="s">
        <v>142</v>
      </c>
      <c r="S85" s="76" t="s">
        <v>159</v>
      </c>
      <c r="T85" s="76" t="s">
        <v>173</v>
      </c>
      <c r="U85" s="76" t="s">
        <v>105</v>
      </c>
      <c r="V85" s="22" t="s">
        <v>137</v>
      </c>
      <c r="W85" s="24">
        <f>IF(P85=[1]BD_CUSTO!$E$4,[1]BD_CUSTO!$F$4,[1]BD_CUSTO!$F$5)</f>
        <v>530</v>
      </c>
      <c r="X85" s="24">
        <f>IF(Q85=[1]BD_CUSTO!$E$6,[1]BD_CUSTO!$F$6,[1]BD_CUSTO!$F$7)</f>
        <v>260</v>
      </c>
      <c r="Y85" s="24">
        <f>IF(R85=[1]BD_CUSTO!$E$8,[1]BD_CUSTO!$F$8,[1]BD_CUSTO!$F$9)</f>
        <v>900</v>
      </c>
      <c r="Z85" s="24">
        <f>IF(S85=[1]BD_CUSTO!$E$10,[1]BD_CUSTO!$F$10,[1]BD_CUSTO!$F$11)</f>
        <v>935</v>
      </c>
      <c r="AA85" s="24">
        <f>IF(T85=[1]BD_CUSTO!$E$12,[1]BD_CUSTO!$F$12,[1]BD_CUSTO!$F$13)</f>
        <v>930</v>
      </c>
      <c r="AB85" s="24">
        <f>IF(U85=[1]BD_CUSTO!$E$14,[1]BD_CUSTO!$F$14,[1]BD_CUSTO!$F$15)</f>
        <v>90</v>
      </c>
      <c r="AC85" s="24">
        <f>IF(V85=[1]BD_CUSTO!$E$16,[1]BD_CUSTO!$F$16,[1]BD_CUSTO!$F$17)</f>
        <v>1320</v>
      </c>
      <c r="AD85" s="76" t="s">
        <v>129</v>
      </c>
      <c r="AE85" s="76">
        <v>1</v>
      </c>
      <c r="AF85" s="76" t="s">
        <v>108</v>
      </c>
      <c r="AG85" s="76">
        <v>1</v>
      </c>
      <c r="AH85" s="76" t="s">
        <v>107</v>
      </c>
      <c r="AI85" s="76">
        <v>1</v>
      </c>
      <c r="AJ85" s="76" t="s">
        <v>121</v>
      </c>
      <c r="AK85" s="76">
        <v>1</v>
      </c>
      <c r="AL85" s="76" t="s">
        <v>110</v>
      </c>
      <c r="AM85" s="76">
        <v>1</v>
      </c>
      <c r="AN85" s="76" t="s">
        <v>126</v>
      </c>
      <c r="AO85" s="76">
        <v>1</v>
      </c>
      <c r="AP85" s="76" t="s">
        <v>111</v>
      </c>
      <c r="AQ85" s="76">
        <v>1</v>
      </c>
      <c r="AR85" s="76" t="s">
        <v>109</v>
      </c>
      <c r="AS85" s="76">
        <v>1</v>
      </c>
      <c r="AT85" s="22"/>
      <c r="AU85" s="22"/>
      <c r="AV85" s="22"/>
      <c r="AW85" s="22"/>
      <c r="AX85" s="24">
        <f>IF(AD85="",0,VLOOKUP(AD85,[1]BD_CUSTO!I:J,2,0)*AE85/E85)</f>
        <v>899.24045751633992</v>
      </c>
      <c r="AY85" s="24">
        <f>IF(AF85="",0,VLOOKUP(AF85,[1]BD_CUSTO!I:J,2,0)*AG85/E85)</f>
        <v>75.653594771241828</v>
      </c>
      <c r="AZ85" s="24">
        <f>IF(AH85="",0,VLOOKUP(AH85,[1]BD_CUSTO!I:J,2,0)*AI85/E85)</f>
        <v>278.26509803921567</v>
      </c>
      <c r="BA85" s="24">
        <f>IF(AJ85="",0,VLOOKUP(AJ85,[1]BD_CUSTO!I:J,2,0)*AK85/E85)</f>
        <v>402.47352941176467</v>
      </c>
      <c r="BB85" s="24">
        <f>IF(AL85="",0,VLOOKUP(AL85,[1]BD_CUSTO!I:J,2,0)*AM85/E85)</f>
        <v>17.320261437908496</v>
      </c>
      <c r="BC85" s="24">
        <f>IF(AN85="",0,VLOOKUP(AN85,[1]BD_CUSTO!I:J,2,0)*AO85/E85)</f>
        <v>24.705882352941178</v>
      </c>
      <c r="BD85" s="24">
        <f>IF(AP85="",0,VLOOKUP(AP85,[1]BD_CUSTO!I:J,2,0)*AQ85/E85)</f>
        <v>52.941176470588232</v>
      </c>
      <c r="BE85" s="24">
        <f>IF(AR85="",0,VLOOKUP(AR85,CUSTO!I:J,2,0)*AS85/E85)</f>
        <v>22.712418300653596</v>
      </c>
      <c r="BF85" s="24">
        <f>IF(AT85="",0,VLOOKUP(AT85,[1]BD_CUSTO!I:J,2,0)*AU85/E85)</f>
        <v>0</v>
      </c>
      <c r="BG85" s="24">
        <f>IF(Tabela1[[#This Row],[LZ 10]]="",0,VLOOKUP(Tabela1[[#This Row],[LZ 10]],[1]BD_CUSTO!I:J,2,0)*Tabela1[[#This Row],[QTD922]]/E85)</f>
        <v>0</v>
      </c>
      <c r="BH85" s="76" t="s">
        <v>112</v>
      </c>
      <c r="BI85" s="127">
        <v>0.94</v>
      </c>
      <c r="BJ85" s="76" t="s">
        <v>113</v>
      </c>
      <c r="BK85" s="127">
        <v>0</v>
      </c>
      <c r="BL85" s="24">
        <f>IF(BH85=[1]BD_CUSTO!$M$6,[1]BD_CUSTO!$N$6)*BI85</f>
        <v>2820</v>
      </c>
      <c r="BM85" s="24">
        <f>IF(BJ85=[1]BD_CUSTO!$M$4,[1]BD_CUSTO!$N$4,[1]BD_CUSTO!$N$5)*BK85</f>
        <v>0</v>
      </c>
      <c r="BN85" s="76" t="s">
        <v>114</v>
      </c>
      <c r="BO85" s="76">
        <f>349-12</f>
        <v>337</v>
      </c>
      <c r="BP85" s="25">
        <f>Tabela1[[#This Row],[QTD ]]/Tabela1[[#This Row],[Nº UNDS]]</f>
        <v>1.1013071895424837</v>
      </c>
      <c r="BQ85" s="76" t="s">
        <v>123</v>
      </c>
      <c r="BR85" s="76">
        <v>12</v>
      </c>
      <c r="BS85" s="22" t="s">
        <v>116</v>
      </c>
      <c r="BT85" s="22">
        <v>0</v>
      </c>
      <c r="BU85" s="22" t="s">
        <v>16</v>
      </c>
      <c r="BV85" s="22">
        <v>0</v>
      </c>
      <c r="BW85" s="24">
        <f>IF(BN85=[1]BD_CUSTO!$Q$7,[1]BD_CUSTO!$R$7,[1]BD_CUSTO!$R$8)*BO85/E85</f>
        <v>2202.6143790849674</v>
      </c>
      <c r="BX85" s="24">
        <f>IF(BQ85=[1]BD_CUSTO!$Q$4,[1]BD_CUSTO!$R$4,[1]BD_CUSTO!$R$5)*BR85/E85</f>
        <v>39.215686274509807</v>
      </c>
      <c r="BY85" s="22">
        <f>IF(BS85=[1]BD_CUSTO!$Q$13,[1]BD_CUSTO!$R$13,[1]BD_CUSTO!$R$14)*BT85/E85</f>
        <v>0</v>
      </c>
      <c r="BZ85" s="24">
        <f>BV85*CUSTO!$R$10/E85</f>
        <v>0</v>
      </c>
      <c r="CA85" s="26">
        <f>SUM(Tabela1[[#This Row],[SOMA_PISO SALA E QUARTO]],Tabela1[[#This Row],[SOMA_PAREDE HIDR]],Tabela1[[#This Row],[SOMA_TETO]],Tabela1[[#This Row],[SOMA_BANCADA]],Tabela1[[#This Row],[SOMA_PEDRAS]])</f>
        <v>3385</v>
      </c>
      <c r="CB85" s="27" t="str">
        <f>IF(CA85&lt;=RÉGUAS!$D$4,"ACAB 01",IF(CA85&lt;=RÉGUAS!$F$4,"ACAB 02",IF(CA85&gt;RÉGUAS!$F$4,"ACAB 03",)))</f>
        <v>ACAB 02</v>
      </c>
      <c r="CC85" s="26">
        <f>SUM(Tabela1[[#This Row],[SOMA_LZ 01]:[SOMA_LZ 10]])</f>
        <v>1773.3124183006537</v>
      </c>
      <c r="CD85" s="22" t="str">
        <f>IF(CC85&lt;=RÉGUAS!$D$13,"LZ 01",IF(CC85&lt;=RÉGUAS!$F$13,"LZ 02",IF(CC85&lt;=RÉGUAS!$H$13,"LZ 03",IF(CC85&gt;RÉGUAS!$H$13,"LZ 04",))))</f>
        <v>LZ 03</v>
      </c>
      <c r="CE85" s="28">
        <f t="shared" si="15"/>
        <v>2820</v>
      </c>
      <c r="CF85" s="22" t="str">
        <f>IF(CE85&lt;=RÉGUAS!$D$22,"TIP 01",IF(CE85&lt;=RÉGUAS!$F$22,"TIP 02",IF(CE85&gt;RÉGUAS!$F$22,"TIP 03",)))</f>
        <v>TIP 02</v>
      </c>
      <c r="CG85" s="28">
        <f t="shared" si="16"/>
        <v>2241.830065359477</v>
      </c>
      <c r="CH85" s="22" t="str">
        <f>IF(CG85&lt;=RÉGUAS!$D$32,"VAGA 01",IF(CG85&lt;=RÉGUAS!$F$32,"VAGA 02",IF(CG85&gt;RÉGUAS!$F$32,"VAGA 03",)))</f>
        <v>VAGA 02</v>
      </c>
      <c r="CI85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3728.6666666666665</v>
      </c>
      <c r="CJ85" s="85" t="str">
        <f>IF(AND(G85="BLOCO",CI85&lt;=RÉGUAS!$D$40),"ELEV 01",IF(AND(G85="BLOCO",CI85&gt;RÉGUAS!$D$40),"ELEV 02",IF(AND(G85="TORRE",CI85&lt;=RÉGUAS!$K$40),"ELEV 01",IF(AND(G85="TORRE",CI85&lt;=RÉGUAS!$M$40),"ELEV 02",IF(AND(G85="TORRE",CI85&gt;RÉGUAS!$M$40),"ELEV 03",)))))</f>
        <v>ELEV 03</v>
      </c>
      <c r="CK85" s="85">
        <f>SUM(Tabela1[[#This Row],[TOTAL  ACAB]],Tabela1[[#This Row],[TOTAL LAZER ]],Tabela1[[#This Row],[TOTAL TIPOLOGIA]],Tabela1[[#This Row],[TOTAL VAGA]],Tabela1[[#This Row],[TOTAL ELEVADOR]])</f>
        <v>13948.809150326797</v>
      </c>
      <c r="CL85" s="72" t="str">
        <f>IF(AND(G85="BLOCO",CK85&lt;=RÉGUAS!$D$50),"ESSENCIAL",IF(AND(G85="BLOCO",CK85&lt;=RÉGUAS!$F$50),"ECO",IF(AND(G85="BLOCO",CK85&gt;RÉGUAS!$F$50),"BIO",IF(AND(G85="TORRE",CK85&lt;=RÉGUAS!$K$50),"ESSENCIAL",IF(AND(G85="TORRE",CK85&lt;=RÉGUAS!$M$50),"ECO",IF(AND(G85="TORRE",CK85&gt;RÉGUAS!$M$50),"BIO",))))))</f>
        <v>BIO</v>
      </c>
      <c r="CM85" s="28" t="str">
        <f>IF(AND(G85="BLOCO",CK85&gt;=RÉGUAS!$D$51,CK85&lt;=RÉGUAS!$D$50),"ESSENCIAL-10%",IF(AND(G85="BLOCO",CK85&gt;RÉGUAS!$D$50,CK85&lt;=RÉGUAS!$E$51),"ECO+10%",IF(AND(G85="BLOCO",CK85&gt;=RÉGUAS!$F$51,CK85&lt;=RÉGUAS!$F$50),"ECO-10%",IF(AND(G85="BLOCO",CK85&gt;RÉGUAS!$F$50,CK85&lt;=RÉGUAS!$G$51),"BIO+10%",IF(AND(G85="TORRE",CK85&gt;=RÉGUAS!$K$51,CK85&lt;=RÉGUAS!$K$50),"ESSENCIAL-10%",IF(AND(G85="TORRE",CK85&gt;RÉGUAS!$K$50,CK85&lt;=RÉGUAS!$L$51),"ECO+10%",IF(AND(G85="TORRE",CK85&gt;=RÉGUAS!$M$51,CK85&lt;=RÉGUAS!$M$50),"ECO-10%",IF(AND(G85="TORRE",CK85&gt;RÉGUAS!$M$50,CK85&lt;=RÉGUAS!$N$51),"BIO+10%","-"))))))))</f>
        <v>BIO+10%</v>
      </c>
      <c r="CN85" s="73">
        <f t="shared" si="17"/>
        <v>10220.142483660131</v>
      </c>
      <c r="CO85" s="72" t="str">
        <f>IF(CN85&lt;=RÉGUAS!$D$58,"ESSENCIAL",IF(CN85&lt;=RÉGUAS!$F$58,"ECO",IF(CN85&gt;RÉGUAS!$F$58,"BIO",)))</f>
        <v>ECO</v>
      </c>
      <c r="CP85" s="72" t="str">
        <f>IF(Tabela1[[#This Row],[INTERVALO DE INTERSEÇÃO 5D]]="-",Tabela1[[#This Row],[CLASSIFICAÇÃO 
5D ]],Tabela1[[#This Row],[CLASSIFICAÇÃO 
4D]])</f>
        <v>ECO</v>
      </c>
      <c r="CQ85" s="72" t="str">
        <f t="shared" si="18"/>
        <v>-</v>
      </c>
      <c r="CR85" s="72" t="str">
        <f t="shared" si="19"/>
        <v>ECO</v>
      </c>
      <c r="CS85" s="22" t="str">
        <f>IF(Tabela1[[#This Row],[PRODUTO ATUAL ]]=Tabela1[[#This Row],[CLASSIFICAÇÃO FINAL 5D]],"ADERÊNTE","NÃO ADERÊNTE")</f>
        <v>NÃO ADERÊNTE</v>
      </c>
      <c r="CT85" s="24">
        <f>SUM(Tabela1[[#This Row],[TOTAL  ACAB]],Tabela1[[#This Row],[TOTAL LAZER ]],Tabela1[[#This Row],[TOTAL TIPOLOGIA]],Tabela1[[#This Row],[TOTAL VAGA]])</f>
        <v>10220.142483660131</v>
      </c>
      <c r="CU85" s="22" t="str">
        <f>IF(CT85&lt;=RÉGUAS!$D$58,"ESSENCIAL",IF(CT85&lt;=RÉGUAS!$F$58,"ECO",IF(CT85&gt;RÉGUAS!$F$58,"BIO",)))</f>
        <v>ECO</v>
      </c>
      <c r="CV85" s="22" t="str">
        <f>IF(AND(CT85&gt;=RÉGUAS!$D$59,CT85&lt;=RÉGUAS!$E$59),"ESSENCIAL/ECO",IF(AND(CT85&gt;=RÉGUAS!$F$59,CT85&lt;=RÉGUAS!$G$59),"ECO/BIO","-"))</f>
        <v>-</v>
      </c>
      <c r="CW85" s="85">
        <f>SUM(Tabela1[[#This Row],[TOTAL LAZER ]],Tabela1[[#This Row],[TOTAL TIPOLOGIA]])</f>
        <v>4593.3124183006539</v>
      </c>
      <c r="CX85" s="22" t="str">
        <f>IF(CW85&lt;=RÉGUAS!$D$72,"ESSENCIAL",IF(CW85&lt;=RÉGUAS!$F$72,"ECO",IF(CN85&gt;RÉGUAS!$F$72,"BIO",)))</f>
        <v>ECO</v>
      </c>
      <c r="CY85" s="22" t="str">
        <f t="shared" si="20"/>
        <v>ECO</v>
      </c>
      <c r="CZ85" s="22" t="str">
        <f>IF(Tabela1[[#This Row],[PRODUTO ATUAL ]]=CY85,"ADERENTE","NÃO ADERENTE")</f>
        <v>NÃO ADERENTE</v>
      </c>
      <c r="DA85" s="22" t="str">
        <f>IF(Tabela1[[#This Row],[PRODUTO ATUAL ]]=Tabela1[[#This Row],[CLASSIFICAÇÃO 
4D2]],"ADERENTE","NÃO ADERENTE")</f>
        <v>NÃO ADERENTE</v>
      </c>
    </row>
    <row r="86" spans="2:105" x14ac:dyDescent="0.35">
      <c r="B86" s="27">
        <v>88</v>
      </c>
      <c r="C86" s="22" t="s">
        <v>194</v>
      </c>
      <c r="D86" s="22" t="s">
        <v>100</v>
      </c>
      <c r="E86" s="134">
        <v>240</v>
      </c>
      <c r="F86" s="22" t="str">
        <f t="shared" si="14"/>
        <v>De 200 a 400 und</v>
      </c>
      <c r="G86" s="22" t="s">
        <v>14</v>
      </c>
      <c r="H86" s="135">
        <v>3</v>
      </c>
      <c r="I86" s="135">
        <v>10</v>
      </c>
      <c r="J86" s="135"/>
      <c r="K86" s="135"/>
      <c r="L86" s="135">
        <f>SUM(Tabela1[[#This Row],[QTD DE B/T 2]],Tabela1[[#This Row],[QTD DE B/T]])</f>
        <v>3</v>
      </c>
      <c r="M86" s="22">
        <v>3</v>
      </c>
      <c r="N86" s="22">
        <f>Tabela1[[#This Row],[ELEVADOR]]/Tabela1[[#This Row],[BLOCO TOTAL]]</f>
        <v>1</v>
      </c>
      <c r="O86" s="133" t="s">
        <v>4</v>
      </c>
      <c r="P86" s="133" t="s">
        <v>101</v>
      </c>
      <c r="Q86" s="133" t="s">
        <v>101</v>
      </c>
      <c r="R86" s="133" t="s">
        <v>102</v>
      </c>
      <c r="S86" s="133" t="s">
        <v>159</v>
      </c>
      <c r="T86" s="133" t="s">
        <v>173</v>
      </c>
      <c r="U86" s="133" t="s">
        <v>174</v>
      </c>
      <c r="V86" s="22" t="s">
        <v>106</v>
      </c>
      <c r="W86" s="24">
        <f>IF(P86=[1]BD_CUSTO!$E$4,[1]BD_CUSTO!$F$4,[1]BD_CUSTO!$F$5)</f>
        <v>2430</v>
      </c>
      <c r="X86" s="24">
        <f>IF(Q86=[1]BD_CUSTO!$E$6,[1]BD_CUSTO!$F$6,[1]BD_CUSTO!$F$7)</f>
        <v>260</v>
      </c>
      <c r="Y86" s="24">
        <f>IF(R86=[1]BD_CUSTO!$E$8,[1]BD_CUSTO!$F$8,[1]BD_CUSTO!$F$9)</f>
        <v>600</v>
      </c>
      <c r="Z86" s="24">
        <f>IF(S86=[1]BD_CUSTO!$E$10,[1]BD_CUSTO!$F$10,[1]BD_CUSTO!$F$11)</f>
        <v>935</v>
      </c>
      <c r="AA86" s="24">
        <f>IF(T86=[1]BD_CUSTO!$E$12,[1]BD_CUSTO!$F$12,[1]BD_CUSTO!$F$13)</f>
        <v>930</v>
      </c>
      <c r="AB86" s="24">
        <f>IF(U86=[1]BD_CUSTO!$E$14,[1]BD_CUSTO!$F$14,[1]BD_CUSTO!$F$15)</f>
        <v>240</v>
      </c>
      <c r="AC86" s="24">
        <f>IF(V86=[1]BD_CUSTO!$E$16,[1]BD_CUSTO!$F$16,[1]BD_CUSTO!$F$17)</f>
        <v>720</v>
      </c>
      <c r="AD86" s="133" t="s">
        <v>110</v>
      </c>
      <c r="AE86" s="133">
        <v>1</v>
      </c>
      <c r="AF86" s="133" t="s">
        <v>109</v>
      </c>
      <c r="AG86" s="133">
        <v>1</v>
      </c>
      <c r="AH86" s="133" t="s">
        <v>107</v>
      </c>
      <c r="AI86" s="133">
        <v>2</v>
      </c>
      <c r="AJ86" s="133" t="s">
        <v>126</v>
      </c>
      <c r="AK86" s="133">
        <v>1</v>
      </c>
      <c r="AL86" s="133" t="s">
        <v>108</v>
      </c>
      <c r="AM86" s="133">
        <v>1</v>
      </c>
      <c r="AN86" s="133" t="s">
        <v>121</v>
      </c>
      <c r="AO86" s="133">
        <v>1</v>
      </c>
      <c r="AP86" s="133" t="s">
        <v>129</v>
      </c>
      <c r="AQ86" s="133">
        <v>1</v>
      </c>
      <c r="AR86" s="133" t="s">
        <v>111</v>
      </c>
      <c r="AS86" s="133">
        <v>1</v>
      </c>
      <c r="AT86" s="22"/>
      <c r="AU86" s="22"/>
      <c r="AV86" s="22"/>
      <c r="AW86" s="22"/>
      <c r="AX86" s="24">
        <f>IF(AD86="",0,VLOOKUP(AD86,[1]BD_CUSTO!I:J,2,0)*AE86/E86)</f>
        <v>22.083333333333332</v>
      </c>
      <c r="AY86" s="24">
        <f>IF(AF86="",0,VLOOKUP(AF86,[1]BD_CUSTO!I:J,2,0)*AG86/E86)</f>
        <v>28.958333333333332</v>
      </c>
      <c r="AZ86" s="24">
        <f>IF(AH86="",0,VLOOKUP(AH86,[1]BD_CUSTO!I:J,2,0)*AI86/E86)</f>
        <v>709.57599999999991</v>
      </c>
      <c r="BA86" s="24">
        <f>IF(AJ86="",0,VLOOKUP(AJ86,[1]BD_CUSTO!I:J,2,0)*AK86/E86)</f>
        <v>31.5</v>
      </c>
      <c r="BB86" s="24">
        <f>IF(AL86="",0,VLOOKUP(AL86,[1]BD_CUSTO!I:J,2,0)*AM86/E86)</f>
        <v>96.458333333333329</v>
      </c>
      <c r="BC86" s="24">
        <f>IF(AN86="",0,VLOOKUP(AN86,[1]BD_CUSTO!I:J,2,0)*AO86/E86)</f>
        <v>513.15374999999995</v>
      </c>
      <c r="BD86" s="24">
        <f>IF(AP86="",0,VLOOKUP(AP86,[1]BD_CUSTO!I:J,2,0)*AQ86/E86)</f>
        <v>1146.5315833333334</v>
      </c>
      <c r="BE86" s="24">
        <f>IF(AR86="",0,VLOOKUP(AR86,CUSTO!I:J,2,0)*AS86/E86)</f>
        <v>67.5</v>
      </c>
      <c r="BF86" s="24">
        <f>IF(AT86="",0,VLOOKUP(AT86,[1]BD_CUSTO!I:J,2,0)*AU86/E86)</f>
        <v>0</v>
      </c>
      <c r="BG86" s="24">
        <f>IF(Tabela1[[#This Row],[LZ 10]]="",0,VLOOKUP(Tabela1[[#This Row],[LZ 10]],[1]BD_CUSTO!I:J,2,0)*Tabela1[[#This Row],[QTD922]]/E86)</f>
        <v>0</v>
      </c>
      <c r="BH86" s="133" t="s">
        <v>112</v>
      </c>
      <c r="BI86" s="136">
        <v>0.45</v>
      </c>
      <c r="BJ86" s="133" t="s">
        <v>113</v>
      </c>
      <c r="BK86" s="136">
        <v>0.5</v>
      </c>
      <c r="BL86" s="24">
        <f>IF(BH86=[1]BD_CUSTO!$M$6,[1]BD_CUSTO!$N$6)*BI86</f>
        <v>1350</v>
      </c>
      <c r="BM86" s="24">
        <f>IF(BJ86=[1]BD_CUSTO!$M$4,[1]BD_CUSTO!$N$4,[1]BD_CUSTO!$N$5)*BK86</f>
        <v>0</v>
      </c>
      <c r="BN86" s="133" t="s">
        <v>114</v>
      </c>
      <c r="BO86" s="133">
        <v>253</v>
      </c>
      <c r="BP86" s="25">
        <f>Tabela1[[#This Row],[QTD ]]/Tabela1[[#This Row],[Nº UNDS]]</f>
        <v>1.0541666666666667</v>
      </c>
      <c r="BQ86" s="133" t="s">
        <v>123</v>
      </c>
      <c r="BR86" s="133">
        <v>17</v>
      </c>
      <c r="BS86" s="22" t="s">
        <v>116</v>
      </c>
      <c r="BT86" s="22">
        <v>0</v>
      </c>
      <c r="BU86" s="22" t="s">
        <v>16</v>
      </c>
      <c r="BV86" s="22">
        <v>0</v>
      </c>
      <c r="BW86" s="24">
        <f>IF(BN86=[1]BD_CUSTO!$Q$7,[1]BD_CUSTO!$R$7,[1]BD_CUSTO!$R$8)*BO86/E86</f>
        <v>2108.3333333333335</v>
      </c>
      <c r="BX86" s="24">
        <f>IF(BQ86=[1]BD_CUSTO!$Q$4,[1]BD_CUSTO!$R$4,[1]BD_CUSTO!$R$5)*BR86/E86</f>
        <v>70.833333333333329</v>
      </c>
      <c r="BY86" s="22">
        <f>IF(BS86=[1]BD_CUSTO!$Q$13,[1]BD_CUSTO!$R$13,[1]BD_CUSTO!$R$14)*BT86/E86</f>
        <v>0</v>
      </c>
      <c r="BZ86" s="24">
        <f>BV86*CUSTO!$R$10/E86</f>
        <v>0</v>
      </c>
      <c r="CA86" s="26">
        <f>SUM(Tabela1[[#This Row],[SOMA_PISO SALA E QUARTO]],Tabela1[[#This Row],[SOMA_PAREDE HIDR]],Tabela1[[#This Row],[SOMA_TETO]],Tabela1[[#This Row],[SOMA_BANCADA]],Tabela1[[#This Row],[SOMA_PEDRAS]])</f>
        <v>5135</v>
      </c>
      <c r="CB86" s="27" t="str">
        <f>IF(CA86&lt;=RÉGUAS!$D$4,"ACAB 01",IF(CA86&lt;=RÉGUAS!$F$4,"ACAB 02",IF(CA86&gt;RÉGUAS!$F$4,"ACAB 03",)))</f>
        <v>ACAB 03</v>
      </c>
      <c r="CC86" s="26">
        <f>SUM(Tabela1[[#This Row],[SOMA_LZ 01]:[SOMA_LZ 10]])</f>
        <v>2615.7613333333334</v>
      </c>
      <c r="CD86" s="22" t="str">
        <f>IF(CC86&lt;=RÉGUAS!$D$13,"LZ 01",IF(CC86&lt;=RÉGUAS!$F$13,"LZ 02",IF(CC86&lt;=RÉGUAS!$H$13,"LZ 03",IF(CC86&gt;RÉGUAS!$H$13,"LZ 04",))))</f>
        <v>LZ 04</v>
      </c>
      <c r="CE86" s="28">
        <f t="shared" si="15"/>
        <v>1350</v>
      </c>
      <c r="CF86" s="22" t="str">
        <f>IF(CE86&lt;=RÉGUAS!$D$22,"TIP 01",IF(CE86&lt;=RÉGUAS!$F$22,"TIP 02",IF(CE86&gt;RÉGUAS!$F$22,"TIP 03",)))</f>
        <v>TIP 01</v>
      </c>
      <c r="CG86" s="28">
        <f t="shared" si="16"/>
        <v>2179.166666666667</v>
      </c>
      <c r="CH86" s="22" t="str">
        <f>IF(CG86&lt;=RÉGUAS!$D$32,"VAGA 01",IF(CG86&lt;=RÉGUAS!$F$32,"VAGA 02",IF(CG86&gt;RÉGUAS!$F$32,"VAGA 03",)))</f>
        <v>VAGA 02</v>
      </c>
      <c r="CI86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2468.125</v>
      </c>
      <c r="CJ86" s="85" t="str">
        <f>IF(AND(G86="BLOCO",CI86&lt;=RÉGUAS!$D$40),"ELEV 01",IF(AND(G86="BLOCO",CI86&gt;RÉGUAS!$D$40),"ELEV 02",IF(AND(G86="TORRE",CI86&lt;=RÉGUAS!$K$40),"ELEV 01",IF(AND(G86="TORRE",CI86&lt;=RÉGUAS!$M$40),"ELEV 02",IF(AND(G86="TORRE",CI86&gt;RÉGUAS!$M$40),"ELEV 03",)))))</f>
        <v>ELEV 01</v>
      </c>
      <c r="CK86" s="85">
        <f>SUM(Tabela1[[#This Row],[TOTAL  ACAB]],Tabela1[[#This Row],[TOTAL LAZER ]],Tabela1[[#This Row],[TOTAL TIPOLOGIA]],Tabela1[[#This Row],[TOTAL VAGA]],Tabela1[[#This Row],[TOTAL ELEVADOR]])</f>
        <v>13748.053</v>
      </c>
      <c r="CL86" s="72" t="str">
        <f>IF(AND(G86="BLOCO",CK86&lt;=RÉGUAS!$D$50),"ESSENCIAL",IF(AND(G86="BLOCO",CK86&lt;=RÉGUAS!$F$50),"ECO",IF(AND(G86="BLOCO",CK86&gt;RÉGUAS!$F$50),"BIO",IF(AND(G86="TORRE",CK86&lt;=RÉGUAS!$K$50),"ESSENCIAL",IF(AND(G86="TORRE",CK86&lt;=RÉGUAS!$M$50),"ECO",IF(AND(G86="TORRE",CK86&gt;RÉGUAS!$M$50),"BIO",))))))</f>
        <v>ECO</v>
      </c>
      <c r="CM86" s="28" t="str">
        <f>IF(AND(G86="BLOCO",CK86&gt;=RÉGUAS!$D$51,CK86&lt;=RÉGUAS!$D$50),"ESSENCIAL-10%",IF(AND(G86="BLOCO",CK86&gt;RÉGUAS!$D$50,CK86&lt;=RÉGUAS!$E$51),"ECO+10%",IF(AND(G86="BLOCO",CK86&gt;=RÉGUAS!$F$51,CK86&lt;=RÉGUAS!$F$50),"ECO-10%",IF(AND(G86="BLOCO",CK86&gt;RÉGUAS!$F$50,CK86&lt;=RÉGUAS!$G$51),"BIO+10%",IF(AND(G86="TORRE",CK86&gt;=RÉGUAS!$K$51,CK86&lt;=RÉGUAS!$K$50),"ESSENCIAL-10%",IF(AND(G86="TORRE",CK86&gt;RÉGUAS!$K$50,CK86&lt;=RÉGUAS!$L$51),"ECO+10%",IF(AND(G86="TORRE",CK86&gt;=RÉGUAS!$M$51,CK86&lt;=RÉGUAS!$M$50),"ECO-10%",IF(AND(G86="TORRE",CK86&gt;RÉGUAS!$M$50,CK86&lt;=RÉGUAS!$N$51),"BIO+10%","-"))))))))</f>
        <v>ECO-10%</v>
      </c>
      <c r="CN86" s="73">
        <f t="shared" si="17"/>
        <v>11279.928</v>
      </c>
      <c r="CO86" s="72" t="str">
        <f>IF(CN86&lt;=RÉGUAS!$D$58,"ESSENCIAL",IF(CN86&lt;=RÉGUAS!$F$58,"ECO",IF(CN86&gt;RÉGUAS!$F$58,"BIO",)))</f>
        <v>ECO</v>
      </c>
      <c r="CP86" s="72" t="str">
        <f>IF(Tabela1[[#This Row],[INTERVALO DE INTERSEÇÃO 5D]]="-",Tabela1[[#This Row],[CLASSIFICAÇÃO 
5D ]],Tabela1[[#This Row],[CLASSIFICAÇÃO 
4D]])</f>
        <v>ECO</v>
      </c>
      <c r="CQ86" s="72" t="str">
        <f t="shared" si="18"/>
        <v>-</v>
      </c>
      <c r="CR86" s="72" t="str">
        <f t="shared" si="19"/>
        <v>ECO</v>
      </c>
      <c r="CS86" s="22" t="str">
        <f>IF(Tabela1[[#This Row],[PRODUTO ATUAL ]]=Tabela1[[#This Row],[CLASSIFICAÇÃO FINAL 5D]],"ADERÊNTE","NÃO ADERÊNTE")</f>
        <v>NÃO ADERÊNTE</v>
      </c>
      <c r="CT86" s="24">
        <f>SUM(Tabela1[[#This Row],[TOTAL  ACAB]],Tabela1[[#This Row],[TOTAL LAZER ]],Tabela1[[#This Row],[TOTAL TIPOLOGIA]],Tabela1[[#This Row],[TOTAL VAGA]])</f>
        <v>11279.928</v>
      </c>
      <c r="CU86" s="22" t="str">
        <f>IF(CT86&lt;=RÉGUAS!$D$58,"ESSENCIAL",IF(CT86&lt;=RÉGUAS!$F$58,"ECO",IF(CT86&gt;RÉGUAS!$F$58,"BIO",)))</f>
        <v>ECO</v>
      </c>
      <c r="CV86" s="22" t="str">
        <f>IF(AND(CT86&gt;=RÉGUAS!$D$59,CT86&lt;=RÉGUAS!$E$59),"ESSENCIAL/ECO",IF(AND(CT86&gt;=RÉGUAS!$F$59,CT86&lt;=RÉGUAS!$G$59),"ECO/BIO","-"))</f>
        <v>ECO/BIO</v>
      </c>
      <c r="CW86" s="85">
        <f>SUM(Tabela1[[#This Row],[TOTAL LAZER ]],Tabela1[[#This Row],[TOTAL TIPOLOGIA]])</f>
        <v>3965.7613333333334</v>
      </c>
      <c r="CX86" s="22" t="str">
        <f>IF(CW86&lt;=RÉGUAS!$D$72,"ESSENCIAL",IF(CW86&lt;=RÉGUAS!$F$72,"ECO",IF(CN86&gt;RÉGUAS!$F$72,"BIO",)))</f>
        <v>ECO</v>
      </c>
      <c r="CY86" s="22" t="str">
        <f t="shared" si="20"/>
        <v>ECO</v>
      </c>
      <c r="CZ86" s="22" t="str">
        <f>IF(Tabela1[[#This Row],[PRODUTO ATUAL ]]=CY86,"ADERENTE","NÃO ADERENTE")</f>
        <v>NÃO ADERENTE</v>
      </c>
      <c r="DA86" s="22" t="str">
        <f>IF(Tabela1[[#This Row],[PRODUTO ATUAL ]]=Tabela1[[#This Row],[CLASSIFICAÇÃO 
4D2]],"ADERENTE","NÃO ADERENTE")</f>
        <v>NÃO ADERENTE</v>
      </c>
    </row>
    <row r="87" spans="2:105" ht="14" hidden="1" customHeight="1" x14ac:dyDescent="0.35">
      <c r="B87" s="27">
        <v>90</v>
      </c>
      <c r="C87" s="22" t="s">
        <v>172</v>
      </c>
      <c r="D87" s="22" t="s">
        <v>131</v>
      </c>
      <c r="E87" s="134">
        <v>360</v>
      </c>
      <c r="F87" s="22" t="str">
        <f t="shared" si="14"/>
        <v>De 200 a 400 und</v>
      </c>
      <c r="G87" s="133" t="s">
        <v>14</v>
      </c>
      <c r="H87" s="135">
        <v>3</v>
      </c>
      <c r="I87" s="135">
        <v>15</v>
      </c>
      <c r="J87" s="135"/>
      <c r="K87" s="135"/>
      <c r="L87" s="135">
        <f>SUM(Tabela1[[#This Row],[QTD DE B/T 2]],Tabela1[[#This Row],[QTD DE B/T]])</f>
        <v>3</v>
      </c>
      <c r="M87" s="22">
        <v>6</v>
      </c>
      <c r="N87" s="22">
        <f>Tabela1[[#This Row],[ELEVADOR]]/Tabela1[[#This Row],[BLOCO TOTAL]]</f>
        <v>2</v>
      </c>
      <c r="O87" s="133" t="s">
        <v>4</v>
      </c>
      <c r="P87" s="133" t="s">
        <v>101</v>
      </c>
      <c r="Q87" s="133" t="s">
        <v>101</v>
      </c>
      <c r="R87" s="133" t="s">
        <v>142</v>
      </c>
      <c r="S87" s="133" t="s">
        <v>159</v>
      </c>
      <c r="T87" s="133" t="s">
        <v>173</v>
      </c>
      <c r="U87" s="133" t="s">
        <v>174</v>
      </c>
      <c r="V87" s="22" t="s">
        <v>106</v>
      </c>
      <c r="W87" s="24">
        <f>IF(P87=[1]BD_CUSTO!$E$4,[1]BD_CUSTO!$F$4,[1]BD_CUSTO!$F$5)</f>
        <v>2430</v>
      </c>
      <c r="X87" s="24">
        <f>IF(Q87=[1]BD_CUSTO!$E$6,[1]BD_CUSTO!$F$6,[1]BD_CUSTO!$F$7)</f>
        <v>260</v>
      </c>
      <c r="Y87" s="24">
        <f>IF(R87=[1]BD_CUSTO!$E$8,[1]BD_CUSTO!$F$8,[1]BD_CUSTO!$F$9)</f>
        <v>900</v>
      </c>
      <c r="Z87" s="24">
        <f>IF(S87=[1]BD_CUSTO!$E$10,[1]BD_CUSTO!$F$10,[1]BD_CUSTO!$F$11)</f>
        <v>935</v>
      </c>
      <c r="AA87" s="24">
        <f>IF(T87=[1]BD_CUSTO!$E$12,[1]BD_CUSTO!$F$12,[1]BD_CUSTO!$F$13)</f>
        <v>930</v>
      </c>
      <c r="AB87" s="24">
        <f>IF(U87=[1]BD_CUSTO!$E$14,[1]BD_CUSTO!$F$14,[1]BD_CUSTO!$F$15)</f>
        <v>240</v>
      </c>
      <c r="AC87" s="24">
        <f>IF(V87=[1]BD_CUSTO!$E$16,[1]BD_CUSTO!$F$16,[1]BD_CUSTO!$F$17)</f>
        <v>720</v>
      </c>
      <c r="AD87" s="133" t="s">
        <v>129</v>
      </c>
      <c r="AE87" s="133">
        <v>1</v>
      </c>
      <c r="AF87" s="133" t="s">
        <v>108</v>
      </c>
      <c r="AG87" s="133">
        <v>1</v>
      </c>
      <c r="AH87" s="133" t="s">
        <v>175</v>
      </c>
      <c r="AI87" s="133">
        <v>1</v>
      </c>
      <c r="AJ87" s="22" t="s">
        <v>139</v>
      </c>
      <c r="AK87" s="22">
        <v>1</v>
      </c>
      <c r="AL87" s="133" t="s">
        <v>121</v>
      </c>
      <c r="AM87" s="133">
        <v>1</v>
      </c>
      <c r="AN87" s="133" t="s">
        <v>107</v>
      </c>
      <c r="AO87" s="133">
        <v>1</v>
      </c>
      <c r="AP87" s="133" t="s">
        <v>126</v>
      </c>
      <c r="AQ87" s="133">
        <v>1</v>
      </c>
      <c r="AR87" s="133" t="s">
        <v>109</v>
      </c>
      <c r="AS87" s="133">
        <v>1</v>
      </c>
      <c r="AT87" s="133" t="s">
        <v>110</v>
      </c>
      <c r="AU87" s="133">
        <v>1</v>
      </c>
      <c r="AV87" s="22"/>
      <c r="AW87" s="22"/>
      <c r="AX87" s="24">
        <f>IF(AD87="",0,VLOOKUP(AD87,[1]BD_CUSTO!I:J,2,0)*AE87/E87)</f>
        <v>764.35438888888893</v>
      </c>
      <c r="AY87" s="24">
        <f>IF(AF87="",0,VLOOKUP(AF87,[1]BD_CUSTO!I:J,2,0)*AG87/E87)</f>
        <v>64.305555555555557</v>
      </c>
      <c r="AZ87" s="24">
        <f>IF(AH87="",0,VLOOKUP(AH87,[1]BD_CUSTO!I:J,2,0)*AI87/E87)</f>
        <v>29.972222222222221</v>
      </c>
      <c r="BA87" s="24">
        <f>IF(AJ87="",0,VLOOKUP(AJ87,[1]BD_CUSTO!I:J,2,0)*AK87/E87)</f>
        <v>172.65644444444445</v>
      </c>
      <c r="BB87" s="24">
        <f>IF(AL87="",0,VLOOKUP(AL87,[1]BD_CUSTO!I:J,2,0)*AM87/E87)</f>
        <v>342.10249999999996</v>
      </c>
      <c r="BC87" s="24">
        <f>IF(AN87="",0,VLOOKUP(AN87,[1]BD_CUSTO!I:J,2,0)*AO87/E87)</f>
        <v>236.52533333333332</v>
      </c>
      <c r="BD87" s="24">
        <f>IF(AP87="",0,VLOOKUP(AP87,[1]BD_CUSTO!I:J,2,0)*AQ87/E87)</f>
        <v>21</v>
      </c>
      <c r="BE87" s="24">
        <f>IF(AR87="",0,VLOOKUP(AR87,CUSTO!I:J,2,0)*AS87/E87)</f>
        <v>19.305555555555557</v>
      </c>
      <c r="BF87" s="24">
        <f>IF(AT87="",0,VLOOKUP(AT87,[1]BD_CUSTO!I:J,2,0)*AU87/E87)</f>
        <v>14.722222222222221</v>
      </c>
      <c r="BG87" s="24">
        <f>IF(Tabela1[[#This Row],[LZ 10]]="",0,VLOOKUP(Tabela1[[#This Row],[LZ 10]],[1]BD_CUSTO!I:J,2,0)*Tabela1[[#This Row],[QTD922]]/E87)</f>
        <v>0</v>
      </c>
      <c r="BH87" s="133" t="s">
        <v>112</v>
      </c>
      <c r="BI87" s="136">
        <v>0.46660000000000001</v>
      </c>
      <c r="BJ87" s="133" t="s">
        <v>113</v>
      </c>
      <c r="BK87" s="136">
        <v>0</v>
      </c>
      <c r="BL87" s="24">
        <f>IF(BH87=[1]BD_CUSTO!$M$6,[1]BD_CUSTO!$N$6)*BI87</f>
        <v>1399.8</v>
      </c>
      <c r="BM87" s="24">
        <f>IF(BJ87=[1]BD_CUSTO!$M$4,[1]BD_CUSTO!$N$4,[1]BD_CUSTO!$N$5)*BK87</f>
        <v>0</v>
      </c>
      <c r="BN87" s="133" t="s">
        <v>114</v>
      </c>
      <c r="BO87" s="133">
        <v>124</v>
      </c>
      <c r="BP87" s="25">
        <f>Tabela1[[#This Row],[QTD ]]/Tabela1[[#This Row],[Nº UNDS]]</f>
        <v>0.34444444444444444</v>
      </c>
      <c r="BQ87" s="133" t="s">
        <v>115</v>
      </c>
      <c r="BR87" s="133">
        <v>9</v>
      </c>
      <c r="BS87" s="22" t="s">
        <v>116</v>
      </c>
      <c r="BT87" s="22">
        <v>0</v>
      </c>
      <c r="BU87" s="22" t="s">
        <v>16</v>
      </c>
      <c r="BV87" s="22">
        <v>0</v>
      </c>
      <c r="BW87" s="24">
        <f>IF(BN87=[1]BD_CUSTO!$Q$7,[1]BD_CUSTO!$R$7,[1]BD_CUSTO!$R$8)*BO87/E87</f>
        <v>688.88888888888891</v>
      </c>
      <c r="BX87" s="24">
        <f>IF(BQ87=[1]BD_CUSTO!$Q$4,[1]BD_CUSTO!$R$4,[1]BD_CUSTO!$R$5)*BR87/E87</f>
        <v>0</v>
      </c>
      <c r="BY87" s="22">
        <f>IF(BS87=[1]BD_CUSTO!$Q$13,[1]BD_CUSTO!$R$13,[1]BD_CUSTO!$R$14)*BT87/E87</f>
        <v>0</v>
      </c>
      <c r="BZ87" s="24">
        <f>BV87*CUSTO!$R$10/E87</f>
        <v>0</v>
      </c>
      <c r="CA87" s="26">
        <f>SUM(Tabela1[[#This Row],[SOMA_PISO SALA E QUARTO]],Tabela1[[#This Row],[SOMA_PAREDE HIDR]],Tabela1[[#This Row],[SOMA_TETO]],Tabela1[[#This Row],[SOMA_BANCADA]],Tabela1[[#This Row],[SOMA_PEDRAS]])</f>
        <v>5435</v>
      </c>
      <c r="CB87" s="27" t="str">
        <f>IF(CA87&lt;=RÉGUAS!$D$4,"ACAB 01",IF(CA87&lt;=RÉGUAS!$F$4,"ACAB 02",IF(CA87&gt;RÉGUAS!$F$4,"ACAB 03",)))</f>
        <v>ACAB 03</v>
      </c>
      <c r="CC87" s="26">
        <f>SUM(Tabela1[[#This Row],[SOMA_LZ 01]:[SOMA_LZ 10]])</f>
        <v>1664.9442222222222</v>
      </c>
      <c r="CD87" s="22" t="str">
        <f>IF(CC87&lt;=RÉGUAS!$D$13,"LZ 01",IF(CC87&lt;=RÉGUAS!$F$13,"LZ 02",IF(CC87&lt;=RÉGUAS!$H$13,"LZ 03",IF(CC87&gt;RÉGUAS!$H$13,"LZ 04",))))</f>
        <v>LZ 03</v>
      </c>
      <c r="CE87" s="28">
        <f t="shared" si="15"/>
        <v>1399.8</v>
      </c>
      <c r="CF87" s="22" t="str">
        <f>IF(CE87&lt;=RÉGUAS!$D$22,"TIP 01",IF(CE87&lt;=RÉGUAS!$F$22,"TIP 02",IF(CE87&gt;RÉGUAS!$F$22,"TIP 03",)))</f>
        <v>TIP 01</v>
      </c>
      <c r="CG87" s="28">
        <f t="shared" si="16"/>
        <v>688.88888888888891</v>
      </c>
      <c r="CH87" s="22" t="str">
        <f>IF(CG87&lt;=RÉGUAS!$D$32,"VAGA 01",IF(CG87&lt;=RÉGUAS!$F$32,"VAGA 02",IF(CG87&gt;RÉGUAS!$F$32,"VAGA 03",)))</f>
        <v>VAGA 01</v>
      </c>
      <c r="CI87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4194.75</v>
      </c>
      <c r="CJ87" s="85" t="str">
        <f>IF(AND(G87="BLOCO",CI87&lt;=RÉGUAS!$D$40),"ELEV 01",IF(AND(G87="BLOCO",CI87&gt;RÉGUAS!$D$40),"ELEV 02",IF(AND(G87="TORRE",CI87&lt;=RÉGUAS!$K$40),"ELEV 01",IF(AND(G87="TORRE",CI87&lt;=RÉGUAS!$M$40),"ELEV 02",IF(AND(G87="TORRE",CI87&gt;RÉGUAS!$M$40),"ELEV 03",)))))</f>
        <v>ELEV 03</v>
      </c>
      <c r="CK87" s="85">
        <f>SUM(Tabela1[[#This Row],[TOTAL  ACAB]],Tabela1[[#This Row],[TOTAL LAZER ]],Tabela1[[#This Row],[TOTAL TIPOLOGIA]],Tabela1[[#This Row],[TOTAL VAGA]],Tabela1[[#This Row],[TOTAL ELEVADOR]])</f>
        <v>13383.38311111111</v>
      </c>
      <c r="CL87" s="72" t="str">
        <f>IF(AND(G87="BLOCO",CK87&lt;=RÉGUAS!$D$50),"ESSENCIAL",IF(AND(G87="BLOCO",CK87&lt;=RÉGUAS!$F$50),"ECO",IF(AND(G87="BLOCO",CK87&gt;RÉGUAS!$F$50),"BIO",IF(AND(G87="TORRE",CK87&lt;=RÉGUAS!$K$50),"ESSENCIAL",IF(AND(G87="TORRE",CK87&lt;=RÉGUAS!$M$50),"ECO",IF(AND(G87="TORRE",CK87&gt;RÉGUAS!$M$50),"BIO",))))))</f>
        <v>ECO</v>
      </c>
      <c r="CM87" s="28" t="str">
        <f>IF(AND(G87="BLOCO",CK87&gt;=RÉGUAS!$D$51,CK87&lt;=RÉGUAS!$D$50),"ESSENCIAL-10%",IF(AND(G87="BLOCO",CK87&gt;RÉGUAS!$D$50,CK87&lt;=RÉGUAS!$E$51),"ECO+10%",IF(AND(G87="BLOCO",CK87&gt;=RÉGUAS!$F$51,CK87&lt;=RÉGUAS!$F$50),"ECO-10%",IF(AND(G87="BLOCO",CK87&gt;RÉGUAS!$F$50,CK87&lt;=RÉGUAS!$G$51),"BIO+10%",IF(AND(G87="TORRE",CK87&gt;=RÉGUAS!$K$51,CK87&lt;=RÉGUAS!$K$50),"ESSENCIAL-10%",IF(AND(G87="TORRE",CK87&gt;RÉGUAS!$K$50,CK87&lt;=RÉGUAS!$L$51),"ECO+10%",IF(AND(G87="TORRE",CK87&gt;=RÉGUAS!$M$51,CK87&lt;=RÉGUAS!$M$50),"ECO-10%",IF(AND(G87="TORRE",CK87&gt;RÉGUAS!$M$50,CK87&lt;=RÉGUAS!$N$51),"BIO+10%","-"))))))))</f>
        <v>ECO-10%</v>
      </c>
      <c r="CN87" s="73">
        <f t="shared" si="17"/>
        <v>9188.6331111111103</v>
      </c>
      <c r="CO87" s="72" t="str">
        <f>IF(CN87&lt;=RÉGUAS!$D$58,"ESSENCIAL",IF(CN87&lt;=RÉGUAS!$F$58,"ECO",IF(CN87&gt;RÉGUAS!$F$58,"BIO",)))</f>
        <v>ECO</v>
      </c>
      <c r="CP87" s="72" t="str">
        <f>IF(Tabela1[[#This Row],[INTERVALO DE INTERSEÇÃO 5D]]="-",Tabela1[[#This Row],[CLASSIFICAÇÃO 
5D ]],Tabela1[[#This Row],[CLASSIFICAÇÃO 
4D]])</f>
        <v>ECO</v>
      </c>
      <c r="CQ87" s="72" t="str">
        <f t="shared" si="18"/>
        <v>-</v>
      </c>
      <c r="CR87" s="72" t="str">
        <f t="shared" si="19"/>
        <v>ECO</v>
      </c>
      <c r="CS87" s="22" t="str">
        <f>IF(Tabela1[[#This Row],[PRODUTO ATUAL ]]=Tabela1[[#This Row],[CLASSIFICAÇÃO FINAL 5D]],"ADERÊNTE","NÃO ADERÊNTE")</f>
        <v>NÃO ADERÊNTE</v>
      </c>
      <c r="CT87" s="24">
        <f>SUM(Tabela1[[#This Row],[TOTAL  ACAB]],Tabela1[[#This Row],[TOTAL LAZER ]],Tabela1[[#This Row],[TOTAL TIPOLOGIA]],Tabela1[[#This Row],[TOTAL VAGA]])</f>
        <v>9188.6331111111103</v>
      </c>
      <c r="CU87" s="22" t="str">
        <f>IF(CT87&lt;=RÉGUAS!$D$58,"ESSENCIAL",IF(CT87&lt;=RÉGUAS!$F$58,"ECO",IF(CT87&gt;RÉGUAS!$F$58,"BIO",)))</f>
        <v>ECO</v>
      </c>
      <c r="CV87" s="22" t="str">
        <f>IF(AND(CT87&gt;=RÉGUAS!$D$59,CT87&lt;=RÉGUAS!$E$59),"ESSENCIAL/ECO",IF(AND(CT87&gt;=RÉGUAS!$F$59,CT87&lt;=RÉGUAS!$G$59),"ECO/BIO","-"))</f>
        <v>-</v>
      </c>
      <c r="CW87" s="85">
        <f>SUM(Tabela1[[#This Row],[TOTAL LAZER ]],Tabela1[[#This Row],[TOTAL TIPOLOGIA]])</f>
        <v>3064.7442222222221</v>
      </c>
      <c r="CX87" s="22" t="str">
        <f>IF(CW87&lt;=RÉGUAS!$D$72,"ESSENCIAL",IF(CW87&lt;=RÉGUAS!$F$72,"ECO",IF(CN87&gt;RÉGUAS!$F$72,"BIO",)))</f>
        <v>ECO</v>
      </c>
      <c r="CY87" s="22" t="str">
        <f t="shared" si="20"/>
        <v>ECO</v>
      </c>
      <c r="CZ87" s="22" t="str">
        <f>IF(Tabela1[[#This Row],[PRODUTO ATUAL ]]=CY87,"ADERENTE","NÃO ADERENTE")</f>
        <v>NÃO ADERENTE</v>
      </c>
      <c r="DA87" s="22" t="str">
        <f>IF(Tabela1[[#This Row],[PRODUTO ATUAL ]]=Tabela1[[#This Row],[CLASSIFICAÇÃO 
4D2]],"ADERENTE","NÃO ADERENTE")</f>
        <v>NÃO ADERENTE</v>
      </c>
    </row>
    <row r="88" spans="2:105" hidden="1" x14ac:dyDescent="0.35">
      <c r="B88" s="27">
        <v>87</v>
      </c>
      <c r="C88" s="22" t="s">
        <v>210</v>
      </c>
      <c r="D88" s="22" t="s">
        <v>147</v>
      </c>
      <c r="E88" s="23">
        <v>460</v>
      </c>
      <c r="F88" s="22" t="str">
        <f t="shared" si="14"/>
        <v>Acima de 400 und</v>
      </c>
      <c r="G88" s="22" t="s">
        <v>1</v>
      </c>
      <c r="H88" s="36">
        <v>23</v>
      </c>
      <c r="I88" s="36">
        <v>5</v>
      </c>
      <c r="J88" s="36"/>
      <c r="K88" s="36"/>
      <c r="L88" s="36">
        <f>SUM(Tabela1[[#This Row],[QTD DE B/T 2]],Tabela1[[#This Row],[QTD DE B/T]])</f>
        <v>23</v>
      </c>
      <c r="M88" s="22">
        <v>23</v>
      </c>
      <c r="N88" s="22">
        <f>Tabela1[[#This Row],[ELEVADOR]]/Tabela1[[#This Row],[BLOCO TOTAL]]</f>
        <v>1</v>
      </c>
      <c r="O88" s="22" t="s">
        <v>4</v>
      </c>
      <c r="P88" s="22" t="s">
        <v>101</v>
      </c>
      <c r="Q88" s="22" t="s">
        <v>101</v>
      </c>
      <c r="R88" s="22" t="s">
        <v>142</v>
      </c>
      <c r="S88" s="22" t="s">
        <v>159</v>
      </c>
      <c r="T88" s="22" t="s">
        <v>173</v>
      </c>
      <c r="U88" s="22" t="s">
        <v>174</v>
      </c>
      <c r="V88" s="22" t="s">
        <v>106</v>
      </c>
      <c r="W88" s="24">
        <f>IF(P88=[1]BD_CUSTO!$E$4,[1]BD_CUSTO!$F$4,[1]BD_CUSTO!$F$5)</f>
        <v>2430</v>
      </c>
      <c r="X88" s="24">
        <f>IF(Q88=[1]BD_CUSTO!$E$6,[1]BD_CUSTO!$F$6,[1]BD_CUSTO!$F$7)</f>
        <v>260</v>
      </c>
      <c r="Y88" s="24">
        <f>IF(R88=[1]BD_CUSTO!$E$8,[1]BD_CUSTO!$F$8,[1]BD_CUSTO!$F$9)</f>
        <v>900</v>
      </c>
      <c r="Z88" s="24">
        <f>IF(S88=[1]BD_CUSTO!$E$10,[1]BD_CUSTO!$F$10,[1]BD_CUSTO!$F$11)</f>
        <v>935</v>
      </c>
      <c r="AA88" s="24">
        <f>IF(T88=[1]BD_CUSTO!$E$12,[1]BD_CUSTO!$F$12,[1]BD_CUSTO!$F$13)</f>
        <v>930</v>
      </c>
      <c r="AB88" s="24">
        <f>IF(U88=[1]BD_CUSTO!$E$14,[1]BD_CUSTO!$F$14,[1]BD_CUSTO!$F$15)</f>
        <v>240</v>
      </c>
      <c r="AC88" s="24">
        <f>IF(V88=[1]BD_CUSTO!$E$16,[1]BD_CUSTO!$F$16,[1]BD_CUSTO!$F$17)</f>
        <v>720</v>
      </c>
      <c r="AD88" s="22" t="s">
        <v>121</v>
      </c>
      <c r="AE88" s="22">
        <v>1</v>
      </c>
      <c r="AF88" s="22" t="s">
        <v>107</v>
      </c>
      <c r="AG88" s="22">
        <v>1</v>
      </c>
      <c r="AH88" s="22" t="s">
        <v>108</v>
      </c>
      <c r="AI88" s="22">
        <v>2</v>
      </c>
      <c r="AJ88" s="22" t="s">
        <v>129</v>
      </c>
      <c r="AK88" s="22">
        <v>1</v>
      </c>
      <c r="AL88" s="22" t="s">
        <v>110</v>
      </c>
      <c r="AM88" s="22">
        <v>1</v>
      </c>
      <c r="AN88" s="22" t="s">
        <v>109</v>
      </c>
      <c r="AO88" s="22">
        <v>1</v>
      </c>
      <c r="AP88" s="22" t="s">
        <v>135</v>
      </c>
      <c r="AQ88" s="22">
        <v>1</v>
      </c>
      <c r="AR88" s="22" t="s">
        <v>139</v>
      </c>
      <c r="AS88" s="22">
        <v>1</v>
      </c>
      <c r="AT88" s="22" t="s">
        <v>111</v>
      </c>
      <c r="AU88" s="22">
        <v>1</v>
      </c>
      <c r="AV88" s="22"/>
      <c r="AW88" s="22"/>
      <c r="AX88" s="24">
        <f>IF(AD88="",0,VLOOKUP(AD88,[1]BD_CUSTO!I:J,2,0)*AE88/E88)</f>
        <v>267.7323913043478</v>
      </c>
      <c r="AY88" s="24">
        <f>IF(AF88="",0,VLOOKUP(AF88,[1]BD_CUSTO!I:J,2,0)*AG88/E88)</f>
        <v>185.10678260869565</v>
      </c>
      <c r="AZ88" s="24">
        <f>IF(AH88="",0,VLOOKUP(AH88,[1]BD_CUSTO!I:J,2,0)*AI88/E88)</f>
        <v>100.65217391304348</v>
      </c>
      <c r="BA88" s="24">
        <f>IF(AJ88="",0,VLOOKUP(AJ88,[1]BD_CUSTO!I:J,2,0)*AK88/E88)</f>
        <v>598.19039130434783</v>
      </c>
      <c r="BB88" s="24">
        <f>IF(AL88="",0,VLOOKUP(AL88,[1]BD_CUSTO!I:J,2,0)*AM88/E88)</f>
        <v>11.521739130434783</v>
      </c>
      <c r="BC88" s="24">
        <f>IF(AN88="",0,VLOOKUP(AN88,[1]BD_CUSTO!I:J,2,0)*AO88/E88)</f>
        <v>15.108695652173912</v>
      </c>
      <c r="BD88" s="24">
        <f>IF(AP88="",0,VLOOKUP(AP88,[1]BD_CUSTO!I:J,2,0)*AQ88/E88)</f>
        <v>274.06226086956519</v>
      </c>
      <c r="BE88" s="24">
        <f>IF(AR88="",0,VLOOKUP(AR88,CUSTO!I:J,2,0)*AS88/E88)</f>
        <v>135.12243478260871</v>
      </c>
      <c r="BF88" s="24">
        <f>IF(AT88="",0,VLOOKUP(AT88,[1]BD_CUSTO!I:J,2,0)*AU88/E88)</f>
        <v>35.217391304347828</v>
      </c>
      <c r="BG88" s="24">
        <f>IF(Tabela1[[#This Row],[LZ 10]]="",0,VLOOKUP(Tabela1[[#This Row],[LZ 10]],[1]BD_CUSTO!I:J,2,0)*Tabela1[[#This Row],[QTD922]]/E88)</f>
        <v>0</v>
      </c>
      <c r="BH88" s="22" t="s">
        <v>112</v>
      </c>
      <c r="BI88" s="25">
        <v>0.4</v>
      </c>
      <c r="BJ88" s="22" t="s">
        <v>113</v>
      </c>
      <c r="BK88" s="25">
        <v>0</v>
      </c>
      <c r="BL88" s="24">
        <f>IF(BH88=[1]BD_CUSTO!$M$6,[1]BD_CUSTO!$N$6)*BI88</f>
        <v>1200</v>
      </c>
      <c r="BM88" s="24">
        <f>IF(BJ88=[1]BD_CUSTO!$M$4,[1]BD_CUSTO!$N$4,[1]BD_CUSTO!$N$5)*BK88</f>
        <v>0</v>
      </c>
      <c r="BN88" s="22" t="s">
        <v>114</v>
      </c>
      <c r="BO88" s="22">
        <v>460</v>
      </c>
      <c r="BP88" s="25">
        <f>Tabela1[[#This Row],[QTD ]]/Tabela1[[#This Row],[Nº UNDS]]</f>
        <v>1</v>
      </c>
      <c r="BQ88" s="22" t="s">
        <v>115</v>
      </c>
      <c r="BR88" s="22">
        <v>0</v>
      </c>
      <c r="BS88" s="22" t="s">
        <v>116</v>
      </c>
      <c r="BT88" s="22">
        <v>0</v>
      </c>
      <c r="BU88" s="22" t="s">
        <v>16</v>
      </c>
      <c r="BV88" s="22">
        <v>0</v>
      </c>
      <c r="BW88" s="24">
        <f>IF(BN88=[1]BD_CUSTO!$Q$7,[1]BD_CUSTO!$R$7,[1]BD_CUSTO!$R$8)*BO88/E88</f>
        <v>2000</v>
      </c>
      <c r="BX88" s="24">
        <f>IF(BQ88=[1]BD_CUSTO!$Q$4,[1]BD_CUSTO!$R$4,[1]BD_CUSTO!$R$5)*BR88/E88</f>
        <v>0</v>
      </c>
      <c r="BY88" s="22">
        <f>IF(BS88=[1]BD_CUSTO!$Q$13,[1]BD_CUSTO!$R$13,[1]BD_CUSTO!$R$14)*BT88/E88</f>
        <v>0</v>
      </c>
      <c r="BZ88" s="24">
        <f>BV88*CUSTO!$R$10/E88</f>
        <v>0</v>
      </c>
      <c r="CA88" s="26">
        <f>SUM(Tabela1[[#This Row],[SOMA_PISO SALA E QUARTO]],Tabela1[[#This Row],[SOMA_PAREDE HIDR]],Tabela1[[#This Row],[SOMA_TETO]],Tabela1[[#This Row],[SOMA_BANCADA]],Tabela1[[#This Row],[SOMA_PEDRAS]])</f>
        <v>5435</v>
      </c>
      <c r="CB88" s="27" t="str">
        <f>IF(CA88&lt;=RÉGUAS!$D$4,"ACAB 01",IF(CA88&lt;=RÉGUAS!$F$4,"ACAB 02",IF(CA88&gt;RÉGUAS!$F$4,"ACAB 03",)))</f>
        <v>ACAB 03</v>
      </c>
      <c r="CC88" s="26">
        <f>SUM(Tabela1[[#This Row],[SOMA_LZ 01]:[SOMA_LZ 10]])</f>
        <v>1622.7142608695651</v>
      </c>
      <c r="CD88" s="22" t="str">
        <f>IF(CC88&lt;=RÉGUAS!$D$13,"LZ 01",IF(CC88&lt;=RÉGUAS!$F$13,"LZ 02",IF(CC88&lt;=RÉGUAS!$H$13,"LZ 03",IF(CC88&gt;RÉGUAS!$H$13,"LZ 04",))))</f>
        <v>LZ 02</v>
      </c>
      <c r="CE88" s="28">
        <f t="shared" si="15"/>
        <v>1200</v>
      </c>
      <c r="CF88" s="22" t="str">
        <f>IF(CE88&lt;=RÉGUAS!$D$22,"TIP 01",IF(CE88&lt;=RÉGUAS!$F$22,"TIP 02",IF(CE88&gt;RÉGUAS!$F$22,"TIP 03",)))</f>
        <v>TIP 01</v>
      </c>
      <c r="CG88" s="28">
        <f t="shared" si="16"/>
        <v>2000</v>
      </c>
      <c r="CH88" s="22" t="str">
        <f>IF(CG88&lt;=RÉGUAS!$D$32,"VAGA 01",IF(CG88&lt;=RÉGUAS!$F$32,"VAGA 02",IF(CG88&gt;RÉGUAS!$F$32,"VAGA 03",)))</f>
        <v>VAGA 02</v>
      </c>
      <c r="CI88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7507</v>
      </c>
      <c r="CJ88" s="85" t="str">
        <f>IF(AND(G88="BLOCO",CI88&lt;=RÉGUAS!$D$40),"ELEV 01",IF(AND(G88="BLOCO",CI88&gt;RÉGUAS!$D$40),"ELEV 02",IF(AND(G88="TORRE",CI88&lt;=RÉGUAS!$K$40),"ELEV 01",IF(AND(G88="TORRE",CI88&lt;=RÉGUAS!$M$40),"ELEV 02",IF(AND(G88="TORRE",CI88&gt;RÉGUAS!$M$40),"ELEV 03",)))))</f>
        <v>ELEV 02</v>
      </c>
      <c r="CK88" s="85">
        <f>SUM(Tabela1[[#This Row],[TOTAL  ACAB]],Tabela1[[#This Row],[TOTAL LAZER ]],Tabela1[[#This Row],[TOTAL TIPOLOGIA]],Tabela1[[#This Row],[TOTAL VAGA]],Tabela1[[#This Row],[TOTAL ELEVADOR]])</f>
        <v>17764.714260869565</v>
      </c>
      <c r="CL88" s="72" t="str">
        <f>IF(AND(G88="BLOCO",CK88&lt;=RÉGUAS!$D$50),"ESSENCIAL",IF(AND(G88="BLOCO",CK88&lt;=RÉGUAS!$F$50),"ECO",IF(AND(G88="BLOCO",CK88&gt;RÉGUAS!$F$50),"BIO",IF(AND(G88="TORRE",CK88&lt;=RÉGUAS!$K$50),"ESSENCIAL",IF(AND(G88="TORRE",CK88&lt;=RÉGUAS!$M$50),"ECO",IF(AND(G88="TORRE",CK88&gt;RÉGUAS!$M$50),"BIO",))))))</f>
        <v>BIO</v>
      </c>
      <c r="CM88" s="28" t="str">
        <f>IF(AND(G88="BLOCO",CK88&gt;=RÉGUAS!$D$51,CK88&lt;=RÉGUAS!$D$50),"ESSENCIAL-10%",IF(AND(G88="BLOCO",CK88&gt;RÉGUAS!$D$50,CK88&lt;=RÉGUAS!$E$51),"ECO+10%",IF(AND(G88="BLOCO",CK88&gt;=RÉGUAS!$F$51,CK88&lt;=RÉGUAS!$F$50),"ECO-10%",IF(AND(G88="BLOCO",CK88&gt;RÉGUAS!$F$50,CK88&lt;=RÉGUAS!$G$51),"BIO+10%",IF(AND(G88="TORRE",CK88&gt;=RÉGUAS!$K$51,CK88&lt;=RÉGUAS!$K$50),"ESSENCIAL-10%",IF(AND(G88="TORRE",CK88&gt;RÉGUAS!$K$50,CK88&lt;=RÉGUAS!$L$51),"ECO+10%",IF(AND(G88="TORRE",CK88&gt;=RÉGUAS!$M$51,CK88&lt;=RÉGUAS!$M$50),"ECO-10%",IF(AND(G88="TORRE",CK88&gt;RÉGUAS!$M$50,CK88&lt;=RÉGUAS!$N$51),"BIO+10%","-"))))))))</f>
        <v>-</v>
      </c>
      <c r="CN88" s="73">
        <f t="shared" si="17"/>
        <v>10257.714260869565</v>
      </c>
      <c r="CO88" s="72" t="str">
        <f>IF(CN88&lt;=RÉGUAS!$D$58,"ESSENCIAL",IF(CN88&lt;=RÉGUAS!$F$58,"ECO",IF(CN88&gt;RÉGUAS!$F$58,"BIO",)))</f>
        <v>ECO</v>
      </c>
      <c r="CP88" s="72" t="str">
        <f>IF(Tabela1[[#This Row],[INTERVALO DE INTERSEÇÃO 5D]]="-",Tabela1[[#This Row],[CLASSIFICAÇÃO 
5D ]],Tabela1[[#This Row],[CLASSIFICAÇÃO 
4D]])</f>
        <v>BIO</v>
      </c>
      <c r="CQ88" s="72" t="str">
        <f t="shared" si="18"/>
        <v>-</v>
      </c>
      <c r="CR88" s="72" t="str">
        <f t="shared" si="19"/>
        <v>BIO</v>
      </c>
      <c r="CS88" s="22" t="str">
        <f>IF(Tabela1[[#This Row],[PRODUTO ATUAL ]]=Tabela1[[#This Row],[CLASSIFICAÇÃO FINAL 5D]],"ADERÊNTE","NÃO ADERÊNTE")</f>
        <v>ADERÊNTE</v>
      </c>
      <c r="CT88" s="24">
        <f>SUM(Tabela1[[#This Row],[TOTAL  ACAB]],Tabela1[[#This Row],[TOTAL LAZER ]],Tabela1[[#This Row],[TOTAL TIPOLOGIA]],Tabela1[[#This Row],[TOTAL VAGA]])</f>
        <v>10257.714260869565</v>
      </c>
      <c r="CU88" s="22" t="str">
        <f>IF(CT88&lt;=RÉGUAS!$D$58,"ESSENCIAL",IF(CT88&lt;=RÉGUAS!$F$58,"ECO",IF(CT88&gt;RÉGUAS!$F$58,"BIO",)))</f>
        <v>ECO</v>
      </c>
      <c r="CV88" s="22" t="str">
        <f>IF(AND(CT88&gt;=RÉGUAS!$D$59,CT88&lt;=RÉGUAS!$E$59),"ESSENCIAL/ECO",IF(AND(CT88&gt;=RÉGUAS!$F$59,CT88&lt;=RÉGUAS!$G$59),"ECO/BIO","-"))</f>
        <v>-</v>
      </c>
      <c r="CW88" s="85">
        <f>SUM(Tabela1[[#This Row],[TOTAL LAZER ]],Tabela1[[#This Row],[TOTAL TIPOLOGIA]])</f>
        <v>2822.7142608695649</v>
      </c>
      <c r="CX88" s="22" t="str">
        <f>IF(CW88&lt;=RÉGUAS!$D$72,"ESSENCIAL",IF(CW88&lt;=RÉGUAS!$F$72,"ECO",IF(CN88&gt;RÉGUAS!$F$72,"BIO",)))</f>
        <v>ECO</v>
      </c>
      <c r="CY88" s="22" t="str">
        <f t="shared" si="20"/>
        <v>ECO</v>
      </c>
      <c r="CZ88" s="22" t="str">
        <f>IF(Tabela1[[#This Row],[PRODUTO ATUAL ]]=CY88,"ADERENTE","NÃO ADERENTE")</f>
        <v>NÃO ADERENTE</v>
      </c>
      <c r="DA88" s="22" t="str">
        <f>IF(Tabela1[[#This Row],[PRODUTO ATUAL ]]=Tabela1[[#This Row],[CLASSIFICAÇÃO 
4D2]],"ADERENTE","NÃO ADERENTE")</f>
        <v>NÃO ADERENTE</v>
      </c>
    </row>
    <row r="89" spans="2:105" x14ac:dyDescent="0.35">
      <c r="B89" s="27">
        <v>89</v>
      </c>
      <c r="C89" s="22" t="s">
        <v>206</v>
      </c>
      <c r="D89" s="22" t="s">
        <v>125</v>
      </c>
      <c r="E89" s="128">
        <v>336</v>
      </c>
      <c r="F89" s="22" t="str">
        <f t="shared" si="14"/>
        <v>De 200 a 400 und</v>
      </c>
      <c r="G89" s="22" t="s">
        <v>14</v>
      </c>
      <c r="H89" s="129">
        <v>2</v>
      </c>
      <c r="I89" s="129">
        <v>14</v>
      </c>
      <c r="J89" s="129"/>
      <c r="K89" s="129"/>
      <c r="L89" s="129">
        <f>SUM(Tabela1[[#This Row],[QTD DE B/T 2]],Tabela1[[#This Row],[QTD DE B/T]])</f>
        <v>2</v>
      </c>
      <c r="M89" s="22">
        <v>6</v>
      </c>
      <c r="N89" s="22">
        <f>Tabela1[[#This Row],[ELEVADOR]]/Tabela1[[#This Row],[BLOCO TOTAL]]</f>
        <v>3</v>
      </c>
      <c r="O89" s="76" t="s">
        <v>4</v>
      </c>
      <c r="P89" s="76" t="s">
        <v>101</v>
      </c>
      <c r="Q89" s="76" t="s">
        <v>101</v>
      </c>
      <c r="R89" s="22" t="s">
        <v>142</v>
      </c>
      <c r="S89" s="76" t="s">
        <v>159</v>
      </c>
      <c r="T89" s="22" t="s">
        <v>173</v>
      </c>
      <c r="U89" s="76" t="s">
        <v>174</v>
      </c>
      <c r="V89" s="22" t="s">
        <v>106</v>
      </c>
      <c r="W89" s="24">
        <f>IF(P89=[1]BD_CUSTO!$E$4,[1]BD_CUSTO!$F$4,[1]BD_CUSTO!$F$5)</f>
        <v>2430</v>
      </c>
      <c r="X89" s="24">
        <f>IF(Q89=[1]BD_CUSTO!$E$6,[1]BD_CUSTO!$F$6,[1]BD_CUSTO!$F$7)</f>
        <v>260</v>
      </c>
      <c r="Y89" s="24">
        <f>IF(R89=[1]BD_CUSTO!$E$8,[1]BD_CUSTO!$F$8,[1]BD_CUSTO!$F$9)</f>
        <v>900</v>
      </c>
      <c r="Z89" s="24">
        <f>IF(S89=[1]BD_CUSTO!$E$10,[1]BD_CUSTO!$F$10,[1]BD_CUSTO!$F$11)</f>
        <v>935</v>
      </c>
      <c r="AA89" s="24">
        <f>IF(T89=[1]BD_CUSTO!$E$12,[1]BD_CUSTO!$F$12,[1]BD_CUSTO!$F$13)</f>
        <v>930</v>
      </c>
      <c r="AB89" s="24">
        <f>IF(U89=[1]BD_CUSTO!$E$14,[1]BD_CUSTO!$F$14,[1]BD_CUSTO!$F$15)</f>
        <v>240</v>
      </c>
      <c r="AC89" s="24">
        <f>IF(V89=[1]BD_CUSTO!$E$16,[1]BD_CUSTO!$F$16,[1]BD_CUSTO!$F$17)</f>
        <v>720</v>
      </c>
      <c r="AD89" s="76" t="s">
        <v>110</v>
      </c>
      <c r="AE89" s="76">
        <v>1</v>
      </c>
      <c r="AF89" s="76" t="s">
        <v>129</v>
      </c>
      <c r="AG89" s="76">
        <v>1</v>
      </c>
      <c r="AH89" s="76" t="s">
        <v>111</v>
      </c>
      <c r="AI89" s="76">
        <v>1</v>
      </c>
      <c r="AJ89" s="76" t="s">
        <v>107</v>
      </c>
      <c r="AK89" s="76">
        <v>1</v>
      </c>
      <c r="AL89" s="76" t="s">
        <v>108</v>
      </c>
      <c r="AM89" s="76">
        <v>1</v>
      </c>
      <c r="AN89" s="76" t="s">
        <v>109</v>
      </c>
      <c r="AO89" s="76">
        <v>1</v>
      </c>
      <c r="AP89" s="76" t="s">
        <v>126</v>
      </c>
      <c r="AQ89" s="76">
        <v>2</v>
      </c>
      <c r="AR89" s="76" t="s">
        <v>133</v>
      </c>
      <c r="AS89" s="76">
        <v>3</v>
      </c>
      <c r="AT89" s="22"/>
      <c r="AU89" s="22"/>
      <c r="AV89" s="22"/>
      <c r="AW89" s="22"/>
      <c r="AX89" s="24">
        <f>IF(AD89="",0,VLOOKUP(AD89,[1]BD_CUSTO!I:J,2,0)*AE89/E89)</f>
        <v>15.773809523809524</v>
      </c>
      <c r="AY89" s="24">
        <f>IF(AF89="",0,VLOOKUP(AF89,[1]BD_CUSTO!I:J,2,0)*AG89/E89)</f>
        <v>818.95113095238105</v>
      </c>
      <c r="AZ89" s="24">
        <f>IF(AH89="",0,VLOOKUP(AH89,[1]BD_CUSTO!I:J,2,0)*AI89/E89)</f>
        <v>48.214285714285715</v>
      </c>
      <c r="BA89" s="24">
        <f>IF(AJ89="",0,VLOOKUP(AJ89,[1]BD_CUSTO!I:J,2,0)*AK89/E89)</f>
        <v>253.42</v>
      </c>
      <c r="BB89" s="24">
        <f>IF(AL89="",0,VLOOKUP(AL89,[1]BD_CUSTO!I:J,2,0)*AM89/E89)</f>
        <v>68.898809523809518</v>
      </c>
      <c r="BC89" s="24">
        <f>IF(AN89="",0,VLOOKUP(AN89,[1]BD_CUSTO!I:J,2,0)*AO89/E89)</f>
        <v>20.68452380952381</v>
      </c>
      <c r="BD89" s="24">
        <f>IF(AP89="",0,VLOOKUP(AP89,[1]BD_CUSTO!I:J,2,0)*AQ89/E89)</f>
        <v>45</v>
      </c>
      <c r="BE89" s="24">
        <f>IF(AR89="",0,VLOOKUP(AR89,CUSTO!I:J,2,0)*AS89/E89)</f>
        <v>62.142857142857146</v>
      </c>
      <c r="BF89" s="24">
        <f>IF(AT89="",0,VLOOKUP(AT89,[1]BD_CUSTO!I:J,2,0)*AU89/E89)</f>
        <v>0</v>
      </c>
      <c r="BG89" s="24">
        <f>IF(Tabela1[[#This Row],[LZ 10]]="",0,VLOOKUP(Tabela1[[#This Row],[LZ 10]],[1]BD_CUSTO!I:J,2,0)*Tabela1[[#This Row],[QTD922]]/E89)</f>
        <v>0</v>
      </c>
      <c r="BH89" s="76" t="s">
        <v>112</v>
      </c>
      <c r="BI89" s="127">
        <v>0.62</v>
      </c>
      <c r="BJ89" s="76" t="s">
        <v>113</v>
      </c>
      <c r="BK89" s="127">
        <v>0</v>
      </c>
      <c r="BL89" s="24">
        <f>IF(BH89=[1]BD_CUSTO!$M$6,[1]BD_CUSTO!$N$6)*BI89</f>
        <v>1860</v>
      </c>
      <c r="BM89" s="24">
        <f>IF(BJ89=[1]BD_CUSTO!$M$4,[1]BD_CUSTO!$N$4,[1]BD_CUSTO!$N$5)*BK89</f>
        <v>0</v>
      </c>
      <c r="BN89" s="76" t="s">
        <v>114</v>
      </c>
      <c r="BO89" s="76">
        <v>341</v>
      </c>
      <c r="BP89" s="25">
        <f>Tabela1[[#This Row],[QTD ]]/Tabela1[[#This Row],[Nº UNDS]]</f>
        <v>1.0148809523809523</v>
      </c>
      <c r="BQ89" s="22" t="s">
        <v>115</v>
      </c>
      <c r="BR89" s="22">
        <v>0</v>
      </c>
      <c r="BS89" s="22" t="s">
        <v>116</v>
      </c>
      <c r="BT89" s="22">
        <v>0</v>
      </c>
      <c r="BU89" s="22" t="s">
        <v>16</v>
      </c>
      <c r="BV89" s="22">
        <v>0</v>
      </c>
      <c r="BW89" s="24">
        <f>IF(BN89=[1]BD_CUSTO!$Q$7,[1]BD_CUSTO!$R$7,[1]BD_CUSTO!$R$8)*BO89/E89</f>
        <v>2029.7619047619048</v>
      </c>
      <c r="BX89" s="24">
        <f>IF(BQ89=[1]BD_CUSTO!$Q$4,[1]BD_CUSTO!$R$4,[1]BD_CUSTO!$R$5)*BR89/E89</f>
        <v>0</v>
      </c>
      <c r="BY89" s="22">
        <f>IF(BS89=[1]BD_CUSTO!$Q$13,[1]BD_CUSTO!$R$13,[1]BD_CUSTO!$R$14)*BT89/E89</f>
        <v>0</v>
      </c>
      <c r="BZ89" s="24">
        <f>BV89*CUSTO!$R$10/E89</f>
        <v>0</v>
      </c>
      <c r="CA89" s="26">
        <f>SUM(Tabela1[[#This Row],[SOMA_PISO SALA E QUARTO]],Tabela1[[#This Row],[SOMA_PAREDE HIDR]],Tabela1[[#This Row],[SOMA_TETO]],Tabela1[[#This Row],[SOMA_BANCADA]],Tabela1[[#This Row],[SOMA_PEDRAS]])</f>
        <v>5435</v>
      </c>
      <c r="CB89" s="27" t="str">
        <f>IF(CA89&lt;=RÉGUAS!$D$4,"ACAB 01",IF(CA89&lt;=RÉGUAS!$F$4,"ACAB 02",IF(CA89&gt;RÉGUAS!$F$4,"ACAB 03",)))</f>
        <v>ACAB 03</v>
      </c>
      <c r="CC89" s="26">
        <f>SUM(Tabela1[[#This Row],[SOMA_LZ 01]:[SOMA_LZ 10]])</f>
        <v>1333.0854166666666</v>
      </c>
      <c r="CD89" s="22" t="str">
        <f>IF(CC89&lt;=RÉGUAS!$D$13,"LZ 01",IF(CC89&lt;=RÉGUAS!$F$13,"LZ 02",IF(CC89&lt;=RÉGUAS!$H$13,"LZ 03",IF(CC89&gt;RÉGUAS!$H$13,"LZ 04",))))</f>
        <v>LZ 02</v>
      </c>
      <c r="CE89" s="28">
        <f t="shared" si="15"/>
        <v>1860</v>
      </c>
      <c r="CF89" s="22" t="str">
        <f>IF(CE89&lt;=RÉGUAS!$D$22,"TIP 01",IF(CE89&lt;=RÉGUAS!$F$22,"TIP 02",IF(CE89&gt;RÉGUAS!$F$22,"TIP 03",)))</f>
        <v>TIP 02</v>
      </c>
      <c r="CG89" s="28">
        <f t="shared" si="16"/>
        <v>2029.7619047619048</v>
      </c>
      <c r="CH89" s="22" t="str">
        <f>IF(CG89&lt;=RÉGUAS!$D$32,"VAGA 01",IF(CG89&lt;=RÉGUAS!$F$32,"VAGA 02",IF(CG89&gt;RÉGUAS!$F$32,"VAGA 03",)))</f>
        <v>VAGA 02</v>
      </c>
      <c r="CI89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4194.75</v>
      </c>
      <c r="CJ89" s="85" t="str">
        <f>IF(AND(G89="BLOCO",CI89&lt;=RÉGUAS!$D$40),"ELEV 01",IF(AND(G89="BLOCO",CI89&gt;RÉGUAS!$D$40),"ELEV 02",IF(AND(G89="TORRE",CI89&lt;=RÉGUAS!$K$40),"ELEV 01",IF(AND(G89="TORRE",CI89&lt;=RÉGUAS!$M$40),"ELEV 02",IF(AND(G89="TORRE",CI89&gt;RÉGUAS!$M$40),"ELEV 03",)))))</f>
        <v>ELEV 03</v>
      </c>
      <c r="CK89" s="85">
        <f>SUM(Tabela1[[#This Row],[TOTAL  ACAB]],Tabela1[[#This Row],[TOTAL LAZER ]],Tabela1[[#This Row],[TOTAL TIPOLOGIA]],Tabela1[[#This Row],[TOTAL VAGA]],Tabela1[[#This Row],[TOTAL ELEVADOR]])</f>
        <v>14852.597321428571</v>
      </c>
      <c r="CL89" s="72" t="str">
        <f>IF(AND(G89="BLOCO",CK89&lt;=RÉGUAS!$D$50),"ESSENCIAL",IF(AND(G89="BLOCO",CK89&lt;=RÉGUAS!$F$50),"ECO",IF(AND(G89="BLOCO",CK89&gt;RÉGUAS!$F$50),"BIO",IF(AND(G89="TORRE",CK89&lt;=RÉGUAS!$K$50),"ESSENCIAL",IF(AND(G89="TORRE",CK89&lt;=RÉGUAS!$M$50),"ECO",IF(AND(G89="TORRE",CK89&gt;RÉGUAS!$M$50),"BIO",))))))</f>
        <v>BIO</v>
      </c>
      <c r="CM89" s="28" t="str">
        <f>IF(AND(G89="BLOCO",CK89&gt;=RÉGUAS!$D$51,CK89&lt;=RÉGUAS!$D$50),"ESSENCIAL-10%",IF(AND(G89="BLOCO",CK89&gt;RÉGUAS!$D$50,CK89&lt;=RÉGUAS!$E$51),"ECO+10%",IF(AND(G89="BLOCO",CK89&gt;=RÉGUAS!$F$51,CK89&lt;=RÉGUAS!$F$50),"ECO-10%",IF(AND(G89="BLOCO",CK89&gt;RÉGUAS!$F$50,CK89&lt;=RÉGUAS!$G$51),"BIO+10%",IF(AND(G89="TORRE",CK89&gt;=RÉGUAS!$K$51,CK89&lt;=RÉGUAS!$K$50),"ESSENCIAL-10%",IF(AND(G89="TORRE",CK89&gt;RÉGUAS!$K$50,CK89&lt;=RÉGUAS!$L$51),"ECO+10%",IF(AND(G89="TORRE",CK89&gt;=RÉGUAS!$M$51,CK89&lt;=RÉGUAS!$M$50),"ECO-10%",IF(AND(G89="TORRE",CK89&gt;RÉGUAS!$M$50,CK89&lt;=RÉGUAS!$N$51),"BIO+10%","-"))))))))</f>
        <v>BIO+10%</v>
      </c>
      <c r="CN89" s="73">
        <f t="shared" si="17"/>
        <v>10657.847321428571</v>
      </c>
      <c r="CO89" s="72" t="str">
        <f>IF(CN89&lt;=RÉGUAS!$D$58,"ESSENCIAL",IF(CN89&lt;=RÉGUAS!$F$58,"ECO",IF(CN89&gt;RÉGUAS!$F$58,"BIO",)))</f>
        <v>ECO</v>
      </c>
      <c r="CP89" s="72" t="str">
        <f>IF(Tabela1[[#This Row],[INTERVALO DE INTERSEÇÃO 5D]]="-",Tabela1[[#This Row],[CLASSIFICAÇÃO 
5D ]],Tabela1[[#This Row],[CLASSIFICAÇÃO 
4D]])</f>
        <v>ECO</v>
      </c>
      <c r="CQ89" s="72" t="str">
        <f t="shared" si="18"/>
        <v>-</v>
      </c>
      <c r="CR89" s="72" t="str">
        <f t="shared" si="19"/>
        <v>ECO</v>
      </c>
      <c r="CS89" s="22" t="str">
        <f>IF(Tabela1[[#This Row],[PRODUTO ATUAL ]]=Tabela1[[#This Row],[CLASSIFICAÇÃO FINAL 5D]],"ADERÊNTE","NÃO ADERÊNTE")</f>
        <v>NÃO ADERÊNTE</v>
      </c>
      <c r="CT89" s="24">
        <f>SUM(Tabela1[[#This Row],[TOTAL  ACAB]],Tabela1[[#This Row],[TOTAL LAZER ]],Tabela1[[#This Row],[TOTAL TIPOLOGIA]],Tabela1[[#This Row],[TOTAL VAGA]])</f>
        <v>10657.847321428571</v>
      </c>
      <c r="CU89" s="22" t="str">
        <f>IF(CT89&lt;=RÉGUAS!$D$58,"ESSENCIAL",IF(CT89&lt;=RÉGUAS!$F$58,"ECO",IF(CT89&gt;RÉGUAS!$F$58,"BIO",)))</f>
        <v>ECO</v>
      </c>
      <c r="CV89" s="22" t="str">
        <f>IF(AND(CT89&gt;=RÉGUAS!$D$59,CT89&lt;=RÉGUAS!$E$59),"ESSENCIAL/ECO",IF(AND(CT89&gt;=RÉGUAS!$F$59,CT89&lt;=RÉGUAS!$G$59),"ECO/BIO","-"))</f>
        <v>ECO/BIO</v>
      </c>
      <c r="CW89" s="85">
        <f>SUM(Tabela1[[#This Row],[TOTAL LAZER ]],Tabela1[[#This Row],[TOTAL TIPOLOGIA]])</f>
        <v>3193.0854166666668</v>
      </c>
      <c r="CX89" s="22" t="str">
        <f>IF(CW89&lt;=RÉGUAS!$D$72,"ESSENCIAL",IF(CW89&lt;=RÉGUAS!$F$72,"ECO",IF(CN89&gt;RÉGUAS!$F$72,"BIO",)))</f>
        <v>ECO</v>
      </c>
      <c r="CY89" s="22" t="str">
        <f t="shared" si="20"/>
        <v>ECO</v>
      </c>
      <c r="CZ89" s="22" t="str">
        <f>IF(Tabela1[[#This Row],[PRODUTO ATUAL ]]=CY89,"ADERENTE","NÃO ADERENTE")</f>
        <v>NÃO ADERENTE</v>
      </c>
      <c r="DA89" s="22" t="str">
        <f>IF(Tabela1[[#This Row],[PRODUTO ATUAL ]]=Tabela1[[#This Row],[CLASSIFICAÇÃO 
4D2]],"ADERENTE","NÃO ADERENTE")</f>
        <v>NÃO ADERENTE</v>
      </c>
    </row>
    <row r="90" spans="2:105" hidden="1" x14ac:dyDescent="0.35">
      <c r="B90" s="27">
        <v>7</v>
      </c>
      <c r="C90" s="22" t="s">
        <v>221</v>
      </c>
      <c r="D90" s="22" t="s">
        <v>147</v>
      </c>
      <c r="E90" s="22">
        <v>192</v>
      </c>
      <c r="F90" s="22" t="str">
        <f t="shared" si="14"/>
        <v>Até 200 und</v>
      </c>
      <c r="G90" s="22" t="s">
        <v>14</v>
      </c>
      <c r="H90" s="36">
        <v>1</v>
      </c>
      <c r="I90" s="36">
        <v>24</v>
      </c>
      <c r="J90" s="36"/>
      <c r="K90" s="36"/>
      <c r="L90" s="36">
        <f>SUM(Tabela1[[#This Row],[QTD DE B/T 2]],Tabela1[[#This Row],[QTD DE B/T]])</f>
        <v>1</v>
      </c>
      <c r="M90" s="22">
        <v>4</v>
      </c>
      <c r="N90" s="22">
        <f>Tabela1[[#This Row],[ELEVADOR]]/Tabela1[[#This Row],[BLOCO TOTAL]]</f>
        <v>4</v>
      </c>
      <c r="O90" s="22" t="s">
        <v>4</v>
      </c>
      <c r="P90" s="22" t="s">
        <v>101</v>
      </c>
      <c r="Q90" s="22" t="s">
        <v>101</v>
      </c>
      <c r="R90" s="22" t="s">
        <v>142</v>
      </c>
      <c r="S90" s="22" t="s">
        <v>159</v>
      </c>
      <c r="T90" s="22" t="s">
        <v>173</v>
      </c>
      <c r="U90" s="22" t="s">
        <v>174</v>
      </c>
      <c r="V90" s="22" t="s">
        <v>137</v>
      </c>
      <c r="W90" s="24">
        <f>IF(P90=[1]BD_CUSTO!$E$4,[1]BD_CUSTO!$F$4,[1]BD_CUSTO!$F$5)</f>
        <v>2430</v>
      </c>
      <c r="X90" s="24">
        <f>IF(Q90=[1]BD_CUSTO!$E$6,[1]BD_CUSTO!$F$6,[1]BD_CUSTO!$F$7)</f>
        <v>260</v>
      </c>
      <c r="Y90" s="24">
        <f>IF(R90=[1]BD_CUSTO!$E$8,[1]BD_CUSTO!$F$8,[1]BD_CUSTO!$F$9)</f>
        <v>900</v>
      </c>
      <c r="Z90" s="24">
        <f>IF(S90=[1]BD_CUSTO!$E$10,[1]BD_CUSTO!$F$10,[1]BD_CUSTO!$F$11)</f>
        <v>935</v>
      </c>
      <c r="AA90" s="24">
        <f>IF(T90=[1]BD_CUSTO!$E$12,[1]BD_CUSTO!$F$12,[1]BD_CUSTO!$F$13)</f>
        <v>930</v>
      </c>
      <c r="AB90" s="24">
        <f>IF(U90=[1]BD_CUSTO!$E$14,[1]BD_CUSTO!$F$14,[1]BD_CUSTO!$F$15)</f>
        <v>240</v>
      </c>
      <c r="AC90" s="24">
        <f>IF(V90=[1]BD_CUSTO!$E$16,[1]BD_CUSTO!$F$16,[1]BD_CUSTO!$F$17)</f>
        <v>1320</v>
      </c>
      <c r="AD90" s="22" t="s">
        <v>108</v>
      </c>
      <c r="AE90" s="22">
        <v>1</v>
      </c>
      <c r="AF90" s="22" t="s">
        <v>121</v>
      </c>
      <c r="AG90" s="22">
        <v>1</v>
      </c>
      <c r="AH90" s="22" t="s">
        <v>129</v>
      </c>
      <c r="AI90" s="22">
        <v>1</v>
      </c>
      <c r="AJ90" s="22" t="s">
        <v>110</v>
      </c>
      <c r="AK90" s="22">
        <v>1</v>
      </c>
      <c r="AL90" s="22" t="s">
        <v>107</v>
      </c>
      <c r="AM90" s="22">
        <v>1</v>
      </c>
      <c r="AN90" s="22"/>
      <c r="AO90" s="22">
        <v>0</v>
      </c>
      <c r="AP90" s="22"/>
      <c r="AQ90" s="22">
        <v>0</v>
      </c>
      <c r="AR90" s="22"/>
      <c r="AS90" s="22">
        <v>0</v>
      </c>
      <c r="AT90" s="22"/>
      <c r="AU90" s="22"/>
      <c r="AV90" s="22"/>
      <c r="AW90" s="22"/>
      <c r="AX90" s="24">
        <f>IF(AD90="",0,VLOOKUP(AD90,[1]BD_CUSTO!I:J,2,0)*AE90/E90)</f>
        <v>120.57291666666667</v>
      </c>
      <c r="AY90" s="24">
        <f>IF(AF90="",0,VLOOKUP(AF90,[1]BD_CUSTO!I:J,2,0)*AG90/E90)</f>
        <v>641.44218749999993</v>
      </c>
      <c r="AZ90" s="24">
        <f>IF(AH90="",0,VLOOKUP(AH90,[1]BD_CUSTO!I:J,2,0)*AI90/E90)</f>
        <v>1433.1644791666668</v>
      </c>
      <c r="BA90" s="24">
        <f>IF(AJ90="",0,VLOOKUP(AJ90,[1]BD_CUSTO!I:J,2,0)*AK90/E90)</f>
        <v>27.604166666666668</v>
      </c>
      <c r="BB90" s="24">
        <f>IF(AL90="",0,VLOOKUP(AL90,[1]BD_CUSTO!I:J,2,0)*AM90/E90)</f>
        <v>443.48499999999996</v>
      </c>
      <c r="BC90" s="24">
        <f>IF(AN90="",0,VLOOKUP(AN90,[1]BD_CUSTO!I:J,2,0)*AO90/E90)</f>
        <v>0</v>
      </c>
      <c r="BD90" s="24">
        <f>IF(AP90="",0,VLOOKUP(AP90,[1]BD_CUSTO!I:J,2,0)*AQ90/E90)</f>
        <v>0</v>
      </c>
      <c r="BE90" s="24">
        <f>IF(AR90="",0,VLOOKUP(AR90,CUSTO!I:J,2,0)*AS90/E90)</f>
        <v>0</v>
      </c>
      <c r="BF90" s="24">
        <f>IF(AT90="",0,VLOOKUP(AT90,[1]BD_CUSTO!I:J,2,0)*AU90/E90)</f>
        <v>0</v>
      </c>
      <c r="BG90" s="24">
        <f>IF(Tabela1[[#This Row],[LZ 10]]="",0,VLOOKUP(Tabela1[[#This Row],[LZ 10]],[1]BD_CUSTO!I:J,2,0)*Tabela1[[#This Row],[QTD922]]/E90)</f>
        <v>0</v>
      </c>
      <c r="BH90" s="22" t="s">
        <v>112</v>
      </c>
      <c r="BI90" s="25">
        <v>0.9</v>
      </c>
      <c r="BJ90" s="29" t="s">
        <v>212</v>
      </c>
      <c r="BK90" s="25">
        <v>0.5</v>
      </c>
      <c r="BL90" s="24">
        <f>IF(BH90=[1]BD_CUSTO!$M$6,[1]BD_CUSTO!$N$6)*BI90</f>
        <v>2700</v>
      </c>
      <c r="BM90" s="24">
        <f>IF(BJ90=[1]BD_CUSTO!$M$4,[1]BD_CUSTO!$N$4,[1]BD_CUSTO!$N$5)*BK90</f>
        <v>3000</v>
      </c>
      <c r="BN90" s="22" t="s">
        <v>114</v>
      </c>
      <c r="BO90" s="22">
        <v>0</v>
      </c>
      <c r="BP90" s="25">
        <f>Tabela1[[#This Row],[QTD ]]/Tabela1[[#This Row],[Nº UNDS]]</f>
        <v>0</v>
      </c>
      <c r="BQ90" s="22" t="s">
        <v>115</v>
      </c>
      <c r="BR90" s="22">
        <v>0</v>
      </c>
      <c r="BS90" s="22" t="s">
        <v>116</v>
      </c>
      <c r="BT90" s="22">
        <v>0</v>
      </c>
      <c r="BU90" s="22" t="s">
        <v>222</v>
      </c>
      <c r="BV90" s="22">
        <v>241</v>
      </c>
      <c r="BW90" s="24">
        <f>IF(BN90=[1]BD_CUSTO!$Q$7,[1]BD_CUSTO!$R$7,[1]BD_CUSTO!$R$8)*BO90/E90</f>
        <v>0</v>
      </c>
      <c r="BX90" s="24">
        <f>IF(BQ90=[1]BD_CUSTO!$Q$4,[1]BD_CUSTO!$R$4,[1]BD_CUSTO!$R$5)*BR90/E90</f>
        <v>0</v>
      </c>
      <c r="BY90" s="22">
        <f>IF(BS90=[1]BD_CUSTO!$Q$13,[1]BD_CUSTO!$R$13,[1]BD_CUSTO!$R$14)*BT90/E90</f>
        <v>0</v>
      </c>
      <c r="BZ90" s="24">
        <f>BV90*CUSTO!$R$10/E90</f>
        <v>18828.125</v>
      </c>
      <c r="CA90" s="26">
        <f>SUM(Tabela1[[#This Row],[SOMA_PISO SALA E QUARTO]],Tabela1[[#This Row],[SOMA_PAREDE HIDR]],Tabela1[[#This Row],[SOMA_TETO]],Tabela1[[#This Row],[SOMA_BANCADA]],Tabela1[[#This Row],[SOMA_PEDRAS]])</f>
        <v>5435</v>
      </c>
      <c r="CB90" s="27" t="str">
        <f>IF(CA90&lt;=RÉGUAS!$D$4,"ACAB 01",IF(CA90&lt;=RÉGUAS!$F$4,"ACAB 02",IF(CA90&gt;RÉGUAS!$F$4,"ACAB 03",)))</f>
        <v>ACAB 03</v>
      </c>
      <c r="CC90" s="26">
        <f>SUM(Tabela1[[#This Row],[SOMA_LZ 01]:[SOMA_LZ 10]])</f>
        <v>2666.2687500000002</v>
      </c>
      <c r="CD90" s="22" t="str">
        <f>IF(CC90&lt;=RÉGUAS!$D$13,"LZ 01",IF(CC90&lt;=RÉGUAS!$F$13,"LZ 02",IF(CC90&lt;=RÉGUAS!$H$13,"LZ 03",IF(CC90&gt;RÉGUAS!$H$13,"LZ 04",))))</f>
        <v>LZ 04</v>
      </c>
      <c r="CE90" s="28">
        <f t="shared" si="15"/>
        <v>5700</v>
      </c>
      <c r="CF90" s="22" t="str">
        <f>IF(CE90&lt;=RÉGUAS!$D$22,"TIP 01",IF(CE90&lt;=RÉGUAS!$F$22,"TIP 02",IF(CE90&gt;RÉGUAS!$F$22,"TIP 03",)))</f>
        <v>TIP 03</v>
      </c>
      <c r="CG90" s="28">
        <f t="shared" si="16"/>
        <v>18828.125</v>
      </c>
      <c r="CH90" s="22" t="str">
        <f>IF(CG90&lt;=RÉGUAS!$D$32,"VAGA 01",IF(CG90&lt;=RÉGUAS!$F$32,"VAGA 02",IF(CG90&gt;RÉGUAS!$F$32,"VAGA 03",)))</f>
        <v>VAGA 03</v>
      </c>
      <c r="CI90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8389.5</v>
      </c>
      <c r="CJ90" s="85" t="str">
        <f>IF(AND(G90="BLOCO",CI90&lt;=RÉGUAS!$D$40),"ELEV 01",IF(AND(G90="BLOCO",CI90&gt;RÉGUAS!$D$40),"ELEV 02",IF(AND(G90="TORRE",CI90&lt;=RÉGUAS!$K$40),"ELEV 01",IF(AND(G90="TORRE",CI90&lt;=RÉGUAS!$M$40),"ELEV 02",IF(AND(G90="TORRE",CI90&gt;RÉGUAS!$M$40),"ELEV 03",)))))</f>
        <v>ELEV 03</v>
      </c>
      <c r="CK90" s="85">
        <f>SUM(Tabela1[[#This Row],[TOTAL  ACAB]],Tabela1[[#This Row],[TOTAL LAZER ]],Tabela1[[#This Row],[TOTAL TIPOLOGIA]],Tabela1[[#This Row],[TOTAL VAGA]],Tabela1[[#This Row],[TOTAL ELEVADOR]])</f>
        <v>41018.893750000003</v>
      </c>
      <c r="CL90" s="72" t="str">
        <f>IF(AND(G90="BLOCO",CK90&lt;=RÉGUAS!$D$50),"ESSENCIAL",IF(AND(G90="BLOCO",CK90&lt;=RÉGUAS!$F$50),"ECO",IF(AND(G90="BLOCO",CK90&gt;RÉGUAS!$F$50),"BIO",IF(AND(G90="TORRE",CK90&lt;=RÉGUAS!$K$50),"ESSENCIAL",IF(AND(G90="TORRE",CK90&lt;=RÉGUAS!$M$50),"ECO",IF(AND(G90="TORRE",CK90&gt;RÉGUAS!$M$50),"BIO",))))))</f>
        <v>BIO</v>
      </c>
      <c r="CM90" s="28" t="str">
        <f>IF(AND(G90="BLOCO",CK90&gt;=RÉGUAS!$D$51,CK90&lt;=RÉGUAS!$D$50),"ESSENCIAL-10%",IF(AND(G90="BLOCO",CK90&gt;RÉGUAS!$D$50,CK90&lt;=RÉGUAS!$E$51),"ECO+10%",IF(AND(G90="BLOCO",CK90&gt;=RÉGUAS!$F$51,CK90&lt;=RÉGUAS!$F$50),"ECO-10%",IF(AND(G90="BLOCO",CK90&gt;RÉGUAS!$F$50,CK90&lt;=RÉGUAS!$G$51),"BIO+10%",IF(AND(G90="TORRE",CK90&gt;=RÉGUAS!$K$51,CK90&lt;=RÉGUAS!$K$50),"ESSENCIAL-10%",IF(AND(G90="TORRE",CK90&gt;RÉGUAS!$K$50,CK90&lt;=RÉGUAS!$L$51),"ECO+10%",IF(AND(G90="TORRE",CK90&gt;=RÉGUAS!$M$51,CK90&lt;=RÉGUAS!$M$50),"ECO-10%",IF(AND(G90="TORRE",CK90&gt;RÉGUAS!$M$50,CK90&lt;=RÉGUAS!$N$51),"BIO+10%","-"))))))))</f>
        <v>-</v>
      </c>
      <c r="CN90" s="73">
        <f t="shared" si="17"/>
        <v>32629.393749999999</v>
      </c>
      <c r="CO90" s="72" t="str">
        <f>IF(CN90&lt;=RÉGUAS!$D$58,"ESSENCIAL",IF(CN90&lt;=RÉGUAS!$F$58,"ECO",IF(CN90&gt;RÉGUAS!$F$58,"BIO",)))</f>
        <v>BIO</v>
      </c>
      <c r="CP90" s="72" t="str">
        <f>IF(Tabela1[[#This Row],[INTERVALO DE INTERSEÇÃO 5D]]="-",Tabela1[[#This Row],[CLASSIFICAÇÃO 
5D ]],Tabela1[[#This Row],[CLASSIFICAÇÃO 
4D]])</f>
        <v>BIO</v>
      </c>
      <c r="CQ90" s="72" t="str">
        <f t="shared" si="18"/>
        <v>-</v>
      </c>
      <c r="CR90" s="72" t="str">
        <f t="shared" si="19"/>
        <v>BIO</v>
      </c>
      <c r="CS90" s="22" t="str">
        <f>IF(Tabela1[[#This Row],[PRODUTO ATUAL ]]=Tabela1[[#This Row],[CLASSIFICAÇÃO FINAL 5D]],"ADERÊNTE","NÃO ADERÊNTE")</f>
        <v>ADERÊNTE</v>
      </c>
      <c r="CT90" s="24">
        <f>SUM(Tabela1[[#This Row],[TOTAL  ACAB]],Tabela1[[#This Row],[TOTAL LAZER ]],Tabela1[[#This Row],[TOTAL TIPOLOGIA]],Tabela1[[#This Row],[TOTAL VAGA]])</f>
        <v>32629.393749999999</v>
      </c>
      <c r="CU90" s="22" t="str">
        <f>IF(CT90&lt;=RÉGUAS!$D$58,"ESSENCIAL",IF(CT90&lt;=RÉGUAS!$F$58,"ECO",IF(CT90&gt;RÉGUAS!$F$58,"BIO",)))</f>
        <v>BIO</v>
      </c>
      <c r="CV90" s="22" t="str">
        <f>IF(AND(CT90&gt;=RÉGUAS!$D$59,CT90&lt;=RÉGUAS!$E$59),"ESSENCIAL/ECO",IF(AND(CT90&gt;=RÉGUAS!$F$59,CT90&lt;=RÉGUAS!$G$59),"ECO/BIO","-"))</f>
        <v>-</v>
      </c>
      <c r="CW90" s="85">
        <f>SUM(Tabela1[[#This Row],[TOTAL LAZER ]],Tabela1[[#This Row],[TOTAL TIPOLOGIA]])</f>
        <v>8366.2687499999993</v>
      </c>
      <c r="CX90" s="22" t="str">
        <f>IF(CW90&lt;=RÉGUAS!$D$72,"ESSENCIAL",IF(CW90&lt;=RÉGUAS!$F$72,"ECO",IF(CN90&gt;RÉGUAS!$F$72,"BIO",)))</f>
        <v>BIO</v>
      </c>
      <c r="CY90" s="22" t="str">
        <f t="shared" si="20"/>
        <v>BIO</v>
      </c>
      <c r="CZ90" s="22" t="str">
        <f>IF(Tabela1[[#This Row],[PRODUTO ATUAL ]]=CY90,"ADERENTE","NÃO ADERENTE")</f>
        <v>ADERENTE</v>
      </c>
      <c r="DA90" s="22" t="str">
        <f>IF(Tabela1[[#This Row],[PRODUTO ATUAL ]]=Tabela1[[#This Row],[CLASSIFICAÇÃO 
4D2]],"ADERENTE","NÃO ADERENTE")</f>
        <v>ADERENTE</v>
      </c>
    </row>
    <row r="91" spans="2:105" hidden="1" x14ac:dyDescent="0.35">
      <c r="B91" s="27">
        <v>97</v>
      </c>
      <c r="C91" s="22" t="s">
        <v>243</v>
      </c>
      <c r="D91" s="22" t="s">
        <v>154</v>
      </c>
      <c r="E91" s="23">
        <v>412</v>
      </c>
      <c r="F91" s="22" t="str">
        <f t="shared" si="14"/>
        <v>Acima de 400 und</v>
      </c>
      <c r="G91" s="22" t="s">
        <v>14</v>
      </c>
      <c r="H91" s="36">
        <v>3</v>
      </c>
      <c r="I91" s="36">
        <v>18</v>
      </c>
      <c r="J91" s="36"/>
      <c r="K91" s="36"/>
      <c r="L91" s="36">
        <f>SUM(Tabela1[[#This Row],[QTD DE B/T 2]],Tabela1[[#This Row],[QTD DE B/T]])</f>
        <v>3</v>
      </c>
      <c r="M91" s="22">
        <v>6</v>
      </c>
      <c r="N91" s="22">
        <f>Tabela1[[#This Row],[ELEVADOR]]/Tabela1[[#This Row],[BLOCO TOTAL]]</f>
        <v>2</v>
      </c>
      <c r="O91" s="22" t="s">
        <v>4</v>
      </c>
      <c r="P91" s="22" t="s">
        <v>101</v>
      </c>
      <c r="Q91" s="22" t="s">
        <v>101</v>
      </c>
      <c r="R91" s="22" t="s">
        <v>102</v>
      </c>
      <c r="S91" s="22" t="s">
        <v>159</v>
      </c>
      <c r="T91" s="22" t="s">
        <v>173</v>
      </c>
      <c r="U91" s="22" t="s">
        <v>174</v>
      </c>
      <c r="V91" s="22" t="s">
        <v>106</v>
      </c>
      <c r="W91" s="24">
        <f>IF(P91=[1]BD_CUSTO!$E$4,[1]BD_CUSTO!$F$4,[1]BD_CUSTO!$F$5)</f>
        <v>2430</v>
      </c>
      <c r="X91" s="24">
        <f>IF(Q91=[1]BD_CUSTO!$E$6,[1]BD_CUSTO!$F$6,[1]BD_CUSTO!$F$7)</f>
        <v>260</v>
      </c>
      <c r="Y91" s="24">
        <f>IF(R91=[1]BD_CUSTO!$E$8,[1]BD_CUSTO!$F$8,[1]BD_CUSTO!$F$9)</f>
        <v>600</v>
      </c>
      <c r="Z91" s="24">
        <f>IF(S91=[1]BD_CUSTO!$E$10,[1]BD_CUSTO!$F$10,[1]BD_CUSTO!$F$11)</f>
        <v>935</v>
      </c>
      <c r="AA91" s="24">
        <f>IF(T91=[1]BD_CUSTO!$E$12,[1]BD_CUSTO!$F$12,[1]BD_CUSTO!$F$13)</f>
        <v>930</v>
      </c>
      <c r="AB91" s="24">
        <f>IF(U91=[1]BD_CUSTO!$E$14,[1]BD_CUSTO!$F$14,[1]BD_CUSTO!$F$15)</f>
        <v>240</v>
      </c>
      <c r="AC91" s="24">
        <f>IF(V91=[1]BD_CUSTO!$E$16,[1]BD_CUSTO!$F$16,[1]BD_CUSTO!$F$17)</f>
        <v>720</v>
      </c>
      <c r="AD91" s="22" t="s">
        <v>121</v>
      </c>
      <c r="AE91" s="22">
        <v>2</v>
      </c>
      <c r="AF91" s="22" t="s">
        <v>107</v>
      </c>
      <c r="AG91" s="22">
        <v>2</v>
      </c>
      <c r="AH91" s="22" t="s">
        <v>129</v>
      </c>
      <c r="AI91" s="22">
        <v>1</v>
      </c>
      <c r="AJ91" s="22" t="s">
        <v>108</v>
      </c>
      <c r="AK91" s="22">
        <v>2</v>
      </c>
      <c r="AL91" s="22" t="s">
        <v>110</v>
      </c>
      <c r="AM91" s="22">
        <v>1</v>
      </c>
      <c r="AN91" s="22" t="s">
        <v>151</v>
      </c>
      <c r="AO91" s="22">
        <v>1</v>
      </c>
      <c r="AP91" s="22" t="s">
        <v>175</v>
      </c>
      <c r="AQ91" s="22">
        <v>1</v>
      </c>
      <c r="AR91" s="22" t="s">
        <v>167</v>
      </c>
      <c r="AS91" s="22">
        <v>1</v>
      </c>
      <c r="AT91" s="22"/>
      <c r="AU91" s="22"/>
      <c r="AV91" s="22"/>
      <c r="AW91" s="22"/>
      <c r="AX91" s="24">
        <f>IF(AD91="",0,VLOOKUP(AD91,[1]BD_CUSTO!I:J,2,0)*AE91/E91)</f>
        <v>597.84902912621351</v>
      </c>
      <c r="AY91" s="24">
        <f>IF(AF91="",0,VLOOKUP(AF91,[1]BD_CUSTO!I:J,2,0)*AG91/E91)</f>
        <v>413.34524271844657</v>
      </c>
      <c r="AZ91" s="24">
        <f>IF(AH91="",0,VLOOKUP(AH91,[1]BD_CUSTO!I:J,2,0)*AI91/E91)</f>
        <v>667.88247572815533</v>
      </c>
      <c r="BA91" s="24">
        <f>IF(AJ91="",0,VLOOKUP(AJ91,[1]BD_CUSTO!I:J,2,0)*AK91/E91)</f>
        <v>112.37864077669903</v>
      </c>
      <c r="BB91" s="24">
        <f>IF(AL91="",0,VLOOKUP(AL91,[1]BD_CUSTO!I:J,2,0)*AM91/E91)</f>
        <v>12.864077669902912</v>
      </c>
      <c r="BC91" s="24">
        <f>IF(AN91="",0,VLOOKUP(AN91,[1]BD_CUSTO!I:J,2,0)*AO91/E91)</f>
        <v>193.52716019417477</v>
      </c>
      <c r="BD91" s="24">
        <f>IF(AP91="",0,VLOOKUP(AP91,[1]BD_CUSTO!I:J,2,0)*AQ91/E91)</f>
        <v>26.189320388349515</v>
      </c>
      <c r="BE91" s="24">
        <f>IF(AR91="",0,VLOOKUP(AR91,CUSTO!I:J,2,0)*AS91/E91)</f>
        <v>199.16288834951456</v>
      </c>
      <c r="BF91" s="24">
        <f>IF(AT91="",0,VLOOKUP(AT91,[1]BD_CUSTO!I:J,2,0)*AU91/E91)</f>
        <v>0</v>
      </c>
      <c r="BG91" s="24">
        <f>IF(Tabela1[[#This Row],[LZ 10]]="",0,VLOOKUP(Tabela1[[#This Row],[LZ 10]],[1]BD_CUSTO!I:J,2,0)*Tabela1[[#This Row],[QTD922]]/E91)</f>
        <v>0</v>
      </c>
      <c r="BH91" s="22" t="s">
        <v>112</v>
      </c>
      <c r="BI91" s="25">
        <v>0.93200000000000005</v>
      </c>
      <c r="BJ91" s="22" t="s">
        <v>212</v>
      </c>
      <c r="BK91" s="25">
        <v>0.49020000000000002</v>
      </c>
      <c r="BL91" s="24">
        <f>IF(BH91=[1]BD_CUSTO!$M$6,[1]BD_CUSTO!$N$6)*BI91</f>
        <v>2796</v>
      </c>
      <c r="BM91" s="24">
        <f>IF(BJ91=[1]BD_CUSTO!$M$4,[1]BD_CUSTO!$N$4,[1]BD_CUSTO!$N$5)*BK91</f>
        <v>2941.2000000000003</v>
      </c>
      <c r="BN91" s="22" t="s">
        <v>114</v>
      </c>
      <c r="BO91" s="22">
        <v>117</v>
      </c>
      <c r="BP91" s="25">
        <f>Tabela1[[#This Row],[QTD ]]/Tabela1[[#This Row],[Nº UNDS]]</f>
        <v>0.28398058252427183</v>
      </c>
      <c r="BQ91" s="22" t="s">
        <v>115</v>
      </c>
      <c r="BR91" s="22">
        <v>0</v>
      </c>
      <c r="BS91" s="22" t="s">
        <v>116</v>
      </c>
      <c r="BT91" s="22">
        <v>0</v>
      </c>
      <c r="BU91" s="22" t="s">
        <v>222</v>
      </c>
      <c r="BV91" s="22">
        <v>237</v>
      </c>
      <c r="BW91" s="24">
        <f>IF(BN91=[1]BD_CUSTO!$Q$7,[1]BD_CUSTO!$R$7,[1]BD_CUSTO!$R$8)*BO91/E91</f>
        <v>567.96116504854365</v>
      </c>
      <c r="BX91" s="24">
        <f>IF(BQ91=[1]BD_CUSTO!$Q$4,[1]BD_CUSTO!$R$4,[1]BD_CUSTO!$R$5)*BR91/E91</f>
        <v>0</v>
      </c>
      <c r="BY91" s="22">
        <f>IF(BS91=[1]BD_CUSTO!$Q$13,[1]BD_CUSTO!$R$13,[1]BD_CUSTO!$R$14)*BT91/E91</f>
        <v>0</v>
      </c>
      <c r="BZ91" s="24">
        <f>BV91*CUSTO!$R$10/E91</f>
        <v>8628.6407766990287</v>
      </c>
      <c r="CA91" s="26">
        <f>SUM(Tabela1[[#This Row],[SOMA_PISO SALA E QUARTO]],Tabela1[[#This Row],[SOMA_PAREDE HIDR]],Tabela1[[#This Row],[SOMA_TETO]],Tabela1[[#This Row],[SOMA_BANCADA]],Tabela1[[#This Row],[SOMA_PEDRAS]])</f>
        <v>5135</v>
      </c>
      <c r="CB91" s="27" t="str">
        <f>IF(CA91&lt;=RÉGUAS!$D$4,"ACAB 01",IF(CA91&lt;=RÉGUAS!$F$4,"ACAB 02",IF(CA91&gt;RÉGUAS!$F$4,"ACAB 03",)))</f>
        <v>ACAB 03</v>
      </c>
      <c r="CC91" s="26">
        <f>SUM(Tabela1[[#This Row],[SOMA_LZ 01]:[SOMA_LZ 10]])</f>
        <v>2223.1988349514559</v>
      </c>
      <c r="CD91" s="22" t="str">
        <f>IF(CC91&lt;=RÉGUAS!$D$13,"LZ 01",IF(CC91&lt;=RÉGUAS!$F$13,"LZ 02",IF(CC91&lt;=RÉGUAS!$H$13,"LZ 03",IF(CC91&gt;RÉGUAS!$H$13,"LZ 04",))))</f>
        <v>LZ 03</v>
      </c>
      <c r="CE91" s="28">
        <f t="shared" si="15"/>
        <v>5737.2000000000007</v>
      </c>
      <c r="CF91" s="22" t="str">
        <f>IF(CE91&lt;=RÉGUAS!$D$22,"TIP 01",IF(CE91&lt;=RÉGUAS!$F$22,"TIP 02",IF(CE91&gt;RÉGUAS!$F$22,"TIP 03",)))</f>
        <v>TIP 03</v>
      </c>
      <c r="CG91" s="28">
        <f t="shared" si="16"/>
        <v>9196.6019417475727</v>
      </c>
      <c r="CH91" s="22" t="str">
        <f>IF(CG91&lt;=RÉGUAS!$D$32,"VAGA 01",IF(CG91&lt;=RÉGUAS!$F$32,"VAGA 02",IF(CG91&gt;RÉGUAS!$F$32,"VAGA 03",)))</f>
        <v>VAGA 03</v>
      </c>
      <c r="CI91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4398.3786407766993</v>
      </c>
      <c r="CJ91" s="85" t="str">
        <f>IF(AND(G91="BLOCO",CI91&lt;=RÉGUAS!$D$40),"ELEV 01",IF(AND(G91="BLOCO",CI91&gt;RÉGUAS!$D$40),"ELEV 02",IF(AND(G91="TORRE",CI91&lt;=RÉGUAS!$K$40),"ELEV 01",IF(AND(G91="TORRE",CI91&lt;=RÉGUAS!$M$40),"ELEV 02",IF(AND(G91="TORRE",CI91&gt;RÉGUAS!$M$40),"ELEV 03",)))))</f>
        <v>ELEV 03</v>
      </c>
      <c r="CK91" s="85">
        <f>SUM(Tabela1[[#This Row],[TOTAL  ACAB]],Tabela1[[#This Row],[TOTAL LAZER ]],Tabela1[[#This Row],[TOTAL TIPOLOGIA]],Tabela1[[#This Row],[TOTAL VAGA]],Tabela1[[#This Row],[TOTAL ELEVADOR]])</f>
        <v>26690.379417475731</v>
      </c>
      <c r="CL91" s="72" t="str">
        <f>IF(AND(G91="BLOCO",CK91&lt;=RÉGUAS!$D$50),"ESSENCIAL",IF(AND(G91="BLOCO",CK91&lt;=RÉGUAS!$F$50),"ECO",IF(AND(G91="BLOCO",CK91&gt;RÉGUAS!$F$50),"BIO",IF(AND(G91="TORRE",CK91&lt;=RÉGUAS!$K$50),"ESSENCIAL",IF(AND(G91="TORRE",CK91&lt;=RÉGUAS!$M$50),"ECO",IF(AND(G91="TORRE",CK91&gt;RÉGUAS!$M$50),"BIO",))))))</f>
        <v>BIO</v>
      </c>
      <c r="CM91" s="28" t="str">
        <f>IF(AND(G91="BLOCO",CK91&gt;=RÉGUAS!$D$51,CK91&lt;=RÉGUAS!$D$50),"ESSENCIAL-10%",IF(AND(G91="BLOCO",CK91&gt;RÉGUAS!$D$50,CK91&lt;=RÉGUAS!$E$51),"ECO+10%",IF(AND(G91="BLOCO",CK91&gt;=RÉGUAS!$F$51,CK91&lt;=RÉGUAS!$F$50),"ECO-10%",IF(AND(G91="BLOCO",CK91&gt;RÉGUAS!$F$50,CK91&lt;=RÉGUAS!$G$51),"BIO+10%",IF(AND(G91="TORRE",CK91&gt;=RÉGUAS!$K$51,CK91&lt;=RÉGUAS!$K$50),"ESSENCIAL-10%",IF(AND(G91="TORRE",CK91&gt;RÉGUAS!$K$50,CK91&lt;=RÉGUAS!$L$51),"ECO+10%",IF(AND(G91="TORRE",CK91&gt;=RÉGUAS!$M$51,CK91&lt;=RÉGUAS!$M$50),"ECO-10%",IF(AND(G91="TORRE",CK91&gt;RÉGUAS!$M$50,CK91&lt;=RÉGUAS!$N$51),"BIO+10%","-"))))))))</f>
        <v>-</v>
      </c>
      <c r="CN91" s="73">
        <f t="shared" si="17"/>
        <v>22292.000776699031</v>
      </c>
      <c r="CO91" s="72" t="str">
        <f>IF(CN91&lt;=RÉGUAS!$D$58,"ESSENCIAL",IF(CN91&lt;=RÉGUAS!$F$58,"ECO",IF(CN91&gt;RÉGUAS!$F$58,"BIO",)))</f>
        <v>BIO</v>
      </c>
      <c r="CP91" s="72" t="str">
        <f>IF(Tabela1[[#This Row],[INTERVALO DE INTERSEÇÃO 5D]]="-",Tabela1[[#This Row],[CLASSIFICAÇÃO 
5D ]],Tabela1[[#This Row],[CLASSIFICAÇÃO 
4D]])</f>
        <v>BIO</v>
      </c>
      <c r="CQ91" s="72" t="str">
        <f t="shared" si="18"/>
        <v>-</v>
      </c>
      <c r="CR91" s="72" t="str">
        <f t="shared" si="19"/>
        <v>BIO</v>
      </c>
      <c r="CS91" s="22" t="str">
        <f>IF(Tabela1[[#This Row],[PRODUTO ATUAL ]]=Tabela1[[#This Row],[CLASSIFICAÇÃO FINAL 5D]],"ADERÊNTE","NÃO ADERÊNTE")</f>
        <v>ADERÊNTE</v>
      </c>
      <c r="CT91" s="24">
        <f>SUM(Tabela1[[#This Row],[TOTAL  ACAB]],Tabela1[[#This Row],[TOTAL LAZER ]],Tabela1[[#This Row],[TOTAL TIPOLOGIA]],Tabela1[[#This Row],[TOTAL VAGA]])</f>
        <v>22292.000776699031</v>
      </c>
      <c r="CU91" s="22" t="str">
        <f>IF(CT91&lt;=RÉGUAS!$D$58,"ESSENCIAL",IF(CT91&lt;=RÉGUAS!$F$58,"ECO",IF(CT91&gt;RÉGUAS!$F$58,"BIO",)))</f>
        <v>BIO</v>
      </c>
      <c r="CV91" s="22" t="str">
        <f>IF(AND(CT91&gt;=RÉGUAS!$D$59,CT91&lt;=RÉGUAS!$E$59),"ESSENCIAL/ECO",IF(AND(CT91&gt;=RÉGUAS!$F$59,CT91&lt;=RÉGUAS!$G$59),"ECO/BIO","-"))</f>
        <v>-</v>
      </c>
      <c r="CW91" s="85">
        <f>SUM(Tabela1[[#This Row],[TOTAL LAZER ]],Tabela1[[#This Row],[TOTAL TIPOLOGIA]])</f>
        <v>7960.3988349514566</v>
      </c>
      <c r="CX91" s="22" t="str">
        <f>IF(CW91&lt;=RÉGUAS!$D$72,"ESSENCIAL",IF(CW91&lt;=RÉGUAS!$F$72,"ECO",IF(CN91&gt;RÉGUAS!$F$72,"BIO",)))</f>
        <v>BIO</v>
      </c>
      <c r="CY91" s="22" t="str">
        <f t="shared" si="20"/>
        <v>BIO</v>
      </c>
      <c r="CZ91" s="22" t="str">
        <f>IF(Tabela1[[#This Row],[PRODUTO ATUAL ]]=CY91,"ADERENTE","NÃO ADERENTE")</f>
        <v>ADERENTE</v>
      </c>
      <c r="DA91" s="22" t="str">
        <f>IF(Tabela1[[#This Row],[PRODUTO ATUAL ]]=Tabela1[[#This Row],[CLASSIFICAÇÃO 
4D2]],"ADERENTE","NÃO ADERENTE")</f>
        <v>ADERENTE</v>
      </c>
    </row>
    <row r="92" spans="2:105" x14ac:dyDescent="0.35">
      <c r="B92" s="27">
        <v>98</v>
      </c>
      <c r="C92" s="22" t="s">
        <v>245</v>
      </c>
      <c r="D92" s="22" t="s">
        <v>154</v>
      </c>
      <c r="E92" s="128">
        <v>288</v>
      </c>
      <c r="F92" s="22" t="str">
        <f t="shared" si="14"/>
        <v>De 200 a 400 und</v>
      </c>
      <c r="G92" s="76" t="s">
        <v>14</v>
      </c>
      <c r="H92" s="129">
        <v>2</v>
      </c>
      <c r="I92" s="129">
        <v>18</v>
      </c>
      <c r="J92" s="36"/>
      <c r="K92" s="36"/>
      <c r="L92" s="36">
        <f>SUM(Tabela1[[#This Row],[QTD DE B/T 2]],Tabela1[[#This Row],[QTD DE B/T]])</f>
        <v>2</v>
      </c>
      <c r="M92" s="22">
        <v>4</v>
      </c>
      <c r="N92" s="22">
        <f>Tabela1[[#This Row],[ELEVADOR]]/Tabela1[[#This Row],[BLOCO TOTAL]]</f>
        <v>2</v>
      </c>
      <c r="O92" s="22" t="s">
        <v>4</v>
      </c>
      <c r="P92" s="22" t="s">
        <v>119</v>
      </c>
      <c r="Q92" s="22" t="s">
        <v>101</v>
      </c>
      <c r="R92" s="22" t="s">
        <v>142</v>
      </c>
      <c r="S92" s="22" t="s">
        <v>159</v>
      </c>
      <c r="T92" s="22" t="s">
        <v>173</v>
      </c>
      <c r="U92" s="22" t="s">
        <v>174</v>
      </c>
      <c r="V92" s="22" t="s">
        <v>106</v>
      </c>
      <c r="W92" s="24">
        <f>IF(P92=[1]BD_CUSTO!$E$4,[1]BD_CUSTO!$F$4,[1]BD_CUSTO!$F$5)</f>
        <v>530</v>
      </c>
      <c r="X92" s="24">
        <f>IF(Q92=[1]BD_CUSTO!$E$6,[1]BD_CUSTO!$F$6,[1]BD_CUSTO!$F$7)</f>
        <v>260</v>
      </c>
      <c r="Y92" s="24">
        <f>IF(R92=[1]BD_CUSTO!$E$8,[1]BD_CUSTO!$F$8,[1]BD_CUSTO!$F$9)</f>
        <v>900</v>
      </c>
      <c r="Z92" s="24">
        <f>IF(S92=[1]BD_CUSTO!$E$10,[1]BD_CUSTO!$F$10,[1]BD_CUSTO!$F$11)</f>
        <v>935</v>
      </c>
      <c r="AA92" s="24">
        <f>IF(T92=[1]BD_CUSTO!$E$12,[1]BD_CUSTO!$F$12,[1]BD_CUSTO!$F$13)</f>
        <v>930</v>
      </c>
      <c r="AB92" s="24">
        <f>IF(U92=[1]BD_CUSTO!$E$14,[1]BD_CUSTO!$F$14,[1]BD_CUSTO!$F$15)</f>
        <v>240</v>
      </c>
      <c r="AC92" s="24">
        <f>IF(V92=[1]BD_CUSTO!$E$16,[1]BD_CUSTO!$F$16,[1]BD_CUSTO!$F$17)</f>
        <v>720</v>
      </c>
      <c r="AD92" s="76" t="s">
        <v>107</v>
      </c>
      <c r="AE92" s="76">
        <v>1</v>
      </c>
      <c r="AF92" s="76" t="s">
        <v>108</v>
      </c>
      <c r="AG92" s="76">
        <v>1</v>
      </c>
      <c r="AH92" s="76" t="s">
        <v>129</v>
      </c>
      <c r="AI92" s="76">
        <v>1</v>
      </c>
      <c r="AJ92" s="76" t="s">
        <v>110</v>
      </c>
      <c r="AK92" s="76">
        <v>1</v>
      </c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4">
        <f>IF(AD92="",0,VLOOKUP(AD92,[1]BD_CUSTO!I:J,2,0)*AE92/E92)</f>
        <v>295.65666666666664</v>
      </c>
      <c r="AY92" s="24">
        <f>IF(AF92="",0,VLOOKUP(AF92,[1]BD_CUSTO!I:J,2,0)*AG92/E92)</f>
        <v>80.381944444444443</v>
      </c>
      <c r="AZ92" s="24">
        <f>IF(AH92="",0,VLOOKUP(AH92,[1]BD_CUSTO!I:J,2,0)*AI92/E92)</f>
        <v>955.44298611111117</v>
      </c>
      <c r="BA92" s="24">
        <f>IF(AJ92="",0,VLOOKUP(AJ92,[1]BD_CUSTO!I:J,2,0)*AK92/E92)</f>
        <v>18.402777777777779</v>
      </c>
      <c r="BB92" s="24">
        <f>IF(AL92="",0,VLOOKUP(AL92,[1]BD_CUSTO!I:J,2,0)*AM92/E92)</f>
        <v>0</v>
      </c>
      <c r="BC92" s="24">
        <f>IF(AN92="",0,VLOOKUP(AN92,[1]BD_CUSTO!I:J,2,0)*AO92/E92)</f>
        <v>0</v>
      </c>
      <c r="BD92" s="24">
        <f>IF(AP92="",0,VLOOKUP(AP92,[1]BD_CUSTO!I:J,2,0)*AQ92/E92)</f>
        <v>0</v>
      </c>
      <c r="BE92" s="24">
        <f>IF(AR92="",0,VLOOKUP(AR92,CUSTO!I:J,2,0)*AS92/E92)</f>
        <v>0</v>
      </c>
      <c r="BF92" s="24">
        <f>IF(AT92="",0,VLOOKUP(AT92,[1]BD_CUSTO!I:J,2,0)*AU92/E92)</f>
        <v>0</v>
      </c>
      <c r="BG92" s="24">
        <f>IF(Tabela1[[#This Row],[LZ 10]]="",0,VLOOKUP(Tabela1[[#This Row],[LZ 10]],[1]BD_CUSTO!I:J,2,0)*Tabela1[[#This Row],[QTD922]]/E92)</f>
        <v>0</v>
      </c>
      <c r="BH92" s="127" t="s">
        <v>112</v>
      </c>
      <c r="BI92" s="127">
        <f>272/Tabela1[[#This Row],[Nº UNDS]]</f>
        <v>0.94444444444444442</v>
      </c>
      <c r="BJ92" s="76" t="s">
        <v>212</v>
      </c>
      <c r="BK92" s="127">
        <f>144/Tabela1[[#This Row],[Nº UNDS]]</f>
        <v>0.5</v>
      </c>
      <c r="BL92" s="24">
        <f>IF(BH92=[1]BD_CUSTO!$M$6,[1]BD_CUSTO!$N$6)*BI92</f>
        <v>2833.3333333333335</v>
      </c>
      <c r="BM92" s="24">
        <f>IF(BJ92=[1]BD_CUSTO!$M$4,[1]BD_CUSTO!$N$4,[1]BD_CUSTO!$N$5)*BK92</f>
        <v>3000</v>
      </c>
      <c r="BN92" s="22" t="s">
        <v>114</v>
      </c>
      <c r="BO92" s="22">
        <v>172</v>
      </c>
      <c r="BP92" s="25">
        <f>Tabela1[[#This Row],[QTD ]]/Tabela1[[#This Row],[Nº UNDS]]</f>
        <v>0.59722222222222221</v>
      </c>
      <c r="BQ92" s="22" t="s">
        <v>115</v>
      </c>
      <c r="BR92" s="22">
        <v>0</v>
      </c>
      <c r="BS92" s="22" t="s">
        <v>116</v>
      </c>
      <c r="BT92" s="22">
        <v>0</v>
      </c>
      <c r="BU92" s="22" t="s">
        <v>16</v>
      </c>
      <c r="BV92" s="22">
        <v>0</v>
      </c>
      <c r="BW92" s="24">
        <f>IF(BN92=[1]BD_CUSTO!$Q$7,[1]BD_CUSTO!$R$7,[1]BD_CUSTO!$R$8)*BO92/E92</f>
        <v>1194.4444444444443</v>
      </c>
      <c r="BX92" s="24">
        <f>IF(BQ92=[1]BD_CUSTO!$Q$4,[1]BD_CUSTO!$R$4,[1]BD_CUSTO!$R$5)*BR92/E92</f>
        <v>0</v>
      </c>
      <c r="BY92" s="22">
        <f>IF(BS92=[1]BD_CUSTO!$Q$13,[1]BD_CUSTO!$R$13,[1]BD_CUSTO!$R$14)*BT92/E92</f>
        <v>0</v>
      </c>
      <c r="BZ92" s="24">
        <f>BV92*CUSTO!$R$10/E92</f>
        <v>0</v>
      </c>
      <c r="CA92" s="26">
        <f>SUM(Tabela1[[#This Row],[SOMA_PISO SALA E QUARTO]],Tabela1[[#This Row],[SOMA_PAREDE HIDR]],Tabela1[[#This Row],[SOMA_TETO]],Tabela1[[#This Row],[SOMA_BANCADA]],Tabela1[[#This Row],[SOMA_PEDRAS]])</f>
        <v>3535</v>
      </c>
      <c r="CB92" s="27" t="str">
        <f>IF(CA92&lt;=RÉGUAS!$D$4,"ACAB 01",IF(CA92&lt;=RÉGUAS!$F$4,"ACAB 02",IF(CA92&gt;RÉGUAS!$F$4,"ACAB 03",)))</f>
        <v>ACAB 02</v>
      </c>
      <c r="CC92" s="26">
        <f>SUM(Tabela1[[#This Row],[SOMA_LZ 01]:[SOMA_LZ 10]])</f>
        <v>1349.8843750000001</v>
      </c>
      <c r="CD92" s="22" t="str">
        <f>IF(CC92&lt;=RÉGUAS!$D$13,"LZ 01",IF(CC92&lt;=RÉGUAS!$F$13,"LZ 02",IF(CC92&lt;=RÉGUAS!$H$13,"LZ 03",IF(CC92&gt;RÉGUAS!$H$13,"LZ 04",))))</f>
        <v>LZ 02</v>
      </c>
      <c r="CE92" s="28">
        <f t="shared" si="15"/>
        <v>5833.3333333333339</v>
      </c>
      <c r="CF92" s="22" t="str">
        <f>IF(CE92&lt;=RÉGUAS!$D$22,"TIP 01",IF(CE92&lt;=RÉGUAS!$F$22,"TIP 02",IF(CE92&gt;RÉGUAS!$F$22,"TIP 03",)))</f>
        <v>TIP 03</v>
      </c>
      <c r="CG92" s="28">
        <f t="shared" si="16"/>
        <v>1194.4444444444443</v>
      </c>
      <c r="CH92" s="22" t="str">
        <f>IF(CG92&lt;=RÉGUAS!$D$32,"VAGA 01",IF(CG92&lt;=RÉGUAS!$F$32,"VAGA 02",IF(CG92&gt;RÉGUAS!$F$32,"VAGA 03",)))</f>
        <v>VAGA 01</v>
      </c>
      <c r="CI92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4194.75</v>
      </c>
      <c r="CJ92" s="85" t="str">
        <f>IF(AND(G92="BLOCO",CI92&lt;=RÉGUAS!$D$40),"ELEV 01",IF(AND(G92="BLOCO",CI92&gt;RÉGUAS!$D$40),"ELEV 02",IF(AND(G92="TORRE",CI92&lt;=RÉGUAS!$K$40),"ELEV 01",IF(AND(G92="TORRE",CI92&lt;=RÉGUAS!$M$40),"ELEV 02",IF(AND(G92="TORRE",CI92&gt;RÉGUAS!$M$40),"ELEV 03",)))))</f>
        <v>ELEV 03</v>
      </c>
      <c r="CK92" s="85">
        <f>SUM(Tabela1[[#This Row],[TOTAL  ACAB]],Tabela1[[#This Row],[TOTAL LAZER ]],Tabela1[[#This Row],[TOTAL TIPOLOGIA]],Tabela1[[#This Row],[TOTAL VAGA]],Tabela1[[#This Row],[TOTAL ELEVADOR]])</f>
        <v>16107.412152777779</v>
      </c>
      <c r="CL92" s="72" t="str">
        <f>IF(AND(G92="BLOCO",CK92&lt;=RÉGUAS!$D$50),"ESSENCIAL",IF(AND(G92="BLOCO",CK92&lt;=RÉGUAS!$F$50),"ECO",IF(AND(G92="BLOCO",CK92&gt;RÉGUAS!$F$50),"BIO",IF(AND(G92="TORRE",CK92&lt;=RÉGUAS!$K$50),"ESSENCIAL",IF(AND(G92="TORRE",CK92&lt;=RÉGUAS!$M$50),"ECO",IF(AND(G92="TORRE",CK92&gt;RÉGUAS!$M$50),"BIO",))))))</f>
        <v>BIO</v>
      </c>
      <c r="CM92" s="28" t="str">
        <f>IF(AND(G92="BLOCO",CK92&gt;=RÉGUAS!$D$51,CK92&lt;=RÉGUAS!$D$50),"ESSENCIAL-10%",IF(AND(G92="BLOCO",CK92&gt;RÉGUAS!$D$50,CK92&lt;=RÉGUAS!$E$51),"ECO+10%",IF(AND(G92="BLOCO",CK92&gt;=RÉGUAS!$F$51,CK92&lt;=RÉGUAS!$F$50),"ECO-10%",IF(AND(G92="BLOCO",CK92&gt;RÉGUAS!$F$50,CK92&lt;=RÉGUAS!$G$51),"BIO+10%",IF(AND(G92="TORRE",CK92&gt;=RÉGUAS!$K$51,CK92&lt;=RÉGUAS!$K$50),"ESSENCIAL-10%",IF(AND(G92="TORRE",CK92&gt;RÉGUAS!$K$50,CK92&lt;=RÉGUAS!$L$51),"ECO+10%",IF(AND(G92="TORRE",CK92&gt;=RÉGUAS!$M$51,CK92&lt;=RÉGUAS!$M$50),"ECO-10%",IF(AND(G92="TORRE",CK92&gt;RÉGUAS!$M$50,CK92&lt;=RÉGUAS!$N$51),"BIO+10%","-"))))))))</f>
        <v>-</v>
      </c>
      <c r="CN92" s="73">
        <f t="shared" si="17"/>
        <v>11912.662152777779</v>
      </c>
      <c r="CO92" s="72" t="str">
        <f>IF(CN92&lt;=RÉGUAS!$D$58,"ESSENCIAL",IF(CN92&lt;=RÉGUAS!$F$58,"ECO",IF(CN92&gt;RÉGUAS!$F$58,"BIO",)))</f>
        <v>BIO</v>
      </c>
      <c r="CP92" s="72" t="str">
        <f>IF(Tabela1[[#This Row],[INTERVALO DE INTERSEÇÃO 5D]]="-",Tabela1[[#This Row],[CLASSIFICAÇÃO 
5D ]],Tabela1[[#This Row],[CLASSIFICAÇÃO 
4D]])</f>
        <v>BIO</v>
      </c>
      <c r="CQ92" s="72" t="str">
        <f t="shared" si="18"/>
        <v>-</v>
      </c>
      <c r="CR92" s="72" t="str">
        <f t="shared" si="19"/>
        <v>BIO</v>
      </c>
      <c r="CS92" s="22" t="str">
        <f>IF(Tabela1[[#This Row],[PRODUTO ATUAL ]]=Tabela1[[#This Row],[CLASSIFICAÇÃO FINAL 5D]],"ADERÊNTE","NÃO ADERÊNTE")</f>
        <v>ADERÊNTE</v>
      </c>
      <c r="CT92" s="24">
        <f>SUM(Tabela1[[#This Row],[TOTAL  ACAB]],Tabela1[[#This Row],[TOTAL LAZER ]],Tabela1[[#This Row],[TOTAL TIPOLOGIA]],Tabela1[[#This Row],[TOTAL VAGA]])</f>
        <v>11912.662152777779</v>
      </c>
      <c r="CU92" s="22" t="str">
        <f>IF(CT92&lt;=RÉGUAS!$D$58,"ESSENCIAL",IF(CT92&lt;=RÉGUAS!$F$58,"ECO",IF(CT92&gt;RÉGUAS!$F$58,"BIO",)))</f>
        <v>BIO</v>
      </c>
      <c r="CV92" s="22" t="str">
        <f>IF(AND(CT92&gt;=RÉGUAS!$D$59,CT92&lt;=RÉGUAS!$E$59),"ESSENCIAL/ECO",IF(AND(CT92&gt;=RÉGUAS!$F$59,CT92&lt;=RÉGUAS!$G$59),"ECO/BIO","-"))</f>
        <v>ECO/BIO</v>
      </c>
      <c r="CW92" s="85">
        <f>SUM(Tabela1[[#This Row],[TOTAL LAZER ]],Tabela1[[#This Row],[TOTAL TIPOLOGIA]])</f>
        <v>7183.2177083333336</v>
      </c>
      <c r="CX92" s="22" t="str">
        <f>IF(CW92&lt;=RÉGUAS!$D$72,"ESSENCIAL",IF(CW92&lt;=RÉGUAS!$F$72,"ECO",IF(CN92&gt;RÉGUAS!$F$72,"BIO",)))</f>
        <v>BIO</v>
      </c>
      <c r="CY92" s="22" t="str">
        <f t="shared" si="20"/>
        <v>BIO</v>
      </c>
      <c r="CZ92" s="22" t="str">
        <f>IF(Tabela1[[#This Row],[PRODUTO ATUAL ]]=CY92,"ADERENTE","NÃO ADERENTE")</f>
        <v>ADERENTE</v>
      </c>
      <c r="DA92" s="22" t="str">
        <f>IF(Tabela1[[#This Row],[PRODUTO ATUAL ]]=Tabela1[[#This Row],[CLASSIFICAÇÃO 
4D2]],"ADERENTE","NÃO ADERENTE")</f>
        <v>ADERENTE</v>
      </c>
    </row>
    <row r="93" spans="2:105" x14ac:dyDescent="0.35">
      <c r="B93" s="27">
        <v>91</v>
      </c>
      <c r="C93" s="22" t="s">
        <v>207</v>
      </c>
      <c r="D93" s="76" t="s">
        <v>125</v>
      </c>
      <c r="E93" s="128">
        <v>360</v>
      </c>
      <c r="F93" s="22" t="str">
        <f t="shared" si="14"/>
        <v>De 200 a 400 und</v>
      </c>
      <c r="G93" s="22" t="s">
        <v>14</v>
      </c>
      <c r="H93" s="129">
        <v>2</v>
      </c>
      <c r="I93" s="129">
        <v>15</v>
      </c>
      <c r="J93" s="129"/>
      <c r="K93" s="129"/>
      <c r="L93" s="129">
        <f>SUM(Tabela1[[#This Row],[QTD DE B/T 2]],Tabela1[[#This Row],[QTD DE B/T]])</f>
        <v>2</v>
      </c>
      <c r="M93" s="22">
        <v>6</v>
      </c>
      <c r="N93" s="22">
        <f>Tabela1[[#This Row],[ELEVADOR]]/Tabela1[[#This Row],[BLOCO TOTAL]]</f>
        <v>3</v>
      </c>
      <c r="O93" s="76" t="s">
        <v>4</v>
      </c>
      <c r="P93" s="76" t="s">
        <v>101</v>
      </c>
      <c r="Q93" s="76" t="s">
        <v>101</v>
      </c>
      <c r="R93" s="76" t="s">
        <v>142</v>
      </c>
      <c r="S93" s="76" t="s">
        <v>159</v>
      </c>
      <c r="T93" s="76" t="s">
        <v>173</v>
      </c>
      <c r="U93" s="76" t="s">
        <v>174</v>
      </c>
      <c r="V93" s="76" t="s">
        <v>106</v>
      </c>
      <c r="W93" s="24">
        <f>IF(P93=[1]BD_CUSTO!$E$4,[1]BD_CUSTO!$F$4,[1]BD_CUSTO!$F$5)</f>
        <v>2430</v>
      </c>
      <c r="X93" s="24">
        <f>IF(Q93=[1]BD_CUSTO!$E$6,[1]BD_CUSTO!$F$6,[1]BD_CUSTO!$F$7)</f>
        <v>260</v>
      </c>
      <c r="Y93" s="24">
        <f>IF(R93=[1]BD_CUSTO!$E$8,[1]BD_CUSTO!$F$8,[1]BD_CUSTO!$F$9)</f>
        <v>900</v>
      </c>
      <c r="Z93" s="24">
        <f>IF(S93=[1]BD_CUSTO!$E$10,[1]BD_CUSTO!$F$10,[1]BD_CUSTO!$F$11)</f>
        <v>935</v>
      </c>
      <c r="AA93" s="24">
        <f>IF(T93=[1]BD_CUSTO!$E$12,[1]BD_CUSTO!$F$12,[1]BD_CUSTO!$F$13)</f>
        <v>930</v>
      </c>
      <c r="AB93" s="24">
        <f>IF(U93=[1]BD_CUSTO!$E$14,[1]BD_CUSTO!$F$14,[1]BD_CUSTO!$F$15)</f>
        <v>240</v>
      </c>
      <c r="AC93" s="24">
        <f>IF(V93=[1]BD_CUSTO!$E$16,[1]BD_CUSTO!$F$16,[1]BD_CUSTO!$F$17)</f>
        <v>720</v>
      </c>
      <c r="AD93" s="76" t="s">
        <v>109</v>
      </c>
      <c r="AE93" s="76">
        <v>1</v>
      </c>
      <c r="AF93" s="76" t="s">
        <v>108</v>
      </c>
      <c r="AG93" s="76">
        <v>1</v>
      </c>
      <c r="AH93" s="76" t="s">
        <v>121</v>
      </c>
      <c r="AI93" s="76">
        <v>2</v>
      </c>
      <c r="AJ93" s="76" t="s">
        <v>107</v>
      </c>
      <c r="AK93" s="76">
        <v>4</v>
      </c>
      <c r="AL93" s="76" t="s">
        <v>111</v>
      </c>
      <c r="AM93" s="76">
        <v>2</v>
      </c>
      <c r="AN93" s="76" t="s">
        <v>167</v>
      </c>
      <c r="AO93" s="76">
        <v>1</v>
      </c>
      <c r="AP93" s="76" t="s">
        <v>110</v>
      </c>
      <c r="AQ93" s="76">
        <v>1</v>
      </c>
      <c r="AR93" s="76" t="s">
        <v>175</v>
      </c>
      <c r="AS93" s="76">
        <v>1</v>
      </c>
      <c r="AT93" s="76" t="s">
        <v>135</v>
      </c>
      <c r="AU93" s="76">
        <v>1</v>
      </c>
      <c r="AV93" s="22"/>
      <c r="AW93" s="22"/>
      <c r="AX93" s="24">
        <f>IF(AD93="",0,VLOOKUP(AD93,[1]BD_CUSTO!I:J,2,0)*AE93/E93)</f>
        <v>19.305555555555557</v>
      </c>
      <c r="AY93" s="24">
        <f>IF(AF93="",0,VLOOKUP(AF93,[1]BD_CUSTO!I:J,2,0)*AG93/E93)</f>
        <v>64.305555555555557</v>
      </c>
      <c r="AZ93" s="24">
        <f>IF(AH93="",0,VLOOKUP(AH93,[1]BD_CUSTO!I:J,2,0)*AI93/E93)</f>
        <v>684.20499999999993</v>
      </c>
      <c r="BA93" s="24">
        <f>IF(AJ93="",0,VLOOKUP(AJ93,[1]BD_CUSTO!I:J,2,0)*AK93/E93)</f>
        <v>946.10133333333329</v>
      </c>
      <c r="BB93" s="24">
        <f>IF(AL93="",0,VLOOKUP(AL93,[1]BD_CUSTO!I:J,2,0)*AM93/E93)</f>
        <v>90</v>
      </c>
      <c r="BC93" s="24">
        <f>IF(AN93="",0,VLOOKUP(AN93,[1]BD_CUSTO!I:J,2,0)*AO93/E93)</f>
        <v>227.93086111111111</v>
      </c>
      <c r="BD93" s="24">
        <f>IF(AP93="",0,VLOOKUP(AP93,[1]BD_CUSTO!I:J,2,0)*AQ93/E93)</f>
        <v>14.722222222222221</v>
      </c>
      <c r="BE93" s="24">
        <f>IF(AR93="",0,VLOOKUP(AR93,CUSTO!I:J,2,0)*AS93/E93)</f>
        <v>29.972222222222221</v>
      </c>
      <c r="BF93" s="24">
        <f>IF(AT93="",0,VLOOKUP(AT93,[1]BD_CUSTO!I:J,2,0)*AU93/E93)</f>
        <v>350.19066666666669</v>
      </c>
      <c r="BG93" s="24">
        <f>IF(Tabela1[[#This Row],[LZ 10]]="",0,VLOOKUP(Tabela1[[#This Row],[LZ 10]],[1]BD_CUSTO!I:J,2,0)*Tabela1[[#This Row],[QTD922]]/E93)</f>
        <v>0</v>
      </c>
      <c r="BH93" s="76" t="s">
        <v>112</v>
      </c>
      <c r="BI93" s="127">
        <v>0.67</v>
      </c>
      <c r="BJ93" s="76" t="s">
        <v>113</v>
      </c>
      <c r="BK93" s="127">
        <v>0</v>
      </c>
      <c r="BL93" s="24">
        <f>IF(BH93=[1]BD_CUSTO!$M$6,[1]BD_CUSTO!$N$6)*BI93</f>
        <v>2010.0000000000002</v>
      </c>
      <c r="BM93" s="24">
        <f>IF(BJ93=[1]BD_CUSTO!$M$4,[1]BD_CUSTO!$N$4,[1]BD_CUSTO!$N$5)*BK93</f>
        <v>0</v>
      </c>
      <c r="BN93" s="76" t="s">
        <v>114</v>
      </c>
      <c r="BO93" s="76">
        <v>360</v>
      </c>
      <c r="BP93" s="25">
        <f>Tabela1[[#This Row],[QTD ]]/Tabela1[[#This Row],[Nº UNDS]]</f>
        <v>1</v>
      </c>
      <c r="BQ93" s="22" t="s">
        <v>115</v>
      </c>
      <c r="BR93" s="22">
        <v>0</v>
      </c>
      <c r="BS93" s="22" t="s">
        <v>116</v>
      </c>
      <c r="BT93" s="22">
        <v>0</v>
      </c>
      <c r="BU93" s="22" t="s">
        <v>16</v>
      </c>
      <c r="BV93" s="22">
        <v>0</v>
      </c>
      <c r="BW93" s="24">
        <f>IF(BN93=[1]BD_CUSTO!$Q$7,[1]BD_CUSTO!$R$7,[1]BD_CUSTO!$R$8)*BO93/E93</f>
        <v>2000</v>
      </c>
      <c r="BX93" s="24">
        <f>IF(BQ93=[1]BD_CUSTO!$Q$4,[1]BD_CUSTO!$R$4,[1]BD_CUSTO!$R$5)*BR93/E93</f>
        <v>0</v>
      </c>
      <c r="BY93" s="22">
        <f>IF(BS93=[1]BD_CUSTO!$Q$13,[1]BD_CUSTO!$R$13,[1]BD_CUSTO!$R$14)*BT93/E93</f>
        <v>0</v>
      </c>
      <c r="BZ93" s="24">
        <f>BV93*CUSTO!$R$10/E93</f>
        <v>0</v>
      </c>
      <c r="CA93" s="26">
        <f>SUM(Tabela1[[#This Row],[SOMA_PISO SALA E QUARTO]],Tabela1[[#This Row],[SOMA_PAREDE HIDR]],Tabela1[[#This Row],[SOMA_TETO]],Tabela1[[#This Row],[SOMA_BANCADA]],Tabela1[[#This Row],[SOMA_PEDRAS]])</f>
        <v>5435</v>
      </c>
      <c r="CB93" s="27" t="str">
        <f>IF(CA93&lt;=RÉGUAS!$D$4,"ACAB 01",IF(CA93&lt;=RÉGUAS!$F$4,"ACAB 02",IF(CA93&gt;RÉGUAS!$F$4,"ACAB 03",)))</f>
        <v>ACAB 03</v>
      </c>
      <c r="CC93" s="26">
        <f>SUM(Tabela1[[#This Row],[SOMA_LZ 01]:[SOMA_LZ 10]])</f>
        <v>2426.7334166666669</v>
      </c>
      <c r="CD93" s="22" t="str">
        <f>IF(CC93&lt;=RÉGUAS!$D$13,"LZ 01",IF(CC93&lt;=RÉGUAS!$F$13,"LZ 02",IF(CC93&lt;=RÉGUAS!$H$13,"LZ 03",IF(CC93&gt;RÉGUAS!$H$13,"LZ 04",))))</f>
        <v>LZ 03</v>
      </c>
      <c r="CE93" s="28">
        <f t="shared" si="15"/>
        <v>2010.0000000000002</v>
      </c>
      <c r="CF93" s="22" t="str">
        <f>IF(CE93&lt;=RÉGUAS!$D$22,"TIP 01",IF(CE93&lt;=RÉGUAS!$F$22,"TIP 02",IF(CE93&gt;RÉGUAS!$F$22,"TIP 03",)))</f>
        <v>TIP 02</v>
      </c>
      <c r="CG93" s="28">
        <f t="shared" si="16"/>
        <v>2000</v>
      </c>
      <c r="CH93" s="22" t="str">
        <f>IF(CG93&lt;=RÉGUAS!$D$32,"VAGA 01",IF(CG93&lt;=RÉGUAS!$F$32,"VAGA 02",IF(CG93&gt;RÉGUAS!$F$32,"VAGA 03",)))</f>
        <v>VAGA 02</v>
      </c>
      <c r="CI93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4194.75</v>
      </c>
      <c r="CJ93" s="85" t="str">
        <f>IF(AND(G93="BLOCO",CI93&lt;=RÉGUAS!$D$40),"ELEV 01",IF(AND(G93="BLOCO",CI93&gt;RÉGUAS!$D$40),"ELEV 02",IF(AND(G93="TORRE",CI93&lt;=RÉGUAS!$K$40),"ELEV 01",IF(AND(G93="TORRE",CI93&lt;=RÉGUAS!$M$40),"ELEV 02",IF(AND(G93="TORRE",CI93&gt;RÉGUAS!$M$40),"ELEV 03",)))))</f>
        <v>ELEV 03</v>
      </c>
      <c r="CK93" s="85">
        <f>SUM(Tabela1[[#This Row],[TOTAL  ACAB]],Tabela1[[#This Row],[TOTAL LAZER ]],Tabela1[[#This Row],[TOTAL TIPOLOGIA]],Tabela1[[#This Row],[TOTAL VAGA]],Tabela1[[#This Row],[TOTAL ELEVADOR]])</f>
        <v>16066.483416666668</v>
      </c>
      <c r="CL93" s="72" t="str">
        <f>IF(AND(G93="BLOCO",CK93&lt;=RÉGUAS!$D$50),"ESSENCIAL",IF(AND(G93="BLOCO",CK93&lt;=RÉGUAS!$F$50),"ECO",IF(AND(G93="BLOCO",CK93&gt;RÉGUAS!$F$50),"BIO",IF(AND(G93="TORRE",CK93&lt;=RÉGUAS!$K$50),"ESSENCIAL",IF(AND(G93="TORRE",CK93&lt;=RÉGUAS!$M$50),"ECO",IF(AND(G93="TORRE",CK93&gt;RÉGUAS!$M$50),"BIO",))))))</f>
        <v>BIO</v>
      </c>
      <c r="CM93" s="28" t="str">
        <f>IF(AND(G93="BLOCO",CK93&gt;=RÉGUAS!$D$51,CK93&lt;=RÉGUAS!$D$50),"ESSENCIAL-10%",IF(AND(G93="BLOCO",CK93&gt;RÉGUAS!$D$50,CK93&lt;=RÉGUAS!$E$51),"ECO+10%",IF(AND(G93="BLOCO",CK93&gt;=RÉGUAS!$F$51,CK93&lt;=RÉGUAS!$F$50),"ECO-10%",IF(AND(G93="BLOCO",CK93&gt;RÉGUAS!$F$50,CK93&lt;=RÉGUAS!$G$51),"BIO+10%",IF(AND(G93="TORRE",CK93&gt;=RÉGUAS!$K$51,CK93&lt;=RÉGUAS!$K$50),"ESSENCIAL-10%",IF(AND(G93="TORRE",CK93&gt;RÉGUAS!$K$50,CK93&lt;=RÉGUAS!$L$51),"ECO+10%",IF(AND(G93="TORRE",CK93&gt;=RÉGUAS!$M$51,CK93&lt;=RÉGUAS!$M$50),"ECO-10%",IF(AND(G93="TORRE",CK93&gt;RÉGUAS!$M$50,CK93&lt;=RÉGUAS!$N$51),"BIO+10%","-"))))))))</f>
        <v>-</v>
      </c>
      <c r="CN93" s="73">
        <f t="shared" si="17"/>
        <v>11871.733416666668</v>
      </c>
      <c r="CO93" s="72" t="str">
        <f>IF(CN93&lt;=RÉGUAS!$D$58,"ESSENCIAL",IF(CN93&lt;=RÉGUAS!$F$58,"ECO",IF(CN93&gt;RÉGUAS!$F$58,"BIO",)))</f>
        <v>BIO</v>
      </c>
      <c r="CP93" s="72" t="str">
        <f>IF(Tabela1[[#This Row],[INTERVALO DE INTERSEÇÃO 5D]]="-",Tabela1[[#This Row],[CLASSIFICAÇÃO 
5D ]],Tabela1[[#This Row],[CLASSIFICAÇÃO 
4D]])</f>
        <v>BIO</v>
      </c>
      <c r="CQ93" s="72" t="str">
        <f t="shared" si="18"/>
        <v>-</v>
      </c>
      <c r="CR93" s="72" t="str">
        <f t="shared" si="19"/>
        <v>BIO</v>
      </c>
      <c r="CS93" s="22" t="str">
        <f>IF(Tabela1[[#This Row],[PRODUTO ATUAL ]]=Tabela1[[#This Row],[CLASSIFICAÇÃO FINAL 5D]],"ADERÊNTE","NÃO ADERÊNTE")</f>
        <v>ADERÊNTE</v>
      </c>
      <c r="CT93" s="24">
        <f>SUM(Tabela1[[#This Row],[TOTAL  ACAB]],Tabela1[[#This Row],[TOTAL LAZER ]],Tabela1[[#This Row],[TOTAL TIPOLOGIA]],Tabela1[[#This Row],[TOTAL VAGA]])</f>
        <v>11871.733416666668</v>
      </c>
      <c r="CU93" s="22" t="str">
        <f>IF(CT93&lt;=RÉGUAS!$D$58,"ESSENCIAL",IF(CT93&lt;=RÉGUAS!$F$58,"ECO",IF(CT93&gt;RÉGUAS!$F$58,"BIO",)))</f>
        <v>BIO</v>
      </c>
      <c r="CV93" s="22" t="str">
        <f>IF(AND(CT93&gt;=RÉGUAS!$D$59,CT93&lt;=RÉGUAS!$E$59),"ESSENCIAL/ECO",IF(AND(CT93&gt;=RÉGUAS!$F$59,CT93&lt;=RÉGUAS!$G$59),"ECO/BIO","-"))</f>
        <v>ECO/BIO</v>
      </c>
      <c r="CW93" s="85">
        <f>SUM(Tabela1[[#This Row],[TOTAL LAZER ]],Tabela1[[#This Row],[TOTAL TIPOLOGIA]])</f>
        <v>4436.7334166666669</v>
      </c>
      <c r="CX93" s="22" t="str">
        <f>IF(CW93&lt;=RÉGUAS!$D$72,"ESSENCIAL",IF(CW93&lt;=RÉGUAS!$F$72,"ECO",IF(CN93&gt;RÉGUAS!$F$72,"BIO",)))</f>
        <v>ECO</v>
      </c>
      <c r="CY93" s="22" t="str">
        <f t="shared" si="20"/>
        <v>ECO</v>
      </c>
      <c r="CZ93" s="22" t="str">
        <f>IF(Tabela1[[#This Row],[PRODUTO ATUAL ]]=CY93,"ADERENTE","NÃO ADERENTE")</f>
        <v>NÃO ADERENTE</v>
      </c>
      <c r="DA93" s="22" t="str">
        <f>IF(Tabela1[[#This Row],[PRODUTO ATUAL ]]=Tabela1[[#This Row],[CLASSIFICAÇÃO 
4D2]],"ADERENTE","NÃO ADERENTE")</f>
        <v>ADERENTE</v>
      </c>
    </row>
    <row r="94" spans="2:105" hidden="1" x14ac:dyDescent="0.35">
      <c r="B94" s="27">
        <v>8</v>
      </c>
      <c r="C94" s="22" t="s">
        <v>228</v>
      </c>
      <c r="D94" s="22" t="s">
        <v>147</v>
      </c>
      <c r="E94" s="22">
        <v>136</v>
      </c>
      <c r="F94" s="22" t="str">
        <f t="shared" si="14"/>
        <v>Até 200 und</v>
      </c>
      <c r="G94" s="22" t="s">
        <v>14</v>
      </c>
      <c r="H94" s="36">
        <v>1</v>
      </c>
      <c r="I94" s="36">
        <v>17</v>
      </c>
      <c r="J94" s="36"/>
      <c r="K94" s="36"/>
      <c r="L94" s="36">
        <f>SUM(Tabela1[[#This Row],[QTD DE B/T 2]],Tabela1[[#This Row],[QTD DE B/T]])</f>
        <v>1</v>
      </c>
      <c r="M94" s="22">
        <v>2</v>
      </c>
      <c r="N94" s="22">
        <f>Tabela1[[#This Row],[ELEVADOR]]/Tabela1[[#This Row],[BLOCO TOTAL]]</f>
        <v>2</v>
      </c>
      <c r="O94" s="22" t="s">
        <v>4</v>
      </c>
      <c r="P94" s="22" t="s">
        <v>101</v>
      </c>
      <c r="Q94" s="22" t="s">
        <v>101</v>
      </c>
      <c r="R94" s="22" t="s">
        <v>142</v>
      </c>
      <c r="S94" s="22" t="s">
        <v>159</v>
      </c>
      <c r="T94" s="22" t="s">
        <v>173</v>
      </c>
      <c r="U94" s="22" t="s">
        <v>174</v>
      </c>
      <c r="V94" s="22" t="s">
        <v>137</v>
      </c>
      <c r="W94" s="24">
        <f>IF(P94=[1]BD_CUSTO!$E$4,[1]BD_CUSTO!$F$4,[1]BD_CUSTO!$F$5)</f>
        <v>2430</v>
      </c>
      <c r="X94" s="24">
        <f>IF(Q94=[1]BD_CUSTO!$E$6,[1]BD_CUSTO!$F$6,[1]BD_CUSTO!$F$7)</f>
        <v>260</v>
      </c>
      <c r="Y94" s="24">
        <f>IF(R94=[1]BD_CUSTO!$E$8,[1]BD_CUSTO!$F$8,[1]BD_CUSTO!$F$9)</f>
        <v>900</v>
      </c>
      <c r="Z94" s="24">
        <f>IF(S94=[1]BD_CUSTO!$E$10,[1]BD_CUSTO!$F$10,[1]BD_CUSTO!$F$11)</f>
        <v>935</v>
      </c>
      <c r="AA94" s="24">
        <f>IF(T94=[1]BD_CUSTO!$E$12,[1]BD_CUSTO!$F$12,[1]BD_CUSTO!$F$13)</f>
        <v>930</v>
      </c>
      <c r="AB94" s="24">
        <f>IF(U94=[1]BD_CUSTO!$E$14,[1]BD_CUSTO!$F$14,[1]BD_CUSTO!$F$15)</f>
        <v>240</v>
      </c>
      <c r="AC94" s="24">
        <f>IF(V94=[1]BD_CUSTO!$E$16,[1]BD_CUSTO!$F$16,[1]BD_CUSTO!$F$17)</f>
        <v>1320</v>
      </c>
      <c r="AD94" s="22" t="s">
        <v>110</v>
      </c>
      <c r="AE94" s="22">
        <v>1</v>
      </c>
      <c r="AF94" s="22" t="s">
        <v>108</v>
      </c>
      <c r="AG94" s="22">
        <v>1</v>
      </c>
      <c r="AH94" s="22" t="s">
        <v>109</v>
      </c>
      <c r="AI94" s="22">
        <v>1</v>
      </c>
      <c r="AJ94" s="22" t="s">
        <v>107</v>
      </c>
      <c r="AK94" s="22">
        <v>1</v>
      </c>
      <c r="AL94" s="22" t="s">
        <v>120</v>
      </c>
      <c r="AM94" s="22">
        <v>1</v>
      </c>
      <c r="AN94" s="22" t="s">
        <v>129</v>
      </c>
      <c r="AO94" s="22">
        <v>1</v>
      </c>
      <c r="AP94" s="22"/>
      <c r="AQ94" s="22">
        <v>0</v>
      </c>
      <c r="AR94" s="22"/>
      <c r="AS94" s="22">
        <v>0</v>
      </c>
      <c r="AT94" s="22"/>
      <c r="AU94" s="22"/>
      <c r="AV94" s="22"/>
      <c r="AW94" s="22"/>
      <c r="AX94" s="24">
        <f>IF(AD94="",0,VLOOKUP(AD94,[1]BD_CUSTO!I:J,2,0)*AE94/E94)</f>
        <v>38.970588235294116</v>
      </c>
      <c r="AY94" s="24">
        <f>IF(AF94="",0,VLOOKUP(AF94,[1]BD_CUSTO!I:J,2,0)*AG94/E94)</f>
        <v>170.22058823529412</v>
      </c>
      <c r="AZ94" s="24">
        <f>IF(AH94="",0,VLOOKUP(AH94,[1]BD_CUSTO!I:J,2,0)*AI94/E94)</f>
        <v>51.102941176470587</v>
      </c>
      <c r="BA94" s="24">
        <f>IF(AJ94="",0,VLOOKUP(AJ94,[1]BD_CUSTO!I:J,2,0)*AK94/E94)</f>
        <v>626.09647058823521</v>
      </c>
      <c r="BB94" s="24">
        <f>IF(AL94="",0,VLOOKUP(AL94,[1]BD_CUSTO!I:J,2,0)*AM94/E94)</f>
        <v>418.44764705882352</v>
      </c>
      <c r="BC94" s="24">
        <f>IF(AN94="",0,VLOOKUP(AN94,[1]BD_CUSTO!I:J,2,0)*AO94/E94)</f>
        <v>2023.2910294117648</v>
      </c>
      <c r="BD94" s="24">
        <f>IF(AP94="",0,VLOOKUP(AP94,[1]BD_CUSTO!I:J,2,0)*AQ94/E94)</f>
        <v>0</v>
      </c>
      <c r="BE94" s="24">
        <f>IF(AR94="",0,VLOOKUP(AR94,CUSTO!I:J,2,0)*AS94/E94)</f>
        <v>0</v>
      </c>
      <c r="BF94" s="24">
        <f>IF(AT94="",0,VLOOKUP(AT94,[1]BD_CUSTO!I:J,2,0)*AU94/E94)</f>
        <v>0</v>
      </c>
      <c r="BG94" s="24">
        <f>IF(Tabela1[[#This Row],[LZ 10]]="",0,VLOOKUP(Tabela1[[#This Row],[LZ 10]],[1]BD_CUSTO!I:J,2,0)*Tabela1[[#This Row],[QTD922]]/E94)</f>
        <v>0</v>
      </c>
      <c r="BH94" s="22" t="s">
        <v>112</v>
      </c>
      <c r="BI94" s="25">
        <v>0.9</v>
      </c>
      <c r="BJ94" s="29" t="s">
        <v>212</v>
      </c>
      <c r="BK94" s="25">
        <v>0.5</v>
      </c>
      <c r="BL94" s="24">
        <f>IF(BH94=[1]BD_CUSTO!$M$6,[1]BD_CUSTO!$N$6)*BI94</f>
        <v>2700</v>
      </c>
      <c r="BM94" s="24">
        <f>IF(BJ94=[1]BD_CUSTO!$M$4,[1]BD_CUSTO!$N$4,[1]BD_CUSTO!$N$5)*BK94</f>
        <v>3000</v>
      </c>
      <c r="BN94" s="22" t="s">
        <v>114</v>
      </c>
      <c r="BO94" s="22">
        <v>138</v>
      </c>
      <c r="BP94" s="25">
        <f>Tabela1[[#This Row],[QTD ]]/Tabela1[[#This Row],[Nº UNDS]]</f>
        <v>1.0147058823529411</v>
      </c>
      <c r="BQ94" s="22" t="s">
        <v>115</v>
      </c>
      <c r="BR94" s="22">
        <v>0</v>
      </c>
      <c r="BS94" s="22" t="s">
        <v>116</v>
      </c>
      <c r="BT94" s="22">
        <v>0</v>
      </c>
      <c r="BU94" s="22" t="s">
        <v>16</v>
      </c>
      <c r="BV94" s="29">
        <v>0</v>
      </c>
      <c r="BW94" s="24">
        <f>IF(BN94=[1]BD_CUSTO!$Q$7,[1]BD_CUSTO!$R$7,[1]BD_CUSTO!$R$8)*BO94/E94</f>
        <v>2029.4117647058824</v>
      </c>
      <c r="BX94" s="24">
        <f>IF(BQ94=[1]BD_CUSTO!$Q$4,[1]BD_CUSTO!$R$4,[1]BD_CUSTO!$R$5)*BR94/E94</f>
        <v>0</v>
      </c>
      <c r="BY94" s="22">
        <f>IF(BS94=[1]BD_CUSTO!$Q$13,[1]BD_CUSTO!$R$13,[1]BD_CUSTO!$R$14)*BT94/E94</f>
        <v>0</v>
      </c>
      <c r="BZ94" s="24">
        <f>BV94*CUSTO!$R$10/E94</f>
        <v>0</v>
      </c>
      <c r="CA94" s="26">
        <f>SUM(Tabela1[[#This Row],[SOMA_PISO SALA E QUARTO]],Tabela1[[#This Row],[SOMA_PAREDE HIDR]],Tabela1[[#This Row],[SOMA_TETO]],Tabela1[[#This Row],[SOMA_BANCADA]],Tabela1[[#This Row],[SOMA_PEDRAS]])</f>
        <v>5435</v>
      </c>
      <c r="CB94" s="27" t="str">
        <f>IF(CA94&lt;=RÉGUAS!$D$4,"ACAB 01",IF(CA94&lt;=RÉGUAS!$F$4,"ACAB 02",IF(CA94&gt;RÉGUAS!$F$4,"ACAB 03",)))</f>
        <v>ACAB 03</v>
      </c>
      <c r="CC94" s="26">
        <f>SUM(Tabela1[[#This Row],[SOMA_LZ 01]:[SOMA_LZ 10]])</f>
        <v>3328.1292647058826</v>
      </c>
      <c r="CD94" s="22" t="str">
        <f>IF(CC94&lt;=RÉGUAS!$D$13,"LZ 01",IF(CC94&lt;=RÉGUAS!$F$13,"LZ 02",IF(CC94&lt;=RÉGUAS!$H$13,"LZ 03",IF(CC94&gt;RÉGUAS!$H$13,"LZ 04",))))</f>
        <v>LZ 04</v>
      </c>
      <c r="CE94" s="28">
        <f t="shared" si="15"/>
        <v>5700</v>
      </c>
      <c r="CF94" s="22" t="str">
        <f>IF(CE94&lt;=RÉGUAS!$D$22,"TIP 01",IF(CE94&lt;=RÉGUAS!$F$22,"TIP 02",IF(CE94&gt;RÉGUAS!$F$22,"TIP 03",)))</f>
        <v>TIP 03</v>
      </c>
      <c r="CG94" s="28">
        <f t="shared" si="16"/>
        <v>2029.4117647058824</v>
      </c>
      <c r="CH94" s="22" t="str">
        <f>IF(CG94&lt;=RÉGUAS!$D$32,"VAGA 01",IF(CG94&lt;=RÉGUAS!$F$32,"VAGA 02",IF(CG94&gt;RÉGUAS!$F$32,"VAGA 03",)))</f>
        <v>VAGA 02</v>
      </c>
      <c r="CI94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4194.75</v>
      </c>
      <c r="CJ94" s="85" t="str">
        <f>IF(AND(G94="BLOCO",CI94&lt;=RÉGUAS!$D$40),"ELEV 01",IF(AND(G94="BLOCO",CI94&gt;RÉGUAS!$D$40),"ELEV 02",IF(AND(G94="TORRE",CI94&lt;=RÉGUAS!$K$40),"ELEV 01",IF(AND(G94="TORRE",CI94&lt;=RÉGUAS!$M$40),"ELEV 02",IF(AND(G94="TORRE",CI94&gt;RÉGUAS!$M$40),"ELEV 03",)))))</f>
        <v>ELEV 03</v>
      </c>
      <c r="CK94" s="85">
        <f>SUM(Tabela1[[#This Row],[TOTAL  ACAB]],Tabela1[[#This Row],[TOTAL LAZER ]],Tabela1[[#This Row],[TOTAL TIPOLOGIA]],Tabela1[[#This Row],[TOTAL VAGA]],Tabela1[[#This Row],[TOTAL ELEVADOR]])</f>
        <v>20687.291029411765</v>
      </c>
      <c r="CL94" s="72" t="str">
        <f>IF(AND(G94="BLOCO",CK94&lt;=RÉGUAS!$D$50),"ESSENCIAL",IF(AND(G94="BLOCO",CK94&lt;=RÉGUAS!$F$50),"ECO",IF(AND(G94="BLOCO",CK94&gt;RÉGUAS!$F$50),"BIO",IF(AND(G94="TORRE",CK94&lt;=RÉGUAS!$K$50),"ESSENCIAL",IF(AND(G94="TORRE",CK94&lt;=RÉGUAS!$M$50),"ECO",IF(AND(G94="TORRE",CK94&gt;RÉGUAS!$M$50),"BIO",))))))</f>
        <v>BIO</v>
      </c>
      <c r="CM94" s="28" t="str">
        <f>IF(AND(G94="BLOCO",CK94&gt;=RÉGUAS!$D$51,CK94&lt;=RÉGUAS!$D$50),"ESSENCIAL-10%",IF(AND(G94="BLOCO",CK94&gt;RÉGUAS!$D$50,CK94&lt;=RÉGUAS!$E$51),"ECO+10%",IF(AND(G94="BLOCO",CK94&gt;=RÉGUAS!$F$51,CK94&lt;=RÉGUAS!$F$50),"ECO-10%",IF(AND(G94="BLOCO",CK94&gt;RÉGUAS!$F$50,CK94&lt;=RÉGUAS!$G$51),"BIO+10%",IF(AND(G94="TORRE",CK94&gt;=RÉGUAS!$K$51,CK94&lt;=RÉGUAS!$K$50),"ESSENCIAL-10%",IF(AND(G94="TORRE",CK94&gt;RÉGUAS!$K$50,CK94&lt;=RÉGUAS!$L$51),"ECO+10%",IF(AND(G94="TORRE",CK94&gt;=RÉGUAS!$M$51,CK94&lt;=RÉGUAS!$M$50),"ECO-10%",IF(AND(G94="TORRE",CK94&gt;RÉGUAS!$M$50,CK94&lt;=RÉGUAS!$N$51),"BIO+10%","-"))))))))</f>
        <v>-</v>
      </c>
      <c r="CN94" s="73">
        <f t="shared" si="17"/>
        <v>16492.541029411765</v>
      </c>
      <c r="CO94" s="72" t="str">
        <f>IF(CN94&lt;=RÉGUAS!$D$58,"ESSENCIAL",IF(CN94&lt;=RÉGUAS!$F$58,"ECO",IF(CN94&gt;RÉGUAS!$F$58,"BIO",)))</f>
        <v>BIO</v>
      </c>
      <c r="CP94" s="72" t="str">
        <f>IF(Tabela1[[#This Row],[INTERVALO DE INTERSEÇÃO 5D]]="-",Tabela1[[#This Row],[CLASSIFICAÇÃO 
5D ]],Tabela1[[#This Row],[CLASSIFICAÇÃO 
4D]])</f>
        <v>BIO</v>
      </c>
      <c r="CQ94" s="72" t="str">
        <f t="shared" si="18"/>
        <v>-</v>
      </c>
      <c r="CR94" s="72" t="str">
        <f t="shared" si="19"/>
        <v>BIO</v>
      </c>
      <c r="CS94" s="22" t="str">
        <f>IF(Tabela1[[#This Row],[PRODUTO ATUAL ]]=Tabela1[[#This Row],[CLASSIFICAÇÃO FINAL 5D]],"ADERÊNTE","NÃO ADERÊNTE")</f>
        <v>ADERÊNTE</v>
      </c>
      <c r="CT94" s="24">
        <f>SUM(Tabela1[[#This Row],[TOTAL  ACAB]],Tabela1[[#This Row],[TOTAL LAZER ]],Tabela1[[#This Row],[TOTAL TIPOLOGIA]],Tabela1[[#This Row],[TOTAL VAGA]])</f>
        <v>16492.541029411765</v>
      </c>
      <c r="CU94" s="22" t="str">
        <f>IF(CT94&lt;=RÉGUAS!$D$58,"ESSENCIAL",IF(CT94&lt;=RÉGUAS!$F$58,"ECO",IF(CT94&gt;RÉGUAS!$F$58,"BIO",)))</f>
        <v>BIO</v>
      </c>
      <c r="CV94" s="22" t="str">
        <f>IF(AND(CT94&gt;=RÉGUAS!$D$59,CT94&lt;=RÉGUAS!$E$59),"ESSENCIAL/ECO",IF(AND(CT94&gt;=RÉGUAS!$F$59,CT94&lt;=RÉGUAS!$G$59),"ECO/BIO","-"))</f>
        <v>-</v>
      </c>
      <c r="CW94" s="85">
        <f>SUM(Tabela1[[#This Row],[TOTAL LAZER ]],Tabela1[[#This Row],[TOTAL TIPOLOGIA]])</f>
        <v>9028.1292647058835</v>
      </c>
      <c r="CX94" s="22" t="str">
        <f>IF(CW94&lt;=RÉGUAS!$D$72,"ESSENCIAL",IF(CW94&lt;=RÉGUAS!$F$72,"ECO",IF(CN94&gt;RÉGUAS!$F$72,"BIO",)))</f>
        <v>BIO</v>
      </c>
      <c r="CY94" s="22" t="str">
        <f t="shared" si="20"/>
        <v>BIO</v>
      </c>
      <c r="CZ94" s="22" t="str">
        <f>IF(Tabela1[[#This Row],[PRODUTO ATUAL ]]=CY94,"ADERENTE","NÃO ADERENTE")</f>
        <v>ADERENTE</v>
      </c>
      <c r="DA94" s="22" t="str">
        <f>IF(Tabela1[[#This Row],[PRODUTO ATUAL ]]=Tabela1[[#This Row],[CLASSIFICAÇÃO 
4D2]],"ADERENTE","NÃO ADERENTE")</f>
        <v>ADERENTE</v>
      </c>
    </row>
    <row r="95" spans="2:105" x14ac:dyDescent="0.35">
      <c r="B95" s="27">
        <v>6</v>
      </c>
      <c r="C95" s="22" t="s">
        <v>186</v>
      </c>
      <c r="D95" s="22" t="s">
        <v>125</v>
      </c>
      <c r="E95" s="133">
        <v>360</v>
      </c>
      <c r="F95" s="22" t="str">
        <f t="shared" si="14"/>
        <v>De 200 a 400 und</v>
      </c>
      <c r="G95" s="22" t="s">
        <v>14</v>
      </c>
      <c r="H95" s="135">
        <v>2</v>
      </c>
      <c r="I95" s="135">
        <v>15</v>
      </c>
      <c r="J95" s="135"/>
      <c r="K95" s="135"/>
      <c r="L95" s="135">
        <f>SUM(Tabela1[[#This Row],[QTD DE B/T 2]],Tabela1[[#This Row],[QTD DE B/T]])</f>
        <v>2</v>
      </c>
      <c r="M95" s="22">
        <v>6</v>
      </c>
      <c r="N95" s="22">
        <f>Tabela1[[#This Row],[ELEVADOR]]/Tabela1[[#This Row],[BLOCO TOTAL]]</f>
        <v>3</v>
      </c>
      <c r="O95" s="133" t="s">
        <v>4</v>
      </c>
      <c r="P95" s="133" t="s">
        <v>101</v>
      </c>
      <c r="Q95" s="133" t="s">
        <v>101</v>
      </c>
      <c r="R95" s="133" t="s">
        <v>142</v>
      </c>
      <c r="S95" s="133" t="s">
        <v>159</v>
      </c>
      <c r="T95" s="133" t="s">
        <v>173</v>
      </c>
      <c r="U95" s="133" t="s">
        <v>174</v>
      </c>
      <c r="V95" s="22" t="s">
        <v>106</v>
      </c>
      <c r="W95" s="24">
        <f>IF(P95=[1]BD_CUSTO!$E$4,[1]BD_CUSTO!$F$4,[1]BD_CUSTO!$F$5)</f>
        <v>2430</v>
      </c>
      <c r="X95" s="24">
        <f>IF(Q95=[1]BD_CUSTO!$E$6,[1]BD_CUSTO!$F$6,[1]BD_CUSTO!$F$7)</f>
        <v>260</v>
      </c>
      <c r="Y95" s="24">
        <f>IF(R95=[1]BD_CUSTO!$E$8,[1]BD_CUSTO!$F$8,[1]BD_CUSTO!$F$9)</f>
        <v>900</v>
      </c>
      <c r="Z95" s="24">
        <f>IF(S95=[1]BD_CUSTO!$E$10,[1]BD_CUSTO!$F$10,[1]BD_CUSTO!$F$11)</f>
        <v>935</v>
      </c>
      <c r="AA95" s="24">
        <f>IF(T95=[1]BD_CUSTO!$E$12,[1]BD_CUSTO!$F$12,[1]BD_CUSTO!$F$13)</f>
        <v>930</v>
      </c>
      <c r="AB95" s="24">
        <f>IF(U95=[1]BD_CUSTO!$E$14,[1]BD_CUSTO!$F$14,[1]BD_CUSTO!$F$15)</f>
        <v>240</v>
      </c>
      <c r="AC95" s="24">
        <f>IF(V95=[1]BD_CUSTO!$E$16,[1]BD_CUSTO!$F$16,[1]BD_CUSTO!$F$17)</f>
        <v>720</v>
      </c>
      <c r="AD95" s="133" t="s">
        <v>167</v>
      </c>
      <c r="AE95" s="133">
        <v>1</v>
      </c>
      <c r="AF95" s="133" t="s">
        <v>108</v>
      </c>
      <c r="AG95" s="133">
        <v>1</v>
      </c>
      <c r="AH95" s="133" t="s">
        <v>107</v>
      </c>
      <c r="AI95" s="133">
        <v>1</v>
      </c>
      <c r="AJ95" s="133" t="s">
        <v>121</v>
      </c>
      <c r="AK95" s="133">
        <v>2</v>
      </c>
      <c r="AL95" s="133" t="s">
        <v>135</v>
      </c>
      <c r="AM95" s="133">
        <v>1</v>
      </c>
      <c r="AN95" s="133" t="s">
        <v>109</v>
      </c>
      <c r="AO95" s="133">
        <v>1</v>
      </c>
      <c r="AP95" s="133" t="s">
        <v>110</v>
      </c>
      <c r="AQ95" s="133">
        <v>1</v>
      </c>
      <c r="AR95" s="22"/>
      <c r="AS95" s="22">
        <v>0</v>
      </c>
      <c r="AT95" s="22"/>
      <c r="AU95" s="22"/>
      <c r="AV95" s="22"/>
      <c r="AW95" s="22"/>
      <c r="AX95" s="24">
        <f>IF(AD95="",0,VLOOKUP(AD95,[1]BD_CUSTO!I:J,2,0)*AE95/E95)</f>
        <v>227.93086111111111</v>
      </c>
      <c r="AY95" s="24">
        <f>IF(AF95="",0,VLOOKUP(AF95,[1]BD_CUSTO!I:J,2,0)*AG95/E95)</f>
        <v>64.305555555555557</v>
      </c>
      <c r="AZ95" s="24">
        <f>IF(AH95="",0,VLOOKUP(AH95,[1]BD_CUSTO!I:J,2,0)*AI95/E95)</f>
        <v>236.52533333333332</v>
      </c>
      <c r="BA95" s="24">
        <f>IF(AJ95="",0,VLOOKUP(AJ95,[1]BD_CUSTO!I:J,2,0)*AK95/E95)</f>
        <v>684.20499999999993</v>
      </c>
      <c r="BB95" s="24">
        <f>IF(AL95="",0,VLOOKUP(AL95,[1]BD_CUSTO!I:J,2,0)*AM95/E95)</f>
        <v>350.19066666666669</v>
      </c>
      <c r="BC95" s="24">
        <f>IF(AN95="",0,VLOOKUP(AN95,[1]BD_CUSTO!I:J,2,0)*AO95/E95)</f>
        <v>19.305555555555557</v>
      </c>
      <c r="BD95" s="24">
        <f>IF(AP95="",0,VLOOKUP(AP95,[1]BD_CUSTO!I:J,2,0)*AQ95/E95)</f>
        <v>14.722222222222221</v>
      </c>
      <c r="BE95" s="24">
        <f>IF(AR95="",0,VLOOKUP(AR95,CUSTO!I:J,2,0)*AS95/E95)</f>
        <v>0</v>
      </c>
      <c r="BF95" s="24">
        <f>IF(AT95="",0,VLOOKUP(AT95,[1]BD_CUSTO!I:J,2,0)*AU95/E95)</f>
        <v>0</v>
      </c>
      <c r="BG95" s="24">
        <f>IF(Tabela1[[#This Row],[LZ 10]]="",0,VLOOKUP(Tabela1[[#This Row],[LZ 10]],[1]BD_CUSTO!I:J,2,0)*Tabela1[[#This Row],[QTD922]]/E95)</f>
        <v>0</v>
      </c>
      <c r="BH95" s="133" t="s">
        <v>112</v>
      </c>
      <c r="BI95" s="136">
        <v>0.66600000000000004</v>
      </c>
      <c r="BJ95" s="137" t="s">
        <v>113</v>
      </c>
      <c r="BK95" s="136">
        <v>0</v>
      </c>
      <c r="BL95" s="24">
        <f>IF(BH95=[1]BD_CUSTO!$M$6,[1]BD_CUSTO!$N$6)*BI95</f>
        <v>1998</v>
      </c>
      <c r="BM95" s="24">
        <f>IF(BJ95=[1]BD_CUSTO!$M$4,[1]BD_CUSTO!$N$4,[1]BD_CUSTO!$N$5)*BK95</f>
        <v>0</v>
      </c>
      <c r="BN95" s="133" t="s">
        <v>114</v>
      </c>
      <c r="BO95" s="133">
        <v>368</v>
      </c>
      <c r="BP95" s="25">
        <f>Tabela1[[#This Row],[QTD ]]/Tabela1[[#This Row],[Nº UNDS]]</f>
        <v>1.0222222222222221</v>
      </c>
      <c r="BQ95" s="22" t="s">
        <v>115</v>
      </c>
      <c r="BR95" s="22">
        <v>0</v>
      </c>
      <c r="BS95" s="22" t="s">
        <v>116</v>
      </c>
      <c r="BT95" s="22">
        <v>0</v>
      </c>
      <c r="BU95" s="22" t="s">
        <v>16</v>
      </c>
      <c r="BV95" s="29">
        <v>0</v>
      </c>
      <c r="BW95" s="24">
        <f>IF(BN95=[1]BD_CUSTO!$Q$7,[1]BD_CUSTO!$R$7,[1]BD_CUSTO!$R$8)*BO95/E95</f>
        <v>2044.4444444444443</v>
      </c>
      <c r="BX95" s="24">
        <f>IF(BQ95=[1]BD_CUSTO!$Q$4,[1]BD_CUSTO!$R$4,[1]BD_CUSTO!$R$5)*BR95/E95</f>
        <v>0</v>
      </c>
      <c r="BY95" s="22">
        <f>IF(BS95=[1]BD_CUSTO!$Q$13,[1]BD_CUSTO!$R$13,[1]BD_CUSTO!$R$14)*BT95/E95</f>
        <v>0</v>
      </c>
      <c r="BZ95" s="24">
        <f>BV95*CUSTO!$R$10/E95</f>
        <v>0</v>
      </c>
      <c r="CA95" s="26">
        <f>SUM(Tabela1[[#This Row],[SOMA_PISO SALA E QUARTO]],Tabela1[[#This Row],[SOMA_PAREDE HIDR]],Tabela1[[#This Row],[SOMA_TETO]],Tabela1[[#This Row],[SOMA_BANCADA]],Tabela1[[#This Row],[SOMA_PEDRAS]])</f>
        <v>5435</v>
      </c>
      <c r="CB95" s="27" t="str">
        <f>IF(CA95&lt;=RÉGUAS!$D$4,"ACAB 01",IF(CA95&lt;=RÉGUAS!$F$4,"ACAB 02",IF(CA95&gt;RÉGUAS!$F$4,"ACAB 03",)))</f>
        <v>ACAB 03</v>
      </c>
      <c r="CC95" s="26">
        <f>SUM(Tabela1[[#This Row],[SOMA_LZ 01]:[SOMA_LZ 10]])</f>
        <v>1597.1851944444445</v>
      </c>
      <c r="CD95" s="22" t="str">
        <f>IF(CC95&lt;=RÉGUAS!$D$13,"LZ 01",IF(CC95&lt;=RÉGUAS!$F$13,"LZ 02",IF(CC95&lt;=RÉGUAS!$H$13,"LZ 03",IF(CC95&gt;RÉGUAS!$H$13,"LZ 04",))))</f>
        <v>LZ 02</v>
      </c>
      <c r="CE95" s="28">
        <f t="shared" si="15"/>
        <v>1998</v>
      </c>
      <c r="CF95" s="22" t="str">
        <f>IF(CE95&lt;=RÉGUAS!$D$22,"TIP 01",IF(CE95&lt;=RÉGUAS!$F$22,"TIP 02",IF(CE95&gt;RÉGUAS!$F$22,"TIP 03",)))</f>
        <v>TIP 02</v>
      </c>
      <c r="CG95" s="28">
        <f t="shared" si="16"/>
        <v>2044.4444444444443</v>
      </c>
      <c r="CH95" s="22" t="str">
        <f>IF(CG95&lt;=RÉGUAS!$D$32,"VAGA 01",IF(CG95&lt;=RÉGUAS!$F$32,"VAGA 02",IF(CG95&gt;RÉGUAS!$F$32,"VAGA 03",)))</f>
        <v>VAGA 02</v>
      </c>
      <c r="CI95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4194.75</v>
      </c>
      <c r="CJ95" s="85" t="str">
        <f>IF(AND(G95="BLOCO",CI95&lt;=RÉGUAS!$D$40),"ELEV 01",IF(AND(G95="BLOCO",CI95&gt;RÉGUAS!$D$40),"ELEV 02",IF(AND(G95="TORRE",CI95&lt;=RÉGUAS!$K$40),"ELEV 01",IF(AND(G95="TORRE",CI95&lt;=RÉGUAS!$M$40),"ELEV 02",IF(AND(G95="TORRE",CI95&gt;RÉGUAS!$M$40),"ELEV 03",)))))</f>
        <v>ELEV 03</v>
      </c>
      <c r="CK95" s="85">
        <f>SUM(Tabela1[[#This Row],[TOTAL  ACAB]],Tabela1[[#This Row],[TOTAL LAZER ]],Tabela1[[#This Row],[TOTAL TIPOLOGIA]],Tabela1[[#This Row],[TOTAL VAGA]],Tabela1[[#This Row],[TOTAL ELEVADOR]])</f>
        <v>15269.379638888888</v>
      </c>
      <c r="CL95" s="72" t="str">
        <f>IF(AND(G95="BLOCO",CK95&lt;=RÉGUAS!$D$50),"ESSENCIAL",IF(AND(G95="BLOCO",CK95&lt;=RÉGUAS!$F$50),"ECO",IF(AND(G95="BLOCO",CK95&gt;RÉGUAS!$F$50),"BIO",IF(AND(G95="TORRE",CK95&lt;=RÉGUAS!$K$50),"ESSENCIAL",IF(AND(G95="TORRE",CK95&lt;=RÉGUAS!$M$50),"ECO",IF(AND(G95="TORRE",CK95&gt;RÉGUAS!$M$50),"BIO",))))))</f>
        <v>BIO</v>
      </c>
      <c r="CM95" s="28" t="str">
        <f>IF(AND(G95="BLOCO",CK95&gt;=RÉGUAS!$D$51,CK95&lt;=RÉGUAS!$D$50),"ESSENCIAL-10%",IF(AND(G95="BLOCO",CK95&gt;RÉGUAS!$D$50,CK95&lt;=RÉGUAS!$E$51),"ECO+10%",IF(AND(G95="BLOCO",CK95&gt;=RÉGUAS!$F$51,CK95&lt;=RÉGUAS!$F$50),"ECO-10%",IF(AND(G95="BLOCO",CK95&gt;RÉGUAS!$F$50,CK95&lt;=RÉGUAS!$G$51),"BIO+10%",IF(AND(G95="TORRE",CK95&gt;=RÉGUAS!$K$51,CK95&lt;=RÉGUAS!$K$50),"ESSENCIAL-10%",IF(AND(G95="TORRE",CK95&gt;RÉGUAS!$K$50,CK95&lt;=RÉGUAS!$L$51),"ECO+10%",IF(AND(G95="TORRE",CK95&gt;=RÉGUAS!$M$51,CK95&lt;=RÉGUAS!$M$50),"ECO-10%",IF(AND(G95="TORRE",CK95&gt;RÉGUAS!$M$50,CK95&lt;=RÉGUAS!$N$51),"BIO+10%","-"))))))))</f>
        <v>BIO+10%</v>
      </c>
      <c r="CN95" s="73">
        <f t="shared" si="17"/>
        <v>11074.629638888888</v>
      </c>
      <c r="CO95" s="72" t="str">
        <f>IF(CN95&lt;=RÉGUAS!$D$58,"ESSENCIAL",IF(CN95&lt;=RÉGUAS!$F$58,"ECO",IF(CN95&gt;RÉGUAS!$F$58,"BIO",)))</f>
        <v>ECO</v>
      </c>
      <c r="CP95" s="72" t="str">
        <f>IF(Tabela1[[#This Row],[INTERVALO DE INTERSEÇÃO 5D]]="-",Tabela1[[#This Row],[CLASSIFICAÇÃO 
5D ]],Tabela1[[#This Row],[CLASSIFICAÇÃO 
4D]])</f>
        <v>ECO</v>
      </c>
      <c r="CQ95" s="72" t="str">
        <f t="shared" si="18"/>
        <v>-</v>
      </c>
      <c r="CR95" s="72" t="str">
        <f t="shared" si="19"/>
        <v>ECO</v>
      </c>
      <c r="CS95" s="22" t="str">
        <f>IF(Tabela1[[#This Row],[PRODUTO ATUAL ]]=Tabela1[[#This Row],[CLASSIFICAÇÃO FINAL 5D]],"ADERÊNTE","NÃO ADERÊNTE")</f>
        <v>NÃO ADERÊNTE</v>
      </c>
      <c r="CT95" s="24">
        <f>SUM(Tabela1[[#This Row],[TOTAL  ACAB]],Tabela1[[#This Row],[TOTAL LAZER ]],Tabela1[[#This Row],[TOTAL TIPOLOGIA]],Tabela1[[#This Row],[TOTAL VAGA]])</f>
        <v>11074.629638888888</v>
      </c>
      <c r="CU95" s="22" t="str">
        <f>IF(CT95&lt;=RÉGUAS!$D$58,"ESSENCIAL",IF(CT95&lt;=RÉGUAS!$F$58,"ECO",IF(CT95&gt;RÉGUAS!$F$58,"BIO",)))</f>
        <v>ECO</v>
      </c>
      <c r="CV95" s="22" t="str">
        <f>IF(AND(CT95&gt;=RÉGUAS!$D$59,CT95&lt;=RÉGUAS!$E$59),"ESSENCIAL/ECO",IF(AND(CT95&gt;=RÉGUAS!$F$59,CT95&lt;=RÉGUAS!$G$59),"ECO/BIO","-"))</f>
        <v>ECO/BIO</v>
      </c>
      <c r="CW95" s="85">
        <f>SUM(Tabela1[[#This Row],[TOTAL LAZER ]],Tabela1[[#This Row],[TOTAL TIPOLOGIA]])</f>
        <v>3595.1851944444443</v>
      </c>
      <c r="CX95" s="22" t="str">
        <f>IF(CW95&lt;=RÉGUAS!$D$72,"ESSENCIAL",IF(CW95&lt;=RÉGUAS!$F$72,"ECO",IF(CN95&gt;RÉGUAS!$F$72,"BIO",)))</f>
        <v>ECO</v>
      </c>
      <c r="CY95" s="22" t="str">
        <f t="shared" si="20"/>
        <v>ECO</v>
      </c>
      <c r="CZ95" s="22" t="str">
        <f>IF(Tabela1[[#This Row],[PRODUTO ATUAL ]]=CY95,"ADERENTE","NÃO ADERENTE")</f>
        <v>NÃO ADERENTE</v>
      </c>
      <c r="DA95" s="22" t="str">
        <f>IF(Tabela1[[#This Row],[PRODUTO ATUAL ]]=Tabela1[[#This Row],[CLASSIFICAÇÃO 
4D2]],"ADERENTE","NÃO ADERENTE")</f>
        <v>NÃO ADERENTE</v>
      </c>
    </row>
    <row r="96" spans="2:105" customFormat="1" x14ac:dyDescent="0.35">
      <c r="B96" s="27">
        <v>95</v>
      </c>
      <c r="C96" s="22" t="s">
        <v>190</v>
      </c>
      <c r="D96" s="22" t="s">
        <v>125</v>
      </c>
      <c r="E96" s="134">
        <v>360</v>
      </c>
      <c r="F96" s="22" t="str">
        <f t="shared" si="14"/>
        <v>De 200 a 400 und</v>
      </c>
      <c r="G96" s="22" t="s">
        <v>14</v>
      </c>
      <c r="H96" s="135">
        <v>2</v>
      </c>
      <c r="I96" s="36">
        <v>15</v>
      </c>
      <c r="J96" s="36"/>
      <c r="K96" s="36"/>
      <c r="L96" s="36">
        <f>SUM(Tabela1[[#This Row],[QTD DE B/T 2]],Tabela1[[#This Row],[QTD DE B/T]])</f>
        <v>2</v>
      </c>
      <c r="M96" s="22">
        <v>6</v>
      </c>
      <c r="N96" s="22">
        <f>Tabela1[[#This Row],[ELEVADOR]]/Tabela1[[#This Row],[BLOCO TOTAL]]</f>
        <v>3</v>
      </c>
      <c r="O96" s="133" t="s">
        <v>4</v>
      </c>
      <c r="P96" s="133" t="s">
        <v>101</v>
      </c>
      <c r="Q96" s="133" t="s">
        <v>101</v>
      </c>
      <c r="R96" s="133" t="s">
        <v>142</v>
      </c>
      <c r="S96" s="133" t="s">
        <v>159</v>
      </c>
      <c r="T96" s="133" t="s">
        <v>173</v>
      </c>
      <c r="U96" s="133" t="s">
        <v>174</v>
      </c>
      <c r="V96" s="22" t="s">
        <v>106</v>
      </c>
      <c r="W96" s="24">
        <f>IF(P96=[1]BD_CUSTO!$E$4,[1]BD_CUSTO!$F$4,[1]BD_CUSTO!$F$5)</f>
        <v>2430</v>
      </c>
      <c r="X96" s="24">
        <f>IF(Q96=[1]BD_CUSTO!$E$6,[1]BD_CUSTO!$F$6,[1]BD_CUSTO!$F$7)</f>
        <v>260</v>
      </c>
      <c r="Y96" s="24">
        <f>IF(R96=[1]BD_CUSTO!$E$8,[1]BD_CUSTO!$F$8,[1]BD_CUSTO!$F$9)</f>
        <v>900</v>
      </c>
      <c r="Z96" s="24">
        <f>IF(S96=[1]BD_CUSTO!$E$10,[1]BD_CUSTO!$F$10,[1]BD_CUSTO!$F$11)</f>
        <v>935</v>
      </c>
      <c r="AA96" s="24">
        <f>IF(T96=[1]BD_CUSTO!$E$12,[1]BD_CUSTO!$F$12,[1]BD_CUSTO!$F$13)</f>
        <v>930</v>
      </c>
      <c r="AB96" s="24">
        <f>IF(U96=[1]BD_CUSTO!$E$14,[1]BD_CUSTO!$F$14,[1]BD_CUSTO!$F$15)</f>
        <v>240</v>
      </c>
      <c r="AC96" s="24">
        <f>IF(V96=[1]BD_CUSTO!$E$16,[1]BD_CUSTO!$F$16,[1]BD_CUSTO!$F$17)</f>
        <v>720</v>
      </c>
      <c r="AD96" s="133" t="s">
        <v>121</v>
      </c>
      <c r="AE96" s="133">
        <v>2</v>
      </c>
      <c r="AF96" s="133" t="s">
        <v>151</v>
      </c>
      <c r="AG96" s="133">
        <v>1</v>
      </c>
      <c r="AH96" s="133" t="s">
        <v>107</v>
      </c>
      <c r="AI96" s="133">
        <v>1</v>
      </c>
      <c r="AJ96" s="133" t="s">
        <v>108</v>
      </c>
      <c r="AK96" s="133">
        <v>1</v>
      </c>
      <c r="AL96" s="133" t="s">
        <v>109</v>
      </c>
      <c r="AM96" s="133">
        <v>1</v>
      </c>
      <c r="AN96" s="133" t="s">
        <v>111</v>
      </c>
      <c r="AO96" s="133">
        <v>2</v>
      </c>
      <c r="AP96" s="133" t="s">
        <v>110</v>
      </c>
      <c r="AQ96" s="133">
        <v>1</v>
      </c>
      <c r="AR96" s="133" t="s">
        <v>167</v>
      </c>
      <c r="AS96" s="133">
        <v>1</v>
      </c>
      <c r="AT96" s="133" t="s">
        <v>175</v>
      </c>
      <c r="AU96" s="133">
        <v>1</v>
      </c>
      <c r="AV96" s="22" t="s">
        <v>135</v>
      </c>
      <c r="AW96" s="22">
        <v>1</v>
      </c>
      <c r="AX96" s="24">
        <f>IF(AD96="",0,VLOOKUP(AD96,[1]BD_CUSTO!I:J,2,0)*AE96/E96)</f>
        <v>684.20499999999993</v>
      </c>
      <c r="AY96" s="24">
        <f>IF(AF96="",0,VLOOKUP(AF96,[1]BD_CUSTO!I:J,2,0)*AG96/E96)</f>
        <v>221.48108333333334</v>
      </c>
      <c r="AZ96" s="24">
        <f>IF(AH96="",0,VLOOKUP(AH96,[1]BD_CUSTO!I:J,2,0)*AI96/E96)</f>
        <v>236.52533333333332</v>
      </c>
      <c r="BA96" s="24">
        <f>IF(AJ96="",0,VLOOKUP(AJ96,[1]BD_CUSTO!I:J,2,0)*AK96/E96)</f>
        <v>64.305555555555557</v>
      </c>
      <c r="BB96" s="24">
        <f>IF(AL96="",0,VLOOKUP(AL96,[1]BD_CUSTO!I:J,2,0)*AM96/E96)</f>
        <v>19.305555555555557</v>
      </c>
      <c r="BC96" s="24">
        <f>IF(AN96="",0,VLOOKUP(AN96,[1]BD_CUSTO!I:J,2,0)*AO96/E96)</f>
        <v>90</v>
      </c>
      <c r="BD96" s="24">
        <f>IF(AP96="",0,VLOOKUP(AP96,[1]BD_CUSTO!I:J,2,0)*AQ96/E96)</f>
        <v>14.722222222222221</v>
      </c>
      <c r="BE96" s="24">
        <f>IF(AR96="",0,VLOOKUP(AR96,CUSTO!I:J,2,0)*AS96/E96)</f>
        <v>227.93086111111111</v>
      </c>
      <c r="BF96" s="24">
        <f>IF(AT96="",0,VLOOKUP(AT96,[1]BD_CUSTO!I:J,2,0)*AU96/E96)</f>
        <v>29.972222222222221</v>
      </c>
      <c r="BG96" s="24">
        <f>IF(Tabela1[[#This Row],[LZ 10]]="",0,VLOOKUP(Tabela1[[#This Row],[LZ 10]],[1]BD_CUSTO!I:J,2,0)*Tabela1[[#This Row],[QTD922]]/E96)</f>
        <v>350.19066666666669</v>
      </c>
      <c r="BH96" s="133" t="s">
        <v>112</v>
      </c>
      <c r="BI96" s="136">
        <v>0.67</v>
      </c>
      <c r="BJ96" s="133" t="s">
        <v>113</v>
      </c>
      <c r="BK96" s="136">
        <v>0</v>
      </c>
      <c r="BL96" s="24">
        <f>IF(BH96=[1]BD_CUSTO!$M$6,[1]BD_CUSTO!$N$6)*BI96</f>
        <v>2010.0000000000002</v>
      </c>
      <c r="BM96" s="24">
        <f>IF(BJ96=[1]BD_CUSTO!$M$4,[1]BD_CUSTO!$N$4,[1]BD_CUSTO!$N$5)*BK96</f>
        <v>0</v>
      </c>
      <c r="BN96" s="133" t="s">
        <v>114</v>
      </c>
      <c r="BO96" s="133">
        <v>368</v>
      </c>
      <c r="BP96" s="25">
        <f>Tabela1[[#This Row],[QTD ]]/Tabela1[[#This Row],[Nº UNDS]]</f>
        <v>1.0222222222222221</v>
      </c>
      <c r="BQ96" s="22" t="s">
        <v>115</v>
      </c>
      <c r="BR96" s="22">
        <v>0</v>
      </c>
      <c r="BS96" s="22" t="s">
        <v>116</v>
      </c>
      <c r="BT96" s="22">
        <v>0</v>
      </c>
      <c r="BU96" s="22" t="s">
        <v>16</v>
      </c>
      <c r="BV96" s="22">
        <v>0</v>
      </c>
      <c r="BW96" s="24">
        <f>IF(BN96=[1]BD_CUSTO!$Q$7,[1]BD_CUSTO!$R$7,[1]BD_CUSTO!$R$8)*BO96/E96</f>
        <v>2044.4444444444443</v>
      </c>
      <c r="BX96" s="24">
        <f>IF(BQ96=[1]BD_CUSTO!$Q$4,[1]BD_CUSTO!$R$4,[1]BD_CUSTO!$R$5)*BR96/E96</f>
        <v>0</v>
      </c>
      <c r="BY96" s="22">
        <f>IF(BS96=[1]BD_CUSTO!$Q$13,[1]BD_CUSTO!$R$13,[1]BD_CUSTO!$R$14)*BT96/E96</f>
        <v>0</v>
      </c>
      <c r="BZ96" s="24">
        <f>BV96*CUSTO!$R$10/E96</f>
        <v>0</v>
      </c>
      <c r="CA96" s="26">
        <f>SUM(Tabela1[[#This Row],[SOMA_PISO SALA E QUARTO]],Tabela1[[#This Row],[SOMA_PAREDE HIDR]],Tabela1[[#This Row],[SOMA_TETO]],Tabela1[[#This Row],[SOMA_BANCADA]],Tabela1[[#This Row],[SOMA_PEDRAS]])</f>
        <v>5435</v>
      </c>
      <c r="CB96" s="27" t="str">
        <f>IF(CA96&lt;=RÉGUAS!$D$4,"ACAB 01",IF(CA96&lt;=RÉGUAS!$F$4,"ACAB 02",IF(CA96&gt;RÉGUAS!$F$4,"ACAB 03",)))</f>
        <v>ACAB 03</v>
      </c>
      <c r="CC96" s="26">
        <f>SUM(Tabela1[[#This Row],[SOMA_LZ 01]:[SOMA_LZ 10]])</f>
        <v>1938.6385</v>
      </c>
      <c r="CD96" s="22" t="str">
        <f>IF(CC96&lt;=RÉGUAS!$D$13,"LZ 01",IF(CC96&lt;=RÉGUAS!$F$13,"LZ 02",IF(CC96&lt;=RÉGUAS!$H$13,"LZ 03",IF(CC96&gt;RÉGUAS!$H$13,"LZ 04",))))</f>
        <v>LZ 03</v>
      </c>
      <c r="CE96" s="28">
        <f t="shared" si="15"/>
        <v>2010.0000000000002</v>
      </c>
      <c r="CF96" s="22" t="str">
        <f>IF(CE96&lt;=RÉGUAS!$D$22,"TIP 01",IF(CE96&lt;=RÉGUAS!$F$22,"TIP 02",IF(CE96&gt;RÉGUAS!$F$22,"TIP 03",)))</f>
        <v>TIP 02</v>
      </c>
      <c r="CG96" s="28">
        <f t="shared" si="16"/>
        <v>2044.4444444444443</v>
      </c>
      <c r="CH96" s="22" t="str">
        <f>IF(CG96&lt;=RÉGUAS!$D$32,"VAGA 01",IF(CG96&lt;=RÉGUAS!$F$32,"VAGA 02",IF(CG96&gt;RÉGUAS!$F$32,"VAGA 03",)))</f>
        <v>VAGA 02</v>
      </c>
      <c r="CI96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4194.75</v>
      </c>
      <c r="CJ96" s="85" t="str">
        <f>IF(AND(G96="BLOCO",CI96&lt;=RÉGUAS!$D$40),"ELEV 01",IF(AND(G96="BLOCO",CI96&gt;RÉGUAS!$D$40),"ELEV 02",IF(AND(G96="TORRE",CI96&lt;=RÉGUAS!$K$40),"ELEV 01",IF(AND(G96="TORRE",CI96&lt;=RÉGUAS!$M$40),"ELEV 02",IF(AND(G96="TORRE",CI96&gt;RÉGUAS!$M$40),"ELEV 03",)))))</f>
        <v>ELEV 03</v>
      </c>
      <c r="CK96" s="85">
        <f>SUM(Tabela1[[#This Row],[TOTAL  ACAB]],Tabela1[[#This Row],[TOTAL LAZER ]],Tabela1[[#This Row],[TOTAL TIPOLOGIA]],Tabela1[[#This Row],[TOTAL VAGA]],Tabela1[[#This Row],[TOTAL ELEVADOR]])</f>
        <v>15622.832944444446</v>
      </c>
      <c r="CL96" s="72" t="str">
        <f>IF(AND(G96="BLOCO",CK96&lt;=RÉGUAS!$D$50),"ESSENCIAL",IF(AND(G96="BLOCO",CK96&lt;=RÉGUAS!$F$50),"ECO",IF(AND(G96="BLOCO",CK96&gt;RÉGUAS!$F$50),"BIO",IF(AND(G96="TORRE",CK96&lt;=RÉGUAS!$K$50),"ESSENCIAL",IF(AND(G96="TORRE",CK96&lt;=RÉGUAS!$M$50),"ECO",IF(AND(G96="TORRE",CK96&gt;RÉGUAS!$M$50),"BIO",))))))</f>
        <v>BIO</v>
      </c>
      <c r="CM96" s="28" t="str">
        <f>IF(AND(G96="BLOCO",CK96&gt;=RÉGUAS!$D$51,CK96&lt;=RÉGUAS!$D$50),"ESSENCIAL-10%",IF(AND(G96="BLOCO",CK96&gt;RÉGUAS!$D$50,CK96&lt;=RÉGUAS!$E$51),"ECO+10%",IF(AND(G96="BLOCO",CK96&gt;=RÉGUAS!$F$51,CK96&lt;=RÉGUAS!$F$50),"ECO-10%",IF(AND(G96="BLOCO",CK96&gt;RÉGUAS!$F$50,CK96&lt;=RÉGUAS!$G$51),"BIO+10%",IF(AND(G96="TORRE",CK96&gt;=RÉGUAS!$K$51,CK96&lt;=RÉGUAS!$K$50),"ESSENCIAL-10%",IF(AND(G96="TORRE",CK96&gt;RÉGUAS!$K$50,CK96&lt;=RÉGUAS!$L$51),"ECO+10%",IF(AND(G96="TORRE",CK96&gt;=RÉGUAS!$M$51,CK96&lt;=RÉGUAS!$M$50),"ECO-10%",IF(AND(G96="TORRE",CK96&gt;RÉGUAS!$M$50,CK96&lt;=RÉGUAS!$N$51),"BIO+10%","-"))))))))</f>
        <v>-</v>
      </c>
      <c r="CN96" s="73">
        <f t="shared" si="17"/>
        <v>11428.082944444446</v>
      </c>
      <c r="CO96" s="72" t="str">
        <f>IF(CN96&lt;=RÉGUAS!$D$58,"ESSENCIAL",IF(CN96&lt;=RÉGUAS!$F$58,"ECO",IF(CN96&gt;RÉGUAS!$F$58,"BIO",)))</f>
        <v>ECO</v>
      </c>
      <c r="CP96" s="72" t="str">
        <f>IF(Tabela1[[#This Row],[INTERVALO DE INTERSEÇÃO 5D]]="-",Tabela1[[#This Row],[CLASSIFICAÇÃO 
5D ]],Tabela1[[#This Row],[CLASSIFICAÇÃO 
4D]])</f>
        <v>BIO</v>
      </c>
      <c r="CQ96" s="72" t="str">
        <f t="shared" si="18"/>
        <v>-</v>
      </c>
      <c r="CR96" s="72" t="str">
        <f t="shared" si="19"/>
        <v>BIO</v>
      </c>
      <c r="CS96" s="22" t="str">
        <f>IF(Tabela1[[#This Row],[PRODUTO ATUAL ]]=Tabela1[[#This Row],[CLASSIFICAÇÃO FINAL 5D]],"ADERÊNTE","NÃO ADERÊNTE")</f>
        <v>ADERÊNTE</v>
      </c>
      <c r="CT96" s="24">
        <f>SUM(Tabela1[[#This Row],[TOTAL  ACAB]],Tabela1[[#This Row],[TOTAL LAZER ]],Tabela1[[#This Row],[TOTAL TIPOLOGIA]],Tabela1[[#This Row],[TOTAL VAGA]])</f>
        <v>11428.082944444446</v>
      </c>
      <c r="CU96" s="22" t="str">
        <f>IF(CT96&lt;=RÉGUAS!$D$58,"ESSENCIAL",IF(CT96&lt;=RÉGUAS!$F$58,"ECO",IF(CT96&gt;RÉGUAS!$F$58,"BIO",)))</f>
        <v>ECO</v>
      </c>
      <c r="CV96" s="22" t="str">
        <f>IF(AND(CT96&gt;=RÉGUAS!$D$59,CT96&lt;=RÉGUAS!$E$59),"ESSENCIAL/ECO",IF(AND(CT96&gt;=RÉGUAS!$F$59,CT96&lt;=RÉGUAS!$G$59),"ECO/BIO","-"))</f>
        <v>ECO/BIO</v>
      </c>
      <c r="CW96" s="85">
        <f>SUM(Tabela1[[#This Row],[TOTAL LAZER ]],Tabela1[[#This Row],[TOTAL TIPOLOGIA]])</f>
        <v>3948.6385</v>
      </c>
      <c r="CX96" s="22" t="str">
        <f>IF(CW96&lt;=RÉGUAS!$D$72,"ESSENCIAL",IF(CW96&lt;=RÉGUAS!$F$72,"ECO",IF(CN96&gt;RÉGUAS!$F$72,"BIO",)))</f>
        <v>ECO</v>
      </c>
      <c r="CY96" s="22" t="str">
        <f t="shared" si="20"/>
        <v>ECO</v>
      </c>
      <c r="CZ96" s="22" t="str">
        <f>IF(Tabela1[[#This Row],[PRODUTO ATUAL ]]=CY96,"ADERENTE","NÃO ADERENTE")</f>
        <v>NÃO ADERENTE</v>
      </c>
      <c r="DA96" s="22" t="str">
        <f>IF(Tabela1[[#This Row],[PRODUTO ATUAL ]]=Tabela1[[#This Row],[CLASSIFICAÇÃO 
4D2]],"ADERENTE","NÃO ADERENTE")</f>
        <v>NÃO ADERENTE</v>
      </c>
    </row>
    <row r="97" spans="2:105" x14ac:dyDescent="0.35">
      <c r="B97" s="27">
        <v>94</v>
      </c>
      <c r="C97" s="22" t="s">
        <v>183</v>
      </c>
      <c r="D97" s="76" t="s">
        <v>128</v>
      </c>
      <c r="E97" s="128">
        <v>512</v>
      </c>
      <c r="F97" s="22" t="str">
        <f t="shared" si="14"/>
        <v>Acima de 400 und</v>
      </c>
      <c r="G97" s="76" t="s">
        <v>14</v>
      </c>
      <c r="H97" s="129">
        <v>4</v>
      </c>
      <c r="I97" s="129">
        <v>16</v>
      </c>
      <c r="J97" s="129"/>
      <c r="K97" s="129"/>
      <c r="L97" s="129">
        <f>SUM(Tabela1[[#This Row],[QTD DE B/T 2]],Tabela1[[#This Row],[QTD DE B/T]])</f>
        <v>4</v>
      </c>
      <c r="M97" s="22">
        <v>12</v>
      </c>
      <c r="N97" s="22">
        <f>Tabela1[[#This Row],[ELEVADOR]]/Tabela1[[#This Row],[BLOCO TOTAL]]</f>
        <v>3</v>
      </c>
      <c r="O97" s="76" t="s">
        <v>4</v>
      </c>
      <c r="P97" s="76" t="s">
        <v>101</v>
      </c>
      <c r="Q97" s="76" t="s">
        <v>101</v>
      </c>
      <c r="R97" s="76" t="s">
        <v>142</v>
      </c>
      <c r="S97" s="76" t="s">
        <v>159</v>
      </c>
      <c r="T97" s="76" t="s">
        <v>173</v>
      </c>
      <c r="U97" s="76" t="s">
        <v>174</v>
      </c>
      <c r="V97" s="22" t="s">
        <v>106</v>
      </c>
      <c r="W97" s="24">
        <f>IF(P97=[1]BD_CUSTO!$E$4,[1]BD_CUSTO!$F$4,[1]BD_CUSTO!$F$5)</f>
        <v>2430</v>
      </c>
      <c r="X97" s="24">
        <f>IF(Q97=[1]BD_CUSTO!$E$6,[1]BD_CUSTO!$F$6,[1]BD_CUSTO!$F$7)</f>
        <v>260</v>
      </c>
      <c r="Y97" s="24">
        <f>IF(R97=[1]BD_CUSTO!$E$8,[1]BD_CUSTO!$F$8,[1]BD_CUSTO!$F$9)</f>
        <v>900</v>
      </c>
      <c r="Z97" s="24">
        <f>IF(S97=[1]BD_CUSTO!$E$10,[1]BD_CUSTO!$F$10,[1]BD_CUSTO!$F$11)</f>
        <v>935</v>
      </c>
      <c r="AA97" s="24">
        <f>IF(T97=[1]BD_CUSTO!$E$12,[1]BD_CUSTO!$F$12,[1]BD_CUSTO!$F$13)</f>
        <v>930</v>
      </c>
      <c r="AB97" s="24">
        <f>IF(U97=[1]BD_CUSTO!$E$14,[1]BD_CUSTO!$F$14,[1]BD_CUSTO!$F$15)</f>
        <v>240</v>
      </c>
      <c r="AC97" s="24">
        <f>IF(V97=[1]BD_CUSTO!$E$16,[1]BD_CUSTO!$F$16,[1]BD_CUSTO!$F$17)</f>
        <v>720</v>
      </c>
      <c r="AD97" s="76" t="s">
        <v>110</v>
      </c>
      <c r="AE97" s="76">
        <v>1</v>
      </c>
      <c r="AF97" s="76" t="s">
        <v>107</v>
      </c>
      <c r="AG97" s="76">
        <v>1</v>
      </c>
      <c r="AH97" s="76" t="s">
        <v>121</v>
      </c>
      <c r="AI97" s="76">
        <v>1</v>
      </c>
      <c r="AJ97" s="22" t="s">
        <v>139</v>
      </c>
      <c r="AK97" s="22">
        <v>1</v>
      </c>
      <c r="AL97" s="76" t="s">
        <v>129</v>
      </c>
      <c r="AM97" s="76">
        <v>1</v>
      </c>
      <c r="AN97" s="76" t="s">
        <v>108</v>
      </c>
      <c r="AO97" s="76">
        <v>1</v>
      </c>
      <c r="AP97" s="76" t="s">
        <v>109</v>
      </c>
      <c r="AQ97" s="76">
        <v>1</v>
      </c>
      <c r="AR97" s="22"/>
      <c r="AS97" s="22"/>
      <c r="AT97" s="22"/>
      <c r="AU97" s="22"/>
      <c r="AV97" s="22"/>
      <c r="AW97" s="22"/>
      <c r="AX97" s="24">
        <f>IF(AD97="",0,VLOOKUP(AD97,[1]BD_CUSTO!I:J,2,0)*AE97/E97)</f>
        <v>10.3515625</v>
      </c>
      <c r="AY97" s="24">
        <f>IF(AF97="",0,VLOOKUP(AF97,[1]BD_CUSTO!I:J,2,0)*AG97/E97)</f>
        <v>166.30687499999999</v>
      </c>
      <c r="AZ97" s="24">
        <f>IF(AH97="",0,VLOOKUP(AH97,[1]BD_CUSTO!I:J,2,0)*AI97/E97)</f>
        <v>240.54082031249999</v>
      </c>
      <c r="BA97" s="24">
        <f>IF(AJ97="",0,VLOOKUP(AJ97,[1]BD_CUSTO!I:J,2,0)*AK97/E97)</f>
        <v>121.3990625</v>
      </c>
      <c r="BB97" s="24">
        <f>IF(AL97="",0,VLOOKUP(AL97,[1]BD_CUSTO!I:J,2,0)*AM97/E97)</f>
        <v>537.43667968750003</v>
      </c>
      <c r="BC97" s="24">
        <f>IF(AN97="",0,VLOOKUP(AN97,[1]BD_CUSTO!I:J,2,0)*AO97/E97)</f>
        <v>45.21484375</v>
      </c>
      <c r="BD97" s="24">
        <f>IF(AP97="",0,VLOOKUP(AP97,[1]BD_CUSTO!I:J,2,0)*AQ97/E97)</f>
        <v>13.57421875</v>
      </c>
      <c r="BE97" s="24">
        <f>IF(AR97="",0,VLOOKUP(AR97,CUSTO!I:J,2,0)*AS97/E97)</f>
        <v>0</v>
      </c>
      <c r="BF97" s="24">
        <f>IF(AT97="",0,VLOOKUP(AT97,[1]BD_CUSTO!I:J,2,0)*AU97/E97)</f>
        <v>0</v>
      </c>
      <c r="BG97" s="24">
        <f>IF(Tabela1[[#This Row],[LZ 10]]="",0,VLOOKUP(Tabela1[[#This Row],[LZ 10]],[1]BD_CUSTO!I:J,2,0)*Tabela1[[#This Row],[QTD922]]/E97)</f>
        <v>0</v>
      </c>
      <c r="BH97" s="76" t="s">
        <v>112</v>
      </c>
      <c r="BI97" s="127">
        <v>0.9375</v>
      </c>
      <c r="BJ97" s="76" t="s">
        <v>113</v>
      </c>
      <c r="BK97" s="127">
        <v>0</v>
      </c>
      <c r="BL97" s="24">
        <f>IF(BH97=[1]BD_CUSTO!$M$6,[1]BD_CUSTO!$N$6)*BI97</f>
        <v>2812.5</v>
      </c>
      <c r="BM97" s="24">
        <f>IF(BJ97=[1]BD_CUSTO!$M$4,[1]BD_CUSTO!$N$4,[1]BD_CUSTO!$N$5)*BK97</f>
        <v>0</v>
      </c>
      <c r="BN97" s="76" t="s">
        <v>114</v>
      </c>
      <c r="BO97" s="76">
        <v>528</v>
      </c>
      <c r="BP97" s="25">
        <f>Tabela1[[#This Row],[QTD ]]/Tabela1[[#This Row],[Nº UNDS]]</f>
        <v>1.03125</v>
      </c>
      <c r="BQ97" s="76" t="s">
        <v>123</v>
      </c>
      <c r="BR97" s="76">
        <v>8</v>
      </c>
      <c r="BS97" s="22" t="s">
        <v>116</v>
      </c>
      <c r="BT97" s="22">
        <v>0</v>
      </c>
      <c r="BU97" s="22" t="s">
        <v>16</v>
      </c>
      <c r="BV97" s="22">
        <v>0</v>
      </c>
      <c r="BW97" s="24">
        <f>IF(BN97=[1]BD_CUSTO!$Q$7,[1]BD_CUSTO!$R$7,[1]BD_CUSTO!$R$8)*BO97/E97</f>
        <v>2062.5</v>
      </c>
      <c r="BX97" s="24">
        <f>IF(BQ97=[1]BD_CUSTO!$Q$4,[1]BD_CUSTO!$R$4,[1]BD_CUSTO!$R$5)*BR97/E97</f>
        <v>15.625</v>
      </c>
      <c r="BY97" s="22">
        <f>IF(BS97=[1]BD_CUSTO!$Q$13,[1]BD_CUSTO!$R$13,[1]BD_CUSTO!$R$14)*BT97/E97</f>
        <v>0</v>
      </c>
      <c r="BZ97" s="24">
        <f>BV97*CUSTO!$R$10/E97</f>
        <v>0</v>
      </c>
      <c r="CA97" s="26">
        <f>SUM(Tabela1[[#This Row],[SOMA_PISO SALA E QUARTO]],Tabela1[[#This Row],[SOMA_PAREDE HIDR]],Tabela1[[#This Row],[SOMA_TETO]],Tabela1[[#This Row],[SOMA_BANCADA]],Tabela1[[#This Row],[SOMA_PEDRAS]])</f>
        <v>5435</v>
      </c>
      <c r="CB97" s="27" t="str">
        <f>IF(CA97&lt;=RÉGUAS!$D$4,"ACAB 01",IF(CA97&lt;=RÉGUAS!$F$4,"ACAB 02",IF(CA97&gt;RÉGUAS!$F$4,"ACAB 03",)))</f>
        <v>ACAB 03</v>
      </c>
      <c r="CC97" s="26">
        <f>SUM(Tabela1[[#This Row],[SOMA_LZ 01]:[SOMA_LZ 10]])</f>
        <v>1134.8240624999999</v>
      </c>
      <c r="CD97" s="22" t="str">
        <f>IF(CC97&lt;=RÉGUAS!$D$13,"LZ 01",IF(CC97&lt;=RÉGUAS!$F$13,"LZ 02",IF(CC97&lt;=RÉGUAS!$H$13,"LZ 03",IF(CC97&gt;RÉGUAS!$H$13,"LZ 04",))))</f>
        <v>LZ 02</v>
      </c>
      <c r="CE97" s="28">
        <f t="shared" si="15"/>
        <v>2812.5</v>
      </c>
      <c r="CF97" s="22" t="str">
        <f>IF(CE97&lt;=RÉGUAS!$D$22,"TIP 01",IF(CE97&lt;=RÉGUAS!$F$22,"TIP 02",IF(CE97&gt;RÉGUAS!$F$22,"TIP 03",)))</f>
        <v>TIP 02</v>
      </c>
      <c r="CG97" s="28">
        <f t="shared" si="16"/>
        <v>2078.125</v>
      </c>
      <c r="CH97" s="22" t="str">
        <f>IF(CG97&lt;=RÉGUAS!$D$32,"VAGA 01",IF(CG97&lt;=RÉGUAS!$F$32,"VAGA 02",IF(CG97&gt;RÉGUAS!$F$32,"VAGA 03",)))</f>
        <v>VAGA 02</v>
      </c>
      <c r="CI97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6292.125</v>
      </c>
      <c r="CJ97" s="85" t="str">
        <f>IF(AND(G97="BLOCO",CI97&lt;=RÉGUAS!$D$40),"ELEV 01",IF(AND(G97="BLOCO",CI97&gt;RÉGUAS!$D$40),"ELEV 02",IF(AND(G97="TORRE",CI97&lt;=RÉGUAS!$K$40),"ELEV 01",IF(AND(G97="TORRE",CI97&lt;=RÉGUAS!$M$40),"ELEV 02",IF(AND(G97="TORRE",CI97&gt;RÉGUAS!$M$40),"ELEV 03",)))))</f>
        <v>ELEV 03</v>
      </c>
      <c r="CK97" s="85">
        <f>SUM(Tabela1[[#This Row],[TOTAL  ACAB]],Tabela1[[#This Row],[TOTAL LAZER ]],Tabela1[[#This Row],[TOTAL TIPOLOGIA]],Tabela1[[#This Row],[TOTAL VAGA]],Tabela1[[#This Row],[TOTAL ELEVADOR]])</f>
        <v>17752.5740625</v>
      </c>
      <c r="CL97" s="72" t="str">
        <f>IF(AND(G97="BLOCO",CK97&lt;=RÉGUAS!$D$50),"ESSENCIAL",IF(AND(G97="BLOCO",CK97&lt;=RÉGUAS!$F$50),"ECO",IF(AND(G97="BLOCO",CK97&gt;RÉGUAS!$F$50),"BIO",IF(AND(G97="TORRE",CK97&lt;=RÉGUAS!$K$50),"ESSENCIAL",IF(AND(G97="TORRE",CK97&lt;=RÉGUAS!$M$50),"ECO",IF(AND(G97="TORRE",CK97&gt;RÉGUAS!$M$50),"BIO",))))))</f>
        <v>BIO</v>
      </c>
      <c r="CM97" s="28" t="str">
        <f>IF(AND(G97="BLOCO",CK97&gt;=RÉGUAS!$D$51,CK97&lt;=RÉGUAS!$D$50),"ESSENCIAL-10%",IF(AND(G97="BLOCO",CK97&gt;RÉGUAS!$D$50,CK97&lt;=RÉGUAS!$E$51),"ECO+10%",IF(AND(G97="BLOCO",CK97&gt;=RÉGUAS!$F$51,CK97&lt;=RÉGUAS!$F$50),"ECO-10%",IF(AND(G97="BLOCO",CK97&gt;RÉGUAS!$F$50,CK97&lt;=RÉGUAS!$G$51),"BIO+10%",IF(AND(G97="TORRE",CK97&gt;=RÉGUAS!$K$51,CK97&lt;=RÉGUAS!$K$50),"ESSENCIAL-10%",IF(AND(G97="TORRE",CK97&gt;RÉGUAS!$K$50,CK97&lt;=RÉGUAS!$L$51),"ECO+10%",IF(AND(G97="TORRE",CK97&gt;=RÉGUAS!$M$51,CK97&lt;=RÉGUAS!$M$50),"ECO-10%",IF(AND(G97="TORRE",CK97&gt;RÉGUAS!$M$50,CK97&lt;=RÉGUAS!$N$51),"BIO+10%","-"))))))))</f>
        <v>-</v>
      </c>
      <c r="CN97" s="73">
        <f t="shared" si="17"/>
        <v>11460.4490625</v>
      </c>
      <c r="CO97" s="72" t="str">
        <f>IF(CN97&lt;=RÉGUAS!$D$58,"ESSENCIAL",IF(CN97&lt;=RÉGUAS!$F$58,"ECO",IF(CN97&gt;RÉGUAS!$F$58,"BIO",)))</f>
        <v>BIO</v>
      </c>
      <c r="CP97" s="72" t="str">
        <f>IF(Tabela1[[#This Row],[INTERVALO DE INTERSEÇÃO 5D]]="-",Tabela1[[#This Row],[CLASSIFICAÇÃO 
5D ]],Tabela1[[#This Row],[CLASSIFICAÇÃO 
4D]])</f>
        <v>BIO</v>
      </c>
      <c r="CQ97" s="72" t="str">
        <f t="shared" si="18"/>
        <v>-</v>
      </c>
      <c r="CR97" s="72" t="str">
        <f t="shared" si="19"/>
        <v>BIO</v>
      </c>
      <c r="CS97" s="22" t="str">
        <f>IF(Tabela1[[#This Row],[PRODUTO ATUAL ]]=Tabela1[[#This Row],[CLASSIFICAÇÃO FINAL 5D]],"ADERÊNTE","NÃO ADERÊNTE")</f>
        <v>ADERÊNTE</v>
      </c>
      <c r="CT97" s="24">
        <f>SUM(Tabela1[[#This Row],[TOTAL  ACAB]],Tabela1[[#This Row],[TOTAL LAZER ]],Tabela1[[#This Row],[TOTAL TIPOLOGIA]],Tabela1[[#This Row],[TOTAL VAGA]])</f>
        <v>11460.4490625</v>
      </c>
      <c r="CU97" s="22" t="str">
        <f>IF(CT97&lt;=RÉGUAS!$D$58,"ESSENCIAL",IF(CT97&lt;=RÉGUAS!$F$58,"ECO",IF(CT97&gt;RÉGUAS!$F$58,"BIO",)))</f>
        <v>BIO</v>
      </c>
      <c r="CV97" s="22" t="str">
        <f>IF(AND(CT97&gt;=RÉGUAS!$D$59,CT97&lt;=RÉGUAS!$E$59),"ESSENCIAL/ECO",IF(AND(CT97&gt;=RÉGUAS!$F$59,CT97&lt;=RÉGUAS!$G$59),"ECO/BIO","-"))</f>
        <v>ECO/BIO</v>
      </c>
      <c r="CW97" s="85">
        <f>SUM(Tabela1[[#This Row],[TOTAL LAZER ]],Tabela1[[#This Row],[TOTAL TIPOLOGIA]])</f>
        <v>3947.3240624999999</v>
      </c>
      <c r="CX97" s="22" t="str">
        <f>IF(CW97&lt;=RÉGUAS!$D$72,"ESSENCIAL",IF(CW97&lt;=RÉGUAS!$F$72,"ECO",IF(CN97&gt;RÉGUAS!$F$72,"BIO",)))</f>
        <v>ECO</v>
      </c>
      <c r="CY97" s="22" t="str">
        <f t="shared" si="20"/>
        <v>ECO</v>
      </c>
      <c r="CZ97" s="22" t="str">
        <f>IF(Tabela1[[#This Row],[PRODUTO ATUAL ]]=CY97,"ADERENTE","NÃO ADERENTE")</f>
        <v>NÃO ADERENTE</v>
      </c>
      <c r="DA97" s="22" t="str">
        <f>IF(Tabela1[[#This Row],[PRODUTO ATUAL ]]=Tabela1[[#This Row],[CLASSIFICAÇÃO 
4D2]],"ADERENTE","NÃO ADERENTE")</f>
        <v>ADERENTE</v>
      </c>
    </row>
    <row r="98" spans="2:105" x14ac:dyDescent="0.35">
      <c r="B98" s="113">
        <v>100</v>
      </c>
      <c r="C98" s="92" t="s">
        <v>214</v>
      </c>
      <c r="D98" s="92" t="s">
        <v>128</v>
      </c>
      <c r="E98" s="114">
        <v>352</v>
      </c>
      <c r="F98" s="92" t="str">
        <f t="shared" si="14"/>
        <v>De 200 a 400 und</v>
      </c>
      <c r="G98" s="92" t="s">
        <v>14</v>
      </c>
      <c r="H98" s="115">
        <v>4</v>
      </c>
      <c r="I98" s="115">
        <v>11</v>
      </c>
      <c r="J98" s="115"/>
      <c r="K98" s="115"/>
      <c r="L98" s="115">
        <f>SUM(Tabela1[[#This Row],[QTD DE B/T 2]],Tabela1[[#This Row],[QTD DE B/T]])</f>
        <v>4</v>
      </c>
      <c r="M98" s="92">
        <v>8</v>
      </c>
      <c r="N98" s="22">
        <f>Tabela1[[#This Row],[ELEVADOR]]/Tabela1[[#This Row],[BLOCO TOTAL]]</f>
        <v>2</v>
      </c>
      <c r="O98" s="92" t="s">
        <v>4</v>
      </c>
      <c r="P98" s="92" t="s">
        <v>101</v>
      </c>
      <c r="Q98" s="92" t="s">
        <v>101</v>
      </c>
      <c r="R98" s="92" t="s">
        <v>142</v>
      </c>
      <c r="S98" s="92" t="s">
        <v>159</v>
      </c>
      <c r="T98" s="92" t="s">
        <v>173</v>
      </c>
      <c r="U98" s="92" t="s">
        <v>174</v>
      </c>
      <c r="V98" s="92" t="s">
        <v>106</v>
      </c>
      <c r="W98" s="116">
        <f>IF(P98=[1]BD_CUSTO!$E$4,[1]BD_CUSTO!$F$4,[1]BD_CUSTO!$F$5)</f>
        <v>2430</v>
      </c>
      <c r="X98" s="116">
        <f>IF(Q98=[1]BD_CUSTO!$E$6,[1]BD_CUSTO!$F$6,[1]BD_CUSTO!$F$7)</f>
        <v>260</v>
      </c>
      <c r="Y98" s="116">
        <f>IF(R98=[1]BD_CUSTO!$E$8,[1]BD_CUSTO!$F$8,[1]BD_CUSTO!$F$9)</f>
        <v>900</v>
      </c>
      <c r="Z98" s="116">
        <f>IF(S98=[1]BD_CUSTO!$E$10,[1]BD_CUSTO!$F$10,[1]BD_CUSTO!$F$11)</f>
        <v>935</v>
      </c>
      <c r="AA98" s="116">
        <f>IF(T98=[1]BD_CUSTO!$E$12,[1]BD_CUSTO!$F$12,[1]BD_CUSTO!$F$13)</f>
        <v>930</v>
      </c>
      <c r="AB98" s="116">
        <f>IF(U98=[1]BD_CUSTO!$E$14,[1]BD_CUSTO!$F$14,[1]BD_CUSTO!$F$15)</f>
        <v>240</v>
      </c>
      <c r="AC98" s="116">
        <f>IF(V98=[1]BD_CUSTO!$E$16,[1]BD_CUSTO!$F$16,[1]BD_CUSTO!$F$17)</f>
        <v>720</v>
      </c>
      <c r="AD98" s="92" t="s">
        <v>110</v>
      </c>
      <c r="AE98" s="92">
        <v>1</v>
      </c>
      <c r="AF98" s="92" t="s">
        <v>107</v>
      </c>
      <c r="AG98" s="92">
        <v>2</v>
      </c>
      <c r="AH98" s="92" t="s">
        <v>129</v>
      </c>
      <c r="AI98" s="92">
        <v>1</v>
      </c>
      <c r="AJ98" s="92" t="s">
        <v>121</v>
      </c>
      <c r="AK98" s="92">
        <v>1</v>
      </c>
      <c r="AL98" s="92" t="s">
        <v>139</v>
      </c>
      <c r="AM98" s="92">
        <v>1</v>
      </c>
      <c r="AN98" s="92" t="s">
        <v>151</v>
      </c>
      <c r="AO98" s="92">
        <v>1</v>
      </c>
      <c r="AP98" s="92" t="s">
        <v>175</v>
      </c>
      <c r="AQ98" s="92">
        <v>1</v>
      </c>
      <c r="AR98" s="92" t="s">
        <v>108</v>
      </c>
      <c r="AS98" s="92">
        <v>1</v>
      </c>
      <c r="AT98" s="92"/>
      <c r="AU98" s="92"/>
      <c r="AV98" s="92"/>
      <c r="AW98" s="92"/>
      <c r="AX98" s="116">
        <f>IF(AD98="",0,VLOOKUP(AD98,[1]BD_CUSTO!I:J,2,0)*AE98/E98)</f>
        <v>15.056818181818182</v>
      </c>
      <c r="AY98" s="116">
        <f>IF(AF98="",0,VLOOKUP(AF98,[1]BD_CUSTO!I:J,2,0)*AG98/E98)</f>
        <v>483.80181818181813</v>
      </c>
      <c r="AZ98" s="116">
        <f>IF(AH98="",0,VLOOKUP(AH98,[1]BD_CUSTO!I:J,2,0)*AI98/E98)</f>
        <v>781.72607954545458</v>
      </c>
      <c r="BA98" s="116">
        <f>IF(AJ98="",0,VLOOKUP(AJ98,[1]BD_CUSTO!I:J,2,0)*AK98/E98)</f>
        <v>349.8775568181818</v>
      </c>
      <c r="BB98" s="116">
        <f>IF(AL98="",0,VLOOKUP(AL98,[1]BD_CUSTO!I:J,2,0)*AM98/E98)</f>
        <v>176.58045454545456</v>
      </c>
      <c r="BC98" s="116">
        <f>IF(AN98="",0,VLOOKUP(AN98,[1]BD_CUSTO!I:J,2,0)*AO98/E98)</f>
        <v>226.51474431818181</v>
      </c>
      <c r="BD98" s="116">
        <f>IF(AP98="",0,VLOOKUP(AP98,[1]BD_CUSTO!I:J,2,0)*AQ98/E98)</f>
        <v>30.65340909090909</v>
      </c>
      <c r="BE98" s="116">
        <f>IF(AR98="",0,VLOOKUP(AR98,CUSTO!I:J,2,0)*AS98/E98)</f>
        <v>65.767045454545453</v>
      </c>
      <c r="BF98" s="116">
        <f>IF(AT98="",0,VLOOKUP(AT98,[1]BD_CUSTO!I:J,2,0)*AU98/E98)</f>
        <v>0</v>
      </c>
      <c r="BG98" s="116">
        <f>IF(Tabela1[[#This Row],[LZ 10]]="",0,VLOOKUP(Tabela1[[#This Row],[LZ 10]],[1]BD_CUSTO!I:J,2,0)*Tabela1[[#This Row],[QTD922]]/E98)</f>
        <v>0</v>
      </c>
      <c r="BH98" s="92" t="s">
        <v>112</v>
      </c>
      <c r="BI98" s="117">
        <v>0.91</v>
      </c>
      <c r="BJ98" s="92" t="s">
        <v>113</v>
      </c>
      <c r="BK98" s="117">
        <v>0</v>
      </c>
      <c r="BL98" s="116">
        <f>IF(BH98=[1]BD_CUSTO!$M$6,[1]BD_CUSTO!$N$6)*BI98</f>
        <v>2730</v>
      </c>
      <c r="BM98" s="116">
        <f>IF(BJ98=[1]BD_CUSTO!$M$4,[1]BD_CUSTO!$N$4,[1]BD_CUSTO!$N$5)*BK98</f>
        <v>0</v>
      </c>
      <c r="BN98" s="92" t="s">
        <v>114</v>
      </c>
      <c r="BO98" s="92">
        <v>365</v>
      </c>
      <c r="BP98" s="25">
        <f>Tabela1[[#This Row],[QTD ]]/Tabela1[[#This Row],[Nº UNDS]]</f>
        <v>1.0369318181818181</v>
      </c>
      <c r="BQ98" s="92" t="s">
        <v>123</v>
      </c>
      <c r="BR98" s="92">
        <v>34</v>
      </c>
      <c r="BS98" s="92" t="s">
        <v>116</v>
      </c>
      <c r="BT98" s="92">
        <v>0</v>
      </c>
      <c r="BU98" s="92" t="s">
        <v>16</v>
      </c>
      <c r="BV98" s="92">
        <v>0</v>
      </c>
      <c r="BW98" s="116">
        <f>IF(BN98=[1]BD_CUSTO!$Q$7,[1]BD_CUSTO!$R$7,[1]BD_CUSTO!$R$8)*BO98/E98</f>
        <v>2073.8636363636365</v>
      </c>
      <c r="BX98" s="116">
        <f>IF(BQ98=[1]BD_CUSTO!$Q$4,[1]BD_CUSTO!$R$4,[1]BD_CUSTO!$R$5)*BR98/E98</f>
        <v>96.590909090909093</v>
      </c>
      <c r="BY98" s="92">
        <f>IF(BS98=[1]BD_CUSTO!$Q$13,[1]BD_CUSTO!$R$13,[1]BD_CUSTO!$R$14)*BT98/E98</f>
        <v>0</v>
      </c>
      <c r="BZ98" s="116">
        <f>BV98*CUSTO!$R$10/E98</f>
        <v>0</v>
      </c>
      <c r="CA98" s="118">
        <f>SUM(Tabela1[[#This Row],[SOMA_PISO SALA E QUARTO]],Tabela1[[#This Row],[SOMA_PAREDE HIDR]],Tabela1[[#This Row],[SOMA_TETO]],Tabela1[[#This Row],[SOMA_BANCADA]],Tabela1[[#This Row],[SOMA_PEDRAS]])</f>
        <v>5435</v>
      </c>
      <c r="CB98" s="113" t="str">
        <f>IF(CA98&lt;=RÉGUAS!$D$4,"ACAB 01",IF(CA98&lt;=RÉGUAS!$F$4,"ACAB 02",IF(CA98&gt;RÉGUAS!$F$4,"ACAB 03",)))</f>
        <v>ACAB 03</v>
      </c>
      <c r="CC98" s="118">
        <f>SUM(Tabela1[[#This Row],[SOMA_LZ 01]:[SOMA_LZ 10]])</f>
        <v>2129.9779261363637</v>
      </c>
      <c r="CD98" s="92" t="str">
        <f>IF(CC98&lt;=RÉGUAS!$D$13,"LZ 01",IF(CC98&lt;=RÉGUAS!$F$13,"LZ 02",IF(CC98&lt;=RÉGUAS!$H$13,"LZ 03",IF(CC98&gt;RÉGUAS!$H$13,"LZ 04",))))</f>
        <v>LZ 03</v>
      </c>
      <c r="CE98" s="119">
        <f t="shared" si="15"/>
        <v>2730</v>
      </c>
      <c r="CF98" s="92" t="str">
        <f>IF(CE98&lt;=RÉGUAS!$D$22,"TIP 01",IF(CE98&lt;=RÉGUAS!$F$22,"TIP 02",IF(CE98&gt;RÉGUAS!$F$22,"TIP 03",)))</f>
        <v>TIP 02</v>
      </c>
      <c r="CG98" s="119">
        <f t="shared" si="16"/>
        <v>2170.4545454545455</v>
      </c>
      <c r="CH98" s="92" t="str">
        <f>IF(CG98&lt;=RÉGUAS!$D$32,"VAGA 01",IF(CG98&lt;=RÉGUAS!$F$32,"VAGA 02",IF(CG98&gt;RÉGUAS!$F$32,"VAGA 03",)))</f>
        <v>VAGA 02</v>
      </c>
      <c r="CI98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4936.25</v>
      </c>
      <c r="CJ98" s="120" t="str">
        <f>IF(AND(G98="BLOCO",CI98&lt;=RÉGUAS!$D$40),"ELEV 01",IF(AND(G98="BLOCO",CI98&gt;RÉGUAS!$D$40),"ELEV 02",IF(AND(G98="TORRE",CI98&lt;=RÉGUAS!$K$40),"ELEV 01",IF(AND(G98="TORRE",CI98&lt;=RÉGUAS!$M$40),"ELEV 02",IF(AND(G98="TORRE",CI98&gt;RÉGUAS!$M$40),"ELEV 03",)))))</f>
        <v>ELEV 03</v>
      </c>
      <c r="CK98" s="120">
        <f>SUM(Tabela1[[#This Row],[TOTAL  ACAB]],Tabela1[[#This Row],[TOTAL LAZER ]],Tabela1[[#This Row],[TOTAL TIPOLOGIA]],Tabela1[[#This Row],[TOTAL VAGA]],Tabela1[[#This Row],[TOTAL ELEVADOR]])</f>
        <v>17401.68247159091</v>
      </c>
      <c r="CL98" s="38" t="str">
        <f>IF(AND(G98="BLOCO",CK98&lt;=RÉGUAS!$D$50),"ESSENCIAL",IF(AND(G98="BLOCO",CK98&lt;=RÉGUAS!$F$50),"ECO",IF(AND(G98="BLOCO",CK98&gt;RÉGUAS!$F$50),"BIO",IF(AND(G98="TORRE",CK98&lt;=RÉGUAS!$K$50),"ESSENCIAL",IF(AND(G98="TORRE",CK98&lt;=RÉGUAS!$M$50),"ECO",IF(AND(G98="TORRE",CK98&gt;RÉGUAS!$M$50),"BIO",))))))</f>
        <v>BIO</v>
      </c>
      <c r="CM98" s="119" t="str">
        <f>IF(AND(G98="BLOCO",CK98&gt;=RÉGUAS!$D$51,CK98&lt;=RÉGUAS!$D$50),"ESSENCIAL-10%",IF(AND(G98="BLOCO",CK98&gt;RÉGUAS!$D$50,CK98&lt;=RÉGUAS!$E$51),"ECO+10%",IF(AND(G98="BLOCO",CK98&gt;=RÉGUAS!$F$51,CK98&lt;=RÉGUAS!$F$50),"ECO-10%",IF(AND(G98="BLOCO",CK98&gt;RÉGUAS!$F$50,CK98&lt;=RÉGUAS!$G$51),"BIO+10%",IF(AND(G98="TORRE",CK98&gt;=RÉGUAS!$K$51,CK98&lt;=RÉGUAS!$K$50),"ESSENCIAL-10%",IF(AND(G98="TORRE",CK98&gt;RÉGUAS!$K$50,CK98&lt;=RÉGUAS!$L$51),"ECO+10%",IF(AND(G98="TORRE",CK98&gt;=RÉGUAS!$M$51,CK98&lt;=RÉGUAS!$M$50),"ECO-10%",IF(AND(G98="TORRE",CK98&gt;RÉGUAS!$M$50,CK98&lt;=RÉGUAS!$N$51),"BIO+10%","-"))))))))</f>
        <v>-</v>
      </c>
      <c r="CN98" s="81">
        <f t="shared" si="17"/>
        <v>12465.43247159091</v>
      </c>
      <c r="CO98" s="38" t="str">
        <f>IF(CN98&lt;=RÉGUAS!$D$58,"ESSENCIAL",IF(CN98&lt;=RÉGUAS!$F$58,"ECO",IF(CN98&gt;RÉGUAS!$F$58,"BIO",)))</f>
        <v>BIO</v>
      </c>
      <c r="CP98" s="38" t="str">
        <f>IF(Tabela1[[#This Row],[INTERVALO DE INTERSEÇÃO 5D]]="-",Tabela1[[#This Row],[CLASSIFICAÇÃO 
5D ]],Tabela1[[#This Row],[CLASSIFICAÇÃO 
4D]])</f>
        <v>BIO</v>
      </c>
      <c r="CQ98" s="38" t="str">
        <f t="shared" si="18"/>
        <v>-</v>
      </c>
      <c r="CR98" s="38" t="str">
        <f t="shared" si="19"/>
        <v>BIO</v>
      </c>
      <c r="CS98" s="22" t="str">
        <f>IF(Tabela1[[#This Row],[PRODUTO ATUAL ]]=Tabela1[[#This Row],[CLASSIFICAÇÃO FINAL 5D]],"ADERÊNTE","NÃO ADERÊNTE")</f>
        <v>ADERÊNTE</v>
      </c>
      <c r="CT98" s="24">
        <f>SUM(Tabela1[[#This Row],[TOTAL  ACAB]],Tabela1[[#This Row],[TOTAL LAZER ]],Tabela1[[#This Row],[TOTAL TIPOLOGIA]],Tabela1[[#This Row],[TOTAL VAGA]])</f>
        <v>12465.43247159091</v>
      </c>
      <c r="CU98" s="22" t="str">
        <f>IF(CT98&lt;=RÉGUAS!$D$58,"ESSENCIAL",IF(CT98&lt;=RÉGUAS!$F$58,"ECO",IF(CT98&gt;RÉGUAS!$F$58,"BIO",)))</f>
        <v>BIO</v>
      </c>
      <c r="CV98" s="22" t="str">
        <f>IF(AND(CT98&gt;=RÉGUAS!$D$59,CT98&lt;=RÉGUAS!$E$59),"ESSENCIAL/ECO",IF(AND(CT98&gt;=RÉGUAS!$F$59,CT98&lt;=RÉGUAS!$G$59),"ECO/BIO","-"))</f>
        <v>ECO/BIO</v>
      </c>
      <c r="CW98" s="85">
        <f>SUM(Tabela1[[#This Row],[TOTAL LAZER ]],Tabela1[[#This Row],[TOTAL TIPOLOGIA]])</f>
        <v>4859.9779261363637</v>
      </c>
      <c r="CX98" s="22" t="str">
        <f>IF(CW98&lt;=RÉGUAS!$D$72,"ESSENCIAL",IF(CW98&lt;=RÉGUAS!$F$72,"ECO",IF(CN98&gt;RÉGUAS!$F$72,"BIO",)))</f>
        <v>BIO</v>
      </c>
      <c r="CY98" s="22" t="str">
        <f t="shared" si="20"/>
        <v>BIO</v>
      </c>
      <c r="CZ98" s="22" t="str">
        <f>IF(Tabela1[[#This Row],[PRODUTO ATUAL ]]=CY98,"ADERENTE","NÃO ADERENTE")</f>
        <v>ADERENTE</v>
      </c>
      <c r="DA98" s="22" t="str">
        <f>IF(Tabela1[[#This Row],[PRODUTO ATUAL ]]=Tabela1[[#This Row],[CLASSIFICAÇÃO 
4D2]],"ADERENTE","NÃO ADERENTE")</f>
        <v>ADERENTE</v>
      </c>
    </row>
    <row r="99" spans="2:105" hidden="1" x14ac:dyDescent="0.35">
      <c r="B99" s="27">
        <v>93</v>
      </c>
      <c r="C99" s="22" t="s">
        <v>241</v>
      </c>
      <c r="D99" s="22" t="s">
        <v>154</v>
      </c>
      <c r="E99" s="23">
        <v>576</v>
      </c>
      <c r="F99" s="22" t="str">
        <f t="shared" ref="F99:F104" si="21">IF(E99&lt;=200,"Até 200 und",IF(E99&lt;=400,"De 200 a 400 und",IF(E99&gt;=401,"Acima de 400 und")))</f>
        <v>Acima de 400 und</v>
      </c>
      <c r="G99" s="22" t="s">
        <v>14</v>
      </c>
      <c r="H99" s="36">
        <v>6</v>
      </c>
      <c r="I99" s="36">
        <v>13</v>
      </c>
      <c r="J99" s="36"/>
      <c r="K99" s="36"/>
      <c r="L99" s="36">
        <f>SUM(Tabela1[[#This Row],[QTD DE B/T 2]],Tabela1[[#This Row],[QTD DE B/T]])</f>
        <v>6</v>
      </c>
      <c r="M99" s="22">
        <v>12</v>
      </c>
      <c r="N99" s="22">
        <f>Tabela1[[#This Row],[ELEVADOR]]/Tabela1[[#This Row],[BLOCO TOTAL]]</f>
        <v>2</v>
      </c>
      <c r="O99" s="22" t="s">
        <v>4</v>
      </c>
      <c r="P99" s="22" t="s">
        <v>101</v>
      </c>
      <c r="Q99" s="22" t="s">
        <v>101</v>
      </c>
      <c r="R99" s="22" t="s">
        <v>142</v>
      </c>
      <c r="S99" s="22" t="s">
        <v>159</v>
      </c>
      <c r="T99" s="22" t="s">
        <v>173</v>
      </c>
      <c r="U99" s="22" t="s">
        <v>174</v>
      </c>
      <c r="V99" s="22" t="s">
        <v>106</v>
      </c>
      <c r="W99" s="24">
        <f>IF(P99=[1]BD_CUSTO!$E$4,[1]BD_CUSTO!$F$4,[1]BD_CUSTO!$F$5)</f>
        <v>2430</v>
      </c>
      <c r="X99" s="24">
        <f>IF(Q99=[1]BD_CUSTO!$E$6,[1]BD_CUSTO!$F$6,[1]BD_CUSTO!$F$7)</f>
        <v>260</v>
      </c>
      <c r="Y99" s="24">
        <f>IF(R99=[1]BD_CUSTO!$E$8,[1]BD_CUSTO!$F$8,[1]BD_CUSTO!$F$9)</f>
        <v>900</v>
      </c>
      <c r="Z99" s="24">
        <f>IF(S99=[1]BD_CUSTO!$E$10,[1]BD_CUSTO!$F$10,[1]BD_CUSTO!$F$11)</f>
        <v>935</v>
      </c>
      <c r="AA99" s="24">
        <f>IF(T99=[1]BD_CUSTO!$E$12,[1]BD_CUSTO!$F$12,[1]BD_CUSTO!$F$13)</f>
        <v>930</v>
      </c>
      <c r="AB99" s="24">
        <f>IF(U99=[1]BD_CUSTO!$E$14,[1]BD_CUSTO!$F$14,[1]BD_CUSTO!$F$15)</f>
        <v>240</v>
      </c>
      <c r="AC99" s="24">
        <f>IF(V99=[1]BD_CUSTO!$E$16,[1]BD_CUSTO!$F$16,[1]BD_CUSTO!$F$17)</f>
        <v>720</v>
      </c>
      <c r="AD99" s="22" t="s">
        <v>109</v>
      </c>
      <c r="AE99" s="22">
        <v>1</v>
      </c>
      <c r="AF99" s="22" t="s">
        <v>135</v>
      </c>
      <c r="AG99" s="22">
        <v>1</v>
      </c>
      <c r="AH99" s="22" t="s">
        <v>129</v>
      </c>
      <c r="AI99" s="22">
        <v>1</v>
      </c>
      <c r="AJ99" s="22" t="s">
        <v>121</v>
      </c>
      <c r="AK99" s="22">
        <v>1</v>
      </c>
      <c r="AL99" s="22" t="s">
        <v>107</v>
      </c>
      <c r="AM99" s="22">
        <v>1</v>
      </c>
      <c r="AN99" s="22" t="s">
        <v>108</v>
      </c>
      <c r="AO99" s="22">
        <v>2</v>
      </c>
      <c r="AP99" s="22" t="s">
        <v>110</v>
      </c>
      <c r="AQ99" s="22">
        <v>1</v>
      </c>
      <c r="AR99" s="22"/>
      <c r="AS99" s="22"/>
      <c r="AT99" s="22"/>
      <c r="AU99" s="22"/>
      <c r="AV99" s="22"/>
      <c r="AW99" s="22"/>
      <c r="AX99" s="24">
        <f>IF(AD99="",0,VLOOKUP(AD99,[1]BD_CUSTO!I:J,2,0)*AE99/E99)</f>
        <v>12.065972222222221</v>
      </c>
      <c r="AY99" s="24">
        <f>IF(AF99="",0,VLOOKUP(AF99,[1]BD_CUSTO!I:J,2,0)*AG99/E99)</f>
        <v>218.86916666666667</v>
      </c>
      <c r="AZ99" s="24">
        <f>IF(AH99="",0,VLOOKUP(AH99,[1]BD_CUSTO!I:J,2,0)*AI99/E99)</f>
        <v>477.72149305555558</v>
      </c>
      <c r="BA99" s="24">
        <f>IF(AJ99="",0,VLOOKUP(AJ99,[1]BD_CUSTO!I:J,2,0)*AK99/E99)</f>
        <v>213.81406249999998</v>
      </c>
      <c r="BB99" s="24">
        <f>IF(AL99="",0,VLOOKUP(AL99,[1]BD_CUSTO!I:J,2,0)*AM99/E99)</f>
        <v>147.82833333333332</v>
      </c>
      <c r="BC99" s="24">
        <f>IF(AN99="",0,VLOOKUP(AN99,[1]BD_CUSTO!I:J,2,0)*AO99/E99)</f>
        <v>80.381944444444443</v>
      </c>
      <c r="BD99" s="24">
        <f>IF(AP99="",0,VLOOKUP(AP99,[1]BD_CUSTO!I:J,2,0)*AQ99/E99)</f>
        <v>9.2013888888888893</v>
      </c>
      <c r="BE99" s="24">
        <f>IF(AR99="",0,VLOOKUP(AR99,CUSTO!I:J,2,0)*AS99/E99)</f>
        <v>0</v>
      </c>
      <c r="BF99" s="24">
        <f>IF(AT99="",0,VLOOKUP(AT99,[1]BD_CUSTO!I:J,2,0)*AU99/E99)</f>
        <v>0</v>
      </c>
      <c r="BG99" s="24">
        <f>IF(Tabela1[[#This Row],[LZ 10]]="",0,VLOOKUP(Tabela1[[#This Row],[LZ 10]],[1]BD_CUSTO!I:J,2,0)*Tabela1[[#This Row],[QTD922]]/E99)</f>
        <v>0</v>
      </c>
      <c r="BH99" s="22" t="s">
        <v>112</v>
      </c>
      <c r="BI99" s="25">
        <v>0.91659999999999997</v>
      </c>
      <c r="BJ99" s="22" t="s">
        <v>212</v>
      </c>
      <c r="BK99" s="25">
        <v>0.625</v>
      </c>
      <c r="BL99" s="24">
        <f>IF(BH99=[1]BD_CUSTO!$M$6,[1]BD_CUSTO!$N$6)*BI99</f>
        <v>2749.7999999999997</v>
      </c>
      <c r="BM99" s="24">
        <f>IF(BJ99=[1]BD_CUSTO!$M$4,[1]BD_CUSTO!$N$4,[1]BD_CUSTO!$N$5)*BK99</f>
        <v>3750</v>
      </c>
      <c r="BN99" s="22" t="s">
        <v>114</v>
      </c>
      <c r="BO99" s="22">
        <v>609</v>
      </c>
      <c r="BP99" s="25">
        <f>Tabela1[[#This Row],[QTD ]]/Tabela1[[#This Row],[Nº UNDS]]</f>
        <v>1.0572916666666667</v>
      </c>
      <c r="BQ99" s="22" t="s">
        <v>123</v>
      </c>
      <c r="BR99" s="22">
        <v>75</v>
      </c>
      <c r="BS99" s="22" t="s">
        <v>116</v>
      </c>
      <c r="BT99" s="22">
        <v>0</v>
      </c>
      <c r="BU99" s="22" t="s">
        <v>16</v>
      </c>
      <c r="BV99" s="22">
        <v>0</v>
      </c>
      <c r="BW99" s="24">
        <f>IF(BN99=[1]BD_CUSTO!$Q$7,[1]BD_CUSTO!$R$7,[1]BD_CUSTO!$R$8)*BO99/E99</f>
        <v>2114.5833333333335</v>
      </c>
      <c r="BX99" s="24">
        <f>IF(BQ99=[1]BD_CUSTO!$Q$4,[1]BD_CUSTO!$R$4,[1]BD_CUSTO!$R$5)*BR99/E99</f>
        <v>130.20833333333334</v>
      </c>
      <c r="BY99" s="22">
        <f>IF(BS99=[1]BD_CUSTO!$Q$13,[1]BD_CUSTO!$R$13,[1]BD_CUSTO!$R$14)*BT99/E99</f>
        <v>0</v>
      </c>
      <c r="BZ99" s="24">
        <f>BV99*CUSTO!$R$10/E99</f>
        <v>0</v>
      </c>
      <c r="CA99" s="26">
        <f>SUM(Tabela1[[#This Row],[SOMA_PISO SALA E QUARTO]],Tabela1[[#This Row],[SOMA_PAREDE HIDR]],Tabela1[[#This Row],[SOMA_TETO]],Tabela1[[#This Row],[SOMA_BANCADA]],Tabela1[[#This Row],[SOMA_PEDRAS]])</f>
        <v>5435</v>
      </c>
      <c r="CB99" s="27" t="str">
        <f>IF(CA99&lt;=RÉGUAS!$D$4,"ACAB 01",IF(CA99&lt;=RÉGUAS!$F$4,"ACAB 02",IF(CA99&gt;RÉGUAS!$F$4,"ACAB 03",)))</f>
        <v>ACAB 03</v>
      </c>
      <c r="CC99" s="26">
        <f>SUM(Tabela1[[#This Row],[SOMA_LZ 01]:[SOMA_LZ 10]])</f>
        <v>1159.8823611111111</v>
      </c>
      <c r="CD99" s="22" t="str">
        <f>IF(CC99&lt;=RÉGUAS!$D$13,"LZ 01",IF(CC99&lt;=RÉGUAS!$F$13,"LZ 02",IF(CC99&lt;=RÉGUAS!$H$13,"LZ 03",IF(CC99&gt;RÉGUAS!$H$13,"LZ 04",))))</f>
        <v>LZ 02</v>
      </c>
      <c r="CE99" s="28">
        <f t="shared" ref="CE99:CE104" si="22">SUM(BL99:BM99)</f>
        <v>6499.7999999999993</v>
      </c>
      <c r="CF99" s="22" t="str">
        <f>IF(CE99&lt;=RÉGUAS!$D$22,"TIP 01",IF(CE99&lt;=RÉGUAS!$F$22,"TIP 02",IF(CE99&gt;RÉGUAS!$F$22,"TIP 03",)))</f>
        <v>TIP 03</v>
      </c>
      <c r="CG99" s="28">
        <f t="shared" ref="CG99:CG104" si="23">SUM(BW99:BZ99)</f>
        <v>2244.791666666667</v>
      </c>
      <c r="CH99" s="22" t="str">
        <f>IF(CG99&lt;=RÉGUAS!$D$32,"VAGA 01",IF(CG99&lt;=RÉGUAS!$F$32,"VAGA 02",IF(CG99&gt;RÉGUAS!$F$32,"VAGA 03",)))</f>
        <v>VAGA 02</v>
      </c>
      <c r="CI99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4544.3125</v>
      </c>
      <c r="CJ99" s="85" t="str">
        <f>IF(AND(G99="BLOCO",CI99&lt;=RÉGUAS!$D$40),"ELEV 01",IF(AND(G99="BLOCO",CI99&gt;RÉGUAS!$D$40),"ELEV 02",IF(AND(G99="TORRE",CI99&lt;=RÉGUAS!$K$40),"ELEV 01",IF(AND(G99="TORRE",CI99&lt;=RÉGUAS!$M$40),"ELEV 02",IF(AND(G99="TORRE",CI99&gt;RÉGUAS!$M$40),"ELEV 03",)))))</f>
        <v>ELEV 03</v>
      </c>
      <c r="CK99" s="85">
        <f>SUM(Tabela1[[#This Row],[TOTAL  ACAB]],Tabela1[[#This Row],[TOTAL LAZER ]],Tabela1[[#This Row],[TOTAL TIPOLOGIA]],Tabela1[[#This Row],[TOTAL VAGA]],Tabela1[[#This Row],[TOTAL ELEVADOR]])</f>
        <v>19883.786527777778</v>
      </c>
      <c r="CL99" s="72" t="str">
        <f>IF(AND(G99="BLOCO",CK99&lt;=RÉGUAS!$D$50),"ESSENCIAL",IF(AND(G99="BLOCO",CK99&lt;=RÉGUAS!$F$50),"ECO",IF(AND(G99="BLOCO",CK99&gt;RÉGUAS!$F$50),"BIO",IF(AND(G99="TORRE",CK99&lt;=RÉGUAS!$K$50),"ESSENCIAL",IF(AND(G99="TORRE",CK99&lt;=RÉGUAS!$M$50),"ECO",IF(AND(G99="TORRE",CK99&gt;RÉGUAS!$M$50),"BIO",))))))</f>
        <v>BIO</v>
      </c>
      <c r="CM99" s="28" t="str">
        <f>IF(AND(G99="BLOCO",CK99&gt;=RÉGUAS!$D$51,CK99&lt;=RÉGUAS!$D$50),"ESSENCIAL-10%",IF(AND(G99="BLOCO",CK99&gt;RÉGUAS!$D$50,CK99&lt;=RÉGUAS!$E$51),"ECO+10%",IF(AND(G99="BLOCO",CK99&gt;=RÉGUAS!$F$51,CK99&lt;=RÉGUAS!$F$50),"ECO-10%",IF(AND(G99="BLOCO",CK99&gt;RÉGUAS!$F$50,CK99&lt;=RÉGUAS!$G$51),"BIO+10%",IF(AND(G99="TORRE",CK99&gt;=RÉGUAS!$K$51,CK99&lt;=RÉGUAS!$K$50),"ESSENCIAL-10%",IF(AND(G99="TORRE",CK99&gt;RÉGUAS!$K$50,CK99&lt;=RÉGUAS!$L$51),"ECO+10%",IF(AND(G99="TORRE",CK99&gt;=RÉGUAS!$M$51,CK99&lt;=RÉGUAS!$M$50),"ECO-10%",IF(AND(G99="TORRE",CK99&gt;RÉGUAS!$M$50,CK99&lt;=RÉGUAS!$N$51),"BIO+10%","-"))))))))</f>
        <v>-</v>
      </c>
      <c r="CN99" s="73">
        <f t="shared" ref="CN99:CN104" si="24">SUM(CA99,CC99,CE99,CG99)</f>
        <v>15339.474027777778</v>
      </c>
      <c r="CO99" s="72" t="str">
        <f>IF(CN99&lt;=RÉGUAS!$D$58,"ESSENCIAL",IF(CN99&lt;=RÉGUAS!$F$58,"ECO",IF(CN99&gt;RÉGUAS!$F$58,"BIO",)))</f>
        <v>BIO</v>
      </c>
      <c r="CP99" s="72" t="str">
        <f>IF(Tabela1[[#This Row],[INTERVALO DE INTERSEÇÃO 5D]]="-",Tabela1[[#This Row],[CLASSIFICAÇÃO 
5D ]],Tabela1[[#This Row],[CLASSIFICAÇÃO 
4D]])</f>
        <v>BIO</v>
      </c>
      <c r="CQ99" s="72" t="str">
        <f t="shared" ref="CQ99:CQ104" si="25">IF(AND(CL99="ESSENCIAL",CO99="BIO"),"OPOSTO",IF(AND(CL99="BIO",CO99="ESSENCIAL"),"OPOSTO","-"))</f>
        <v>-</v>
      </c>
      <c r="CR99" s="72" t="str">
        <f t="shared" ref="CR99:CR104" si="26">IF(AND(CL99="ESSENCIAL",CO99="BIO"),"ECO",IF(AND(CL99="BIO",CO99="ESSENCIAL"),"ECO",CP99))</f>
        <v>BIO</v>
      </c>
      <c r="CS99" s="22" t="str">
        <f>IF(Tabela1[[#This Row],[PRODUTO ATUAL ]]=Tabela1[[#This Row],[CLASSIFICAÇÃO FINAL 5D]],"ADERÊNTE","NÃO ADERÊNTE")</f>
        <v>ADERÊNTE</v>
      </c>
      <c r="CT99" s="24">
        <f>SUM(Tabela1[[#This Row],[TOTAL  ACAB]],Tabela1[[#This Row],[TOTAL LAZER ]],Tabela1[[#This Row],[TOTAL TIPOLOGIA]],Tabela1[[#This Row],[TOTAL VAGA]])</f>
        <v>15339.474027777778</v>
      </c>
      <c r="CU99" s="22" t="str">
        <f>IF(CT99&lt;=RÉGUAS!$D$58,"ESSENCIAL",IF(CT99&lt;=RÉGUAS!$F$58,"ECO",IF(CT99&gt;RÉGUAS!$F$58,"BIO",)))</f>
        <v>BIO</v>
      </c>
      <c r="CV99" s="22" t="str">
        <f>IF(AND(CT99&gt;=RÉGUAS!$D$59,CT99&lt;=RÉGUAS!$E$59),"ESSENCIAL/ECO",IF(AND(CT99&gt;=RÉGUAS!$F$59,CT99&lt;=RÉGUAS!$G$59),"ECO/BIO","-"))</f>
        <v>-</v>
      </c>
      <c r="CW99" s="85">
        <f>SUM(Tabela1[[#This Row],[TOTAL LAZER ]],Tabela1[[#This Row],[TOTAL TIPOLOGIA]])</f>
        <v>7659.6823611111104</v>
      </c>
      <c r="CX99" s="22" t="str">
        <f>IF(CW99&lt;=RÉGUAS!$D$72,"ESSENCIAL",IF(CW99&lt;=RÉGUAS!$F$72,"ECO",IF(CN99&gt;RÉGUAS!$F$72,"BIO",)))</f>
        <v>BIO</v>
      </c>
      <c r="CY99" s="22" t="str">
        <f t="shared" ref="CY99:CY104" si="27">IF(CV99="-",CU99,CX99)</f>
        <v>BIO</v>
      </c>
      <c r="CZ99" s="22" t="str">
        <f>IF(Tabela1[[#This Row],[PRODUTO ATUAL ]]=CY99,"ADERENTE","NÃO ADERENTE")</f>
        <v>ADERENTE</v>
      </c>
      <c r="DA99" s="22" t="str">
        <f>IF(Tabela1[[#This Row],[PRODUTO ATUAL ]]=Tabela1[[#This Row],[CLASSIFICAÇÃO 
4D2]],"ADERENTE","NÃO ADERENTE")</f>
        <v>ADERENTE</v>
      </c>
    </row>
    <row r="100" spans="2:105" hidden="1" x14ac:dyDescent="0.35">
      <c r="B100" s="27">
        <v>103</v>
      </c>
      <c r="C100" s="22" t="s">
        <v>215</v>
      </c>
      <c r="D100" s="22" t="s">
        <v>100</v>
      </c>
      <c r="E100" s="23">
        <v>256</v>
      </c>
      <c r="F100" s="22" t="str">
        <f t="shared" si="21"/>
        <v>De 200 a 400 und</v>
      </c>
      <c r="G100" s="22" t="s">
        <v>14</v>
      </c>
      <c r="H100" s="36">
        <v>3</v>
      </c>
      <c r="I100" s="36">
        <v>11</v>
      </c>
      <c r="J100" s="36"/>
      <c r="K100" s="36"/>
      <c r="L100" s="36">
        <f>SUM(Tabela1[[#This Row],[QTD DE B/T 2]],Tabela1[[#This Row],[QTD DE B/T]])</f>
        <v>3</v>
      </c>
      <c r="M100" s="22">
        <v>3</v>
      </c>
      <c r="N100" s="22">
        <f>Tabela1[[#This Row],[ELEVADOR]]/Tabela1[[#This Row],[BLOCO TOTAL]]</f>
        <v>1</v>
      </c>
      <c r="O100" s="22" t="s">
        <v>4</v>
      </c>
      <c r="P100" s="22" t="s">
        <v>101</v>
      </c>
      <c r="Q100" s="22" t="s">
        <v>101</v>
      </c>
      <c r="R100" s="22" t="s">
        <v>142</v>
      </c>
      <c r="S100" s="22" t="s">
        <v>159</v>
      </c>
      <c r="T100" s="22" t="s">
        <v>173</v>
      </c>
      <c r="U100" s="22" t="s">
        <v>174</v>
      </c>
      <c r="V100" s="22" t="s">
        <v>106</v>
      </c>
      <c r="W100" s="24">
        <f>IF(P100=[1]BD_CUSTO!$E$4,[1]BD_CUSTO!$F$4,[1]BD_CUSTO!$F$5)</f>
        <v>2430</v>
      </c>
      <c r="X100" s="24">
        <f>IF(Q100=[1]BD_CUSTO!$E$6,[1]BD_CUSTO!$F$6,[1]BD_CUSTO!$F$7)</f>
        <v>260</v>
      </c>
      <c r="Y100" s="24">
        <f>IF(R100=[1]BD_CUSTO!$E$8,[1]BD_CUSTO!$F$8,[1]BD_CUSTO!$F$9)</f>
        <v>900</v>
      </c>
      <c r="Z100" s="24">
        <f>IF(S100=[1]BD_CUSTO!$E$10,[1]BD_CUSTO!$F$10,[1]BD_CUSTO!$F$11)</f>
        <v>935</v>
      </c>
      <c r="AA100" s="24">
        <f>IF(T100=[1]BD_CUSTO!$E$12,[1]BD_CUSTO!$F$12,[1]BD_CUSTO!$F$13)</f>
        <v>930</v>
      </c>
      <c r="AB100" s="24">
        <f>IF(U100=[1]BD_CUSTO!$E$14,[1]BD_CUSTO!$F$14,[1]BD_CUSTO!$F$15)</f>
        <v>240</v>
      </c>
      <c r="AC100" s="24">
        <f>IF(V100=[1]BD_CUSTO!$E$16,[1]BD_CUSTO!$F$16,[1]BD_CUSTO!$F$17)</f>
        <v>720</v>
      </c>
      <c r="AD100" s="22" t="s">
        <v>107</v>
      </c>
      <c r="AE100" s="22">
        <v>2</v>
      </c>
      <c r="AF100" s="22" t="s">
        <v>129</v>
      </c>
      <c r="AG100" s="22">
        <v>1</v>
      </c>
      <c r="AH100" s="22" t="s">
        <v>121</v>
      </c>
      <c r="AI100" s="22">
        <v>2</v>
      </c>
      <c r="AJ100" s="22" t="s">
        <v>108</v>
      </c>
      <c r="AK100" s="22">
        <v>1</v>
      </c>
      <c r="AL100" s="22" t="s">
        <v>109</v>
      </c>
      <c r="AM100" s="22">
        <v>1</v>
      </c>
      <c r="AN100" s="22" t="s">
        <v>133</v>
      </c>
      <c r="AO100" s="22">
        <v>1</v>
      </c>
      <c r="AP100" s="22" t="s">
        <v>110</v>
      </c>
      <c r="AQ100" s="22">
        <v>1</v>
      </c>
      <c r="AR100" s="22"/>
      <c r="AS100" s="22"/>
      <c r="AT100" s="22"/>
      <c r="AU100" s="22"/>
      <c r="AV100" s="22"/>
      <c r="AW100" s="22"/>
      <c r="AX100" s="24">
        <f>IF(AD100="",0,VLOOKUP(AD100,[1]BD_CUSTO!I:J,2,0)*AE100/E100)</f>
        <v>665.22749999999996</v>
      </c>
      <c r="AY100" s="24">
        <f>IF(AF100="",0,VLOOKUP(AF100,[1]BD_CUSTO!I:J,2,0)*AG100/E100)</f>
        <v>1074.8733593750001</v>
      </c>
      <c r="AZ100" s="24">
        <f>IF(AH100="",0,VLOOKUP(AH100,[1]BD_CUSTO!I:J,2,0)*AI100/E100)</f>
        <v>962.16328124999995</v>
      </c>
      <c r="BA100" s="24">
        <f>IF(AJ100="",0,VLOOKUP(AJ100,[1]BD_CUSTO!I:J,2,0)*AK100/E100)</f>
        <v>90.4296875</v>
      </c>
      <c r="BB100" s="24">
        <f>IF(AL100="",0,VLOOKUP(AL100,[1]BD_CUSTO!I:J,2,0)*AM100/E100)</f>
        <v>27.1484375</v>
      </c>
      <c r="BC100" s="24">
        <f>IF(AN100="",0,VLOOKUP(AN100,[1]BD_CUSTO!I:J,2,0)*AO100/E100)</f>
        <v>27.1875</v>
      </c>
      <c r="BD100" s="24">
        <f>IF(AP100="",0,VLOOKUP(AP100,[1]BD_CUSTO!I:J,2,0)*AQ100/E100)</f>
        <v>20.703125</v>
      </c>
      <c r="BE100" s="24">
        <f>IF(AR100="",0,VLOOKUP(AR100,CUSTO!I:J,2,0)*AS100/E100)</f>
        <v>0</v>
      </c>
      <c r="BF100" s="24">
        <f>IF(AT100="",0,VLOOKUP(AT100,[1]BD_CUSTO!I:J,2,0)*AU100/E100)</f>
        <v>0</v>
      </c>
      <c r="BG100" s="24">
        <f>IF(Tabela1[[#This Row],[LZ 10]]="",0,VLOOKUP(Tabela1[[#This Row],[LZ 10]],[1]BD_CUSTO!I:J,2,0)*Tabela1[[#This Row],[QTD922]]/E100)</f>
        <v>0</v>
      </c>
      <c r="BH100" s="22" t="s">
        <v>112</v>
      </c>
      <c r="BI100" s="25">
        <f>(116+116)/Tabela1[[#This Row],[Nº UNDS]]</f>
        <v>0.90625</v>
      </c>
      <c r="BJ100" s="22" t="s">
        <v>212</v>
      </c>
      <c r="BK100" s="25">
        <f>(116+12)/Tabela1[[#This Row],[Nº UNDS]]</f>
        <v>0.5</v>
      </c>
      <c r="BL100" s="24">
        <f>IF(BH100=[1]BD_CUSTO!$M$6,[1]BD_CUSTO!$N$6)*BI100</f>
        <v>2718.75</v>
      </c>
      <c r="BM100" s="24">
        <f>IF(BJ100=[1]BD_CUSTO!$M$4,[1]BD_CUSTO!$N$4,[1]BD_CUSTO!$N$5)*BK100</f>
        <v>3000</v>
      </c>
      <c r="BN100" s="22" t="s">
        <v>114</v>
      </c>
      <c r="BO100" s="22">
        <v>276</v>
      </c>
      <c r="BP100" s="25">
        <f>Tabela1[[#This Row],[QTD ]]/Tabela1[[#This Row],[Nº UNDS]]</f>
        <v>1.078125</v>
      </c>
      <c r="BQ100" s="22" t="s">
        <v>115</v>
      </c>
      <c r="BR100" s="22">
        <v>0</v>
      </c>
      <c r="BS100" s="22" t="s">
        <v>116</v>
      </c>
      <c r="BT100" s="22">
        <v>0</v>
      </c>
      <c r="BU100" s="22" t="s">
        <v>16</v>
      </c>
      <c r="BV100" s="22">
        <v>0</v>
      </c>
      <c r="BW100" s="24">
        <f>IF(BN100=[1]BD_CUSTO!$Q$7,[1]BD_CUSTO!$R$7,[1]BD_CUSTO!$R$8)*BO100/E100</f>
        <v>2156.25</v>
      </c>
      <c r="BX100" s="24">
        <f>IF(BQ100=[1]BD_CUSTO!$Q$4,[1]BD_CUSTO!$R$4,[1]BD_CUSTO!$R$5)*BR100/E100</f>
        <v>0</v>
      </c>
      <c r="BY100" s="22">
        <f>IF(BS100=[1]BD_CUSTO!$Q$13,[1]BD_CUSTO!$R$13,[1]BD_CUSTO!$R$14)*BT100/E100</f>
        <v>0</v>
      </c>
      <c r="BZ100" s="24">
        <f>BV100*CUSTO!$R$10/E100</f>
        <v>0</v>
      </c>
      <c r="CA100" s="26">
        <f>SUM(Tabela1[[#This Row],[SOMA_PISO SALA E QUARTO]],Tabela1[[#This Row],[SOMA_PAREDE HIDR]],Tabela1[[#This Row],[SOMA_TETO]],Tabela1[[#This Row],[SOMA_BANCADA]],Tabela1[[#This Row],[SOMA_PEDRAS]])</f>
        <v>5435</v>
      </c>
      <c r="CB100" s="27" t="str">
        <f>IF(CA100&lt;=RÉGUAS!$D$4,"ACAB 01",IF(CA100&lt;=RÉGUAS!$F$4,"ACAB 02",IF(CA100&gt;RÉGUAS!$F$4,"ACAB 03",)))</f>
        <v>ACAB 03</v>
      </c>
      <c r="CC100" s="26">
        <f>SUM(Tabela1[[#This Row],[SOMA_LZ 01]:[SOMA_LZ 10]])</f>
        <v>2867.732890625</v>
      </c>
      <c r="CD100" s="22" t="str">
        <f>IF(CC100&lt;=RÉGUAS!$D$13,"LZ 01",IF(CC100&lt;=RÉGUAS!$F$13,"LZ 02",IF(CC100&lt;=RÉGUAS!$H$13,"LZ 03",IF(CC100&gt;RÉGUAS!$H$13,"LZ 04",))))</f>
        <v>LZ 04</v>
      </c>
      <c r="CE100" s="28">
        <f t="shared" si="22"/>
        <v>5718.75</v>
      </c>
      <c r="CF100" s="22" t="str">
        <f>IF(CE100&lt;=RÉGUAS!$D$22,"TIP 01",IF(CE100&lt;=RÉGUAS!$F$22,"TIP 02",IF(CE100&gt;RÉGUAS!$F$22,"TIP 03",)))</f>
        <v>TIP 03</v>
      </c>
      <c r="CG100" s="28">
        <f t="shared" si="23"/>
        <v>2156.25</v>
      </c>
      <c r="CH100" s="22" t="str">
        <f>IF(CG100&lt;=RÉGUAS!$D$32,"VAGA 01",IF(CG100&lt;=RÉGUAS!$F$32,"VAGA 02",IF(CG100&gt;RÉGUAS!$F$32,"VAGA 03",)))</f>
        <v>VAGA 02</v>
      </c>
      <c r="CI100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2545.25390625</v>
      </c>
      <c r="CJ100" s="85" t="str">
        <f>IF(AND(G100="BLOCO",CI100&lt;=RÉGUAS!$D$40),"ELEV 01",IF(AND(G100="BLOCO",CI100&gt;RÉGUAS!$D$40),"ELEV 02",IF(AND(G100="TORRE",CI100&lt;=RÉGUAS!$K$40),"ELEV 01",IF(AND(G100="TORRE",CI100&lt;=RÉGUAS!$M$40),"ELEV 02",IF(AND(G100="TORRE",CI100&gt;RÉGUAS!$M$40),"ELEV 03",)))))</f>
        <v>ELEV 03</v>
      </c>
      <c r="CK100" s="85">
        <f>SUM(Tabela1[[#This Row],[TOTAL  ACAB]],Tabela1[[#This Row],[TOTAL LAZER ]],Tabela1[[#This Row],[TOTAL TIPOLOGIA]],Tabela1[[#This Row],[TOTAL VAGA]],Tabela1[[#This Row],[TOTAL ELEVADOR]])</f>
        <v>18722.986796875</v>
      </c>
      <c r="CL100" s="72" t="str">
        <f>IF(AND(G100="BLOCO",CK100&lt;=RÉGUAS!$D$50),"ESSENCIAL",IF(AND(G100="BLOCO",CK100&lt;=RÉGUAS!$F$50),"ECO",IF(AND(G100="BLOCO",CK100&gt;RÉGUAS!$F$50),"BIO",IF(AND(G100="TORRE",CK100&lt;=RÉGUAS!$K$50),"ESSENCIAL",IF(AND(G100="TORRE",CK100&lt;=RÉGUAS!$M$50),"ECO",IF(AND(G100="TORRE",CK100&gt;RÉGUAS!$M$50),"BIO",))))))</f>
        <v>BIO</v>
      </c>
      <c r="CM100" s="28" t="str">
        <f>IF(AND(G100="BLOCO",CK100&gt;=RÉGUAS!$D$51,CK100&lt;=RÉGUAS!$D$50),"ESSENCIAL-10%",IF(AND(G100="BLOCO",CK100&gt;RÉGUAS!$D$50,CK100&lt;=RÉGUAS!$E$51),"ECO+10%",IF(AND(G100="BLOCO",CK100&gt;=RÉGUAS!$F$51,CK100&lt;=RÉGUAS!$F$50),"ECO-10%",IF(AND(G100="BLOCO",CK100&gt;RÉGUAS!$F$50,CK100&lt;=RÉGUAS!$G$51),"BIO+10%",IF(AND(G100="TORRE",CK100&gt;=RÉGUAS!$K$51,CK100&lt;=RÉGUAS!$K$50),"ESSENCIAL-10%",IF(AND(G100="TORRE",CK100&gt;RÉGUAS!$K$50,CK100&lt;=RÉGUAS!$L$51),"ECO+10%",IF(AND(G100="TORRE",CK100&gt;=RÉGUAS!$M$51,CK100&lt;=RÉGUAS!$M$50),"ECO-10%",IF(AND(G100="TORRE",CK100&gt;RÉGUAS!$M$50,CK100&lt;=RÉGUAS!$N$51),"BIO+10%","-"))))))))</f>
        <v>-</v>
      </c>
      <c r="CN100" s="73">
        <f t="shared" si="24"/>
        <v>16177.732890625</v>
      </c>
      <c r="CO100" s="72" t="str">
        <f>IF(CN100&lt;=RÉGUAS!$D$58,"ESSENCIAL",IF(CN100&lt;=RÉGUAS!$F$58,"ECO",IF(CN100&gt;RÉGUAS!$F$58,"BIO",)))</f>
        <v>BIO</v>
      </c>
      <c r="CP100" s="72" t="str">
        <f>IF(Tabela1[[#This Row],[INTERVALO DE INTERSEÇÃO 5D]]="-",Tabela1[[#This Row],[CLASSIFICAÇÃO 
5D ]],Tabela1[[#This Row],[CLASSIFICAÇÃO 
4D]])</f>
        <v>BIO</v>
      </c>
      <c r="CQ100" s="72" t="str">
        <f t="shared" si="25"/>
        <v>-</v>
      </c>
      <c r="CR100" s="72" t="str">
        <f t="shared" si="26"/>
        <v>BIO</v>
      </c>
      <c r="CS100" s="22" t="str">
        <f>IF(Tabela1[[#This Row],[PRODUTO ATUAL ]]=Tabela1[[#This Row],[CLASSIFICAÇÃO FINAL 5D]],"ADERÊNTE","NÃO ADERÊNTE")</f>
        <v>ADERÊNTE</v>
      </c>
      <c r="CT100" s="24">
        <f>SUM(Tabela1[[#This Row],[TOTAL  ACAB]],Tabela1[[#This Row],[TOTAL LAZER ]],Tabela1[[#This Row],[TOTAL TIPOLOGIA]],Tabela1[[#This Row],[TOTAL VAGA]])</f>
        <v>16177.732890625</v>
      </c>
      <c r="CU100" s="22" t="str">
        <f>IF(CT100&lt;=RÉGUAS!$D$58,"ESSENCIAL",IF(CT100&lt;=RÉGUAS!$F$58,"ECO",IF(CT100&gt;RÉGUAS!$F$58,"BIO",)))</f>
        <v>BIO</v>
      </c>
      <c r="CV100" s="22" t="str">
        <f>IF(AND(CT100&gt;=RÉGUAS!$D$59,CT100&lt;=RÉGUAS!$E$59),"ESSENCIAL/ECO",IF(AND(CT100&gt;=RÉGUAS!$F$59,CT100&lt;=RÉGUAS!$G$59),"ECO/BIO","-"))</f>
        <v>-</v>
      </c>
      <c r="CW100" s="85">
        <f>SUM(Tabela1[[#This Row],[TOTAL LAZER ]],Tabela1[[#This Row],[TOTAL TIPOLOGIA]])</f>
        <v>8586.4828906250004</v>
      </c>
      <c r="CX100" s="22" t="str">
        <f>IF(CW100&lt;=RÉGUAS!$D$72,"ESSENCIAL",IF(CW100&lt;=RÉGUAS!$F$72,"ECO",IF(CN100&gt;RÉGUAS!$F$72,"BIO",)))</f>
        <v>BIO</v>
      </c>
      <c r="CY100" s="22" t="str">
        <f t="shared" si="27"/>
        <v>BIO</v>
      </c>
      <c r="CZ100" s="22" t="str">
        <f>IF(Tabela1[[#This Row],[PRODUTO ATUAL ]]=CY100,"ADERENTE","NÃO ADERENTE")</f>
        <v>ADERENTE</v>
      </c>
      <c r="DA100" s="22" t="str">
        <f>IF(Tabela1[[#This Row],[PRODUTO ATUAL ]]=Tabela1[[#This Row],[CLASSIFICAÇÃO 
4D2]],"ADERENTE","NÃO ADERENTE")</f>
        <v>ADERENTE</v>
      </c>
    </row>
    <row r="101" spans="2:105" hidden="1" x14ac:dyDescent="0.35">
      <c r="B101" s="27">
        <v>99</v>
      </c>
      <c r="C101" s="22" t="s">
        <v>211</v>
      </c>
      <c r="D101" s="22" t="s">
        <v>100</v>
      </c>
      <c r="E101" s="23">
        <v>320</v>
      </c>
      <c r="F101" s="22" t="str">
        <f t="shared" si="21"/>
        <v>De 200 a 400 und</v>
      </c>
      <c r="G101" s="22" t="s">
        <v>14</v>
      </c>
      <c r="H101" s="36">
        <v>4</v>
      </c>
      <c r="I101" s="36">
        <v>10</v>
      </c>
      <c r="J101" s="36"/>
      <c r="K101" s="36"/>
      <c r="L101" s="36">
        <f>SUM(Tabela1[[#This Row],[QTD DE B/T 2]],Tabela1[[#This Row],[QTD DE B/T]])</f>
        <v>4</v>
      </c>
      <c r="M101" s="22">
        <v>4</v>
      </c>
      <c r="N101" s="22">
        <f>Tabela1[[#This Row],[ELEVADOR]]/Tabela1[[#This Row],[BLOCO TOTAL]]</f>
        <v>1</v>
      </c>
      <c r="O101" s="22" t="s">
        <v>4</v>
      </c>
      <c r="P101" s="22" t="s">
        <v>101</v>
      </c>
      <c r="Q101" s="22" t="s">
        <v>101</v>
      </c>
      <c r="R101" s="22" t="s">
        <v>142</v>
      </c>
      <c r="S101" s="22" t="s">
        <v>159</v>
      </c>
      <c r="T101" s="22" t="s">
        <v>173</v>
      </c>
      <c r="U101" s="22" t="s">
        <v>174</v>
      </c>
      <c r="V101" s="22" t="s">
        <v>106</v>
      </c>
      <c r="W101" s="24">
        <f>IF(P101=[1]BD_CUSTO!$E$4,[1]BD_CUSTO!$F$4,[1]BD_CUSTO!$F$5)</f>
        <v>2430</v>
      </c>
      <c r="X101" s="24">
        <f>IF(Q101=[1]BD_CUSTO!$E$6,[1]BD_CUSTO!$F$6,[1]BD_CUSTO!$F$7)</f>
        <v>260</v>
      </c>
      <c r="Y101" s="24">
        <f>IF(R101=[1]BD_CUSTO!$E$8,[1]BD_CUSTO!$F$8,[1]BD_CUSTO!$F$9)</f>
        <v>900</v>
      </c>
      <c r="Z101" s="24">
        <f>IF(S101=[1]BD_CUSTO!$E$10,[1]BD_CUSTO!$F$10,[1]BD_CUSTO!$F$11)</f>
        <v>935</v>
      </c>
      <c r="AA101" s="24">
        <f>IF(T101=[1]BD_CUSTO!$E$12,[1]BD_CUSTO!$F$12,[1]BD_CUSTO!$F$13)</f>
        <v>930</v>
      </c>
      <c r="AB101" s="24">
        <f>IF(U101=[1]BD_CUSTO!$E$14,[1]BD_CUSTO!$F$14,[1]BD_CUSTO!$F$15)</f>
        <v>240</v>
      </c>
      <c r="AC101" s="24">
        <f>IF(V101=[1]BD_CUSTO!$E$16,[1]BD_CUSTO!$F$16,[1]BD_CUSTO!$F$17)</f>
        <v>720</v>
      </c>
      <c r="AD101" s="22" t="s">
        <v>129</v>
      </c>
      <c r="AE101" s="22">
        <v>1</v>
      </c>
      <c r="AF101" s="22" t="s">
        <v>120</v>
      </c>
      <c r="AG101" s="22">
        <v>1</v>
      </c>
      <c r="AH101" s="22" t="s">
        <v>108</v>
      </c>
      <c r="AI101" s="22">
        <v>1</v>
      </c>
      <c r="AJ101" s="22" t="s">
        <v>107</v>
      </c>
      <c r="AK101" s="22">
        <v>1</v>
      </c>
      <c r="AL101" s="22" t="s">
        <v>121</v>
      </c>
      <c r="AM101" s="22">
        <v>1</v>
      </c>
      <c r="AN101" s="22" t="s">
        <v>109</v>
      </c>
      <c r="AO101" s="22">
        <v>1</v>
      </c>
      <c r="AP101" s="22" t="s">
        <v>110</v>
      </c>
      <c r="AQ101" s="22">
        <v>1</v>
      </c>
      <c r="AR101" s="22"/>
      <c r="AS101" s="22"/>
      <c r="AT101" s="22"/>
      <c r="AU101" s="22"/>
      <c r="AV101" s="22"/>
      <c r="AW101" s="22"/>
      <c r="AX101" s="24">
        <f>IF(AD101="",0,VLOOKUP(AD101,[1]BD_CUSTO!I:J,2,0)*AE101/E101)</f>
        <v>859.89868750000005</v>
      </c>
      <c r="AY101" s="24">
        <f>IF(AF101="",0,VLOOKUP(AF101,[1]BD_CUSTO!I:J,2,0)*AG101/E101)</f>
        <v>177.84025</v>
      </c>
      <c r="AZ101" s="24">
        <f>IF(AH101="",0,VLOOKUP(AH101,[1]BD_CUSTO!I:J,2,0)*AI101/E101)</f>
        <v>72.34375</v>
      </c>
      <c r="BA101" s="24">
        <f>IF(AJ101="",0,VLOOKUP(AJ101,[1]BD_CUSTO!I:J,2,0)*AK101/E101)</f>
        <v>266.09100000000001</v>
      </c>
      <c r="BB101" s="24">
        <f>IF(AL101="",0,VLOOKUP(AL101,[1]BD_CUSTO!I:J,2,0)*AM101/E101)</f>
        <v>384.86531249999996</v>
      </c>
      <c r="BC101" s="24">
        <f>IF(AN101="",0,VLOOKUP(AN101,[1]BD_CUSTO!I:J,2,0)*AO101/E101)</f>
        <v>21.71875</v>
      </c>
      <c r="BD101" s="24">
        <f>IF(AP101="",0,VLOOKUP(AP101,[1]BD_CUSTO!I:J,2,0)*AQ101/E101)</f>
        <v>16.5625</v>
      </c>
      <c r="BE101" s="24">
        <f>IF(AR101="",0,VLOOKUP(AR101,CUSTO!I:J,2,0)*AS101/E101)</f>
        <v>0</v>
      </c>
      <c r="BF101" s="24">
        <f>IF(AT101="",0,VLOOKUP(AT101,[1]BD_CUSTO!I:J,2,0)*AU101/E101)</f>
        <v>0</v>
      </c>
      <c r="BG101" s="24">
        <f>IF(Tabela1[[#This Row],[LZ 10]]="",0,VLOOKUP(Tabela1[[#This Row],[LZ 10]],[1]BD_CUSTO!I:J,2,0)*Tabela1[[#This Row],[QTD922]]/E101)</f>
        <v>0</v>
      </c>
      <c r="BH101" s="22" t="s">
        <v>112</v>
      </c>
      <c r="BI101" s="25">
        <f>(144+16)/Tabela1[[#This Row],[Nº UNDS]]</f>
        <v>0.5</v>
      </c>
      <c r="BJ101" s="22" t="s">
        <v>212</v>
      </c>
      <c r="BK101" s="25">
        <f>(144+16)/Tabela1[[#This Row],[Nº UNDS]]</f>
        <v>0.5</v>
      </c>
      <c r="BL101" s="24">
        <f>IF(BH101=[1]BD_CUSTO!$M$6,[1]BD_CUSTO!$N$6)*BI101</f>
        <v>1500</v>
      </c>
      <c r="BM101" s="24">
        <f>IF(BJ101=[1]BD_CUSTO!$M$4,[1]BD_CUSTO!$N$4,[1]BD_CUSTO!$N$5)*BK101</f>
        <v>3000</v>
      </c>
      <c r="BN101" s="22" t="s">
        <v>114</v>
      </c>
      <c r="BO101" s="22">
        <f>406-58</f>
        <v>348</v>
      </c>
      <c r="BP101" s="25">
        <f>Tabela1[[#This Row],[QTD ]]/Tabela1[[#This Row],[Nº UNDS]]</f>
        <v>1.0874999999999999</v>
      </c>
      <c r="BQ101" s="22" t="s">
        <v>115</v>
      </c>
      <c r="BR101" s="22">
        <v>58</v>
      </c>
      <c r="BS101" s="22" t="s">
        <v>116</v>
      </c>
      <c r="BT101" s="22">
        <v>0</v>
      </c>
      <c r="BU101" s="22" t="s">
        <v>16</v>
      </c>
      <c r="BV101" s="22">
        <v>0</v>
      </c>
      <c r="BW101" s="24">
        <f>IF(BN101=[1]BD_CUSTO!$Q$7,[1]BD_CUSTO!$R$7,[1]BD_CUSTO!$R$8)*BO101/E101</f>
        <v>2175</v>
      </c>
      <c r="BX101" s="24">
        <f>IF(BQ101=[1]BD_CUSTO!$Q$4,[1]BD_CUSTO!$R$4,[1]BD_CUSTO!$R$5)*BR101/E101</f>
        <v>0</v>
      </c>
      <c r="BY101" s="22">
        <f>IF(BS101=[1]BD_CUSTO!$Q$13,[1]BD_CUSTO!$R$13,[1]BD_CUSTO!$R$14)*BT101/E101</f>
        <v>0</v>
      </c>
      <c r="BZ101" s="24">
        <f>BV101*CUSTO!$R$10/E101</f>
        <v>0</v>
      </c>
      <c r="CA101" s="26">
        <f>SUM(Tabela1[[#This Row],[SOMA_PISO SALA E QUARTO]],Tabela1[[#This Row],[SOMA_PAREDE HIDR]],Tabela1[[#This Row],[SOMA_TETO]],Tabela1[[#This Row],[SOMA_BANCADA]],Tabela1[[#This Row],[SOMA_PEDRAS]])</f>
        <v>5435</v>
      </c>
      <c r="CB101" s="27" t="str">
        <f>IF(CA101&lt;=RÉGUAS!$D$4,"ACAB 01",IF(CA101&lt;=RÉGUAS!$F$4,"ACAB 02",IF(CA101&gt;RÉGUAS!$F$4,"ACAB 03",)))</f>
        <v>ACAB 03</v>
      </c>
      <c r="CC101" s="26">
        <f>SUM(Tabela1[[#This Row],[SOMA_LZ 01]:[SOMA_LZ 10]])</f>
        <v>1799.3202500000002</v>
      </c>
      <c r="CD101" s="22" t="str">
        <f>IF(CC101&lt;=RÉGUAS!$D$13,"LZ 01",IF(CC101&lt;=RÉGUAS!$F$13,"LZ 02",IF(CC101&lt;=RÉGUAS!$H$13,"LZ 03",IF(CC101&gt;RÉGUAS!$H$13,"LZ 04",))))</f>
        <v>LZ 03</v>
      </c>
      <c r="CE101" s="28">
        <f t="shared" si="22"/>
        <v>4500</v>
      </c>
      <c r="CF101" s="22" t="str">
        <f>IF(CE101&lt;=RÉGUAS!$D$22,"TIP 01",IF(CE101&lt;=RÉGUAS!$F$22,"TIP 02",IF(CE101&gt;RÉGUAS!$F$22,"TIP 03",)))</f>
        <v>TIP 03</v>
      </c>
      <c r="CG101" s="28">
        <f t="shared" si="23"/>
        <v>2175</v>
      </c>
      <c r="CH101" s="22" t="str">
        <f>IF(CG101&lt;=RÉGUAS!$D$32,"VAGA 01",IF(CG101&lt;=RÉGUAS!$F$32,"VAGA 02",IF(CG101&gt;RÉGUAS!$F$32,"VAGA 03",)))</f>
        <v>VAGA 02</v>
      </c>
      <c r="CI101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2468.125</v>
      </c>
      <c r="CJ101" s="85" t="str">
        <f>IF(AND(G101="BLOCO",CI101&lt;=RÉGUAS!$D$40),"ELEV 01",IF(AND(G101="BLOCO",CI101&gt;RÉGUAS!$D$40),"ELEV 02",IF(AND(G101="TORRE",CI101&lt;=RÉGUAS!$K$40),"ELEV 01",IF(AND(G101="TORRE",CI101&lt;=RÉGUAS!$M$40),"ELEV 02",IF(AND(G101="TORRE",CI101&gt;RÉGUAS!$M$40),"ELEV 03",)))))</f>
        <v>ELEV 01</v>
      </c>
      <c r="CK101" s="85">
        <f>SUM(Tabela1[[#This Row],[TOTAL  ACAB]],Tabela1[[#This Row],[TOTAL LAZER ]],Tabela1[[#This Row],[TOTAL TIPOLOGIA]],Tabela1[[#This Row],[TOTAL VAGA]],Tabela1[[#This Row],[TOTAL ELEVADOR]])</f>
        <v>16377.445250000001</v>
      </c>
      <c r="CL101" s="72" t="str">
        <f>IF(AND(G101="BLOCO",CK101&lt;=RÉGUAS!$D$50),"ESSENCIAL",IF(AND(G101="BLOCO",CK101&lt;=RÉGUAS!$F$50),"ECO",IF(AND(G101="BLOCO",CK101&gt;RÉGUAS!$F$50),"BIO",IF(AND(G101="TORRE",CK101&lt;=RÉGUAS!$K$50),"ESSENCIAL",IF(AND(G101="TORRE",CK101&lt;=RÉGUAS!$M$50),"ECO",IF(AND(G101="TORRE",CK101&gt;RÉGUAS!$M$50),"BIO",))))))</f>
        <v>BIO</v>
      </c>
      <c r="CM101" s="28" t="str">
        <f>IF(AND(G101="BLOCO",CK101&gt;=RÉGUAS!$D$51,CK101&lt;=RÉGUAS!$D$50),"ESSENCIAL-10%",IF(AND(G101="BLOCO",CK101&gt;RÉGUAS!$D$50,CK101&lt;=RÉGUAS!$E$51),"ECO+10%",IF(AND(G101="BLOCO",CK101&gt;=RÉGUAS!$F$51,CK101&lt;=RÉGUAS!$F$50),"ECO-10%",IF(AND(G101="BLOCO",CK101&gt;RÉGUAS!$F$50,CK101&lt;=RÉGUAS!$G$51),"BIO+10%",IF(AND(G101="TORRE",CK101&gt;=RÉGUAS!$K$51,CK101&lt;=RÉGUAS!$K$50),"ESSENCIAL-10%",IF(AND(G101="TORRE",CK101&gt;RÉGUAS!$K$50,CK101&lt;=RÉGUAS!$L$51),"ECO+10%",IF(AND(G101="TORRE",CK101&gt;=RÉGUAS!$M$51,CK101&lt;=RÉGUAS!$M$50),"ECO-10%",IF(AND(G101="TORRE",CK101&gt;RÉGUAS!$M$50,CK101&lt;=RÉGUAS!$N$51),"BIO+10%","-"))))))))</f>
        <v>-</v>
      </c>
      <c r="CN101" s="73">
        <f t="shared" si="24"/>
        <v>13909.320250000001</v>
      </c>
      <c r="CO101" s="72" t="str">
        <f>IF(CN101&lt;=RÉGUAS!$D$58,"ESSENCIAL",IF(CN101&lt;=RÉGUAS!$F$58,"ECO",IF(CN101&gt;RÉGUAS!$F$58,"BIO",)))</f>
        <v>BIO</v>
      </c>
      <c r="CP101" s="72" t="str">
        <f>IF(Tabela1[[#This Row],[INTERVALO DE INTERSEÇÃO 5D]]="-",Tabela1[[#This Row],[CLASSIFICAÇÃO 
5D ]],Tabela1[[#This Row],[CLASSIFICAÇÃO 
4D]])</f>
        <v>BIO</v>
      </c>
      <c r="CQ101" s="72" t="str">
        <f t="shared" si="25"/>
        <v>-</v>
      </c>
      <c r="CR101" s="72" t="str">
        <f t="shared" si="26"/>
        <v>BIO</v>
      </c>
      <c r="CS101" s="22" t="str">
        <f>IF(Tabela1[[#This Row],[PRODUTO ATUAL ]]=Tabela1[[#This Row],[CLASSIFICAÇÃO FINAL 5D]],"ADERÊNTE","NÃO ADERÊNTE")</f>
        <v>ADERÊNTE</v>
      </c>
      <c r="CT101" s="24">
        <f>SUM(Tabela1[[#This Row],[TOTAL  ACAB]],Tabela1[[#This Row],[TOTAL LAZER ]],Tabela1[[#This Row],[TOTAL TIPOLOGIA]],Tabela1[[#This Row],[TOTAL VAGA]])</f>
        <v>13909.320250000001</v>
      </c>
      <c r="CU101" s="22" t="str">
        <f>IF(CT101&lt;=RÉGUAS!$D$58,"ESSENCIAL",IF(CT101&lt;=RÉGUAS!$F$58,"ECO",IF(CT101&gt;RÉGUAS!$F$58,"BIO",)))</f>
        <v>BIO</v>
      </c>
      <c r="CV101" s="22" t="str">
        <f>IF(AND(CT101&gt;=RÉGUAS!$D$59,CT101&lt;=RÉGUAS!$E$59),"ESSENCIAL/ECO",IF(AND(CT101&gt;=RÉGUAS!$F$59,CT101&lt;=RÉGUAS!$G$59),"ECO/BIO","-"))</f>
        <v>-</v>
      </c>
      <c r="CW101" s="85">
        <f>SUM(Tabela1[[#This Row],[TOTAL LAZER ]],Tabela1[[#This Row],[TOTAL TIPOLOGIA]])</f>
        <v>6299.3202500000007</v>
      </c>
      <c r="CX101" s="22" t="str">
        <f>IF(CW101&lt;=RÉGUAS!$D$72,"ESSENCIAL",IF(CW101&lt;=RÉGUAS!$F$72,"ECO",IF(CN101&gt;RÉGUAS!$F$72,"BIO",)))</f>
        <v>BIO</v>
      </c>
      <c r="CY101" s="22" t="str">
        <f t="shared" si="27"/>
        <v>BIO</v>
      </c>
      <c r="CZ101" s="22" t="str">
        <f>IF(Tabela1[[#This Row],[PRODUTO ATUAL ]]=CY101,"ADERENTE","NÃO ADERENTE")</f>
        <v>ADERENTE</v>
      </c>
      <c r="DA101" s="22" t="str">
        <f>IF(Tabela1[[#This Row],[PRODUTO ATUAL ]]=Tabela1[[#This Row],[CLASSIFICAÇÃO 
4D2]],"ADERENTE","NÃO ADERENTE")</f>
        <v>ADERENTE</v>
      </c>
    </row>
    <row r="102" spans="2:105" hidden="1" x14ac:dyDescent="0.35">
      <c r="B102" s="27">
        <v>92</v>
      </c>
      <c r="C102" s="22" t="s">
        <v>240</v>
      </c>
      <c r="D102" s="22" t="s">
        <v>100</v>
      </c>
      <c r="E102" s="23">
        <v>320</v>
      </c>
      <c r="F102" s="22" t="str">
        <f t="shared" si="21"/>
        <v>De 200 a 400 und</v>
      </c>
      <c r="G102" s="109" t="s">
        <v>14</v>
      </c>
      <c r="H102" s="36">
        <v>5</v>
      </c>
      <c r="I102" s="36">
        <v>8</v>
      </c>
      <c r="J102" s="36"/>
      <c r="K102" s="36"/>
      <c r="L102" s="36">
        <f>SUM(Tabela1[[#This Row],[QTD DE B/T 2]],Tabela1[[#This Row],[QTD DE B/T]])</f>
        <v>5</v>
      </c>
      <c r="M102" s="22">
        <v>5</v>
      </c>
      <c r="N102" s="22">
        <f>Tabela1[[#This Row],[ELEVADOR]]/Tabela1[[#This Row],[BLOCO TOTAL]]</f>
        <v>1</v>
      </c>
      <c r="O102" s="22" t="s">
        <v>4</v>
      </c>
      <c r="P102" s="22" t="s">
        <v>101</v>
      </c>
      <c r="Q102" s="22" t="s">
        <v>101</v>
      </c>
      <c r="R102" s="22" t="s">
        <v>142</v>
      </c>
      <c r="S102" s="22" t="s">
        <v>159</v>
      </c>
      <c r="T102" s="22" t="s">
        <v>173</v>
      </c>
      <c r="U102" s="22" t="s">
        <v>174</v>
      </c>
      <c r="V102" s="22" t="s">
        <v>106</v>
      </c>
      <c r="W102" s="24">
        <f>IF(P102=[1]BD_CUSTO!$E$4,[1]BD_CUSTO!$F$4,[1]BD_CUSTO!$F$5)</f>
        <v>2430</v>
      </c>
      <c r="X102" s="24">
        <f>IF(Q102=[1]BD_CUSTO!$E$6,[1]BD_CUSTO!$F$6,[1]BD_CUSTO!$F$7)</f>
        <v>260</v>
      </c>
      <c r="Y102" s="24">
        <f>IF(R102=[1]BD_CUSTO!$E$8,[1]BD_CUSTO!$F$8,[1]BD_CUSTO!$F$9)</f>
        <v>900</v>
      </c>
      <c r="Z102" s="24">
        <f>IF(S102=[1]BD_CUSTO!$E$10,[1]BD_CUSTO!$F$10,[1]BD_CUSTO!$F$11)</f>
        <v>935</v>
      </c>
      <c r="AA102" s="24">
        <f>IF(T102=[1]BD_CUSTO!$E$12,[1]BD_CUSTO!$F$12,[1]BD_CUSTO!$F$13)</f>
        <v>930</v>
      </c>
      <c r="AB102" s="24">
        <f>IF(U102=[1]BD_CUSTO!$E$14,[1]BD_CUSTO!$F$14,[1]BD_CUSTO!$F$15)</f>
        <v>240</v>
      </c>
      <c r="AC102" s="24">
        <f>IF(V102=[1]BD_CUSTO!$E$16,[1]BD_CUSTO!$F$16,[1]BD_CUSTO!$F$17)</f>
        <v>720</v>
      </c>
      <c r="AD102" s="22" t="s">
        <v>121</v>
      </c>
      <c r="AE102" s="22">
        <v>1</v>
      </c>
      <c r="AF102" s="22" t="s">
        <v>107</v>
      </c>
      <c r="AG102" s="22">
        <v>1</v>
      </c>
      <c r="AH102" s="22" t="s">
        <v>135</v>
      </c>
      <c r="AI102" s="22">
        <v>1</v>
      </c>
      <c r="AJ102" s="22" t="s">
        <v>109</v>
      </c>
      <c r="AK102" s="22">
        <v>1</v>
      </c>
      <c r="AL102" s="22" t="s">
        <v>175</v>
      </c>
      <c r="AM102" s="22">
        <v>1</v>
      </c>
      <c r="AN102" s="22" t="s">
        <v>129</v>
      </c>
      <c r="AO102" s="22">
        <v>1</v>
      </c>
      <c r="AP102" s="22" t="s">
        <v>108</v>
      </c>
      <c r="AQ102" s="22">
        <v>1</v>
      </c>
      <c r="AR102" s="22" t="s">
        <v>110</v>
      </c>
      <c r="AS102" s="22">
        <v>1</v>
      </c>
      <c r="AT102" s="22"/>
      <c r="AU102" s="22"/>
      <c r="AV102" s="22"/>
      <c r="AW102" s="22"/>
      <c r="AX102" s="24">
        <f>IF(AD102="",0,VLOOKUP(AD102,[1]BD_CUSTO!I:J,2,0)*AE102/E102)</f>
        <v>384.86531249999996</v>
      </c>
      <c r="AY102" s="24">
        <f>IF(AF102="",0,VLOOKUP(AF102,[1]BD_CUSTO!I:J,2,0)*AG102/E102)</f>
        <v>266.09100000000001</v>
      </c>
      <c r="AZ102" s="24">
        <f>IF(AH102="",0,VLOOKUP(AH102,[1]BD_CUSTO!I:J,2,0)*AI102/E102)</f>
        <v>393.96449999999999</v>
      </c>
      <c r="BA102" s="24">
        <f>IF(AJ102="",0,VLOOKUP(AJ102,[1]BD_CUSTO!I:J,2,0)*AK102/E102)</f>
        <v>21.71875</v>
      </c>
      <c r="BB102" s="24">
        <f>IF(AL102="",0,VLOOKUP(AL102,[1]BD_CUSTO!I:J,2,0)*AM102/E102)</f>
        <v>33.71875</v>
      </c>
      <c r="BC102" s="24">
        <f>IF(AN102="",0,VLOOKUP(AN102,[1]BD_CUSTO!I:J,2,0)*AO102/E102)</f>
        <v>859.89868750000005</v>
      </c>
      <c r="BD102" s="24">
        <f>IF(AP102="",0,VLOOKUP(AP102,[1]BD_CUSTO!I:J,2,0)*AQ102/E102)</f>
        <v>72.34375</v>
      </c>
      <c r="BE102" s="24">
        <f>IF(AR102="",0,VLOOKUP(AR102,CUSTO!I:J,2,0)*AS102/E102)</f>
        <v>16.5625</v>
      </c>
      <c r="BF102" s="24">
        <f>IF(AT102="",0,VLOOKUP(AT102,[1]BD_CUSTO!I:J,2,0)*AU102/E102)</f>
        <v>0</v>
      </c>
      <c r="BG102" s="24">
        <f>IF(Tabela1[[#This Row],[LZ 10]]="",0,VLOOKUP(Tabela1[[#This Row],[LZ 10]],[1]BD_CUSTO!I:J,2,0)*Tabela1[[#This Row],[QTD922]]/E102)</f>
        <v>0</v>
      </c>
      <c r="BH102" s="22" t="s">
        <v>112</v>
      </c>
      <c r="BI102" s="25">
        <f>SUM(280+20)/Tabela1[[#This Row],[Nº UNDS]]</f>
        <v>0.9375</v>
      </c>
      <c r="BJ102" s="22" t="s">
        <v>212</v>
      </c>
      <c r="BK102" s="25">
        <f>160/Tabela1[[#This Row],[Nº UNDS]]</f>
        <v>0.5</v>
      </c>
      <c r="BL102" s="24">
        <f>IF(BH102=[1]BD_CUSTO!$M$6,[1]BD_CUSTO!$N$6)*BI102</f>
        <v>2812.5</v>
      </c>
      <c r="BM102" s="24">
        <f>IF(BJ102=[1]BD_CUSTO!$M$4,[1]BD_CUSTO!$N$4,[1]BD_CUSTO!$N$5)*BK102</f>
        <v>3000</v>
      </c>
      <c r="BN102" s="22" t="s">
        <v>114</v>
      </c>
      <c r="BO102" s="22">
        <f>372-24</f>
        <v>348</v>
      </c>
      <c r="BP102" s="25">
        <f>Tabela1[[#This Row],[QTD ]]/Tabela1[[#This Row],[Nº UNDS]]</f>
        <v>1.0874999999999999</v>
      </c>
      <c r="BQ102" s="22" t="s">
        <v>123</v>
      </c>
      <c r="BR102" s="22">
        <v>24</v>
      </c>
      <c r="BS102" s="22" t="s">
        <v>116</v>
      </c>
      <c r="BT102" s="22">
        <v>0</v>
      </c>
      <c r="BU102" s="22" t="s">
        <v>16</v>
      </c>
      <c r="BV102" s="22">
        <v>0</v>
      </c>
      <c r="BW102" s="24">
        <f>Tabela1[[#This Row],[QTD ]]*CUSTO!R7/Tabela1[[#This Row],[Nº UNDS]]</f>
        <v>2175</v>
      </c>
      <c r="BX102" s="24">
        <f>IF(BQ102=[1]BD_CUSTO!$Q$4,[1]BD_CUSTO!$R$4,[1]BD_CUSTO!$R$5)*BR102/E102</f>
        <v>75</v>
      </c>
      <c r="BY102" s="22">
        <f>IF(BS102=[1]BD_CUSTO!$Q$13,[1]BD_CUSTO!$R$13,[1]BD_CUSTO!$R$14)*BT102/E102</f>
        <v>0</v>
      </c>
      <c r="BZ102" s="24">
        <f>BV102*CUSTO!$R$10/E102</f>
        <v>0</v>
      </c>
      <c r="CA102" s="26">
        <f>SUM(Tabela1[[#This Row],[SOMA_PISO SALA E QUARTO]],Tabela1[[#This Row],[SOMA_PAREDE HIDR]],Tabela1[[#This Row],[SOMA_TETO]],Tabela1[[#This Row],[SOMA_BANCADA]],Tabela1[[#This Row],[SOMA_PEDRAS]])</f>
        <v>5435</v>
      </c>
      <c r="CB102" s="27" t="str">
        <f>IF(CA102&lt;=RÉGUAS!$D$4,"ACAB 01",IF(CA102&lt;=RÉGUAS!$F$4,"ACAB 02",IF(CA102&gt;RÉGUAS!$F$4,"ACAB 03",)))</f>
        <v>ACAB 03</v>
      </c>
      <c r="CC102" s="26">
        <f>SUM(Tabela1[[#This Row],[SOMA_LZ 01]:[SOMA_LZ 10]])</f>
        <v>2049.1632500000001</v>
      </c>
      <c r="CD102" s="22" t="str">
        <f>IF(CC102&lt;=RÉGUAS!$D$13,"LZ 01",IF(CC102&lt;=RÉGUAS!$F$13,"LZ 02",IF(CC102&lt;=RÉGUAS!$H$13,"LZ 03",IF(CC102&gt;RÉGUAS!$H$13,"LZ 04",))))</f>
        <v>LZ 03</v>
      </c>
      <c r="CE102" s="28">
        <f t="shared" si="22"/>
        <v>5812.5</v>
      </c>
      <c r="CF102" s="22" t="str">
        <f>IF(CE102&lt;=RÉGUAS!$D$22,"TIP 01",IF(CE102&lt;=RÉGUAS!$F$22,"TIP 02",IF(CE102&gt;RÉGUAS!$F$22,"TIP 03",)))</f>
        <v>TIP 03</v>
      </c>
      <c r="CG102" s="28">
        <f t="shared" si="23"/>
        <v>2250</v>
      </c>
      <c r="CH102" s="22" t="str">
        <f>IF(CG102&lt;=RÉGUAS!$D$32,"VAGA 01",IF(CG102&lt;=RÉGUAS!$F$32,"VAGA 02",IF(CG102&gt;RÉGUAS!$F$32,"VAGA 03",)))</f>
        <v>VAGA 02</v>
      </c>
      <c r="CI102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2468.125</v>
      </c>
      <c r="CJ102" s="85" t="str">
        <f>IF(AND(G102="BLOCO",CI102&lt;=RÉGUAS!$D$40),"ELEV 01",IF(AND(G102="BLOCO",CI102&gt;RÉGUAS!$D$40),"ELEV 02",IF(AND(G102="TORRE",CI102&lt;=RÉGUAS!$K$40),"ELEV 01",IF(AND(G102="TORRE",CI102&lt;=RÉGUAS!$M$40),"ELEV 02",IF(AND(G102="TORRE",CI102&gt;RÉGUAS!$M$40),"ELEV 03",)))))</f>
        <v>ELEV 01</v>
      </c>
      <c r="CK102" s="85">
        <f>SUM(Tabela1[[#This Row],[TOTAL  ACAB]],Tabela1[[#This Row],[TOTAL LAZER ]],Tabela1[[#This Row],[TOTAL TIPOLOGIA]],Tabela1[[#This Row],[TOTAL VAGA]],Tabela1[[#This Row],[TOTAL ELEVADOR]])</f>
        <v>18014.788249999998</v>
      </c>
      <c r="CL102" s="72" t="str">
        <f>IF(AND(G102="BLOCO",CK102&lt;=RÉGUAS!$D$50),"ESSENCIAL",IF(AND(G102="BLOCO",CK102&lt;=RÉGUAS!$F$50),"ECO",IF(AND(G102="BLOCO",CK102&gt;RÉGUAS!$F$50),"BIO",IF(AND(G102="TORRE",CK102&lt;=RÉGUAS!$K$50),"ESSENCIAL",IF(AND(G102="TORRE",CK102&lt;=RÉGUAS!$M$50),"ECO",IF(AND(G102="TORRE",CK102&gt;RÉGUAS!$M$50),"BIO",))))))</f>
        <v>BIO</v>
      </c>
      <c r="CM102" s="28" t="str">
        <f>IF(AND(G102="BLOCO",CK102&gt;=RÉGUAS!$D$51,CK102&lt;=RÉGUAS!$D$50),"ESSENCIAL-10%",IF(AND(G102="BLOCO",CK102&gt;RÉGUAS!$D$50,CK102&lt;=RÉGUAS!$E$51),"ECO+10%",IF(AND(G102="BLOCO",CK102&gt;=RÉGUAS!$F$51,CK102&lt;=RÉGUAS!$F$50),"ECO-10%",IF(AND(G102="BLOCO",CK102&gt;RÉGUAS!$F$50,CK102&lt;=RÉGUAS!$G$51),"BIO+10%",IF(AND(G102="TORRE",CK102&gt;=RÉGUAS!$K$51,CK102&lt;=RÉGUAS!$K$50),"ESSENCIAL-10%",IF(AND(G102="TORRE",CK102&gt;RÉGUAS!$K$50,CK102&lt;=RÉGUAS!$L$51),"ECO+10%",IF(AND(G102="TORRE",CK102&gt;=RÉGUAS!$M$51,CK102&lt;=RÉGUAS!$M$50),"ECO-10%",IF(AND(G102="TORRE",CK102&gt;RÉGUAS!$M$50,CK102&lt;=RÉGUAS!$N$51),"BIO+10%","-"))))))))</f>
        <v>-</v>
      </c>
      <c r="CN102" s="73">
        <f t="shared" si="24"/>
        <v>15546.66325</v>
      </c>
      <c r="CO102" s="72" t="str">
        <f>IF(CN102&lt;=RÉGUAS!$D$58,"ESSENCIAL",IF(CN102&lt;=RÉGUAS!$F$58,"ECO",IF(CN102&gt;RÉGUAS!$F$58,"BIO",)))</f>
        <v>BIO</v>
      </c>
      <c r="CP102" s="72" t="str">
        <f>IF(Tabela1[[#This Row],[INTERVALO DE INTERSEÇÃO 5D]]="-",Tabela1[[#This Row],[CLASSIFICAÇÃO 
5D ]],Tabela1[[#This Row],[CLASSIFICAÇÃO 
4D]])</f>
        <v>BIO</v>
      </c>
      <c r="CQ102" s="72" t="str">
        <f t="shared" si="25"/>
        <v>-</v>
      </c>
      <c r="CR102" s="72" t="str">
        <f t="shared" si="26"/>
        <v>BIO</v>
      </c>
      <c r="CS102" s="22" t="str">
        <f>IF(Tabela1[[#This Row],[PRODUTO ATUAL ]]=Tabela1[[#This Row],[CLASSIFICAÇÃO FINAL 5D]],"ADERÊNTE","NÃO ADERÊNTE")</f>
        <v>ADERÊNTE</v>
      </c>
      <c r="CT102" s="24">
        <f>SUM(Tabela1[[#This Row],[TOTAL  ACAB]],Tabela1[[#This Row],[TOTAL LAZER ]],Tabela1[[#This Row],[TOTAL TIPOLOGIA]],Tabela1[[#This Row],[TOTAL VAGA]])</f>
        <v>15546.66325</v>
      </c>
      <c r="CU102" s="22" t="str">
        <f>IF(CT102&lt;=RÉGUAS!$D$58,"ESSENCIAL",IF(CT102&lt;=RÉGUAS!$F$58,"ECO",IF(CT102&gt;RÉGUAS!$F$58,"BIO",)))</f>
        <v>BIO</v>
      </c>
      <c r="CV102" s="22" t="str">
        <f>IF(AND(CT102&gt;=RÉGUAS!$D$59,CT102&lt;=RÉGUAS!$E$59),"ESSENCIAL/ECO",IF(AND(CT102&gt;=RÉGUAS!$F$59,CT102&lt;=RÉGUAS!$G$59),"ECO/BIO","-"))</f>
        <v>-</v>
      </c>
      <c r="CW102" s="85">
        <f>SUM(Tabela1[[#This Row],[TOTAL LAZER ]],Tabela1[[#This Row],[TOTAL TIPOLOGIA]])</f>
        <v>7861.6632499999996</v>
      </c>
      <c r="CX102" s="22" t="str">
        <f>IF(CW102&lt;=RÉGUAS!$D$72,"ESSENCIAL",IF(CW102&lt;=RÉGUAS!$F$72,"ECO",IF(CN102&gt;RÉGUAS!$F$72,"BIO",)))</f>
        <v>BIO</v>
      </c>
      <c r="CY102" s="22" t="str">
        <f t="shared" si="27"/>
        <v>BIO</v>
      </c>
      <c r="CZ102" s="22" t="str">
        <f>IF(Tabela1[[#This Row],[PRODUTO ATUAL ]]=CY102,"ADERENTE","NÃO ADERENTE")</f>
        <v>ADERENTE</v>
      </c>
      <c r="DA102" s="22" t="str">
        <f>IF(Tabela1[[#This Row],[PRODUTO ATUAL ]]=Tabela1[[#This Row],[CLASSIFICAÇÃO 
4D2]],"ADERENTE","NÃO ADERENTE")</f>
        <v>ADERENTE</v>
      </c>
    </row>
    <row r="103" spans="2:105" hidden="1" x14ac:dyDescent="0.35">
      <c r="B103" s="27">
        <v>96</v>
      </c>
      <c r="C103" s="30" t="s">
        <v>242</v>
      </c>
      <c r="D103" s="30" t="s">
        <v>100</v>
      </c>
      <c r="E103" s="31">
        <v>392</v>
      </c>
      <c r="F103" s="30" t="str">
        <f t="shared" si="21"/>
        <v>De 200 a 400 und</v>
      </c>
      <c r="G103" s="30" t="s">
        <v>14</v>
      </c>
      <c r="H103" s="37">
        <v>4</v>
      </c>
      <c r="I103" s="37">
        <v>13</v>
      </c>
      <c r="J103" s="37"/>
      <c r="K103" s="37"/>
      <c r="L103" s="37">
        <f>SUM(Tabela1[[#This Row],[QTD DE B/T 2]],Tabela1[[#This Row],[QTD DE B/T]])</f>
        <v>4</v>
      </c>
      <c r="M103" s="30">
        <v>8</v>
      </c>
      <c r="N103" s="22">
        <f>Tabela1[[#This Row],[ELEVADOR]]/Tabela1[[#This Row],[BLOCO TOTAL]]</f>
        <v>2</v>
      </c>
      <c r="O103" s="30" t="s">
        <v>4</v>
      </c>
      <c r="P103" s="30" t="s">
        <v>101</v>
      </c>
      <c r="Q103" s="30" t="s">
        <v>101</v>
      </c>
      <c r="R103" s="30" t="s">
        <v>142</v>
      </c>
      <c r="S103" s="30" t="s">
        <v>159</v>
      </c>
      <c r="T103" s="30" t="s">
        <v>173</v>
      </c>
      <c r="U103" s="30" t="s">
        <v>174</v>
      </c>
      <c r="V103" s="30" t="s">
        <v>106</v>
      </c>
      <c r="W103" s="32">
        <f>IF(P103=[1]BD_CUSTO!$E$4,[1]BD_CUSTO!$F$4,[1]BD_CUSTO!$F$5)</f>
        <v>2430</v>
      </c>
      <c r="X103" s="32">
        <f>IF(Q103=[1]BD_CUSTO!$E$6,[1]BD_CUSTO!$F$6,[1]BD_CUSTO!$F$7)</f>
        <v>260</v>
      </c>
      <c r="Y103" s="32">
        <f>IF(R103=[1]BD_CUSTO!$E$8,[1]BD_CUSTO!$F$8,[1]BD_CUSTO!$F$9)</f>
        <v>900</v>
      </c>
      <c r="Z103" s="32">
        <f>IF(S103=[1]BD_CUSTO!$E$10,[1]BD_CUSTO!$F$10,[1]BD_CUSTO!$F$11)</f>
        <v>935</v>
      </c>
      <c r="AA103" s="32">
        <f>IF(T103=[1]BD_CUSTO!$E$12,[1]BD_CUSTO!$F$12,[1]BD_CUSTO!$F$13)</f>
        <v>930</v>
      </c>
      <c r="AB103" s="32">
        <f>IF(U103=[1]BD_CUSTO!$E$14,[1]BD_CUSTO!$F$14,[1]BD_CUSTO!$F$15)</f>
        <v>240</v>
      </c>
      <c r="AC103" s="32">
        <f>IF(V103=[1]BD_CUSTO!$E$16,[1]BD_CUSTO!$F$16,[1]BD_CUSTO!$F$17)</f>
        <v>720</v>
      </c>
      <c r="AD103" s="30" t="s">
        <v>110</v>
      </c>
      <c r="AE103" s="30">
        <v>2</v>
      </c>
      <c r="AF103" s="30" t="s">
        <v>129</v>
      </c>
      <c r="AG103" s="30">
        <v>1</v>
      </c>
      <c r="AH103" s="30" t="s">
        <v>108</v>
      </c>
      <c r="AI103" s="30">
        <v>1</v>
      </c>
      <c r="AJ103" s="30" t="s">
        <v>109</v>
      </c>
      <c r="AK103" s="30">
        <v>1</v>
      </c>
      <c r="AL103" s="30" t="s">
        <v>107</v>
      </c>
      <c r="AM103" s="30">
        <v>1</v>
      </c>
      <c r="AN103" s="30" t="s">
        <v>121</v>
      </c>
      <c r="AO103" s="30">
        <v>1</v>
      </c>
      <c r="AP103" s="30"/>
      <c r="AQ103" s="30"/>
      <c r="AR103" s="30"/>
      <c r="AS103" s="30"/>
      <c r="AT103" s="30"/>
      <c r="AU103" s="30"/>
      <c r="AV103" s="30"/>
      <c r="AW103" s="30"/>
      <c r="AX103" s="24">
        <f>IF(AD103="",0,VLOOKUP(AD103,[1]BD_CUSTO!I:J,2,0)*AE103/E103)</f>
        <v>27.040816326530614</v>
      </c>
      <c r="AY103" s="24">
        <f>IF(AF103="",0,VLOOKUP(AF103,[1]BD_CUSTO!I:J,2,0)*AG103/E103)</f>
        <v>701.95811224489796</v>
      </c>
      <c r="AZ103" s="24">
        <f>IF(AH103="",0,VLOOKUP(AH103,[1]BD_CUSTO!I:J,2,0)*AI103/E103)</f>
        <v>59.056122448979593</v>
      </c>
      <c r="BA103" s="24">
        <f>IF(AJ103="",0,VLOOKUP(AJ103,[1]BD_CUSTO!I:J,2,0)*AK103/E103)</f>
        <v>17.729591836734695</v>
      </c>
      <c r="BB103" s="24">
        <f>IF(AL103="",0,VLOOKUP(AL103,[1]BD_CUSTO!I:J,2,0)*AM103/E103)</f>
        <v>217.21714285714285</v>
      </c>
      <c r="BC103" s="24">
        <f>IF(AN103="",0,VLOOKUP(AN103,[1]BD_CUSTO!I:J,2,0)*AO103/E103)</f>
        <v>314.17576530612246</v>
      </c>
      <c r="BD103" s="24">
        <f>IF(AP103="",0,VLOOKUP(AP103,[1]BD_CUSTO!I:J,2,0)*AQ103/E103)</f>
        <v>0</v>
      </c>
      <c r="BE103" s="24">
        <f>IF(AR103="",0,VLOOKUP(AR103,CUSTO!I:J,2,0)*AS103/E103)</f>
        <v>0</v>
      </c>
      <c r="BF103" s="24">
        <f>IF(AT103="",0,VLOOKUP(AT103,[1]BD_CUSTO!I:J,2,0)*AU103/E103)</f>
        <v>0</v>
      </c>
      <c r="BG103" s="24">
        <f>IF(Tabela1[[#This Row],[LZ 10]]="",0,VLOOKUP(Tabela1[[#This Row],[LZ 10]],[1]BD_CUSTO!I:J,2,0)*Tabela1[[#This Row],[QTD922]]/E103)</f>
        <v>0</v>
      </c>
      <c r="BH103" s="30" t="s">
        <v>112</v>
      </c>
      <c r="BI103" s="33">
        <v>0.97</v>
      </c>
      <c r="BJ103" s="30" t="s">
        <v>212</v>
      </c>
      <c r="BK103" s="33">
        <v>0.53</v>
      </c>
      <c r="BL103" s="24">
        <f>IF(BH103=[1]BD_CUSTO!$M$6,[1]BD_CUSTO!$N$6)*BI103</f>
        <v>2910</v>
      </c>
      <c r="BM103" s="32">
        <f>IF(BJ103=[1]BD_CUSTO!$M$4,[1]BD_CUSTO!$N$4,[1]BD_CUSTO!$N$5)*BK103</f>
        <v>3180</v>
      </c>
      <c r="BN103" s="30" t="s">
        <v>114</v>
      </c>
      <c r="BO103" s="30">
        <v>445</v>
      </c>
      <c r="BP103" s="25">
        <f>Tabela1[[#This Row],[QTD ]]/Tabela1[[#This Row],[Nº UNDS]]</f>
        <v>1.135204081632653</v>
      </c>
      <c r="BQ103" s="30" t="s">
        <v>115</v>
      </c>
      <c r="BR103" s="30">
        <v>0</v>
      </c>
      <c r="BS103" s="22" t="s">
        <v>116</v>
      </c>
      <c r="BT103" s="30">
        <v>0</v>
      </c>
      <c r="BU103" s="30" t="s">
        <v>16</v>
      </c>
      <c r="BV103" s="30">
        <v>0</v>
      </c>
      <c r="BW103" s="32">
        <f>IF(BN103=[1]BD_CUSTO!$Q$7,[1]BD_CUSTO!$R$7,[1]BD_CUSTO!$R$8)*BO103/E103</f>
        <v>2270.408163265306</v>
      </c>
      <c r="BX103" s="32">
        <f>IF(BQ103=[1]BD_CUSTO!$Q$4,[1]BD_CUSTO!$R$4,[1]BD_CUSTO!$R$5)*BR103/E103</f>
        <v>0</v>
      </c>
      <c r="BY103" s="30">
        <f>IF(BS103=[1]BD_CUSTO!$Q$13,[1]BD_CUSTO!$R$13,[1]BD_CUSTO!$R$14)*BT103/E103</f>
        <v>0</v>
      </c>
      <c r="BZ103" s="24">
        <f>BV103*CUSTO!$R$10/E103</f>
        <v>0</v>
      </c>
      <c r="CA103" s="26">
        <f>SUM(Tabela1[[#This Row],[SOMA_PISO SALA E QUARTO]],Tabela1[[#This Row],[SOMA_PAREDE HIDR]],Tabela1[[#This Row],[SOMA_TETO]],Tabela1[[#This Row],[SOMA_BANCADA]],Tabela1[[#This Row],[SOMA_PEDRAS]])</f>
        <v>5435</v>
      </c>
      <c r="CB103" s="27" t="str">
        <f>IF(CA103&lt;=RÉGUAS!$D$4,"ACAB 01",IF(CA103&lt;=RÉGUAS!$F$4,"ACAB 02",IF(CA103&gt;RÉGUAS!$F$4,"ACAB 03",)))</f>
        <v>ACAB 03</v>
      </c>
      <c r="CC103" s="26">
        <f>SUM(Tabela1[[#This Row],[SOMA_LZ 01]:[SOMA_LZ 10]])</f>
        <v>1337.1775510204081</v>
      </c>
      <c r="CD103" s="22" t="str">
        <f>IF(CC103&lt;=RÉGUAS!$D$13,"LZ 01",IF(CC103&lt;=RÉGUAS!$F$13,"LZ 02",IF(CC103&lt;=RÉGUAS!$H$13,"LZ 03",IF(CC103&gt;RÉGUAS!$H$13,"LZ 04",))))</f>
        <v>LZ 02</v>
      </c>
      <c r="CE103" s="28">
        <f t="shared" si="22"/>
        <v>6090</v>
      </c>
      <c r="CF103" s="22" t="str">
        <f>IF(CE103&lt;=RÉGUAS!$D$22,"TIP 01",IF(CE103&lt;=RÉGUAS!$F$22,"TIP 02",IF(CE103&gt;RÉGUAS!$F$22,"TIP 03",)))</f>
        <v>TIP 03</v>
      </c>
      <c r="CG103" s="28">
        <f t="shared" si="23"/>
        <v>2270.408163265306</v>
      </c>
      <c r="CH103" s="22" t="str">
        <f>IF(CG103&lt;=RÉGUAS!$D$32,"VAGA 01",IF(CG103&lt;=RÉGUAS!$F$32,"VAGA 02",IF(CG103&gt;RÉGUAS!$F$32,"VAGA 03",)))</f>
        <v>VAGA 02</v>
      </c>
      <c r="CI103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4451.5714285714284</v>
      </c>
      <c r="CJ103" s="85" t="str">
        <f>IF(AND(G103="BLOCO",CI103&lt;=RÉGUAS!$D$40),"ELEV 01",IF(AND(G103="BLOCO",CI103&gt;RÉGUAS!$D$40),"ELEV 02",IF(AND(G103="TORRE",CI103&lt;=RÉGUAS!$K$40),"ELEV 01",IF(AND(G103="TORRE",CI103&lt;=RÉGUAS!$M$40),"ELEV 02",IF(AND(G103="TORRE",CI103&gt;RÉGUAS!$M$40),"ELEV 03",)))))</f>
        <v>ELEV 03</v>
      </c>
      <c r="CK103" s="85">
        <f>SUM(Tabela1[[#This Row],[TOTAL  ACAB]],Tabela1[[#This Row],[TOTAL LAZER ]],Tabela1[[#This Row],[TOTAL TIPOLOGIA]],Tabela1[[#This Row],[TOTAL VAGA]],Tabela1[[#This Row],[TOTAL ELEVADOR]])</f>
        <v>19584.157142857141</v>
      </c>
      <c r="CL103" s="72" t="str">
        <f>IF(AND(G103="BLOCO",CK103&lt;=RÉGUAS!$D$50),"ESSENCIAL",IF(AND(G103="BLOCO",CK103&lt;=RÉGUAS!$F$50),"ECO",IF(AND(G103="BLOCO",CK103&gt;RÉGUAS!$F$50),"BIO",IF(AND(G103="TORRE",CK103&lt;=RÉGUAS!$K$50),"ESSENCIAL",IF(AND(G103="TORRE",CK103&lt;=RÉGUAS!$M$50),"ECO",IF(AND(G103="TORRE",CK103&gt;RÉGUAS!$M$50),"BIO",))))))</f>
        <v>BIO</v>
      </c>
      <c r="CM103" s="28" t="str">
        <f>IF(AND(G103="BLOCO",CK103&gt;=RÉGUAS!$D$51,CK103&lt;=RÉGUAS!$D$50),"ESSENCIAL-10%",IF(AND(G103="BLOCO",CK103&gt;RÉGUAS!$D$50,CK103&lt;=RÉGUAS!$E$51),"ECO+10%",IF(AND(G103="BLOCO",CK103&gt;=RÉGUAS!$F$51,CK103&lt;=RÉGUAS!$F$50),"ECO-10%",IF(AND(G103="BLOCO",CK103&gt;RÉGUAS!$F$50,CK103&lt;=RÉGUAS!$G$51),"BIO+10%",IF(AND(G103="TORRE",CK103&gt;=RÉGUAS!$K$51,CK103&lt;=RÉGUAS!$K$50),"ESSENCIAL-10%",IF(AND(G103="TORRE",CK103&gt;RÉGUAS!$K$50,CK103&lt;=RÉGUAS!$L$51),"ECO+10%",IF(AND(G103="TORRE",CK103&gt;=RÉGUAS!$M$51,CK103&lt;=RÉGUAS!$M$50),"ECO-10%",IF(AND(G103="TORRE",CK103&gt;RÉGUAS!$M$50,CK103&lt;=RÉGUAS!$N$51),"BIO+10%","-"))))))))</f>
        <v>-</v>
      </c>
      <c r="CN103" s="73">
        <f t="shared" si="24"/>
        <v>15132.585714285713</v>
      </c>
      <c r="CO103" s="72" t="str">
        <f>IF(CN103&lt;=RÉGUAS!$D$58,"ESSENCIAL",IF(CN103&lt;=RÉGUAS!$F$58,"ECO",IF(CN103&gt;RÉGUAS!$F$58,"BIO",)))</f>
        <v>BIO</v>
      </c>
      <c r="CP103" s="72" t="str">
        <f>IF(Tabela1[[#This Row],[INTERVALO DE INTERSEÇÃO 5D]]="-",Tabela1[[#This Row],[CLASSIFICAÇÃO 
5D ]],Tabela1[[#This Row],[CLASSIFICAÇÃO 
4D]])</f>
        <v>BIO</v>
      </c>
      <c r="CQ103" s="72" t="str">
        <f t="shared" si="25"/>
        <v>-</v>
      </c>
      <c r="CR103" s="72" t="str">
        <f t="shared" si="26"/>
        <v>BIO</v>
      </c>
      <c r="CS103" s="22" t="str">
        <f>IF(Tabela1[[#This Row],[PRODUTO ATUAL ]]=Tabela1[[#This Row],[CLASSIFICAÇÃO FINAL 5D]],"ADERÊNTE","NÃO ADERÊNTE")</f>
        <v>ADERÊNTE</v>
      </c>
      <c r="CT103" s="24">
        <f>SUM(Tabela1[[#This Row],[TOTAL  ACAB]],Tabela1[[#This Row],[TOTAL LAZER ]],Tabela1[[#This Row],[TOTAL TIPOLOGIA]],Tabela1[[#This Row],[TOTAL VAGA]])</f>
        <v>15132.585714285713</v>
      </c>
      <c r="CU103" s="22" t="str">
        <f>IF(CT103&lt;=RÉGUAS!$D$58,"ESSENCIAL",IF(CT103&lt;=RÉGUAS!$F$58,"ECO",IF(CT103&gt;RÉGUAS!$F$58,"BIO",)))</f>
        <v>BIO</v>
      </c>
      <c r="CV103" s="22" t="str">
        <f>IF(AND(CT103&gt;=RÉGUAS!$D$59,CT103&lt;=RÉGUAS!$E$59),"ESSENCIAL/ECO",IF(AND(CT103&gt;=RÉGUAS!$F$59,CT103&lt;=RÉGUAS!$G$59),"ECO/BIO","-"))</f>
        <v>-</v>
      </c>
      <c r="CW103" s="85">
        <f>SUM(Tabela1[[#This Row],[TOTAL LAZER ]],Tabela1[[#This Row],[TOTAL TIPOLOGIA]])</f>
        <v>7427.1775510204079</v>
      </c>
      <c r="CX103" s="22" t="str">
        <f>IF(CW103&lt;=RÉGUAS!$D$72,"ESSENCIAL",IF(CW103&lt;=RÉGUAS!$F$72,"ECO",IF(CN103&gt;RÉGUAS!$F$72,"BIO",)))</f>
        <v>BIO</v>
      </c>
      <c r="CY103" s="22" t="str">
        <f t="shared" si="27"/>
        <v>BIO</v>
      </c>
      <c r="CZ103" s="22" t="str">
        <f>IF(Tabela1[[#This Row],[PRODUTO ATUAL ]]=CY103,"ADERENTE","NÃO ADERENTE")</f>
        <v>ADERENTE</v>
      </c>
      <c r="DA103" s="22" t="str">
        <f>IF(Tabela1[[#This Row],[PRODUTO ATUAL ]]=Tabela1[[#This Row],[CLASSIFICAÇÃO 
4D2]],"ADERENTE","NÃO ADERENTE")</f>
        <v>ADERENTE</v>
      </c>
    </row>
    <row r="104" spans="2:105" hidden="1" x14ac:dyDescent="0.35">
      <c r="B104" s="27">
        <v>101</v>
      </c>
      <c r="C104" s="30" t="s">
        <v>244</v>
      </c>
      <c r="D104" s="30" t="s">
        <v>128</v>
      </c>
      <c r="E104" s="31">
        <v>216</v>
      </c>
      <c r="F104" s="30" t="str">
        <f t="shared" si="21"/>
        <v>De 200 a 400 und</v>
      </c>
      <c r="G104" s="30" t="s">
        <v>14</v>
      </c>
      <c r="H104" s="37">
        <v>2</v>
      </c>
      <c r="I104" s="37">
        <v>9</v>
      </c>
      <c r="J104" s="37"/>
      <c r="K104" s="37"/>
      <c r="L104" s="37">
        <f>SUM(Tabela1[[#This Row],[QTD DE B/T 2]],Tabela1[[#This Row],[QTD DE B/T]])</f>
        <v>2</v>
      </c>
      <c r="M104" s="30">
        <v>4</v>
      </c>
      <c r="N104" s="22">
        <f>Tabela1[[#This Row],[ELEVADOR]]/Tabela1[[#This Row],[BLOCO TOTAL]]</f>
        <v>2</v>
      </c>
      <c r="O104" s="30" t="s">
        <v>4</v>
      </c>
      <c r="P104" s="30" t="s">
        <v>101</v>
      </c>
      <c r="Q104" s="30" t="s">
        <v>101</v>
      </c>
      <c r="R104" s="30" t="s">
        <v>102</v>
      </c>
      <c r="S104" s="30" t="s">
        <v>159</v>
      </c>
      <c r="T104" s="30" t="s">
        <v>173</v>
      </c>
      <c r="U104" s="30" t="s">
        <v>174</v>
      </c>
      <c r="V104" s="30" t="s">
        <v>106</v>
      </c>
      <c r="W104" s="24">
        <f>IF(P104=[1]BD_CUSTO!$E$4,[1]BD_CUSTO!$F$4,[1]BD_CUSTO!$F$5)</f>
        <v>2430</v>
      </c>
      <c r="X104" s="24">
        <f>IF(Q104=[1]BD_CUSTO!$E$6,[1]BD_CUSTO!$F$6,[1]BD_CUSTO!$F$7)</f>
        <v>260</v>
      </c>
      <c r="Y104" s="24">
        <f>IF(R104=[1]BD_CUSTO!$E$8,[1]BD_CUSTO!$F$8,[1]BD_CUSTO!$F$9)</f>
        <v>600</v>
      </c>
      <c r="Z104" s="24">
        <f>IF(S104=[1]BD_CUSTO!$E$10,[1]BD_CUSTO!$F$10,[1]BD_CUSTO!$F$11)</f>
        <v>935</v>
      </c>
      <c r="AA104" s="24">
        <f>IF(T104=[1]BD_CUSTO!$E$12,[1]BD_CUSTO!$F$12,[1]BD_CUSTO!$F$13)</f>
        <v>930</v>
      </c>
      <c r="AB104" s="24">
        <f>IF(U104=[1]BD_CUSTO!$E$14,[1]BD_CUSTO!$F$14,[1]BD_CUSTO!$F$15)</f>
        <v>240</v>
      </c>
      <c r="AC104" s="24">
        <f>IF(V104=[1]BD_CUSTO!$E$16,[1]BD_CUSTO!$F$16,[1]BD_CUSTO!$F$17)</f>
        <v>720</v>
      </c>
      <c r="AD104" s="30" t="s">
        <v>108</v>
      </c>
      <c r="AE104" s="30">
        <v>1</v>
      </c>
      <c r="AF104" s="30" t="s">
        <v>110</v>
      </c>
      <c r="AG104" s="30">
        <v>6</v>
      </c>
      <c r="AH104" s="30" t="s">
        <v>121</v>
      </c>
      <c r="AI104" s="30">
        <v>1</v>
      </c>
      <c r="AJ104" s="30" t="s">
        <v>175</v>
      </c>
      <c r="AK104" s="30">
        <v>1</v>
      </c>
      <c r="AL104" s="30" t="s">
        <v>109</v>
      </c>
      <c r="AM104" s="30">
        <v>1</v>
      </c>
      <c r="AN104" s="30" t="s">
        <v>129</v>
      </c>
      <c r="AO104" s="30">
        <v>1</v>
      </c>
      <c r="AP104" s="30" t="s">
        <v>139</v>
      </c>
      <c r="AQ104" s="30">
        <v>1</v>
      </c>
      <c r="AR104" s="30" t="s">
        <v>135</v>
      </c>
      <c r="AS104" s="30">
        <v>1</v>
      </c>
      <c r="AT104" s="30" t="s">
        <v>111</v>
      </c>
      <c r="AU104" s="30">
        <v>1</v>
      </c>
      <c r="AV104" s="30" t="s">
        <v>107</v>
      </c>
      <c r="AW104" s="30">
        <v>2</v>
      </c>
      <c r="AX104" s="32">
        <f>IF(AD104="",0,VLOOKUP(AD104,[1]BD_CUSTO!I:J,2,0)*AE104/E104)</f>
        <v>107.17592592592592</v>
      </c>
      <c r="AY104" s="32">
        <f>IF(AF104="",0,VLOOKUP(AF104,[1]BD_CUSTO!I:J,2,0)*AG104/E104)</f>
        <v>147.22222222222223</v>
      </c>
      <c r="AZ104" s="32">
        <f>IF(AH104="",0,VLOOKUP(AH104,[1]BD_CUSTO!I:J,2,0)*AI104/E104)</f>
        <v>570.17083333333335</v>
      </c>
      <c r="BA104" s="32">
        <f>IF(AJ104="",0,VLOOKUP(AJ104,[1]BD_CUSTO!I:J,2,0)*AK104/E104)</f>
        <v>49.953703703703702</v>
      </c>
      <c r="BB104" s="32">
        <f>IF(AL104="",0,VLOOKUP(AL104,[1]BD_CUSTO!I:J,2,0)*AM104/E104)</f>
        <v>32.175925925925924</v>
      </c>
      <c r="BC104" s="32">
        <f>IF(AN104="",0,VLOOKUP(AN104,[1]BD_CUSTO!I:J,2,0)*AO104/E104)</f>
        <v>1273.9239814814816</v>
      </c>
      <c r="BD104" s="32">
        <f>IF(AP104="",0,VLOOKUP(AP104,[1]BD_CUSTO!I:J,2,0)*AQ104/E104)</f>
        <v>287.76074074074074</v>
      </c>
      <c r="BE104" s="32">
        <f>IF(AR104="",0,VLOOKUP(AR104,CUSTO!I:J,2,0)*AS104/E104)</f>
        <v>583.65111111111116</v>
      </c>
      <c r="BF104" s="24">
        <f>IF(AT104="",0,VLOOKUP(AT104,[1]BD_CUSTO!I:J,2,0)*AU104/E104)</f>
        <v>75</v>
      </c>
      <c r="BG104" s="24">
        <f>IF(Tabela1[[#This Row],[LZ 10]]="",0,VLOOKUP(Tabela1[[#This Row],[LZ 10]],[1]BD_CUSTO!I:J,2,0)*Tabela1[[#This Row],[QTD922]]/E104)</f>
        <v>788.4177777777777</v>
      </c>
      <c r="BH104" s="30" t="s">
        <v>112</v>
      </c>
      <c r="BI104" s="33">
        <v>0.89</v>
      </c>
      <c r="BJ104" s="30" t="s">
        <v>212</v>
      </c>
      <c r="BK104" s="33">
        <v>0.33</v>
      </c>
      <c r="BL104" s="32">
        <f>IF(BH104=[1]BD_CUSTO!$M$6,[1]BD_CUSTO!$N$6)*BI104</f>
        <v>2670</v>
      </c>
      <c r="BM104" s="32">
        <f>IF(BJ104=[1]BD_CUSTO!$M$4,[1]BD_CUSTO!$N$4,[1]BD_CUSTO!$N$5)*BK104</f>
        <v>1980</v>
      </c>
      <c r="BN104" s="30" t="s">
        <v>114</v>
      </c>
      <c r="BO104" s="30">
        <v>253</v>
      </c>
      <c r="BP104" s="25">
        <f>Tabela1[[#This Row],[QTD ]]/Tabela1[[#This Row],[Nº UNDS]]</f>
        <v>1.1712962962962963</v>
      </c>
      <c r="BQ104" s="30" t="s">
        <v>123</v>
      </c>
      <c r="BR104" s="30">
        <v>6</v>
      </c>
      <c r="BS104" s="22" t="s">
        <v>116</v>
      </c>
      <c r="BT104" s="30">
        <v>0</v>
      </c>
      <c r="BU104" s="30" t="s">
        <v>16</v>
      </c>
      <c r="BV104" s="30">
        <v>0</v>
      </c>
      <c r="BW104" s="32">
        <f>IF(BN104=[1]BD_CUSTO!$Q$7,[1]BD_CUSTO!$R$7,[1]BD_CUSTO!$R$8)*BO104/E104</f>
        <v>2342.5925925925926</v>
      </c>
      <c r="BX104" s="32">
        <f>IF(BQ104=[1]BD_CUSTO!$Q$4,[1]BD_CUSTO!$R$4,[1]BD_CUSTO!$R$5)*BR104/E104</f>
        <v>27.777777777777779</v>
      </c>
      <c r="BY104" s="30">
        <f>IF(BS104=[1]BD_CUSTO!$Q$13,[1]BD_CUSTO!$R$13,[1]BD_CUSTO!$R$14)*BT104/E104</f>
        <v>0</v>
      </c>
      <c r="BZ104" s="24">
        <f>BV104*CUSTO!$R$10/E104</f>
        <v>0</v>
      </c>
      <c r="CA104" s="26">
        <f>SUM(Tabela1[[#This Row],[SOMA_PISO SALA E QUARTO]],Tabela1[[#This Row],[SOMA_PAREDE HIDR]],Tabela1[[#This Row],[SOMA_TETO]],Tabela1[[#This Row],[SOMA_BANCADA]],Tabela1[[#This Row],[SOMA_PEDRAS]])</f>
        <v>5135</v>
      </c>
      <c r="CB104" s="27" t="str">
        <f>IF(CA104&lt;=RÉGUAS!$D$4,"ACAB 01",IF(CA104&lt;=RÉGUAS!$F$4,"ACAB 02",IF(CA104&gt;RÉGUAS!$F$4,"ACAB 03",)))</f>
        <v>ACAB 03</v>
      </c>
      <c r="CC104" s="26">
        <f>SUM(Tabela1[[#This Row],[SOMA_LZ 01]:[SOMA_LZ 10]])</f>
        <v>3915.4522222222226</v>
      </c>
      <c r="CD104" s="22" t="str">
        <f>IF(CC104&lt;=RÉGUAS!$D$13,"LZ 01",IF(CC104&lt;=RÉGUAS!$F$13,"LZ 02",IF(CC104&lt;=RÉGUAS!$H$13,"LZ 03",IF(CC104&gt;RÉGUAS!$H$13,"LZ 04",))))</f>
        <v>LZ 04</v>
      </c>
      <c r="CE104" s="34">
        <f t="shared" si="22"/>
        <v>4650</v>
      </c>
      <c r="CF104" s="22" t="str">
        <f>IF(CE104&lt;=RÉGUAS!$D$22,"TIP 01",IF(CE104&lt;=RÉGUAS!$F$22,"TIP 02",IF(CE104&gt;RÉGUAS!$F$22,"TIP 03",)))</f>
        <v>TIP 03</v>
      </c>
      <c r="CG104" s="34">
        <f t="shared" si="23"/>
        <v>2370.3703703703704</v>
      </c>
      <c r="CH104" s="30" t="str">
        <f>IF(CG104&lt;=RÉGUAS!$D$32,"VAGA 01",IF(CG104&lt;=RÉGUAS!$F$32,"VAGA 02",IF(CG104&gt;RÉGUAS!$F$32,"VAGA 03",)))</f>
        <v>VAGA 02</v>
      </c>
      <c r="CI104" s="85">
        <f>IF(Tabela1[[#This Row],[TIPO]]="BLOCO",((((CUSTO!$V$23*Tabela1[[#This Row],[Nº PAV1]])+(CUSTO!$V$23*Tabela1[[#This Row],[Nº PAV2]]))*Tabela1[[#This Row],[ELEVADOR]])/Tabela1[[#This Row],[Nº UNDS]]),
IF(Tabela1[[#This Row],[Nº PAV1]]&lt;=11,((((CUSTO!$V$24*Tabela1[[#This Row],[Nº PAV1]])+(CUSTO!$V$24*Tabela1[[#This Row],[Nº PAV2]]))*Tabela1[[#This Row],[ELEVADOR]])/Tabela1[[#This Row],[Nº UNDS]]),
IF(Tabela1[[#This Row],[Nº PAV1]]&gt;11,((((CUSTO!$V$25*Tabela1[[#This Row],[Nº PAV1]])+(CUSTO!$V$25*Tabela1[[#This Row],[Nº PAV2]]))*Tabela1[[#This Row],[ELEVADOR]])/Tabela1[[#This Row],[Nº UNDS]]),"0")))</f>
        <v>3290.8333333333335</v>
      </c>
      <c r="CJ104" s="85" t="str">
        <f>IF(AND(G104="BLOCO",CI104&lt;=RÉGUAS!$D$40),"ELEV 01",IF(AND(G104="BLOCO",CI104&gt;RÉGUAS!$D$40),"ELEV 02",IF(AND(G104="TORRE",CI104&lt;=RÉGUAS!$K$40),"ELEV 01",IF(AND(G104="TORRE",CI104&lt;=RÉGUAS!$M$40),"ELEV 02",IF(AND(G104="TORRE",CI104&gt;RÉGUAS!$M$40),"ELEV 03",)))))</f>
        <v>ELEV 03</v>
      </c>
      <c r="CK104" s="85">
        <f>SUM(Tabela1[[#This Row],[TOTAL  ACAB]],Tabela1[[#This Row],[TOTAL LAZER ]],Tabela1[[#This Row],[TOTAL TIPOLOGIA]],Tabela1[[#This Row],[TOTAL VAGA]],Tabela1[[#This Row],[TOTAL ELEVADOR]])</f>
        <v>19361.655925925927</v>
      </c>
      <c r="CL104" s="72" t="str">
        <f>IF(AND(G104="BLOCO",CK104&lt;=RÉGUAS!$D$50),"ESSENCIAL",IF(AND(G104="BLOCO",CK104&lt;=RÉGUAS!$F$50),"ECO",IF(AND(G104="BLOCO",CK104&gt;RÉGUAS!$F$50),"BIO",IF(AND(G104="TORRE",CK104&lt;=RÉGUAS!$K$50),"ESSENCIAL",IF(AND(G104="TORRE",CK104&lt;=RÉGUAS!$M$50),"ECO",IF(AND(G104="TORRE",CK104&gt;RÉGUAS!$M$50),"BIO",))))))</f>
        <v>BIO</v>
      </c>
      <c r="CM104" s="28" t="str">
        <f>IF(AND(G104="BLOCO",CK104&gt;=RÉGUAS!$D$51,CK104&lt;=RÉGUAS!$D$50),"ESSENCIAL-10%",IF(AND(G104="BLOCO",CK104&gt;RÉGUAS!$D$50,CK104&lt;=RÉGUAS!$E$51),"ECO+10%",IF(AND(G104="BLOCO",CK104&gt;=RÉGUAS!$F$51,CK104&lt;=RÉGUAS!$F$50),"ECO-10%",IF(AND(G104="BLOCO",CK104&gt;RÉGUAS!$F$50,CK104&lt;=RÉGUAS!$G$51),"BIO+10%",IF(AND(G104="TORRE",CK104&gt;=RÉGUAS!$K$51,CK104&lt;=RÉGUAS!$K$50),"ESSENCIAL-10%",IF(AND(G104="TORRE",CK104&gt;RÉGUAS!$K$50,CK104&lt;=RÉGUAS!$L$51),"ECO+10%",IF(AND(G104="TORRE",CK104&gt;=RÉGUAS!$M$51,CK104&lt;=RÉGUAS!$M$50),"ECO-10%",IF(AND(G104="TORRE",CK104&gt;RÉGUAS!$M$50,CK104&lt;=RÉGUAS!$N$51),"BIO+10%","-"))))))))</f>
        <v>-</v>
      </c>
      <c r="CN104" s="73">
        <f t="shared" si="24"/>
        <v>16070.822592592593</v>
      </c>
      <c r="CO104" s="72" t="str">
        <f>IF(CN104&lt;=RÉGUAS!$D$58,"ESSENCIAL",IF(CN104&lt;=RÉGUAS!$F$58,"ECO",IF(CN104&gt;RÉGUAS!$F$58,"BIO",)))</f>
        <v>BIO</v>
      </c>
      <c r="CP104" s="72" t="str">
        <f>IF(Tabela1[[#This Row],[INTERVALO DE INTERSEÇÃO 5D]]="-",Tabela1[[#This Row],[CLASSIFICAÇÃO 
5D ]],Tabela1[[#This Row],[CLASSIFICAÇÃO 
4D]])</f>
        <v>BIO</v>
      </c>
      <c r="CQ104" s="72" t="str">
        <f t="shared" si="25"/>
        <v>-</v>
      </c>
      <c r="CR104" s="72" t="str">
        <f t="shared" si="26"/>
        <v>BIO</v>
      </c>
      <c r="CS104" s="22" t="str">
        <f>IF(Tabela1[[#This Row],[PRODUTO ATUAL ]]=Tabela1[[#This Row],[CLASSIFICAÇÃO FINAL 5D]],"ADERÊNTE","NÃO ADERÊNTE")</f>
        <v>ADERÊNTE</v>
      </c>
      <c r="CT104" s="32">
        <f>SUM(Tabela1[[#This Row],[TOTAL  ACAB]],Tabela1[[#This Row],[TOTAL LAZER ]],Tabela1[[#This Row],[TOTAL TIPOLOGIA]],Tabela1[[#This Row],[TOTAL VAGA]])</f>
        <v>16070.822592592593</v>
      </c>
      <c r="CU104" s="30" t="str">
        <f>IF(CT104&lt;=RÉGUAS!$D$58,"ESSENCIAL",IF(CT104&lt;=RÉGUAS!$F$58,"ECO",IF(CT104&gt;RÉGUAS!$F$58,"BIO",)))</f>
        <v>BIO</v>
      </c>
      <c r="CV104" s="30" t="str">
        <f>IF(AND(CT104&gt;=RÉGUAS!$D$59,CT104&lt;=RÉGUAS!$E$59),"ESSENCIAL/ECO",IF(AND(CT104&gt;=RÉGUAS!$F$59,CT104&lt;=RÉGUAS!$G$59),"ECO/BIO","-"))</f>
        <v>-</v>
      </c>
      <c r="CW104" s="85">
        <f>SUM(Tabela1[[#This Row],[TOTAL LAZER ]],Tabela1[[#This Row],[TOTAL TIPOLOGIA]])</f>
        <v>8565.4522222222222</v>
      </c>
      <c r="CX104" s="30" t="str">
        <f>IF(CW104&lt;=RÉGUAS!$D$72,"ESSENCIAL",IF(CW104&lt;=RÉGUAS!$F$72,"ECO",IF(CN104&gt;RÉGUAS!$F$72,"BIO",)))</f>
        <v>BIO</v>
      </c>
      <c r="CY104" s="30" t="str">
        <f t="shared" si="27"/>
        <v>BIO</v>
      </c>
      <c r="CZ104" s="30" t="str">
        <f>IF(Tabela1[[#This Row],[PRODUTO ATUAL ]]=CY104,"ADERENTE","NÃO ADERENTE")</f>
        <v>ADERENTE</v>
      </c>
      <c r="DA104" s="30" t="str">
        <f>IF(Tabela1[[#This Row],[PRODUTO ATUAL ]]=Tabela1[[#This Row],[CLASSIFICAÇÃO 
4D2]],"ADERENTE","NÃO ADERENTE")</f>
        <v>ADERENTE</v>
      </c>
    </row>
    <row r="105" spans="2:105" customFormat="1" x14ac:dyDescent="0.35">
      <c r="CL105" s="51"/>
      <c r="CM105" s="51"/>
      <c r="CO105" s="51"/>
      <c r="CP105" s="51"/>
      <c r="CQ105" s="51"/>
      <c r="CR105" s="51"/>
      <c r="CT105" s="142"/>
      <c r="CU105" s="51"/>
      <c r="CV105" s="51"/>
      <c r="CW105" s="103"/>
      <c r="CX105" s="51"/>
      <c r="CY105" s="51"/>
      <c r="CZ105" s="51"/>
    </row>
    <row r="107" spans="2:105" x14ac:dyDescent="0.35">
      <c r="J107" s="264"/>
      <c r="K107" s="264"/>
      <c r="L107" s="141"/>
      <c r="M107" s="87"/>
      <c r="BH107" s="35">
        <v>288</v>
      </c>
      <c r="BI107" s="35">
        <v>100</v>
      </c>
    </row>
    <row r="108" spans="2:105" x14ac:dyDescent="0.35">
      <c r="G108" s="87"/>
      <c r="H108" s="87"/>
      <c r="I108" s="87"/>
      <c r="J108" s="87"/>
      <c r="BH108" s="35">
        <f>136+8</f>
        <v>144</v>
      </c>
      <c r="BI108" s="91">
        <f>BH108/BH107</f>
        <v>0.5</v>
      </c>
      <c r="CQ108"/>
      <c r="CR108"/>
    </row>
    <row r="109" spans="2:105" x14ac:dyDescent="0.35">
      <c r="G109" s="140"/>
      <c r="H109" s="87"/>
      <c r="K109" s="91"/>
      <c r="BI109" s="91"/>
      <c r="BJ109" s="176">
        <v>102</v>
      </c>
      <c r="BK109" s="35">
        <v>100</v>
      </c>
      <c r="BQ109" s="175"/>
      <c r="CN109" s="87"/>
      <c r="CQ109"/>
      <c r="CR109" s="90"/>
    </row>
    <row r="110" spans="2:105" x14ac:dyDescent="0.35">
      <c r="K110" s="91"/>
      <c r="BJ110" s="35">
        <v>3</v>
      </c>
      <c r="BK110" s="91">
        <f>BJ110/BJ109</f>
        <v>2.9411764705882353E-2</v>
      </c>
    </row>
    <row r="111" spans="2:105" x14ac:dyDescent="0.35">
      <c r="H111" s="91"/>
      <c r="BH111" s="35">
        <f>8*15</f>
        <v>120</v>
      </c>
      <c r="BT111" s="91"/>
    </row>
    <row r="112" spans="2:105" x14ac:dyDescent="0.35">
      <c r="BH112" s="35">
        <f>BH111*4</f>
        <v>480</v>
      </c>
    </row>
    <row r="113" spans="6:62" x14ac:dyDescent="0.35">
      <c r="F113" s="91"/>
    </row>
    <row r="114" spans="6:62" x14ac:dyDescent="0.35">
      <c r="BJ114" s="35">
        <f>271+9</f>
        <v>280</v>
      </c>
    </row>
    <row r="115" spans="6:62" x14ac:dyDescent="0.35">
      <c r="H115" s="91"/>
      <c r="I115" s="91"/>
      <c r="J115" s="91"/>
      <c r="K115" s="91"/>
      <c r="L115" s="91"/>
      <c r="M115" s="91"/>
      <c r="N115" s="91"/>
    </row>
    <row r="116" spans="6:62" x14ac:dyDescent="0.35">
      <c r="H116" s="91"/>
      <c r="I116" s="91"/>
      <c r="J116" s="91"/>
      <c r="K116" s="91"/>
      <c r="L116" s="91"/>
      <c r="M116" s="91"/>
      <c r="N116" s="91"/>
    </row>
    <row r="117" spans="6:62" x14ac:dyDescent="0.35">
      <c r="H117" s="91"/>
      <c r="I117" s="91"/>
      <c r="J117" s="91"/>
      <c r="K117" s="91"/>
      <c r="L117" s="91"/>
      <c r="M117" s="91"/>
      <c r="N117" s="91"/>
    </row>
    <row r="118" spans="6:62" x14ac:dyDescent="0.35">
      <c r="H118" s="91"/>
      <c r="I118" s="191">
        <v>102</v>
      </c>
      <c r="J118" s="91">
        <v>1</v>
      </c>
      <c r="K118" s="91"/>
      <c r="L118" s="91"/>
      <c r="M118" s="91"/>
      <c r="N118" s="91"/>
    </row>
    <row r="119" spans="6:62" x14ac:dyDescent="0.35">
      <c r="H119" s="91"/>
      <c r="I119" s="191">
        <v>9</v>
      </c>
      <c r="J119" s="91">
        <f>I119/I118</f>
        <v>8.8235294117647065E-2</v>
      </c>
      <c r="K119" s="91"/>
      <c r="L119" s="91"/>
      <c r="M119" s="91"/>
      <c r="N119" s="91"/>
    </row>
    <row r="120" spans="6:62" x14ac:dyDescent="0.35">
      <c r="M120" s="87"/>
    </row>
  </sheetData>
  <mergeCells count="2">
    <mergeCell ref="J107:K107"/>
    <mergeCell ref="CT1:CV1"/>
  </mergeCells>
  <phoneticPr fontId="15" type="noConversion"/>
  <conditionalFormatting sqref="O1:O1048576">
    <cfRule type="containsText" dxfId="28" priority="43" operator="containsText" text="BIO">
      <formula>NOT(ISERROR(SEARCH("BIO",O1)))</formula>
    </cfRule>
    <cfRule type="containsText" dxfId="27" priority="44" operator="containsText" text="ECO">
      <formula>NOT(ISERROR(SEARCH("ECO",O1)))</formula>
    </cfRule>
    <cfRule type="containsText" dxfId="26" priority="45" operator="containsText" text="ESSENCIAL">
      <formula>NOT(ISERROR(SEARCH("ESSENCIAL",O1)))</formula>
    </cfRule>
  </conditionalFormatting>
  <conditionalFormatting sqref="CB1:CB1048576">
    <cfRule type="containsText" dxfId="25" priority="57" operator="containsText" text="ACAB 03">
      <formula>NOT(ISERROR(SEARCH("ACAB 03",CB1)))</formula>
    </cfRule>
    <cfRule type="containsText" dxfId="24" priority="58" operator="containsText" text="ACAB 02">
      <formula>NOT(ISERROR(SEARCH("ACAB 02",CB1)))</formula>
    </cfRule>
    <cfRule type="containsText" dxfId="23" priority="59" operator="containsText" text="ACAB 01">
      <formula>NOT(ISERROR(SEARCH("ACAB 01",CB1)))</formula>
    </cfRule>
  </conditionalFormatting>
  <conditionalFormatting sqref="CD1:CD1048576">
    <cfRule type="containsText" dxfId="22" priority="53" operator="containsText" text="LZ 04">
      <formula>NOT(ISERROR(SEARCH("LZ 04",CD1)))</formula>
    </cfRule>
    <cfRule type="containsText" dxfId="21" priority="54" operator="containsText" text="LZ 03">
      <formula>NOT(ISERROR(SEARCH("LZ 03",CD1)))</formula>
    </cfRule>
    <cfRule type="containsText" dxfId="20" priority="55" operator="containsText" text="LZ 02">
      <formula>NOT(ISERROR(SEARCH("LZ 02",CD1)))</formula>
    </cfRule>
    <cfRule type="containsText" dxfId="19" priority="56" operator="containsText" text="LZ 01">
      <formula>NOT(ISERROR(SEARCH("LZ 01",CD1)))</formula>
    </cfRule>
  </conditionalFormatting>
  <conditionalFormatting sqref="CF1:CF1048576">
    <cfRule type="containsText" dxfId="18" priority="49" operator="containsText" text="TIP 04">
      <formula>NOT(ISERROR(SEARCH("TIP 04",CF1)))</formula>
    </cfRule>
    <cfRule type="containsText" dxfId="17" priority="50" operator="containsText" text="TIP 03">
      <formula>NOT(ISERROR(SEARCH("TIP 03",CF1)))</formula>
    </cfRule>
    <cfRule type="containsText" dxfId="16" priority="51" operator="containsText" text="TIP 02">
      <formula>NOT(ISERROR(SEARCH("TIP 02",CF1)))</formula>
    </cfRule>
    <cfRule type="containsText" dxfId="15" priority="52" operator="containsText" text="TIP 01">
      <formula>NOT(ISERROR(SEARCH("TIP 01",CF1)))</formula>
    </cfRule>
  </conditionalFormatting>
  <conditionalFormatting sqref="CH1:CH1048576">
    <cfRule type="containsText" dxfId="14" priority="46" operator="containsText" text="VAGA 03">
      <formula>NOT(ISERROR(SEARCH("VAGA 03",CH1)))</formula>
    </cfRule>
    <cfRule type="containsText" dxfId="13" priority="47" operator="containsText" text="VAGA 02">
      <formula>NOT(ISERROR(SEARCH("VAGA 02",CH1)))</formula>
    </cfRule>
    <cfRule type="containsText" dxfId="12" priority="48" operator="containsText" text="VAGA 01">
      <formula>NOT(ISERROR(SEARCH("VAGA 01",CH1)))</formula>
    </cfRule>
  </conditionalFormatting>
  <conditionalFormatting sqref="CI1:CK1048576">
    <cfRule type="containsText" dxfId="11" priority="10" operator="containsText" text="ELEV 03">
      <formula>NOT(ISERROR(SEARCH("ELEV 03",CI1)))</formula>
    </cfRule>
    <cfRule type="containsText" dxfId="10" priority="11" operator="containsText" text="ELEV 02">
      <formula>NOT(ISERROR(SEARCH("ELEV 02",CI1)))</formula>
    </cfRule>
    <cfRule type="containsText" dxfId="9" priority="12" operator="containsText" text="ELEV 01">
      <formula>NOT(ISERROR(SEARCH("ELEV 01",CI1)))</formula>
    </cfRule>
  </conditionalFormatting>
  <conditionalFormatting sqref="CL2:CO104 CP2:CR1048576 CT2:CY1048576 CN105:CO105 CL105:CL106 CM106:CO106 CL107:CO1048576">
    <cfRule type="containsText" dxfId="8" priority="4" operator="containsText" text="BIO">
      <formula>NOT(ISERROR(SEARCH("BIO",CL2)))</formula>
    </cfRule>
    <cfRule type="containsText" dxfId="7" priority="5" operator="containsText" text="ECO">
      <formula>NOT(ISERROR(SEARCH("ECO",CL2)))</formula>
    </cfRule>
    <cfRule type="containsText" dxfId="6" priority="6" operator="containsText" text="ESSENCIAL">
      <formula>NOT(ISERROR(SEARCH("ESSENCIAL",CL2)))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DC20-4F9D-4132-B388-FFB87CB1B234}">
  <dimension ref="A1:M47"/>
  <sheetViews>
    <sheetView zoomScale="70" zoomScaleNormal="70" workbookViewId="0">
      <selection activeCell="R38" sqref="R38"/>
    </sheetView>
  </sheetViews>
  <sheetFormatPr defaultRowHeight="14.5" x14ac:dyDescent="0.35"/>
  <cols>
    <col min="1" max="1" width="28.36328125" bestFit="1" customWidth="1"/>
    <col min="2" max="2" width="29.453125" bestFit="1" customWidth="1"/>
    <col min="3" max="4" width="14.54296875" bestFit="1" customWidth="1"/>
    <col min="5" max="5" width="14.08984375" bestFit="1" customWidth="1"/>
    <col min="9" max="9" width="34.6328125" bestFit="1" customWidth="1"/>
    <col min="10" max="10" width="29.453125" bestFit="1" customWidth="1"/>
    <col min="11" max="11" width="6.54296875" bestFit="1" customWidth="1"/>
    <col min="12" max="12" width="14.453125" bestFit="1" customWidth="1"/>
    <col min="13" max="13" width="13.90625" bestFit="1" customWidth="1"/>
  </cols>
  <sheetData>
    <row r="1" spans="1:13" ht="17.399999999999999" customHeight="1" x14ac:dyDescent="0.35"/>
    <row r="2" spans="1:13" x14ac:dyDescent="0.35">
      <c r="A2" s="86" t="s">
        <v>0</v>
      </c>
      <c r="B2" t="s">
        <v>351</v>
      </c>
      <c r="I2" s="86" t="s">
        <v>0</v>
      </c>
      <c r="J2" t="s">
        <v>351</v>
      </c>
    </row>
    <row r="3" spans="1:13" x14ac:dyDescent="0.35">
      <c r="A3" s="86" t="s">
        <v>15</v>
      </c>
      <c r="B3" t="s">
        <v>16</v>
      </c>
      <c r="I3" s="86" t="s">
        <v>15</v>
      </c>
      <c r="J3" t="s">
        <v>16</v>
      </c>
    </row>
    <row r="5" spans="1:13" x14ac:dyDescent="0.35">
      <c r="B5" s="86" t="s">
        <v>2</v>
      </c>
      <c r="J5" s="86" t="s">
        <v>2</v>
      </c>
    </row>
    <row r="6" spans="1:13" x14ac:dyDescent="0.35">
      <c r="A6" s="86" t="s">
        <v>3</v>
      </c>
      <c r="B6" t="s">
        <v>4</v>
      </c>
      <c r="C6" t="s">
        <v>5</v>
      </c>
      <c r="D6" t="s">
        <v>6</v>
      </c>
      <c r="E6" t="s">
        <v>7</v>
      </c>
      <c r="I6" s="86" t="s">
        <v>3</v>
      </c>
      <c r="J6" t="s">
        <v>17</v>
      </c>
      <c r="K6" t="s">
        <v>8</v>
      </c>
      <c r="L6" t="s">
        <v>9</v>
      </c>
      <c r="M6" t="s">
        <v>7</v>
      </c>
    </row>
    <row r="7" spans="1:13" x14ac:dyDescent="0.35">
      <c r="A7" s="74" t="s">
        <v>10</v>
      </c>
      <c r="B7" s="59">
        <v>5182.2222222222226</v>
      </c>
      <c r="C7" s="59">
        <v>4222.4285714285716</v>
      </c>
      <c r="D7" s="59">
        <v>2856.6666666666665</v>
      </c>
      <c r="E7" s="59">
        <v>3771.5816326530612</v>
      </c>
      <c r="I7" s="74" t="s">
        <v>10</v>
      </c>
      <c r="J7" s="59">
        <v>5089.5</v>
      </c>
      <c r="K7" s="59">
        <v>4127.604166666667</v>
      </c>
      <c r="L7" s="59">
        <v>2323.3333333333335</v>
      </c>
      <c r="M7" s="59">
        <v>3771.5816326530612</v>
      </c>
    </row>
    <row r="8" spans="1:13" x14ac:dyDescent="0.35">
      <c r="A8" s="74" t="s">
        <v>11</v>
      </c>
      <c r="B8" s="59">
        <v>2002.4399397680297</v>
      </c>
      <c r="C8" s="59">
        <v>1708.7918301499039</v>
      </c>
      <c r="D8" s="59">
        <v>1075.1220537015101</v>
      </c>
      <c r="E8" s="59">
        <v>1471.7563815065216</v>
      </c>
      <c r="I8" s="74" t="s">
        <v>11</v>
      </c>
      <c r="J8" s="59">
        <v>2139.9999867017705</v>
      </c>
      <c r="K8" s="59">
        <v>1501.9779491226509</v>
      </c>
      <c r="L8" s="59">
        <v>977.90613652388311</v>
      </c>
      <c r="M8" s="59">
        <v>1471.7563815065214</v>
      </c>
    </row>
    <row r="9" spans="1:13" x14ac:dyDescent="0.35">
      <c r="A9" s="74" t="s">
        <v>12</v>
      </c>
      <c r="B9" s="59">
        <v>3610.8157407407407</v>
      </c>
      <c r="C9" s="59">
        <v>1780.6620069902369</v>
      </c>
      <c r="D9" s="59">
        <v>790.43133895299627</v>
      </c>
      <c r="E9" s="59">
        <v>1662.1149370497599</v>
      </c>
      <c r="I9" s="74" t="s">
        <v>12</v>
      </c>
      <c r="J9" s="59">
        <v>3598.3144652406418</v>
      </c>
      <c r="K9" s="59">
        <v>1431.338392595987</v>
      </c>
      <c r="L9" s="59">
        <v>740.55772271520857</v>
      </c>
      <c r="M9" s="59">
        <v>1662.1149370497599</v>
      </c>
    </row>
    <row r="10" spans="1:13" x14ac:dyDescent="0.35">
      <c r="A10" s="74" t="s">
        <v>13</v>
      </c>
      <c r="B10" s="59">
        <v>2009.3217983040579</v>
      </c>
      <c r="C10" s="59">
        <v>1828.6677512365573</v>
      </c>
      <c r="D10" s="59">
        <v>1472.0250187641443</v>
      </c>
      <c r="E10" s="59">
        <v>1698.084586807541</v>
      </c>
      <c r="I10" s="74" t="s">
        <v>13</v>
      </c>
      <c r="J10" s="59">
        <v>2027.1923839803817</v>
      </c>
      <c r="K10" s="59">
        <v>1783.9736543710176</v>
      </c>
      <c r="L10" s="59">
        <v>1341.2568805907511</v>
      </c>
      <c r="M10" s="59">
        <v>1698.084586807541</v>
      </c>
    </row>
    <row r="42" spans="1:13" x14ac:dyDescent="0.35">
      <c r="A42" s="86" t="s">
        <v>0</v>
      </c>
      <c r="B42" t="s">
        <v>351</v>
      </c>
      <c r="I42" s="86" t="s">
        <v>0</v>
      </c>
      <c r="J42" t="s">
        <v>351</v>
      </c>
    </row>
    <row r="43" spans="1:13" x14ac:dyDescent="0.35">
      <c r="A43" s="86" t="s">
        <v>15</v>
      </c>
      <c r="B43" t="s">
        <v>16</v>
      </c>
      <c r="I43" s="86" t="s">
        <v>15</v>
      </c>
      <c r="J43" t="s">
        <v>16</v>
      </c>
    </row>
    <row r="45" spans="1:13" x14ac:dyDescent="0.35">
      <c r="B45" s="86" t="s">
        <v>2</v>
      </c>
      <c r="J45" s="86" t="s">
        <v>2</v>
      </c>
    </row>
    <row r="46" spans="1:13" x14ac:dyDescent="0.35">
      <c r="B46" t="s">
        <v>4</v>
      </c>
      <c r="C46" t="s">
        <v>5</v>
      </c>
      <c r="D46" t="s">
        <v>6</v>
      </c>
      <c r="E46" t="s">
        <v>7</v>
      </c>
      <c r="J46" t="s">
        <v>17</v>
      </c>
      <c r="K46" t="s">
        <v>8</v>
      </c>
      <c r="L46" t="s">
        <v>9</v>
      </c>
      <c r="M46" t="s">
        <v>7</v>
      </c>
    </row>
    <row r="47" spans="1:13" x14ac:dyDescent="0.35">
      <c r="A47" t="s">
        <v>352</v>
      </c>
      <c r="B47">
        <v>18</v>
      </c>
      <c r="C47">
        <v>35</v>
      </c>
      <c r="D47">
        <v>45</v>
      </c>
      <c r="E47">
        <v>98</v>
      </c>
      <c r="I47" t="s">
        <v>353</v>
      </c>
      <c r="J47">
        <v>20</v>
      </c>
      <c r="K47">
        <v>48</v>
      </c>
      <c r="L47">
        <v>30</v>
      </c>
      <c r="M47">
        <v>98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39CD-BCCE-4913-A057-B1DC3FDD9D0C}">
  <dimension ref="A2:G43"/>
  <sheetViews>
    <sheetView topLeftCell="A10" zoomScaleNormal="100" workbookViewId="0">
      <selection activeCell="J25" sqref="J25"/>
    </sheetView>
  </sheetViews>
  <sheetFormatPr defaultRowHeight="14.5" x14ac:dyDescent="0.35"/>
  <cols>
    <col min="1" max="1" width="17.90625" bestFit="1" customWidth="1"/>
    <col min="2" max="2" width="30.6328125" bestFit="1" customWidth="1"/>
    <col min="3" max="3" width="14.90625" bestFit="1" customWidth="1"/>
    <col min="4" max="4" width="10.453125" bestFit="1" customWidth="1"/>
    <col min="5" max="7" width="16.08984375" customWidth="1"/>
    <col min="8" max="102" width="41" bestFit="1" customWidth="1"/>
    <col min="103" max="103" width="10" bestFit="1" customWidth="1"/>
  </cols>
  <sheetData>
    <row r="2" spans="1:7" x14ac:dyDescent="0.35">
      <c r="A2" s="265" t="s">
        <v>358</v>
      </c>
      <c r="B2" s="265"/>
      <c r="C2" s="265"/>
      <c r="D2" s="265"/>
      <c r="E2" s="265"/>
      <c r="F2" s="265"/>
      <c r="G2" s="265"/>
    </row>
    <row r="6" spans="1:7" x14ac:dyDescent="0.35">
      <c r="A6" s="86" t="s">
        <v>248</v>
      </c>
      <c r="B6" s="86" t="s">
        <v>2</v>
      </c>
    </row>
    <row r="7" spans="1:7" x14ac:dyDescent="0.35">
      <c r="A7" s="86" t="s">
        <v>247</v>
      </c>
      <c r="B7" t="s">
        <v>249</v>
      </c>
      <c r="C7" t="s">
        <v>250</v>
      </c>
      <c r="D7" t="s">
        <v>7</v>
      </c>
    </row>
    <row r="8" spans="1:7" x14ac:dyDescent="0.35">
      <c r="A8" s="74" t="s">
        <v>100</v>
      </c>
      <c r="B8" s="89">
        <v>0.70588235294117652</v>
      </c>
      <c r="C8" s="89">
        <v>0.29411764705882354</v>
      </c>
      <c r="D8" s="89">
        <v>1</v>
      </c>
      <c r="F8" s="74"/>
      <c r="G8" s="89"/>
    </row>
    <row r="9" spans="1:7" x14ac:dyDescent="0.35">
      <c r="A9" s="74" t="s">
        <v>154</v>
      </c>
      <c r="B9" s="89">
        <v>0.77777777777777779</v>
      </c>
      <c r="C9" s="89">
        <v>0.22222222222222221</v>
      </c>
      <c r="D9" s="89">
        <v>1</v>
      </c>
      <c r="F9" s="74"/>
      <c r="G9" s="89"/>
    </row>
    <row r="10" spans="1:7" x14ac:dyDescent="0.35">
      <c r="A10" s="74" t="s">
        <v>128</v>
      </c>
      <c r="B10" s="89">
        <v>0.7142857142857143</v>
      </c>
      <c r="C10" s="89">
        <v>0.2857142857142857</v>
      </c>
      <c r="D10" s="89">
        <v>1</v>
      </c>
    </row>
    <row r="11" spans="1:7" x14ac:dyDescent="0.35">
      <c r="A11" s="74" t="s">
        <v>131</v>
      </c>
      <c r="B11" s="89">
        <v>0.7142857142857143</v>
      </c>
      <c r="C11" s="89">
        <v>0.2857142857142857</v>
      </c>
      <c r="D11" s="89">
        <v>1</v>
      </c>
    </row>
    <row r="12" spans="1:7" x14ac:dyDescent="0.35">
      <c r="A12" s="74" t="s">
        <v>118</v>
      </c>
      <c r="B12" s="89">
        <v>0.8</v>
      </c>
      <c r="C12" s="89">
        <v>0.2</v>
      </c>
      <c r="D12" s="89">
        <v>1</v>
      </c>
    </row>
    <row r="13" spans="1:7" x14ac:dyDescent="0.35">
      <c r="A13" s="74" t="s">
        <v>147</v>
      </c>
      <c r="B13" s="89">
        <v>0.73684210526315785</v>
      </c>
      <c r="C13" s="89">
        <v>0.26315789473684209</v>
      </c>
      <c r="D13" s="89">
        <v>1</v>
      </c>
    </row>
    <row r="14" spans="1:7" x14ac:dyDescent="0.35">
      <c r="A14" s="74" t="s">
        <v>125</v>
      </c>
      <c r="B14" s="89">
        <v>0.84615384615384615</v>
      </c>
      <c r="C14" s="89">
        <v>0.15384615384615385</v>
      </c>
      <c r="D14" s="89">
        <v>1</v>
      </c>
    </row>
    <row r="15" spans="1:7" x14ac:dyDescent="0.35">
      <c r="A15" s="74" t="s">
        <v>7</v>
      </c>
      <c r="B15" s="132">
        <v>0.75247524752475248</v>
      </c>
      <c r="C15" s="132">
        <v>0.24752475247524752</v>
      </c>
      <c r="D15" s="132">
        <v>1</v>
      </c>
    </row>
    <row r="17" spans="1:7" x14ac:dyDescent="0.35">
      <c r="B17" s="51"/>
      <c r="C17" s="51"/>
    </row>
    <row r="19" spans="1:7" x14ac:dyDescent="0.35">
      <c r="A19" s="265" t="s">
        <v>357</v>
      </c>
      <c r="B19" s="265"/>
      <c r="C19" s="265"/>
      <c r="D19" s="265"/>
      <c r="E19" s="265"/>
      <c r="F19" s="265"/>
      <c r="G19" s="265"/>
    </row>
    <row r="21" spans="1:7" x14ac:dyDescent="0.35">
      <c r="A21" s="86" t="s">
        <v>247</v>
      </c>
      <c r="B21" t="s">
        <v>248</v>
      </c>
    </row>
    <row r="22" spans="1:7" x14ac:dyDescent="0.35">
      <c r="A22" s="74" t="s">
        <v>249</v>
      </c>
      <c r="B22">
        <v>77</v>
      </c>
    </row>
    <row r="23" spans="1:7" x14ac:dyDescent="0.35">
      <c r="A23" s="74" t="s">
        <v>250</v>
      </c>
      <c r="B23">
        <v>25</v>
      </c>
    </row>
    <row r="24" spans="1:7" x14ac:dyDescent="0.35">
      <c r="A24" s="74" t="s">
        <v>7</v>
      </c>
      <c r="B24">
        <v>102</v>
      </c>
    </row>
    <row r="37" spans="1:7" x14ac:dyDescent="0.35">
      <c r="A37" s="265" t="s">
        <v>355</v>
      </c>
      <c r="B37" s="265"/>
      <c r="C37" s="265"/>
      <c r="D37" s="265"/>
      <c r="E37" s="265"/>
      <c r="F37" s="265"/>
      <c r="G37" s="265"/>
    </row>
    <row r="40" spans="1:7" x14ac:dyDescent="0.35">
      <c r="A40" s="86" t="s">
        <v>247</v>
      </c>
      <c r="B40" t="s">
        <v>248</v>
      </c>
    </row>
    <row r="41" spans="1:7" x14ac:dyDescent="0.35">
      <c r="A41" s="74" t="s">
        <v>249</v>
      </c>
      <c r="B41">
        <v>78</v>
      </c>
    </row>
    <row r="42" spans="1:7" x14ac:dyDescent="0.35">
      <c r="A42" s="74" t="s">
        <v>250</v>
      </c>
      <c r="B42">
        <v>24</v>
      </c>
    </row>
    <row r="43" spans="1:7" x14ac:dyDescent="0.35">
      <c r="A43" s="74" t="s">
        <v>7</v>
      </c>
      <c r="B43">
        <v>102</v>
      </c>
    </row>
  </sheetData>
  <mergeCells count="3">
    <mergeCell ref="A37:G37"/>
    <mergeCell ref="A19:G19"/>
    <mergeCell ref="A2:G2"/>
  </mergeCells>
  <pageMargins left="0.511811024" right="0.511811024" top="0.78740157499999996" bottom="0.78740157499999996" header="0.31496062000000002" footer="0.31496062000000002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0F12-19E3-4644-A495-0ED09346411F}">
  <sheetPr filterMode="1"/>
  <dimension ref="B2:AE109"/>
  <sheetViews>
    <sheetView topLeftCell="D15" workbookViewId="0">
      <selection activeCell="L46" sqref="L46:M46"/>
    </sheetView>
  </sheetViews>
  <sheetFormatPr defaultRowHeight="14.5" x14ac:dyDescent="0.35"/>
  <cols>
    <col min="2" max="2" width="12.36328125" style="35" bestFit="1" customWidth="1"/>
    <col min="3" max="3" width="12.36328125" style="35" customWidth="1"/>
    <col min="4" max="5" width="11.6328125" style="35" customWidth="1"/>
    <col min="6" max="6" width="8.6328125" style="35" customWidth="1"/>
    <col min="7" max="7" width="12.08984375" style="35" customWidth="1"/>
    <col min="8" max="8" width="10.90625" style="35" customWidth="1"/>
    <col min="11" max="11" width="12.36328125" style="35" bestFit="1" customWidth="1"/>
    <col min="12" max="12" width="8.90625" style="35"/>
    <col min="13" max="13" width="8.36328125" style="35" customWidth="1"/>
    <col min="14" max="14" width="8.90625" style="35"/>
    <col min="15" max="15" width="9" style="35" customWidth="1"/>
    <col min="16" max="16" width="8.90625" style="35"/>
    <col min="17" max="17" width="9" style="35" customWidth="1"/>
    <col min="18" max="18" width="8.90625" style="35"/>
    <col min="19" max="19" width="9" style="35" customWidth="1"/>
    <col min="20" max="20" width="8.90625" style="35"/>
    <col min="21" max="21" width="9" style="35" customWidth="1"/>
    <col min="22" max="22" width="8.90625" style="35"/>
    <col min="23" max="23" width="9" style="35" customWidth="1"/>
    <col min="24" max="24" width="8.90625" style="35"/>
    <col min="25" max="25" width="9" style="35" customWidth="1"/>
    <col min="26" max="26" width="8.90625" style="35"/>
    <col min="27" max="27" width="9" style="35" customWidth="1"/>
    <col min="28" max="28" width="8.90625" style="35"/>
    <col min="29" max="29" width="9.6328125" style="35" customWidth="1"/>
    <col min="30" max="30" width="18.6328125" style="35" customWidth="1"/>
    <col min="31" max="31" width="10.54296875" style="35" customWidth="1"/>
  </cols>
  <sheetData>
    <row r="2" spans="2:31" ht="24" x14ac:dyDescent="0.35">
      <c r="B2" s="2" t="s">
        <v>27</v>
      </c>
      <c r="C2" s="3" t="s">
        <v>28</v>
      </c>
      <c r="D2" s="108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K2" s="2" t="s">
        <v>27</v>
      </c>
      <c r="L2" s="6" t="s">
        <v>42</v>
      </c>
      <c r="M2" s="7" t="s">
        <v>43</v>
      </c>
      <c r="N2" s="6" t="s">
        <v>44</v>
      </c>
      <c r="O2" s="7" t="s">
        <v>45</v>
      </c>
      <c r="P2" s="6" t="s">
        <v>46</v>
      </c>
      <c r="Q2" s="7" t="s">
        <v>47</v>
      </c>
      <c r="R2" s="6" t="s">
        <v>48</v>
      </c>
      <c r="S2" s="7" t="s">
        <v>49</v>
      </c>
      <c r="T2" s="6" t="s">
        <v>50</v>
      </c>
      <c r="U2" s="7" t="s">
        <v>51</v>
      </c>
      <c r="V2" s="6" t="s">
        <v>52</v>
      </c>
      <c r="W2" s="7" t="s">
        <v>53</v>
      </c>
      <c r="X2" s="6" t="s">
        <v>54</v>
      </c>
      <c r="Y2" s="7" t="s">
        <v>55</v>
      </c>
      <c r="Z2" s="6" t="s">
        <v>56</v>
      </c>
      <c r="AA2" s="7" t="s">
        <v>57</v>
      </c>
      <c r="AB2" s="6" t="s">
        <v>58</v>
      </c>
      <c r="AC2" s="7" t="s">
        <v>59</v>
      </c>
      <c r="AD2" s="6" t="s">
        <v>60</v>
      </c>
      <c r="AE2" s="7" t="s">
        <v>61</v>
      </c>
    </row>
    <row r="3" spans="2:31" x14ac:dyDescent="0.35">
      <c r="B3" s="22" t="s">
        <v>6</v>
      </c>
      <c r="C3" s="22" t="s">
        <v>119</v>
      </c>
      <c r="D3" s="22" t="s">
        <v>101</v>
      </c>
      <c r="E3" s="22" t="s">
        <v>102</v>
      </c>
      <c r="F3" s="22" t="s">
        <v>103</v>
      </c>
      <c r="G3" s="22" t="s">
        <v>104</v>
      </c>
      <c r="H3" s="22" t="s">
        <v>105</v>
      </c>
      <c r="K3" s="22" t="s">
        <v>6</v>
      </c>
      <c r="L3" s="22" t="s">
        <v>110</v>
      </c>
      <c r="M3" s="22">
        <v>1</v>
      </c>
      <c r="N3" s="22" t="s">
        <v>107</v>
      </c>
      <c r="O3" s="22">
        <v>2</v>
      </c>
      <c r="P3" s="22" t="s">
        <v>111</v>
      </c>
      <c r="Q3" s="22">
        <v>1</v>
      </c>
      <c r="R3" s="188" t="s">
        <v>129</v>
      </c>
      <c r="S3" s="22">
        <v>1</v>
      </c>
      <c r="T3" s="22" t="s">
        <v>108</v>
      </c>
      <c r="U3" s="22">
        <v>1</v>
      </c>
      <c r="V3" s="22" t="s">
        <v>126</v>
      </c>
      <c r="W3" s="22">
        <v>1</v>
      </c>
      <c r="X3" s="22"/>
      <c r="Y3" s="22"/>
      <c r="Z3" s="22"/>
      <c r="AA3" s="22"/>
      <c r="AB3" s="22"/>
      <c r="AC3" s="22"/>
      <c r="AD3" s="22"/>
      <c r="AE3" s="22"/>
    </row>
    <row r="4" spans="2:31" x14ac:dyDescent="0.35">
      <c r="B4" s="22" t="s">
        <v>6</v>
      </c>
      <c r="C4" s="22" t="s">
        <v>119</v>
      </c>
      <c r="D4" s="22" t="s">
        <v>101</v>
      </c>
      <c r="E4" s="22" t="s">
        <v>102</v>
      </c>
      <c r="F4" s="22" t="s">
        <v>103</v>
      </c>
      <c r="G4" s="22" t="s">
        <v>104</v>
      </c>
      <c r="H4" s="22" t="s">
        <v>105</v>
      </c>
      <c r="K4" s="22" t="s">
        <v>6</v>
      </c>
      <c r="L4" s="22" t="s">
        <v>110</v>
      </c>
      <c r="M4" s="22">
        <v>1</v>
      </c>
      <c r="N4" s="22" t="s">
        <v>120</v>
      </c>
      <c r="O4" s="22">
        <v>1</v>
      </c>
      <c r="P4" s="22" t="s">
        <v>108</v>
      </c>
      <c r="Q4" s="22">
        <v>1</v>
      </c>
      <c r="R4" s="188" t="s">
        <v>121</v>
      </c>
      <c r="S4" s="22">
        <v>1</v>
      </c>
      <c r="T4" s="22" t="s">
        <v>107</v>
      </c>
      <c r="U4" s="22">
        <v>1</v>
      </c>
      <c r="V4" s="22" t="s">
        <v>109</v>
      </c>
      <c r="W4" s="22">
        <v>1</v>
      </c>
      <c r="X4" s="22"/>
      <c r="Y4" s="22">
        <v>0</v>
      </c>
      <c r="Z4" s="22"/>
      <c r="AA4" s="22">
        <v>0</v>
      </c>
      <c r="AB4" s="22"/>
      <c r="AC4" s="22"/>
      <c r="AD4" s="22"/>
      <c r="AE4" s="22"/>
    </row>
    <row r="5" spans="2:31" x14ac:dyDescent="0.35">
      <c r="B5" s="22" t="s">
        <v>6</v>
      </c>
      <c r="C5" s="22" t="s">
        <v>119</v>
      </c>
      <c r="D5" s="22" t="s">
        <v>101</v>
      </c>
      <c r="E5" s="22" t="s">
        <v>102</v>
      </c>
      <c r="F5" s="22" t="s">
        <v>103</v>
      </c>
      <c r="G5" s="22" t="s">
        <v>104</v>
      </c>
      <c r="H5" s="22" t="s">
        <v>105</v>
      </c>
      <c r="K5" s="22" t="s">
        <v>6</v>
      </c>
      <c r="L5" s="133" t="s">
        <v>109</v>
      </c>
      <c r="M5" s="133">
        <v>1</v>
      </c>
      <c r="N5" s="133" t="s">
        <v>120</v>
      </c>
      <c r="O5" s="133">
        <v>1</v>
      </c>
      <c r="P5" s="133" t="s">
        <v>107</v>
      </c>
      <c r="Q5" s="133">
        <v>1</v>
      </c>
      <c r="R5" s="133" t="s">
        <v>108</v>
      </c>
      <c r="S5" s="133">
        <v>1</v>
      </c>
      <c r="T5" s="133" t="s">
        <v>110</v>
      </c>
      <c r="U5" s="133">
        <v>1</v>
      </c>
      <c r="V5" s="133" t="s">
        <v>111</v>
      </c>
      <c r="W5" s="133">
        <v>1</v>
      </c>
      <c r="X5" s="133" t="s">
        <v>126</v>
      </c>
      <c r="Y5" s="133">
        <v>1</v>
      </c>
      <c r="Z5" s="22"/>
      <c r="AA5" s="22"/>
      <c r="AB5" s="22"/>
      <c r="AC5" s="22"/>
      <c r="AD5" s="22"/>
      <c r="AE5" s="22"/>
    </row>
    <row r="6" spans="2:31" x14ac:dyDescent="0.35">
      <c r="B6" s="22" t="s">
        <v>6</v>
      </c>
      <c r="C6" s="22" t="s">
        <v>119</v>
      </c>
      <c r="D6" s="22" t="s">
        <v>101</v>
      </c>
      <c r="E6" s="22" t="s">
        <v>102</v>
      </c>
      <c r="F6" s="22" t="s">
        <v>103</v>
      </c>
      <c r="G6" s="22" t="s">
        <v>104</v>
      </c>
      <c r="H6" s="22" t="s">
        <v>105</v>
      </c>
      <c r="K6" s="22" t="s">
        <v>6</v>
      </c>
      <c r="L6" s="22" t="s">
        <v>109</v>
      </c>
      <c r="M6" s="22">
        <v>1</v>
      </c>
      <c r="N6" s="22" t="s">
        <v>108</v>
      </c>
      <c r="O6" s="22">
        <v>1</v>
      </c>
      <c r="P6" s="22" t="s">
        <v>110</v>
      </c>
      <c r="Q6" s="22">
        <v>1</v>
      </c>
      <c r="R6" s="22" t="s">
        <v>107</v>
      </c>
      <c r="S6" s="22">
        <v>1</v>
      </c>
      <c r="T6" s="92" t="s">
        <v>135</v>
      </c>
      <c r="U6" s="22">
        <v>1</v>
      </c>
      <c r="V6" s="22"/>
      <c r="W6" s="22">
        <v>0</v>
      </c>
      <c r="X6" s="22"/>
      <c r="Y6" s="22">
        <v>0</v>
      </c>
      <c r="Z6" s="22"/>
      <c r="AA6" s="22">
        <v>0</v>
      </c>
      <c r="AB6" s="22"/>
      <c r="AC6" s="22"/>
      <c r="AD6" s="22"/>
      <c r="AE6" s="22"/>
    </row>
    <row r="7" spans="2:31" x14ac:dyDescent="0.35">
      <c r="B7" s="22" t="s">
        <v>6</v>
      </c>
      <c r="C7" s="188" t="s">
        <v>101</v>
      </c>
      <c r="D7" s="22" t="s">
        <v>101</v>
      </c>
      <c r="E7" s="22" t="s">
        <v>102</v>
      </c>
      <c r="F7" s="22" t="s">
        <v>103</v>
      </c>
      <c r="G7" s="22" t="s">
        <v>104</v>
      </c>
      <c r="H7" s="22" t="s">
        <v>105</v>
      </c>
      <c r="K7" s="22" t="s">
        <v>6</v>
      </c>
      <c r="L7" s="22" t="s">
        <v>110</v>
      </c>
      <c r="M7" s="22">
        <v>1</v>
      </c>
      <c r="N7" s="188" t="s">
        <v>129</v>
      </c>
      <c r="O7" s="22">
        <v>1</v>
      </c>
      <c r="P7" s="22" t="s">
        <v>108</v>
      </c>
      <c r="Q7" s="22">
        <v>1</v>
      </c>
      <c r="R7" s="188" t="s">
        <v>139</v>
      </c>
      <c r="S7" s="22">
        <v>1</v>
      </c>
      <c r="T7" s="188" t="s">
        <v>121</v>
      </c>
      <c r="U7" s="22">
        <v>1</v>
      </c>
      <c r="V7" s="22" t="s">
        <v>107</v>
      </c>
      <c r="W7" s="22">
        <v>1</v>
      </c>
      <c r="X7" s="22" t="s">
        <v>109</v>
      </c>
      <c r="Y7" s="22">
        <v>1</v>
      </c>
      <c r="Z7" s="22"/>
      <c r="AA7" s="22"/>
      <c r="AB7" s="22"/>
      <c r="AC7" s="22"/>
      <c r="AD7" s="22"/>
      <c r="AE7" s="22"/>
    </row>
    <row r="8" spans="2:31" x14ac:dyDescent="0.35">
      <c r="B8" s="133" t="s">
        <v>6</v>
      </c>
      <c r="C8" s="133" t="s">
        <v>119</v>
      </c>
      <c r="D8" s="133" t="s">
        <v>101</v>
      </c>
      <c r="E8" s="133" t="s">
        <v>102</v>
      </c>
      <c r="F8" s="133" t="s">
        <v>103</v>
      </c>
      <c r="G8" s="22" t="s">
        <v>104</v>
      </c>
      <c r="H8" s="22" t="s">
        <v>105</v>
      </c>
      <c r="K8" s="133" t="s">
        <v>6</v>
      </c>
      <c r="L8" s="133" t="s">
        <v>110</v>
      </c>
      <c r="M8" s="133">
        <v>1</v>
      </c>
      <c r="N8" s="133" t="s">
        <v>107</v>
      </c>
      <c r="O8" s="133">
        <v>1</v>
      </c>
      <c r="P8" s="133" t="s">
        <v>109</v>
      </c>
      <c r="Q8" s="133">
        <v>1</v>
      </c>
      <c r="R8" s="133" t="s">
        <v>108</v>
      </c>
      <c r="S8" s="133">
        <v>1</v>
      </c>
      <c r="T8" s="188" t="s">
        <v>129</v>
      </c>
      <c r="U8" s="133">
        <v>1</v>
      </c>
      <c r="V8" s="188" t="s">
        <v>139</v>
      </c>
      <c r="W8" s="133">
        <v>1</v>
      </c>
      <c r="X8" s="133" t="s">
        <v>167</v>
      </c>
      <c r="Y8" s="133">
        <v>1</v>
      </c>
      <c r="Z8" s="188" t="s">
        <v>121</v>
      </c>
      <c r="AA8" s="133">
        <v>1</v>
      </c>
      <c r="AB8" s="22"/>
      <c r="AC8" s="22"/>
      <c r="AD8" s="22"/>
      <c r="AE8" s="22"/>
    </row>
    <row r="9" spans="2:31" x14ac:dyDescent="0.35">
      <c r="B9" s="22" t="s">
        <v>6</v>
      </c>
      <c r="C9" s="22" t="s">
        <v>119</v>
      </c>
      <c r="D9" s="22" t="s">
        <v>101</v>
      </c>
      <c r="E9" s="22" t="s">
        <v>102</v>
      </c>
      <c r="F9" s="22" t="s">
        <v>103</v>
      </c>
      <c r="G9" s="22" t="s">
        <v>104</v>
      </c>
      <c r="H9" s="22" t="s">
        <v>105</v>
      </c>
      <c r="K9" s="22" t="s">
        <v>6</v>
      </c>
      <c r="L9" s="188" t="s">
        <v>121</v>
      </c>
      <c r="M9" s="22">
        <v>1</v>
      </c>
      <c r="N9" s="22" t="s">
        <v>107</v>
      </c>
      <c r="O9" s="22">
        <v>1</v>
      </c>
      <c r="P9" s="22" t="s">
        <v>108</v>
      </c>
      <c r="Q9" s="22">
        <v>2</v>
      </c>
      <c r="R9" s="188" t="s">
        <v>139</v>
      </c>
      <c r="S9" s="22">
        <v>1</v>
      </c>
      <c r="T9" s="22" t="s">
        <v>109</v>
      </c>
      <c r="U9" s="22">
        <v>1</v>
      </c>
      <c r="V9" s="22" t="s">
        <v>110</v>
      </c>
      <c r="W9" s="22">
        <v>2</v>
      </c>
      <c r="X9" s="22"/>
      <c r="Y9" s="22"/>
      <c r="Z9" s="22"/>
      <c r="AA9" s="22"/>
      <c r="AB9" s="22"/>
      <c r="AC9" s="22"/>
      <c r="AD9" s="22"/>
      <c r="AE9" s="22"/>
    </row>
    <row r="10" spans="2:31" x14ac:dyDescent="0.35">
      <c r="B10" s="22" t="s">
        <v>6</v>
      </c>
      <c r="C10" s="22" t="s">
        <v>119</v>
      </c>
      <c r="D10" s="22" t="s">
        <v>101</v>
      </c>
      <c r="E10" s="22" t="s">
        <v>102</v>
      </c>
      <c r="F10" s="22" t="s">
        <v>103</v>
      </c>
      <c r="G10" s="22" t="s">
        <v>104</v>
      </c>
      <c r="H10" s="22" t="s">
        <v>105</v>
      </c>
      <c r="K10" s="22" t="s">
        <v>6</v>
      </c>
      <c r="L10" s="22" t="s">
        <v>110</v>
      </c>
      <c r="M10" s="22">
        <v>1</v>
      </c>
      <c r="N10" s="22" t="s">
        <v>109</v>
      </c>
      <c r="O10" s="22">
        <v>1</v>
      </c>
      <c r="P10" s="22" t="s">
        <v>108</v>
      </c>
      <c r="Q10" s="22">
        <v>2</v>
      </c>
      <c r="R10" s="92" t="s">
        <v>135</v>
      </c>
      <c r="S10" s="22">
        <v>1</v>
      </c>
      <c r="T10" s="22" t="s">
        <v>107</v>
      </c>
      <c r="U10" s="22">
        <v>1</v>
      </c>
      <c r="V10" s="188" t="s">
        <v>121</v>
      </c>
      <c r="W10" s="22">
        <v>2</v>
      </c>
      <c r="X10" s="22"/>
      <c r="Y10" s="22"/>
      <c r="Z10" s="22"/>
      <c r="AA10" s="22"/>
      <c r="AB10" s="22"/>
      <c r="AC10" s="22"/>
      <c r="AD10" s="22"/>
      <c r="AE10" s="22"/>
    </row>
    <row r="11" spans="2:31" x14ac:dyDescent="0.35">
      <c r="B11" s="76" t="s">
        <v>6</v>
      </c>
      <c r="C11" s="76" t="s">
        <v>119</v>
      </c>
      <c r="D11" s="76" t="s">
        <v>101</v>
      </c>
      <c r="E11" s="76" t="s">
        <v>102</v>
      </c>
      <c r="F11" s="76" t="s">
        <v>103</v>
      </c>
      <c r="G11" s="76" t="s">
        <v>104</v>
      </c>
      <c r="H11" s="76" t="s">
        <v>105</v>
      </c>
      <c r="K11" s="76" t="s">
        <v>6</v>
      </c>
      <c r="L11" s="76" t="s">
        <v>110</v>
      </c>
      <c r="M11" s="76">
        <v>1</v>
      </c>
      <c r="N11" s="76" t="s">
        <v>107</v>
      </c>
      <c r="O11" s="76">
        <v>2</v>
      </c>
      <c r="P11" s="76" t="s">
        <v>109</v>
      </c>
      <c r="Q11" s="76">
        <v>1</v>
      </c>
      <c r="R11" s="188" t="s">
        <v>129</v>
      </c>
      <c r="S11" s="76">
        <v>1</v>
      </c>
      <c r="T11" s="76" t="s">
        <v>108</v>
      </c>
      <c r="U11" s="76">
        <v>1</v>
      </c>
      <c r="V11" s="76"/>
      <c r="W11" s="76"/>
      <c r="X11" s="22"/>
      <c r="Y11" s="22"/>
      <c r="Z11" s="22"/>
      <c r="AA11" s="22"/>
      <c r="AB11" s="22"/>
      <c r="AC11" s="22"/>
      <c r="AD11" s="22"/>
      <c r="AE11" s="22"/>
    </row>
    <row r="12" spans="2:31" x14ac:dyDescent="0.35">
      <c r="B12" s="22" t="s">
        <v>6</v>
      </c>
      <c r="C12" s="22" t="s">
        <v>119</v>
      </c>
      <c r="D12" s="22" t="s">
        <v>101</v>
      </c>
      <c r="E12" s="22" t="s">
        <v>102</v>
      </c>
      <c r="F12" s="22" t="s">
        <v>103</v>
      </c>
      <c r="G12" s="22" t="s">
        <v>104</v>
      </c>
      <c r="H12" s="22" t="s">
        <v>105</v>
      </c>
      <c r="K12" s="22" t="s">
        <v>6</v>
      </c>
      <c r="L12" s="22" t="s">
        <v>107</v>
      </c>
      <c r="M12" s="22">
        <v>1</v>
      </c>
      <c r="N12" s="22" t="s">
        <v>108</v>
      </c>
      <c r="O12" s="22">
        <v>1</v>
      </c>
      <c r="P12" s="22" t="s">
        <v>110</v>
      </c>
      <c r="Q12" s="22">
        <v>1</v>
      </c>
      <c r="R12" s="22" t="s">
        <v>133</v>
      </c>
      <c r="S12" s="22">
        <v>1</v>
      </c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2:31" x14ac:dyDescent="0.35">
      <c r="B13" s="22" t="s">
        <v>6</v>
      </c>
      <c r="C13" s="22" t="s">
        <v>119</v>
      </c>
      <c r="D13" s="22" t="s">
        <v>101</v>
      </c>
      <c r="E13" s="22" t="s">
        <v>102</v>
      </c>
      <c r="F13" s="22" t="s">
        <v>103</v>
      </c>
      <c r="G13" s="22" t="s">
        <v>104</v>
      </c>
      <c r="H13" s="22" t="s">
        <v>105</v>
      </c>
      <c r="K13" s="22" t="s">
        <v>6</v>
      </c>
      <c r="L13" s="22" t="s">
        <v>110</v>
      </c>
      <c r="M13" s="22">
        <v>1</v>
      </c>
      <c r="N13" s="22" t="s">
        <v>107</v>
      </c>
      <c r="O13" s="22">
        <v>1</v>
      </c>
      <c r="P13" s="188" t="s">
        <v>129</v>
      </c>
      <c r="Q13" s="22">
        <v>1</v>
      </c>
      <c r="R13" s="22" t="s">
        <v>108</v>
      </c>
      <c r="S13" s="22">
        <v>1</v>
      </c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spans="2:31" x14ac:dyDescent="0.35">
      <c r="B14" s="22" t="s">
        <v>6</v>
      </c>
      <c r="C14" s="22" t="s">
        <v>119</v>
      </c>
      <c r="D14" s="24" t="s">
        <v>101</v>
      </c>
      <c r="E14" s="22" t="s">
        <v>102</v>
      </c>
      <c r="F14" s="22" t="s">
        <v>103</v>
      </c>
      <c r="G14" s="22" t="s">
        <v>104</v>
      </c>
      <c r="H14" s="22" t="s">
        <v>105</v>
      </c>
      <c r="K14" s="22" t="s">
        <v>6</v>
      </c>
      <c r="L14" s="22" t="s">
        <v>111</v>
      </c>
      <c r="M14" s="22">
        <v>2</v>
      </c>
      <c r="N14" s="22" t="s">
        <v>108</v>
      </c>
      <c r="O14" s="22">
        <v>1</v>
      </c>
      <c r="P14" s="188" t="s">
        <v>121</v>
      </c>
      <c r="Q14" s="22">
        <v>1</v>
      </c>
      <c r="R14" s="22" t="s">
        <v>110</v>
      </c>
      <c r="S14" s="22">
        <v>1</v>
      </c>
      <c r="T14" s="22" t="s">
        <v>126</v>
      </c>
      <c r="U14" s="22">
        <v>3</v>
      </c>
      <c r="V14" s="22"/>
      <c r="W14" s="22">
        <v>0</v>
      </c>
      <c r="X14" s="22"/>
      <c r="Y14" s="22">
        <v>0</v>
      </c>
      <c r="Z14" s="22"/>
      <c r="AA14" s="22">
        <v>0</v>
      </c>
      <c r="AB14" s="22"/>
      <c r="AC14" s="22"/>
      <c r="AD14" s="22"/>
      <c r="AE14" s="22"/>
    </row>
    <row r="15" spans="2:31" x14ac:dyDescent="0.35">
      <c r="B15" s="22" t="s">
        <v>6</v>
      </c>
      <c r="C15" s="22" t="s">
        <v>119</v>
      </c>
      <c r="D15" s="22" t="s">
        <v>101</v>
      </c>
      <c r="E15" s="22" t="s">
        <v>142</v>
      </c>
      <c r="F15" s="22" t="s">
        <v>103</v>
      </c>
      <c r="G15" s="22" t="s">
        <v>104</v>
      </c>
      <c r="H15" s="22" t="s">
        <v>105</v>
      </c>
      <c r="K15" s="22" t="s">
        <v>6</v>
      </c>
      <c r="L15" s="22" t="s">
        <v>110</v>
      </c>
      <c r="M15" s="22">
        <v>1</v>
      </c>
      <c r="N15" s="22" t="s">
        <v>107</v>
      </c>
      <c r="O15" s="22">
        <v>2</v>
      </c>
      <c r="P15" s="188" t="s">
        <v>139</v>
      </c>
      <c r="Q15" s="22">
        <v>1</v>
      </c>
      <c r="R15" s="22" t="s">
        <v>108</v>
      </c>
      <c r="S15" s="22">
        <v>1</v>
      </c>
      <c r="T15" s="188" t="s">
        <v>121</v>
      </c>
      <c r="U15" s="22">
        <v>1</v>
      </c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2:31" x14ac:dyDescent="0.35">
      <c r="B16" s="22" t="s">
        <v>6</v>
      </c>
      <c r="C16" s="188" t="s">
        <v>101</v>
      </c>
      <c r="D16" s="76" t="s">
        <v>101</v>
      </c>
      <c r="E16" s="76" t="s">
        <v>102</v>
      </c>
      <c r="F16" s="76" t="s">
        <v>103</v>
      </c>
      <c r="G16" s="76" t="s">
        <v>104</v>
      </c>
      <c r="H16" s="76" t="s">
        <v>105</v>
      </c>
      <c r="K16" s="22" t="s">
        <v>6</v>
      </c>
      <c r="L16" s="188" t="s">
        <v>121</v>
      </c>
      <c r="M16" s="76">
        <v>1</v>
      </c>
      <c r="N16" s="76" t="s">
        <v>107</v>
      </c>
      <c r="O16" s="76">
        <v>2</v>
      </c>
      <c r="P16" s="188" t="s">
        <v>129</v>
      </c>
      <c r="Q16" s="76">
        <v>1</v>
      </c>
      <c r="R16" s="76" t="s">
        <v>108</v>
      </c>
      <c r="S16" s="76">
        <v>1</v>
      </c>
      <c r="T16" s="76" t="s">
        <v>109</v>
      </c>
      <c r="U16" s="76">
        <v>1</v>
      </c>
      <c r="V16" s="76" t="s">
        <v>111</v>
      </c>
      <c r="W16" s="76">
        <v>1</v>
      </c>
      <c r="X16" s="76" t="s">
        <v>110</v>
      </c>
      <c r="Y16" s="76">
        <v>1</v>
      </c>
      <c r="Z16" s="22"/>
      <c r="AA16" s="22">
        <v>0</v>
      </c>
      <c r="AB16" s="22"/>
      <c r="AC16" s="22"/>
      <c r="AD16" s="22"/>
      <c r="AE16" s="22"/>
    </row>
    <row r="17" spans="2:31" x14ac:dyDescent="0.35">
      <c r="B17" s="22" t="s">
        <v>6</v>
      </c>
      <c r="C17" s="22" t="s">
        <v>119</v>
      </c>
      <c r="D17" s="22" t="s">
        <v>101</v>
      </c>
      <c r="E17" s="22" t="s">
        <v>142</v>
      </c>
      <c r="F17" s="22" t="s">
        <v>103</v>
      </c>
      <c r="G17" s="22" t="s">
        <v>104</v>
      </c>
      <c r="H17" s="22" t="s">
        <v>105</v>
      </c>
      <c r="K17" s="22" t="s">
        <v>6</v>
      </c>
      <c r="L17" s="22" t="s">
        <v>110</v>
      </c>
      <c r="M17" s="22">
        <v>1</v>
      </c>
      <c r="N17" s="22" t="s">
        <v>107</v>
      </c>
      <c r="O17" s="22">
        <v>1</v>
      </c>
      <c r="P17" s="188" t="s">
        <v>121</v>
      </c>
      <c r="Q17" s="22">
        <v>1</v>
      </c>
      <c r="R17" s="22" t="s">
        <v>109</v>
      </c>
      <c r="S17" s="22">
        <v>1</v>
      </c>
      <c r="T17" s="22" t="s">
        <v>108</v>
      </c>
      <c r="U17" s="22">
        <v>1</v>
      </c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 spans="2:31" x14ac:dyDescent="0.35">
      <c r="B18" s="22" t="s">
        <v>6</v>
      </c>
      <c r="C18" s="22" t="s">
        <v>119</v>
      </c>
      <c r="D18" s="22" t="s">
        <v>101</v>
      </c>
      <c r="E18" s="22" t="s">
        <v>142</v>
      </c>
      <c r="F18" s="22" t="s">
        <v>103</v>
      </c>
      <c r="G18" s="22" t="s">
        <v>104</v>
      </c>
      <c r="H18" s="22" t="s">
        <v>105</v>
      </c>
      <c r="K18" s="22" t="s">
        <v>6</v>
      </c>
      <c r="L18" s="92" t="s">
        <v>135</v>
      </c>
      <c r="M18" s="22">
        <v>1</v>
      </c>
      <c r="N18" s="22" t="s">
        <v>107</v>
      </c>
      <c r="O18" s="22">
        <v>2</v>
      </c>
      <c r="P18" s="188" t="s">
        <v>121</v>
      </c>
      <c r="Q18" s="22">
        <v>1</v>
      </c>
      <c r="R18" s="188" t="s">
        <v>139</v>
      </c>
      <c r="S18" s="22">
        <v>1</v>
      </c>
      <c r="T18" s="22" t="s">
        <v>108</v>
      </c>
      <c r="U18" s="22">
        <v>1</v>
      </c>
      <c r="V18" s="22" t="s">
        <v>110</v>
      </c>
      <c r="W18" s="22">
        <v>1</v>
      </c>
      <c r="X18" s="22"/>
      <c r="Y18" s="22"/>
      <c r="Z18" s="22"/>
      <c r="AA18" s="22"/>
      <c r="AB18" s="22"/>
      <c r="AC18" s="22"/>
      <c r="AD18" s="22"/>
      <c r="AE18" s="22"/>
    </row>
    <row r="19" spans="2:31" x14ac:dyDescent="0.35">
      <c r="B19" s="22" t="s">
        <v>6</v>
      </c>
      <c r="C19" s="22" t="s">
        <v>119</v>
      </c>
      <c r="D19" s="22" t="s">
        <v>101</v>
      </c>
      <c r="E19" s="22" t="s">
        <v>142</v>
      </c>
      <c r="F19" s="22" t="s">
        <v>103</v>
      </c>
      <c r="G19" s="22" t="s">
        <v>104</v>
      </c>
      <c r="H19" s="22" t="s">
        <v>105</v>
      </c>
      <c r="K19" s="22" t="s">
        <v>6</v>
      </c>
      <c r="L19" s="188" t="s">
        <v>121</v>
      </c>
      <c r="M19" s="22">
        <v>1</v>
      </c>
      <c r="N19" s="22" t="s">
        <v>107</v>
      </c>
      <c r="O19" s="22">
        <v>2</v>
      </c>
      <c r="P19" s="22" t="s">
        <v>108</v>
      </c>
      <c r="Q19" s="22">
        <v>1</v>
      </c>
      <c r="R19" s="188" t="s">
        <v>139</v>
      </c>
      <c r="S19" s="22">
        <v>1</v>
      </c>
      <c r="T19" s="188" t="s">
        <v>151</v>
      </c>
      <c r="U19" s="22">
        <v>1</v>
      </c>
      <c r="V19" s="22" t="s">
        <v>108</v>
      </c>
      <c r="W19" s="22">
        <v>1</v>
      </c>
      <c r="X19" s="22" t="s">
        <v>167</v>
      </c>
      <c r="Y19" s="22">
        <v>1</v>
      </c>
      <c r="Z19" s="22" t="s">
        <v>110</v>
      </c>
      <c r="AA19" s="22">
        <v>1</v>
      </c>
      <c r="AB19" s="22"/>
      <c r="AC19" s="22"/>
      <c r="AD19" s="22"/>
      <c r="AE19" s="22"/>
    </row>
    <row r="20" spans="2:31" x14ac:dyDescent="0.35">
      <c r="B20" s="22" t="s">
        <v>6</v>
      </c>
      <c r="C20" s="22" t="s">
        <v>119</v>
      </c>
      <c r="D20" s="22" t="s">
        <v>101</v>
      </c>
      <c r="E20" s="22" t="s">
        <v>142</v>
      </c>
      <c r="F20" s="22" t="s">
        <v>103</v>
      </c>
      <c r="G20" s="22" t="s">
        <v>104</v>
      </c>
      <c r="H20" s="22" t="s">
        <v>105</v>
      </c>
      <c r="K20" s="22" t="s">
        <v>6</v>
      </c>
      <c r="L20" s="22" t="s">
        <v>110</v>
      </c>
      <c r="M20" s="22">
        <v>1</v>
      </c>
      <c r="N20" s="22" t="s">
        <v>107</v>
      </c>
      <c r="O20" s="22">
        <v>1</v>
      </c>
      <c r="P20" s="22" t="s">
        <v>133</v>
      </c>
      <c r="Q20" s="22">
        <v>3</v>
      </c>
      <c r="R20" s="22" t="s">
        <v>108</v>
      </c>
      <c r="S20" s="22">
        <v>2</v>
      </c>
      <c r="T20" s="22" t="s">
        <v>111</v>
      </c>
      <c r="U20" s="22">
        <v>1</v>
      </c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2:31" x14ac:dyDescent="0.35">
      <c r="B21" s="22" t="s">
        <v>6</v>
      </c>
      <c r="C21" s="22" t="s">
        <v>119</v>
      </c>
      <c r="D21" s="22" t="s">
        <v>101</v>
      </c>
      <c r="E21" s="22" t="s">
        <v>142</v>
      </c>
      <c r="F21" s="22" t="s">
        <v>103</v>
      </c>
      <c r="G21" s="22" t="s">
        <v>104</v>
      </c>
      <c r="H21" s="22" t="s">
        <v>105</v>
      </c>
      <c r="K21" s="22" t="s">
        <v>6</v>
      </c>
      <c r="L21" s="22" t="s">
        <v>109</v>
      </c>
      <c r="M21" s="22">
        <v>1</v>
      </c>
      <c r="N21" s="22" t="s">
        <v>110</v>
      </c>
      <c r="O21" s="22">
        <v>1</v>
      </c>
      <c r="P21" s="22" t="s">
        <v>107</v>
      </c>
      <c r="Q21" s="22">
        <v>1</v>
      </c>
      <c r="R21" s="188" t="s">
        <v>121</v>
      </c>
      <c r="S21" s="22">
        <v>1</v>
      </c>
      <c r="T21" s="188" t="s">
        <v>129</v>
      </c>
      <c r="U21" s="22">
        <v>1</v>
      </c>
      <c r="V21" s="188" t="s">
        <v>151</v>
      </c>
      <c r="W21" s="22">
        <v>1</v>
      </c>
      <c r="X21" s="22" t="s">
        <v>108</v>
      </c>
      <c r="Y21" s="22">
        <v>1</v>
      </c>
      <c r="Z21" s="22"/>
      <c r="AA21" s="22"/>
      <c r="AB21" s="22"/>
      <c r="AC21" s="22"/>
      <c r="AD21" s="22"/>
      <c r="AE21" s="22"/>
    </row>
    <row r="22" spans="2:31" x14ac:dyDescent="0.35">
      <c r="B22" s="22" t="s">
        <v>6</v>
      </c>
      <c r="C22" s="22" t="s">
        <v>119</v>
      </c>
      <c r="D22" s="22" t="s">
        <v>101</v>
      </c>
      <c r="E22" s="22" t="s">
        <v>142</v>
      </c>
      <c r="F22" s="22" t="s">
        <v>103</v>
      </c>
      <c r="G22" s="22" t="s">
        <v>104</v>
      </c>
      <c r="H22" s="22" t="s">
        <v>105</v>
      </c>
      <c r="K22" s="22" t="s">
        <v>6</v>
      </c>
      <c r="L22" s="22" t="s">
        <v>107</v>
      </c>
      <c r="M22" s="22">
        <v>1</v>
      </c>
      <c r="N22" s="22" t="s">
        <v>108</v>
      </c>
      <c r="O22" s="22">
        <v>1</v>
      </c>
      <c r="P22" s="22" t="s">
        <v>109</v>
      </c>
      <c r="Q22" s="22">
        <v>1</v>
      </c>
      <c r="R22" s="22" t="s">
        <v>110</v>
      </c>
      <c r="S22" s="22">
        <v>1</v>
      </c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spans="2:31" x14ac:dyDescent="0.35">
      <c r="B23" s="22" t="s">
        <v>6</v>
      </c>
      <c r="C23" s="188" t="s">
        <v>101</v>
      </c>
      <c r="D23" s="22" t="s">
        <v>101</v>
      </c>
      <c r="E23" s="22" t="s">
        <v>142</v>
      </c>
      <c r="F23" s="22" t="s">
        <v>103</v>
      </c>
      <c r="G23" s="22" t="s">
        <v>104</v>
      </c>
      <c r="H23" s="22" t="s">
        <v>105</v>
      </c>
      <c r="K23" s="22" t="s">
        <v>6</v>
      </c>
      <c r="L23" s="22" t="s">
        <v>110</v>
      </c>
      <c r="M23" s="22">
        <v>1</v>
      </c>
      <c r="N23" s="22" t="s">
        <v>107</v>
      </c>
      <c r="O23" s="22">
        <v>1</v>
      </c>
      <c r="P23" s="22" t="s">
        <v>108</v>
      </c>
      <c r="Q23" s="22">
        <v>1</v>
      </c>
      <c r="R23" s="22" t="s">
        <v>108</v>
      </c>
      <c r="S23" s="22">
        <v>1</v>
      </c>
      <c r="T23" s="92" t="s">
        <v>135</v>
      </c>
      <c r="U23" s="22">
        <v>1</v>
      </c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spans="2:31" x14ac:dyDescent="0.35">
      <c r="B24" s="22" t="s">
        <v>6</v>
      </c>
      <c r="C24" s="188" t="s">
        <v>101</v>
      </c>
      <c r="D24" s="22" t="s">
        <v>101</v>
      </c>
      <c r="E24" s="22" t="s">
        <v>142</v>
      </c>
      <c r="F24" s="22" t="s">
        <v>103</v>
      </c>
      <c r="G24" s="22" t="s">
        <v>104</v>
      </c>
      <c r="H24" s="22" t="s">
        <v>105</v>
      </c>
      <c r="K24" s="22" t="s">
        <v>6</v>
      </c>
      <c r="L24" s="22" t="s">
        <v>108</v>
      </c>
      <c r="M24" s="22">
        <v>1</v>
      </c>
      <c r="N24" s="22" t="s">
        <v>107</v>
      </c>
      <c r="O24" s="22">
        <v>1</v>
      </c>
      <c r="P24" s="22" t="s">
        <v>109</v>
      </c>
      <c r="Q24" s="22">
        <v>1</v>
      </c>
      <c r="R24" s="22" t="s">
        <v>110</v>
      </c>
      <c r="S24" s="22">
        <v>1</v>
      </c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2:31" x14ac:dyDescent="0.35">
      <c r="B25" s="22" t="s">
        <v>6</v>
      </c>
      <c r="C25" s="22" t="s">
        <v>119</v>
      </c>
      <c r="D25" s="22" t="s">
        <v>101</v>
      </c>
      <c r="E25" s="22" t="s">
        <v>142</v>
      </c>
      <c r="F25" s="22" t="s">
        <v>103</v>
      </c>
      <c r="G25" s="22" t="s">
        <v>104</v>
      </c>
      <c r="H25" s="22" t="s">
        <v>105</v>
      </c>
      <c r="K25" s="22" t="s">
        <v>6</v>
      </c>
      <c r="L25" s="22" t="s">
        <v>110</v>
      </c>
      <c r="M25" s="22">
        <v>1</v>
      </c>
      <c r="N25" s="22" t="s">
        <v>108</v>
      </c>
      <c r="O25" s="22">
        <v>1</v>
      </c>
      <c r="P25" s="22" t="s">
        <v>107</v>
      </c>
      <c r="Q25" s="22">
        <v>1</v>
      </c>
      <c r="R25" s="188" t="s">
        <v>129</v>
      </c>
      <c r="S25" s="22">
        <v>1</v>
      </c>
      <c r="T25" s="22" t="s">
        <v>109</v>
      </c>
      <c r="U25" s="22">
        <v>1</v>
      </c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2:31" x14ac:dyDescent="0.35">
      <c r="B26" s="22" t="s">
        <v>6</v>
      </c>
      <c r="C26" s="22" t="s">
        <v>119</v>
      </c>
      <c r="D26" s="22" t="s">
        <v>101</v>
      </c>
      <c r="E26" s="22" t="s">
        <v>142</v>
      </c>
      <c r="F26" s="22" t="s">
        <v>103</v>
      </c>
      <c r="G26" s="22" t="s">
        <v>104</v>
      </c>
      <c r="H26" s="22" t="s">
        <v>105</v>
      </c>
      <c r="K26" s="22" t="s">
        <v>6</v>
      </c>
      <c r="L26" s="133" t="s">
        <v>110</v>
      </c>
      <c r="M26" s="133">
        <v>1</v>
      </c>
      <c r="N26" s="133" t="s">
        <v>107</v>
      </c>
      <c r="O26" s="133">
        <v>1</v>
      </c>
      <c r="P26" s="188" t="s">
        <v>129</v>
      </c>
      <c r="Q26" s="133">
        <v>1</v>
      </c>
      <c r="R26" s="133" t="s">
        <v>111</v>
      </c>
      <c r="S26" s="133">
        <v>1</v>
      </c>
      <c r="T26" s="133" t="s">
        <v>109</v>
      </c>
      <c r="U26" s="133">
        <v>1</v>
      </c>
      <c r="V26" s="133" t="s">
        <v>108</v>
      </c>
      <c r="W26" s="133">
        <v>1</v>
      </c>
      <c r="X26" s="133" t="s">
        <v>126</v>
      </c>
      <c r="Y26" s="133">
        <v>1</v>
      </c>
      <c r="Z26" s="22"/>
      <c r="AA26" s="22"/>
      <c r="AB26" s="22"/>
      <c r="AC26" s="22"/>
      <c r="AD26" s="22"/>
      <c r="AE26" s="22"/>
    </row>
    <row r="27" spans="2:31" x14ac:dyDescent="0.35">
      <c r="B27" s="22" t="s">
        <v>6</v>
      </c>
      <c r="C27" s="22" t="s">
        <v>119</v>
      </c>
      <c r="D27" s="22" t="s">
        <v>101</v>
      </c>
      <c r="E27" s="22" t="s">
        <v>142</v>
      </c>
      <c r="F27" s="22" t="s">
        <v>103</v>
      </c>
      <c r="G27" s="22" t="s">
        <v>104</v>
      </c>
      <c r="H27" s="22" t="s">
        <v>105</v>
      </c>
      <c r="K27" s="22" t="s">
        <v>6</v>
      </c>
      <c r="L27" s="188" t="s">
        <v>121</v>
      </c>
      <c r="M27" s="22">
        <v>1</v>
      </c>
      <c r="N27" s="22" t="s">
        <v>107</v>
      </c>
      <c r="O27" s="22">
        <v>1</v>
      </c>
      <c r="P27" s="22" t="s">
        <v>109</v>
      </c>
      <c r="Q27" s="22">
        <v>1</v>
      </c>
      <c r="R27" s="22" t="s">
        <v>108</v>
      </c>
      <c r="S27" s="22">
        <v>1</v>
      </c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spans="2:31" x14ac:dyDescent="0.35">
      <c r="B28" s="22" t="s">
        <v>6</v>
      </c>
      <c r="C28" s="22" t="s">
        <v>119</v>
      </c>
      <c r="D28" s="22" t="s">
        <v>101</v>
      </c>
      <c r="E28" s="22" t="s">
        <v>142</v>
      </c>
      <c r="F28" s="22" t="s">
        <v>103</v>
      </c>
      <c r="G28" s="22" t="s">
        <v>104</v>
      </c>
      <c r="H28" s="22" t="s">
        <v>105</v>
      </c>
      <c r="K28" s="22" t="s">
        <v>6</v>
      </c>
      <c r="L28" s="22" t="s">
        <v>110</v>
      </c>
      <c r="M28" s="22">
        <v>1</v>
      </c>
      <c r="N28" s="22" t="s">
        <v>107</v>
      </c>
      <c r="O28" s="22">
        <v>2</v>
      </c>
      <c r="P28" s="22" t="s">
        <v>111</v>
      </c>
      <c r="Q28" s="22">
        <v>2</v>
      </c>
      <c r="R28" s="22" t="s">
        <v>109</v>
      </c>
      <c r="S28" s="22">
        <v>1</v>
      </c>
      <c r="T28" s="22" t="s">
        <v>133</v>
      </c>
      <c r="U28" s="22">
        <v>12</v>
      </c>
      <c r="V28" s="188" t="s">
        <v>129</v>
      </c>
      <c r="W28" s="22">
        <v>1</v>
      </c>
      <c r="X28" s="22" t="s">
        <v>108</v>
      </c>
      <c r="Y28" s="22">
        <v>1</v>
      </c>
      <c r="Z28" s="22" t="s">
        <v>126</v>
      </c>
      <c r="AA28" s="22">
        <v>3</v>
      </c>
      <c r="AB28" s="22"/>
      <c r="AC28" s="22"/>
      <c r="AD28" s="22"/>
      <c r="AE28" s="22"/>
    </row>
    <row r="29" spans="2:31" x14ac:dyDescent="0.35">
      <c r="B29" s="22" t="s">
        <v>6</v>
      </c>
      <c r="C29" s="22" t="s">
        <v>119</v>
      </c>
      <c r="D29" s="22" t="s">
        <v>101</v>
      </c>
      <c r="E29" s="22" t="s">
        <v>142</v>
      </c>
      <c r="F29" s="22" t="s">
        <v>103</v>
      </c>
      <c r="G29" s="22" t="s">
        <v>104</v>
      </c>
      <c r="H29" s="22" t="s">
        <v>105</v>
      </c>
      <c r="K29" s="22" t="s">
        <v>6</v>
      </c>
      <c r="L29" s="22" t="s">
        <v>126</v>
      </c>
      <c r="M29" s="22">
        <v>2</v>
      </c>
      <c r="N29" s="22" t="s">
        <v>111</v>
      </c>
      <c r="O29" s="22">
        <v>4</v>
      </c>
      <c r="P29" s="22" t="s">
        <v>108</v>
      </c>
      <c r="Q29" s="22">
        <v>1</v>
      </c>
      <c r="R29" s="22" t="s">
        <v>109</v>
      </c>
      <c r="S29" s="22">
        <v>1</v>
      </c>
      <c r="T29" s="22" t="s">
        <v>110</v>
      </c>
      <c r="U29" s="22">
        <v>1</v>
      </c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spans="2:31" x14ac:dyDescent="0.35">
      <c r="B30" s="22" t="s">
        <v>6</v>
      </c>
      <c r="C30" s="22" t="s">
        <v>119</v>
      </c>
      <c r="D30" s="22" t="s">
        <v>101</v>
      </c>
      <c r="E30" s="22" t="s">
        <v>142</v>
      </c>
      <c r="F30" s="22" t="s">
        <v>103</v>
      </c>
      <c r="G30" s="22" t="s">
        <v>104</v>
      </c>
      <c r="H30" s="22" t="s">
        <v>105</v>
      </c>
      <c r="K30" s="22" t="s">
        <v>6</v>
      </c>
      <c r="L30" s="22" t="s">
        <v>110</v>
      </c>
      <c r="M30" s="22">
        <v>1</v>
      </c>
      <c r="N30" s="22" t="s">
        <v>107</v>
      </c>
      <c r="O30" s="22">
        <v>2</v>
      </c>
      <c r="P30" s="22" t="s">
        <v>109</v>
      </c>
      <c r="Q30" s="22">
        <v>1</v>
      </c>
      <c r="R30" s="188" t="s">
        <v>129</v>
      </c>
      <c r="S30" s="22">
        <v>1</v>
      </c>
      <c r="T30" s="22" t="s">
        <v>108</v>
      </c>
      <c r="U30" s="22">
        <v>1</v>
      </c>
      <c r="V30" s="22" t="s">
        <v>120</v>
      </c>
      <c r="W30" s="22">
        <v>1</v>
      </c>
      <c r="X30" s="22"/>
      <c r="Y30" s="22"/>
      <c r="Z30" s="22"/>
      <c r="AA30" s="22"/>
      <c r="AB30" s="22"/>
      <c r="AC30" s="22"/>
      <c r="AD30" s="22"/>
      <c r="AE30" s="22"/>
    </row>
    <row r="31" spans="2:31" x14ac:dyDescent="0.35">
      <c r="B31" s="22" t="s">
        <v>6</v>
      </c>
      <c r="C31" s="22" t="s">
        <v>119</v>
      </c>
      <c r="D31" s="22" t="s">
        <v>101</v>
      </c>
      <c r="E31" s="22" t="s">
        <v>142</v>
      </c>
      <c r="F31" s="22" t="s">
        <v>103</v>
      </c>
      <c r="G31" s="22" t="s">
        <v>104</v>
      </c>
      <c r="H31" s="22" t="s">
        <v>105</v>
      </c>
      <c r="K31" s="22" t="s">
        <v>6</v>
      </c>
      <c r="L31" s="22" t="s">
        <v>109</v>
      </c>
      <c r="M31" s="22">
        <v>1</v>
      </c>
      <c r="N31" s="22" t="s">
        <v>111</v>
      </c>
      <c r="O31" s="22">
        <v>1</v>
      </c>
      <c r="P31" s="22" t="s">
        <v>110</v>
      </c>
      <c r="Q31" s="22">
        <v>1</v>
      </c>
      <c r="R31" s="92" t="s">
        <v>156</v>
      </c>
      <c r="S31" s="22">
        <v>1</v>
      </c>
      <c r="T31" s="22" t="s">
        <v>108</v>
      </c>
      <c r="U31" s="22">
        <v>1</v>
      </c>
      <c r="V31" s="22" t="s">
        <v>107</v>
      </c>
      <c r="W31" s="22">
        <v>1</v>
      </c>
      <c r="X31" s="22" t="s">
        <v>133</v>
      </c>
      <c r="Y31" s="22">
        <v>1</v>
      </c>
      <c r="Z31" s="22"/>
      <c r="AA31" s="22"/>
      <c r="AB31" s="22"/>
      <c r="AC31" s="22"/>
      <c r="AD31" s="22"/>
      <c r="AE31" s="22"/>
    </row>
    <row r="32" spans="2:31" x14ac:dyDescent="0.35">
      <c r="B32" s="22" t="s">
        <v>6</v>
      </c>
      <c r="C32" s="22" t="s">
        <v>119</v>
      </c>
      <c r="D32" s="22" t="s">
        <v>101</v>
      </c>
      <c r="E32" s="22" t="s">
        <v>142</v>
      </c>
      <c r="F32" s="22" t="s">
        <v>103</v>
      </c>
      <c r="G32" s="22" t="s">
        <v>104</v>
      </c>
      <c r="H32" s="22" t="s">
        <v>105</v>
      </c>
      <c r="K32" s="22" t="s">
        <v>6</v>
      </c>
      <c r="L32" s="22" t="s">
        <v>108</v>
      </c>
      <c r="M32" s="22">
        <v>1</v>
      </c>
      <c r="N32" s="22" t="s">
        <v>109</v>
      </c>
      <c r="O32" s="22">
        <v>1</v>
      </c>
      <c r="P32" s="22" t="s">
        <v>110</v>
      </c>
      <c r="Q32" s="22">
        <v>1</v>
      </c>
      <c r="R32" s="9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 spans="2:31" x14ac:dyDescent="0.35">
      <c r="B33" s="22" t="s">
        <v>6</v>
      </c>
      <c r="C33" s="22" t="s">
        <v>119</v>
      </c>
      <c r="D33" s="22" t="s">
        <v>101</v>
      </c>
      <c r="E33" s="22" t="s">
        <v>142</v>
      </c>
      <c r="F33" s="22" t="s">
        <v>103</v>
      </c>
      <c r="G33" s="22" t="s">
        <v>104</v>
      </c>
      <c r="H33" s="22" t="s">
        <v>105</v>
      </c>
      <c r="K33" s="22" t="s">
        <v>6</v>
      </c>
      <c r="L33" s="22" t="s">
        <v>110</v>
      </c>
      <c r="M33" s="22">
        <v>1</v>
      </c>
      <c r="N33" s="22" t="s">
        <v>107</v>
      </c>
      <c r="O33" s="22">
        <v>1</v>
      </c>
      <c r="P33" s="22" t="s">
        <v>109</v>
      </c>
      <c r="Q33" s="22">
        <v>1</v>
      </c>
      <c r="R33" s="22" t="s">
        <v>108</v>
      </c>
      <c r="S33" s="22">
        <v>1</v>
      </c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 spans="2:31" x14ac:dyDescent="0.35">
      <c r="B34" s="22" t="s">
        <v>6</v>
      </c>
      <c r="C34" s="188" t="s">
        <v>101</v>
      </c>
      <c r="D34" s="22" t="s">
        <v>101</v>
      </c>
      <c r="E34" s="22" t="s">
        <v>142</v>
      </c>
      <c r="F34" s="22" t="s">
        <v>103</v>
      </c>
      <c r="G34" s="22" t="s">
        <v>104</v>
      </c>
      <c r="H34" s="22" t="s">
        <v>105</v>
      </c>
      <c r="K34" s="22" t="s">
        <v>6</v>
      </c>
      <c r="L34" s="22" t="s">
        <v>107</v>
      </c>
      <c r="M34" s="22">
        <v>1</v>
      </c>
      <c r="N34" s="22" t="s">
        <v>108</v>
      </c>
      <c r="O34" s="22">
        <v>1</v>
      </c>
      <c r="P34" s="22" t="s">
        <v>109</v>
      </c>
      <c r="Q34" s="22">
        <v>1</v>
      </c>
      <c r="R34" s="22" t="s">
        <v>110</v>
      </c>
      <c r="S34" s="22">
        <v>1</v>
      </c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spans="2:31" x14ac:dyDescent="0.35">
      <c r="B35" s="22" t="s">
        <v>6</v>
      </c>
      <c r="C35" s="188" t="s">
        <v>101</v>
      </c>
      <c r="D35" s="22" t="s">
        <v>101</v>
      </c>
      <c r="E35" s="22" t="s">
        <v>102</v>
      </c>
      <c r="F35" s="22" t="s">
        <v>103</v>
      </c>
      <c r="G35" s="22" t="s">
        <v>104</v>
      </c>
      <c r="H35" s="22" t="s">
        <v>105</v>
      </c>
      <c r="K35" s="22" t="s">
        <v>6</v>
      </c>
      <c r="L35" s="22" t="s">
        <v>107</v>
      </c>
      <c r="M35" s="22">
        <v>2</v>
      </c>
      <c r="N35" s="22" t="s">
        <v>110</v>
      </c>
      <c r="O35" s="22">
        <v>1</v>
      </c>
      <c r="P35" s="22" t="s">
        <v>111</v>
      </c>
      <c r="Q35" s="22">
        <v>1</v>
      </c>
      <c r="R35" s="22" t="s">
        <v>108</v>
      </c>
      <c r="S35" s="22">
        <v>1</v>
      </c>
      <c r="T35" s="92" t="s">
        <v>135</v>
      </c>
      <c r="U35" s="22">
        <v>1</v>
      </c>
      <c r="V35" s="22" t="s">
        <v>109</v>
      </c>
      <c r="W35" s="22">
        <v>1</v>
      </c>
      <c r="X35" s="22"/>
      <c r="Y35" s="22"/>
      <c r="Z35" s="22"/>
      <c r="AA35" s="22"/>
      <c r="AB35" s="22"/>
      <c r="AC35" s="22"/>
      <c r="AD35" s="22"/>
      <c r="AE35" s="22"/>
    </row>
    <row r="36" spans="2:31" x14ac:dyDescent="0.35">
      <c r="B36" s="22" t="s">
        <v>6</v>
      </c>
      <c r="C36" s="22" t="s">
        <v>119</v>
      </c>
      <c r="D36" s="22" t="s">
        <v>101</v>
      </c>
      <c r="E36" s="22" t="s">
        <v>142</v>
      </c>
      <c r="F36" s="22" t="s">
        <v>103</v>
      </c>
      <c r="G36" s="22" t="s">
        <v>104</v>
      </c>
      <c r="H36" s="22" t="s">
        <v>105</v>
      </c>
      <c r="K36" s="22" t="s">
        <v>6</v>
      </c>
      <c r="L36" s="133" t="s">
        <v>110</v>
      </c>
      <c r="M36" s="133">
        <v>1</v>
      </c>
      <c r="N36" s="133" t="s">
        <v>108</v>
      </c>
      <c r="O36" s="133">
        <v>1</v>
      </c>
      <c r="P36" s="133" t="s">
        <v>107</v>
      </c>
      <c r="Q36" s="133">
        <v>1</v>
      </c>
      <c r="R36" s="9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 spans="2:31" x14ac:dyDescent="0.35">
      <c r="B37" s="22" t="s">
        <v>6</v>
      </c>
      <c r="C37" s="76" t="s">
        <v>119</v>
      </c>
      <c r="D37" s="76" t="s">
        <v>119</v>
      </c>
      <c r="E37" s="76" t="s">
        <v>102</v>
      </c>
      <c r="F37" s="76" t="s">
        <v>103</v>
      </c>
      <c r="G37" s="76" t="s">
        <v>104</v>
      </c>
      <c r="H37" s="76" t="s">
        <v>105</v>
      </c>
      <c r="K37" s="22" t="s">
        <v>6</v>
      </c>
      <c r="L37" s="76" t="s">
        <v>110</v>
      </c>
      <c r="M37" s="76">
        <v>1</v>
      </c>
      <c r="N37" s="76" t="s">
        <v>108</v>
      </c>
      <c r="O37" s="76">
        <v>1</v>
      </c>
      <c r="P37" s="188" t="s">
        <v>121</v>
      </c>
      <c r="Q37" s="76">
        <v>1</v>
      </c>
      <c r="R37" s="188" t="s">
        <v>151</v>
      </c>
      <c r="S37" s="76">
        <v>1</v>
      </c>
      <c r="T37" s="76" t="s">
        <v>107</v>
      </c>
      <c r="U37" s="76">
        <v>1</v>
      </c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spans="2:31" x14ac:dyDescent="0.35">
      <c r="B38" s="76" t="s">
        <v>6</v>
      </c>
      <c r="C38" s="76" t="s">
        <v>119</v>
      </c>
      <c r="D38" s="76" t="s">
        <v>101</v>
      </c>
      <c r="E38" s="76" t="s">
        <v>102</v>
      </c>
      <c r="F38" s="76" t="s">
        <v>103</v>
      </c>
      <c r="G38" s="76" t="s">
        <v>104</v>
      </c>
      <c r="H38" s="76" t="s">
        <v>105</v>
      </c>
      <c r="K38" s="76" t="s">
        <v>6</v>
      </c>
      <c r="L38" s="188" t="s">
        <v>129</v>
      </c>
      <c r="M38" s="22">
        <v>1</v>
      </c>
      <c r="N38" s="76" t="s">
        <v>108</v>
      </c>
      <c r="O38" s="22">
        <v>1</v>
      </c>
      <c r="P38" s="76" t="s">
        <v>107</v>
      </c>
      <c r="Q38" s="22">
        <v>1</v>
      </c>
      <c r="R38" s="76" t="s">
        <v>110</v>
      </c>
      <c r="S38" s="22">
        <v>1</v>
      </c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spans="2:31" x14ac:dyDescent="0.35">
      <c r="B39" s="22" t="s">
        <v>6</v>
      </c>
      <c r="C39" s="188" t="s">
        <v>101</v>
      </c>
      <c r="D39" s="22" t="s">
        <v>101</v>
      </c>
      <c r="E39" s="22" t="s">
        <v>102</v>
      </c>
      <c r="F39" s="22" t="s">
        <v>103</v>
      </c>
      <c r="G39" s="22" t="s">
        <v>104</v>
      </c>
      <c r="H39" s="22" t="s">
        <v>105</v>
      </c>
      <c r="K39" s="22" t="s">
        <v>6</v>
      </c>
      <c r="L39" s="22" t="s">
        <v>110</v>
      </c>
      <c r="M39" s="22">
        <v>1</v>
      </c>
      <c r="N39" s="22" t="s">
        <v>111</v>
      </c>
      <c r="O39" s="22">
        <v>1</v>
      </c>
      <c r="P39" s="22" t="s">
        <v>109</v>
      </c>
      <c r="Q39" s="22">
        <v>1</v>
      </c>
      <c r="R39" s="22" t="s">
        <v>108</v>
      </c>
      <c r="S39" s="22">
        <v>1</v>
      </c>
      <c r="T39" s="22" t="s">
        <v>126</v>
      </c>
      <c r="U39" s="22">
        <v>1</v>
      </c>
      <c r="V39" s="188" t="s">
        <v>121</v>
      </c>
      <c r="W39" s="22">
        <v>1</v>
      </c>
      <c r="X39" s="22"/>
      <c r="Y39" s="22"/>
      <c r="Z39" s="22"/>
      <c r="AA39" s="22"/>
      <c r="AB39" s="22"/>
      <c r="AC39" s="22"/>
      <c r="AD39" s="22"/>
      <c r="AE39" s="22"/>
    </row>
    <row r="40" spans="2:31" x14ac:dyDescent="0.35">
      <c r="B40" s="22" t="s">
        <v>6</v>
      </c>
      <c r="C40" s="188" t="s">
        <v>101</v>
      </c>
      <c r="D40" s="76" t="s">
        <v>101</v>
      </c>
      <c r="E40" s="76" t="s">
        <v>102</v>
      </c>
      <c r="F40" s="76" t="s">
        <v>103</v>
      </c>
      <c r="G40" s="76" t="s">
        <v>104</v>
      </c>
      <c r="H40" s="76" t="s">
        <v>105</v>
      </c>
      <c r="K40" s="22" t="s">
        <v>6</v>
      </c>
      <c r="L40" s="188" t="s">
        <v>167</v>
      </c>
      <c r="M40" s="76">
        <v>2</v>
      </c>
      <c r="N40" s="188" t="s">
        <v>151</v>
      </c>
      <c r="O40" s="76">
        <v>2</v>
      </c>
      <c r="P40" s="76" t="s">
        <v>175</v>
      </c>
      <c r="Q40" s="76">
        <v>3</v>
      </c>
      <c r="R40" s="76" t="s">
        <v>107</v>
      </c>
      <c r="S40" s="76">
        <v>3</v>
      </c>
      <c r="T40" s="188" t="s">
        <v>139</v>
      </c>
      <c r="U40" s="76">
        <v>2</v>
      </c>
      <c r="V40" s="76" t="s">
        <v>120</v>
      </c>
      <c r="W40" s="76">
        <v>1</v>
      </c>
      <c r="X40" s="76" t="s">
        <v>108</v>
      </c>
      <c r="Y40" s="76">
        <v>1</v>
      </c>
      <c r="Z40" s="22"/>
      <c r="AA40" s="22"/>
      <c r="AB40" s="22"/>
      <c r="AC40" s="22"/>
      <c r="AD40" s="22"/>
      <c r="AE40" s="22"/>
    </row>
    <row r="41" spans="2:31" x14ac:dyDescent="0.35">
      <c r="B41" s="22" t="s">
        <v>6</v>
      </c>
      <c r="C41" s="188" t="s">
        <v>101</v>
      </c>
      <c r="D41" s="22" t="s">
        <v>101</v>
      </c>
      <c r="E41" s="76" t="s">
        <v>102</v>
      </c>
      <c r="F41" s="76" t="s">
        <v>103</v>
      </c>
      <c r="G41" s="76" t="s">
        <v>104</v>
      </c>
      <c r="H41" s="76" t="s">
        <v>105</v>
      </c>
      <c r="K41" s="22" t="s">
        <v>6</v>
      </c>
      <c r="L41" s="188" t="s">
        <v>129</v>
      </c>
      <c r="M41" s="76">
        <v>1</v>
      </c>
      <c r="N41" s="76" t="s">
        <v>108</v>
      </c>
      <c r="O41" s="76">
        <v>2</v>
      </c>
      <c r="P41" s="188" t="s">
        <v>121</v>
      </c>
      <c r="Q41" s="76">
        <v>1</v>
      </c>
      <c r="R41" s="76" t="s">
        <v>110</v>
      </c>
      <c r="S41" s="76">
        <v>1</v>
      </c>
      <c r="T41" s="76" t="s">
        <v>109</v>
      </c>
      <c r="U41" s="76">
        <v>1</v>
      </c>
      <c r="V41" s="76" t="s">
        <v>111</v>
      </c>
      <c r="W41" s="76">
        <v>1</v>
      </c>
      <c r="X41" s="76" t="s">
        <v>107</v>
      </c>
      <c r="Y41" s="76">
        <v>2</v>
      </c>
      <c r="Z41" s="22"/>
      <c r="AA41" s="22"/>
      <c r="AB41" s="22"/>
      <c r="AC41" s="22"/>
      <c r="AD41" s="22"/>
      <c r="AE41" s="22"/>
    </row>
    <row r="42" spans="2:31" x14ac:dyDescent="0.35">
      <c r="B42" s="22" t="s">
        <v>6</v>
      </c>
      <c r="C42" s="188" t="s">
        <v>101</v>
      </c>
      <c r="D42" s="76" t="s">
        <v>101</v>
      </c>
      <c r="E42" s="76" t="s">
        <v>102</v>
      </c>
      <c r="F42" s="76" t="s">
        <v>103</v>
      </c>
      <c r="G42" s="76" t="s">
        <v>104</v>
      </c>
      <c r="H42" s="76" t="s">
        <v>105</v>
      </c>
      <c r="K42" s="22" t="s">
        <v>6</v>
      </c>
      <c r="L42" s="76" t="s">
        <v>110</v>
      </c>
      <c r="M42" s="76">
        <v>1</v>
      </c>
      <c r="N42" s="76" t="s">
        <v>108</v>
      </c>
      <c r="O42" s="76">
        <v>1</v>
      </c>
      <c r="P42" s="188" t="s">
        <v>129</v>
      </c>
      <c r="Q42" s="76">
        <v>1</v>
      </c>
      <c r="R42" s="76" t="s">
        <v>107</v>
      </c>
      <c r="S42" s="76">
        <v>1</v>
      </c>
      <c r="T42" s="76" t="s">
        <v>120</v>
      </c>
      <c r="U42" s="76">
        <v>1</v>
      </c>
      <c r="V42" s="76" t="s">
        <v>175</v>
      </c>
      <c r="W42" s="76">
        <v>1</v>
      </c>
      <c r="X42" s="76" t="s">
        <v>126</v>
      </c>
      <c r="Y42" s="76">
        <v>1</v>
      </c>
      <c r="Z42" s="188" t="s">
        <v>121</v>
      </c>
      <c r="AA42" s="76">
        <v>1</v>
      </c>
      <c r="AB42" s="22"/>
      <c r="AC42" s="22"/>
      <c r="AD42" s="22"/>
      <c r="AE42" s="22"/>
    </row>
    <row r="43" spans="2:31" x14ac:dyDescent="0.35">
      <c r="B43" s="22" t="s">
        <v>6</v>
      </c>
      <c r="C43" s="188" t="s">
        <v>101</v>
      </c>
      <c r="D43" s="22" t="s">
        <v>101</v>
      </c>
      <c r="E43" s="22" t="s">
        <v>102</v>
      </c>
      <c r="F43" s="22" t="s">
        <v>103</v>
      </c>
      <c r="G43" s="22" t="s">
        <v>104</v>
      </c>
      <c r="H43" s="22" t="s">
        <v>105</v>
      </c>
      <c r="K43" s="22" t="s">
        <v>6</v>
      </c>
      <c r="L43" s="22" t="s">
        <v>110</v>
      </c>
      <c r="M43" s="22">
        <v>1</v>
      </c>
      <c r="N43" s="22" t="s">
        <v>108</v>
      </c>
      <c r="O43" s="22">
        <v>1</v>
      </c>
      <c r="P43" s="22" t="s">
        <v>111</v>
      </c>
      <c r="Q43" s="22">
        <v>1</v>
      </c>
      <c r="R43" s="22" t="s">
        <v>107</v>
      </c>
      <c r="S43" s="22">
        <v>3</v>
      </c>
      <c r="T43" s="22" t="s">
        <v>120</v>
      </c>
      <c r="U43" s="22">
        <v>1</v>
      </c>
      <c r="V43" s="22" t="s">
        <v>133</v>
      </c>
      <c r="W43" s="22">
        <v>2</v>
      </c>
      <c r="X43" s="22" t="s">
        <v>126</v>
      </c>
      <c r="Y43" s="22">
        <v>1</v>
      </c>
      <c r="Z43" s="22"/>
      <c r="AA43" s="22"/>
      <c r="AB43" s="22"/>
      <c r="AC43" s="22"/>
      <c r="AD43" s="22"/>
      <c r="AE43" s="22"/>
    </row>
    <row r="44" spans="2:31" x14ac:dyDescent="0.35">
      <c r="B44" s="22" t="s">
        <v>6</v>
      </c>
      <c r="C44" s="188" t="s">
        <v>101</v>
      </c>
      <c r="D44" s="76" t="s">
        <v>101</v>
      </c>
      <c r="E44" s="76" t="s">
        <v>102</v>
      </c>
      <c r="F44" s="76" t="s">
        <v>103</v>
      </c>
      <c r="G44" s="76" t="s">
        <v>104</v>
      </c>
      <c r="H44" s="76" t="s">
        <v>105</v>
      </c>
      <c r="K44" s="22" t="s">
        <v>6</v>
      </c>
      <c r="L44" s="76" t="s">
        <v>110</v>
      </c>
      <c r="M44" s="76">
        <v>1</v>
      </c>
      <c r="N44" s="76" t="s">
        <v>107</v>
      </c>
      <c r="O44" s="76">
        <v>2</v>
      </c>
      <c r="P44" s="188" t="s">
        <v>129</v>
      </c>
      <c r="Q44" s="76">
        <v>1</v>
      </c>
      <c r="R44" s="76" t="s">
        <v>108</v>
      </c>
      <c r="S44" s="76">
        <v>1</v>
      </c>
      <c r="T44" s="130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spans="2:31" x14ac:dyDescent="0.35">
      <c r="B45" s="76" t="s">
        <v>6</v>
      </c>
      <c r="C45" s="188" t="s">
        <v>101</v>
      </c>
      <c r="D45" s="22" t="s">
        <v>101</v>
      </c>
      <c r="E45" s="76" t="s">
        <v>102</v>
      </c>
      <c r="F45" s="76" t="s">
        <v>103</v>
      </c>
      <c r="G45" s="76" t="s">
        <v>104</v>
      </c>
      <c r="H45" s="76" t="s">
        <v>105</v>
      </c>
      <c r="K45" s="76" t="s">
        <v>6</v>
      </c>
      <c r="L45" s="76" t="s">
        <v>109</v>
      </c>
      <c r="M45" s="76">
        <v>1</v>
      </c>
      <c r="N45" s="76" t="s">
        <v>110</v>
      </c>
      <c r="O45" s="76">
        <v>1</v>
      </c>
      <c r="P45" s="76" t="s">
        <v>108</v>
      </c>
      <c r="Q45" s="76">
        <v>1</v>
      </c>
      <c r="R45" s="76" t="s">
        <v>107</v>
      </c>
      <c r="S45" s="76">
        <v>1</v>
      </c>
      <c r="T45" s="188" t="s">
        <v>129</v>
      </c>
      <c r="U45" s="76">
        <v>1</v>
      </c>
      <c r="V45" s="76" t="s">
        <v>111</v>
      </c>
      <c r="W45" s="76">
        <v>1</v>
      </c>
      <c r="X45" s="22"/>
      <c r="Y45" s="22"/>
      <c r="Z45" s="22"/>
      <c r="AA45" s="22"/>
      <c r="AB45" s="22"/>
      <c r="AC45" s="22"/>
      <c r="AD45" s="22"/>
      <c r="AE45" s="22"/>
    </row>
    <row r="46" spans="2:31" x14ac:dyDescent="0.35">
      <c r="B46" s="76" t="s">
        <v>6</v>
      </c>
      <c r="C46" s="188" t="s">
        <v>101</v>
      </c>
      <c r="D46" s="76" t="s">
        <v>101</v>
      </c>
      <c r="E46" s="76" t="s">
        <v>102</v>
      </c>
      <c r="F46" s="76" t="s">
        <v>103</v>
      </c>
      <c r="G46" s="76" t="s">
        <v>104</v>
      </c>
      <c r="H46" s="76" t="s">
        <v>105</v>
      </c>
      <c r="K46" s="76" t="s">
        <v>6</v>
      </c>
      <c r="L46" s="76" t="s">
        <v>111</v>
      </c>
      <c r="M46" s="76">
        <v>3</v>
      </c>
      <c r="N46" s="76" t="s">
        <v>126</v>
      </c>
      <c r="O46" s="76">
        <v>4</v>
      </c>
      <c r="P46" s="76" t="s">
        <v>108</v>
      </c>
      <c r="Q46" s="76">
        <v>1</v>
      </c>
      <c r="R46" s="76" t="s">
        <v>107</v>
      </c>
      <c r="S46" s="76">
        <v>1</v>
      </c>
      <c r="T46" s="188" t="s">
        <v>129</v>
      </c>
      <c r="U46" s="76">
        <v>1</v>
      </c>
      <c r="V46" s="76" t="s">
        <v>175</v>
      </c>
      <c r="W46" s="76">
        <v>1</v>
      </c>
      <c r="X46" s="22"/>
      <c r="Y46" s="22"/>
      <c r="Z46" s="22"/>
      <c r="AA46" s="22"/>
      <c r="AB46" s="22"/>
      <c r="AC46" s="22"/>
      <c r="AD46" s="22"/>
      <c r="AE46" s="22"/>
    </row>
    <row r="47" spans="2:31" x14ac:dyDescent="0.35">
      <c r="B47" s="76" t="s">
        <v>6</v>
      </c>
      <c r="C47" s="188" t="s">
        <v>101</v>
      </c>
      <c r="D47" s="76" t="s">
        <v>101</v>
      </c>
      <c r="E47" s="76" t="s">
        <v>102</v>
      </c>
      <c r="F47" s="76" t="s">
        <v>103</v>
      </c>
      <c r="G47" s="76" t="s">
        <v>104</v>
      </c>
      <c r="H47" s="76" t="s">
        <v>105</v>
      </c>
      <c r="K47" s="76" t="s">
        <v>6</v>
      </c>
      <c r="L47" s="76" t="s">
        <v>107</v>
      </c>
      <c r="M47" s="76">
        <v>2</v>
      </c>
      <c r="N47" s="76" t="s">
        <v>108</v>
      </c>
      <c r="O47" s="76">
        <v>1</v>
      </c>
      <c r="P47" s="76" t="s">
        <v>109</v>
      </c>
      <c r="Q47" s="76">
        <v>1</v>
      </c>
      <c r="R47" s="76" t="s">
        <v>110</v>
      </c>
      <c r="S47" s="76">
        <v>1</v>
      </c>
      <c r="T47" s="76" t="s">
        <v>111</v>
      </c>
      <c r="U47" s="76">
        <v>1</v>
      </c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 spans="2:31" hidden="1" x14ac:dyDescent="0.35">
      <c r="B48" s="22" t="s">
        <v>5</v>
      </c>
      <c r="C48" s="188" t="s">
        <v>119</v>
      </c>
      <c r="D48" s="22" t="s">
        <v>101</v>
      </c>
      <c r="E48" s="22" t="s">
        <v>142</v>
      </c>
      <c r="F48" s="22" t="s">
        <v>103</v>
      </c>
      <c r="G48" s="22" t="s">
        <v>104</v>
      </c>
      <c r="H48" s="22" t="s">
        <v>105</v>
      </c>
      <c r="K48" s="22" t="s">
        <v>5</v>
      </c>
      <c r="L48" s="22" t="s">
        <v>129</v>
      </c>
      <c r="M48" s="22">
        <v>1</v>
      </c>
      <c r="N48" s="22" t="s">
        <v>107</v>
      </c>
      <c r="O48" s="22">
        <v>1</v>
      </c>
      <c r="P48" s="22" t="s">
        <v>121</v>
      </c>
      <c r="Q48" s="22">
        <v>1</v>
      </c>
      <c r="R48" s="22" t="s">
        <v>108</v>
      </c>
      <c r="S48" s="22">
        <v>1</v>
      </c>
      <c r="T48" s="22" t="s">
        <v>110</v>
      </c>
      <c r="U48" s="22">
        <v>1</v>
      </c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spans="2:31" hidden="1" x14ac:dyDescent="0.35">
      <c r="B49" s="22" t="s">
        <v>5</v>
      </c>
      <c r="C49" s="188" t="s">
        <v>119</v>
      </c>
      <c r="D49" s="22" t="s">
        <v>101</v>
      </c>
      <c r="E49" s="22" t="s">
        <v>142</v>
      </c>
      <c r="F49" s="188" t="s">
        <v>159</v>
      </c>
      <c r="G49" s="22" t="s">
        <v>104</v>
      </c>
      <c r="H49" s="22" t="s">
        <v>105</v>
      </c>
      <c r="K49" s="22" t="s">
        <v>5</v>
      </c>
      <c r="L49" s="22" t="s">
        <v>110</v>
      </c>
      <c r="M49" s="22">
        <v>1</v>
      </c>
      <c r="N49" s="22" t="s">
        <v>109</v>
      </c>
      <c r="O49" s="22">
        <v>1</v>
      </c>
      <c r="P49" s="22" t="s">
        <v>129</v>
      </c>
      <c r="Q49" s="22">
        <v>1</v>
      </c>
      <c r="R49" s="22" t="s">
        <v>108</v>
      </c>
      <c r="S49" s="22">
        <v>1</v>
      </c>
      <c r="T49" s="22" t="s">
        <v>111</v>
      </c>
      <c r="U49" s="22">
        <v>1</v>
      </c>
      <c r="V49" s="22" t="s">
        <v>121</v>
      </c>
      <c r="W49" s="22">
        <v>1</v>
      </c>
      <c r="X49" s="22" t="s">
        <v>107</v>
      </c>
      <c r="Y49" s="22">
        <v>1</v>
      </c>
      <c r="Z49" s="22" t="s">
        <v>156</v>
      </c>
      <c r="AA49" s="22">
        <v>1</v>
      </c>
      <c r="AB49" s="22"/>
      <c r="AC49" s="22"/>
      <c r="AD49" s="22"/>
      <c r="AE49" s="22"/>
    </row>
    <row r="50" spans="2:31" hidden="1" x14ac:dyDescent="0.35">
      <c r="B50" s="22" t="s">
        <v>5</v>
      </c>
      <c r="C50" s="22" t="s">
        <v>101</v>
      </c>
      <c r="D50" s="22" t="s">
        <v>101</v>
      </c>
      <c r="E50" s="188" t="s">
        <v>102</v>
      </c>
      <c r="F50" s="22" t="s">
        <v>103</v>
      </c>
      <c r="G50" s="22" t="s">
        <v>104</v>
      </c>
      <c r="H50" s="22" t="s">
        <v>105</v>
      </c>
      <c r="J50" s="190" t="s">
        <v>356</v>
      </c>
      <c r="K50" s="22" t="s">
        <v>5</v>
      </c>
      <c r="L50" s="22" t="s">
        <v>109</v>
      </c>
      <c r="M50" s="22">
        <v>1</v>
      </c>
      <c r="N50" s="22" t="s">
        <v>110</v>
      </c>
      <c r="O50" s="22">
        <v>1</v>
      </c>
      <c r="P50" s="22" t="s">
        <v>108</v>
      </c>
      <c r="Q50" s="22">
        <v>1</v>
      </c>
      <c r="R50" s="22" t="s">
        <v>107</v>
      </c>
      <c r="S50" s="22">
        <v>2</v>
      </c>
      <c r="T50" s="22" t="s">
        <v>121</v>
      </c>
      <c r="U50" s="22">
        <v>1</v>
      </c>
      <c r="V50" s="22" t="s">
        <v>129</v>
      </c>
      <c r="W50" s="22">
        <v>1</v>
      </c>
      <c r="X50" s="22"/>
      <c r="Y50" s="22"/>
      <c r="Z50" s="22"/>
      <c r="AA50" s="22"/>
      <c r="AB50" s="22"/>
      <c r="AC50" s="22"/>
      <c r="AD50" s="22"/>
      <c r="AE50" s="22"/>
    </row>
    <row r="51" spans="2:31" hidden="1" x14ac:dyDescent="0.35">
      <c r="B51" s="22" t="s">
        <v>5</v>
      </c>
      <c r="C51" s="22" t="s">
        <v>101</v>
      </c>
      <c r="D51" s="22" t="s">
        <v>101</v>
      </c>
      <c r="E51" s="188" t="s">
        <v>102</v>
      </c>
      <c r="F51" s="22" t="s">
        <v>103</v>
      </c>
      <c r="G51" s="22" t="s">
        <v>104</v>
      </c>
      <c r="H51" s="22" t="s">
        <v>105</v>
      </c>
      <c r="K51" s="22" t="s">
        <v>5</v>
      </c>
      <c r="L51" s="22" t="s">
        <v>129</v>
      </c>
      <c r="M51" s="22">
        <v>1</v>
      </c>
      <c r="N51" s="22" t="s">
        <v>156</v>
      </c>
      <c r="O51" s="22">
        <v>1</v>
      </c>
      <c r="P51" s="22" t="s">
        <v>107</v>
      </c>
      <c r="Q51" s="22">
        <v>1</v>
      </c>
      <c r="R51" s="22" t="s">
        <v>121</v>
      </c>
      <c r="S51" s="22">
        <v>1</v>
      </c>
      <c r="T51" s="22" t="s">
        <v>151</v>
      </c>
      <c r="U51" s="22">
        <v>1</v>
      </c>
      <c r="V51" s="22" t="s">
        <v>108</v>
      </c>
      <c r="W51" s="22">
        <v>1</v>
      </c>
      <c r="X51" s="22" t="s">
        <v>109</v>
      </c>
      <c r="Y51" s="22">
        <v>1</v>
      </c>
      <c r="Z51" s="22" t="s">
        <v>111</v>
      </c>
      <c r="AA51" s="22">
        <v>1</v>
      </c>
      <c r="AB51" s="22" t="s">
        <v>110</v>
      </c>
      <c r="AC51" s="22">
        <v>1</v>
      </c>
      <c r="AD51" s="22"/>
      <c r="AE51" s="22"/>
    </row>
    <row r="52" spans="2:31" hidden="1" x14ac:dyDescent="0.35">
      <c r="B52" s="22" t="s">
        <v>5</v>
      </c>
      <c r="C52" s="22" t="s">
        <v>101</v>
      </c>
      <c r="D52" s="22" t="s">
        <v>101</v>
      </c>
      <c r="E52" s="188" t="s">
        <v>102</v>
      </c>
      <c r="F52" s="22" t="s">
        <v>103</v>
      </c>
      <c r="G52" s="22" t="s">
        <v>104</v>
      </c>
      <c r="H52" s="22" t="s">
        <v>105</v>
      </c>
      <c r="K52" s="22" t="s">
        <v>5</v>
      </c>
      <c r="L52" s="22" t="s">
        <v>108</v>
      </c>
      <c r="M52" s="22">
        <v>1</v>
      </c>
      <c r="N52" s="22" t="s">
        <v>111</v>
      </c>
      <c r="O52" s="22">
        <v>1</v>
      </c>
      <c r="P52" s="22" t="s">
        <v>110</v>
      </c>
      <c r="Q52" s="22">
        <v>10</v>
      </c>
      <c r="R52" s="22" t="s">
        <v>121</v>
      </c>
      <c r="S52" s="22">
        <v>1</v>
      </c>
      <c r="T52" s="22" t="s">
        <v>109</v>
      </c>
      <c r="U52" s="22">
        <v>1</v>
      </c>
      <c r="V52" s="22" t="s">
        <v>129</v>
      </c>
      <c r="W52" s="22">
        <v>1</v>
      </c>
      <c r="X52" s="22" t="s">
        <v>107</v>
      </c>
      <c r="Y52" s="22">
        <v>3</v>
      </c>
      <c r="Z52" s="22"/>
      <c r="AA52" s="22"/>
      <c r="AB52" s="22"/>
      <c r="AC52" s="22"/>
      <c r="AD52" s="22"/>
      <c r="AE52" s="22"/>
    </row>
    <row r="53" spans="2:31" hidden="1" x14ac:dyDescent="0.35">
      <c r="B53" s="22" t="s">
        <v>5</v>
      </c>
      <c r="C53" s="22" t="s">
        <v>101</v>
      </c>
      <c r="D53" s="22" t="s">
        <v>101</v>
      </c>
      <c r="E53" s="188" t="s">
        <v>102</v>
      </c>
      <c r="F53" s="22" t="s">
        <v>103</v>
      </c>
      <c r="G53" s="22" t="s">
        <v>104</v>
      </c>
      <c r="H53" s="22" t="s">
        <v>105</v>
      </c>
      <c r="K53" s="22" t="s">
        <v>5</v>
      </c>
      <c r="L53" s="22" t="s">
        <v>107</v>
      </c>
      <c r="M53" s="22">
        <v>1</v>
      </c>
      <c r="N53" s="22" t="s">
        <v>109</v>
      </c>
      <c r="O53" s="22">
        <v>1</v>
      </c>
      <c r="P53" s="22" t="s">
        <v>129</v>
      </c>
      <c r="Q53" s="22">
        <v>1</v>
      </c>
      <c r="R53" s="22" t="s">
        <v>108</v>
      </c>
      <c r="S53" s="22">
        <v>1</v>
      </c>
      <c r="T53" s="22" t="s">
        <v>111</v>
      </c>
      <c r="U53" s="22">
        <v>1</v>
      </c>
      <c r="V53" s="22" t="s">
        <v>121</v>
      </c>
      <c r="W53" s="22">
        <v>1</v>
      </c>
      <c r="X53" s="22" t="s">
        <v>107</v>
      </c>
      <c r="Y53" s="22">
        <v>1</v>
      </c>
      <c r="Z53" s="22"/>
      <c r="AA53" s="22"/>
      <c r="AB53" s="22"/>
      <c r="AC53" s="22"/>
      <c r="AD53" s="22"/>
      <c r="AE53" s="22"/>
    </row>
    <row r="54" spans="2:31" hidden="1" x14ac:dyDescent="0.35">
      <c r="B54" s="22" t="s">
        <v>5</v>
      </c>
      <c r="C54" s="22" t="s">
        <v>101</v>
      </c>
      <c r="D54" s="22" t="s">
        <v>101</v>
      </c>
      <c r="E54" s="188" t="s">
        <v>102</v>
      </c>
      <c r="F54" s="22" t="s">
        <v>103</v>
      </c>
      <c r="G54" s="22" t="s">
        <v>104</v>
      </c>
      <c r="H54" s="22" t="s">
        <v>105</v>
      </c>
      <c r="K54" s="22" t="s">
        <v>5</v>
      </c>
      <c r="L54" s="22" t="s">
        <v>107</v>
      </c>
      <c r="M54" s="22">
        <v>1</v>
      </c>
      <c r="N54" s="22" t="s">
        <v>109</v>
      </c>
      <c r="O54" s="22">
        <v>1</v>
      </c>
      <c r="P54" s="22" t="s">
        <v>129</v>
      </c>
      <c r="Q54" s="22">
        <v>1</v>
      </c>
      <c r="R54" s="22" t="s">
        <v>110</v>
      </c>
      <c r="S54" s="22">
        <v>2</v>
      </c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2:31" hidden="1" x14ac:dyDescent="0.35">
      <c r="B55" s="22" t="s">
        <v>5</v>
      </c>
      <c r="C55" s="22" t="s">
        <v>101</v>
      </c>
      <c r="D55" s="22" t="s">
        <v>101</v>
      </c>
      <c r="E55" s="188" t="s">
        <v>102</v>
      </c>
      <c r="F55" s="22" t="s">
        <v>103</v>
      </c>
      <c r="G55" s="22" t="s">
        <v>104</v>
      </c>
      <c r="H55" s="22" t="s">
        <v>105</v>
      </c>
      <c r="K55" s="22" t="s">
        <v>5</v>
      </c>
      <c r="L55" s="22" t="s">
        <v>129</v>
      </c>
      <c r="M55" s="22">
        <v>1</v>
      </c>
      <c r="N55" s="22" t="s">
        <v>109</v>
      </c>
      <c r="O55" s="22">
        <v>1</v>
      </c>
      <c r="P55" s="22" t="s">
        <v>108</v>
      </c>
      <c r="Q55" s="22">
        <v>1</v>
      </c>
      <c r="R55" s="22" t="s">
        <v>110</v>
      </c>
      <c r="S55" s="22">
        <v>1</v>
      </c>
      <c r="T55" s="22" t="s">
        <v>121</v>
      </c>
      <c r="U55" s="22">
        <v>1</v>
      </c>
      <c r="V55" s="22" t="s">
        <v>107</v>
      </c>
      <c r="W55" s="22">
        <v>1</v>
      </c>
      <c r="X55" s="22" t="s">
        <v>111</v>
      </c>
      <c r="Y55" s="22">
        <v>1</v>
      </c>
      <c r="Z55" s="22"/>
      <c r="AA55" s="22"/>
      <c r="AB55" s="22"/>
      <c r="AC55" s="22"/>
      <c r="AD55" s="22"/>
      <c r="AE55" s="22"/>
    </row>
    <row r="56" spans="2:31" hidden="1" x14ac:dyDescent="0.35">
      <c r="B56" s="22" t="s">
        <v>5</v>
      </c>
      <c r="C56" s="22" t="s">
        <v>101</v>
      </c>
      <c r="D56" s="22" t="s">
        <v>101</v>
      </c>
      <c r="E56" s="22" t="s">
        <v>142</v>
      </c>
      <c r="F56" s="22" t="s">
        <v>103</v>
      </c>
      <c r="G56" s="22" t="s">
        <v>104</v>
      </c>
      <c r="H56" s="22" t="s">
        <v>105</v>
      </c>
      <c r="K56" s="22" t="s">
        <v>5</v>
      </c>
      <c r="L56" s="22" t="s">
        <v>129</v>
      </c>
      <c r="M56" s="22">
        <v>1</v>
      </c>
      <c r="N56" s="22" t="s">
        <v>107</v>
      </c>
      <c r="O56" s="22">
        <v>2</v>
      </c>
      <c r="P56" s="22" t="s">
        <v>121</v>
      </c>
      <c r="Q56" s="22">
        <v>2</v>
      </c>
      <c r="R56" s="22" t="s">
        <v>108</v>
      </c>
      <c r="S56" s="22">
        <v>1</v>
      </c>
      <c r="T56" s="22" t="s">
        <v>109</v>
      </c>
      <c r="U56" s="22">
        <v>1</v>
      </c>
      <c r="V56" s="22" t="s">
        <v>110</v>
      </c>
      <c r="W56" s="22">
        <v>1</v>
      </c>
      <c r="X56" s="22"/>
      <c r="Y56" s="22"/>
      <c r="Z56" s="22"/>
      <c r="AA56" s="22"/>
      <c r="AB56" s="22"/>
      <c r="AC56" s="22"/>
      <c r="AD56" s="22"/>
      <c r="AE56" s="22"/>
    </row>
    <row r="57" spans="2:31" hidden="1" x14ac:dyDescent="0.35">
      <c r="B57" s="92" t="s">
        <v>5</v>
      </c>
      <c r="C57" s="92" t="s">
        <v>101</v>
      </c>
      <c r="D57" s="92" t="s">
        <v>101</v>
      </c>
      <c r="E57" s="92" t="s">
        <v>142</v>
      </c>
      <c r="F57" s="92" t="s">
        <v>103</v>
      </c>
      <c r="G57" s="92" t="s">
        <v>104</v>
      </c>
      <c r="H57" s="92" t="s">
        <v>105</v>
      </c>
      <c r="K57" s="92" t="s">
        <v>5</v>
      </c>
      <c r="L57" s="92" t="s">
        <v>111</v>
      </c>
      <c r="M57" s="92">
        <v>1</v>
      </c>
      <c r="N57" s="92" t="s">
        <v>110</v>
      </c>
      <c r="O57" s="92">
        <v>1</v>
      </c>
      <c r="P57" s="92" t="s">
        <v>121</v>
      </c>
      <c r="Q57" s="92">
        <v>2</v>
      </c>
      <c r="R57" s="92" t="s">
        <v>129</v>
      </c>
      <c r="S57" s="92">
        <v>1</v>
      </c>
      <c r="T57" s="92" t="s">
        <v>107</v>
      </c>
      <c r="U57" s="92">
        <v>1</v>
      </c>
      <c r="V57" s="92" t="s">
        <v>108</v>
      </c>
      <c r="W57" s="92">
        <v>1</v>
      </c>
      <c r="X57" s="92" t="s">
        <v>175</v>
      </c>
      <c r="Y57" s="92">
        <v>1</v>
      </c>
      <c r="Z57" s="92" t="s">
        <v>109</v>
      </c>
      <c r="AA57" s="92">
        <v>1</v>
      </c>
      <c r="AB57" s="92"/>
      <c r="AC57" s="92"/>
      <c r="AD57" s="92"/>
      <c r="AE57" s="92"/>
    </row>
    <row r="58" spans="2:31" hidden="1" x14ac:dyDescent="0.35">
      <c r="B58" s="22" t="s">
        <v>5</v>
      </c>
      <c r="C58" s="22" t="s">
        <v>101</v>
      </c>
      <c r="D58" s="22" t="s">
        <v>101</v>
      </c>
      <c r="E58" s="22" t="s">
        <v>142</v>
      </c>
      <c r="F58" s="22" t="s">
        <v>103</v>
      </c>
      <c r="G58" s="22" t="s">
        <v>104</v>
      </c>
      <c r="H58" s="22" t="s">
        <v>105</v>
      </c>
      <c r="K58" s="22" t="s">
        <v>5</v>
      </c>
      <c r="L58" s="22" t="s">
        <v>129</v>
      </c>
      <c r="M58" s="22">
        <v>1</v>
      </c>
      <c r="N58" s="22" t="s">
        <v>111</v>
      </c>
      <c r="O58" s="22">
        <v>1</v>
      </c>
      <c r="P58" s="22" t="s">
        <v>108</v>
      </c>
      <c r="Q58" s="22">
        <v>1</v>
      </c>
      <c r="R58" s="22" t="s">
        <v>126</v>
      </c>
      <c r="S58" s="22">
        <v>1</v>
      </c>
      <c r="T58" s="22" t="s">
        <v>121</v>
      </c>
      <c r="U58" s="22">
        <v>2</v>
      </c>
      <c r="V58" s="22" t="s">
        <v>107</v>
      </c>
      <c r="W58" s="22">
        <v>1</v>
      </c>
      <c r="X58" s="22"/>
      <c r="Y58" s="22"/>
      <c r="Z58" s="22"/>
      <c r="AA58" s="22"/>
      <c r="AB58" s="22"/>
      <c r="AC58" s="22"/>
      <c r="AD58" s="22"/>
      <c r="AE58" s="22"/>
    </row>
    <row r="59" spans="2:31" hidden="1" x14ac:dyDescent="0.35">
      <c r="B59" s="22" t="s">
        <v>5</v>
      </c>
      <c r="C59" s="22" t="s">
        <v>101</v>
      </c>
      <c r="D59" s="22" t="s">
        <v>101</v>
      </c>
      <c r="E59" s="22" t="s">
        <v>142</v>
      </c>
      <c r="F59" s="22" t="s">
        <v>103</v>
      </c>
      <c r="G59" s="22" t="s">
        <v>104</v>
      </c>
      <c r="H59" s="22" t="s">
        <v>105</v>
      </c>
      <c r="K59" s="22" t="s">
        <v>5</v>
      </c>
      <c r="L59" s="22" t="s">
        <v>129</v>
      </c>
      <c r="M59" s="22">
        <v>1</v>
      </c>
      <c r="N59" s="22" t="s">
        <v>107</v>
      </c>
      <c r="O59" s="22">
        <v>1</v>
      </c>
      <c r="P59" s="22" t="s">
        <v>108</v>
      </c>
      <c r="Q59" s="22">
        <v>1</v>
      </c>
      <c r="R59" s="22" t="s">
        <v>109</v>
      </c>
      <c r="S59" s="22">
        <v>1</v>
      </c>
      <c r="T59" s="22" t="s">
        <v>110</v>
      </c>
      <c r="U59" s="22">
        <v>1</v>
      </c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spans="2:31" hidden="1" x14ac:dyDescent="0.35">
      <c r="B60" s="22" t="s">
        <v>5</v>
      </c>
      <c r="C60" s="22" t="s">
        <v>101</v>
      </c>
      <c r="D60" s="22" t="s">
        <v>101</v>
      </c>
      <c r="E60" s="22" t="s">
        <v>142</v>
      </c>
      <c r="F60" s="22" t="s">
        <v>103</v>
      </c>
      <c r="G60" s="22" t="s">
        <v>104</v>
      </c>
      <c r="H60" s="22" t="s">
        <v>105</v>
      </c>
      <c r="K60" s="22" t="s">
        <v>5</v>
      </c>
      <c r="L60" s="22" t="s">
        <v>107</v>
      </c>
      <c r="M60" s="22">
        <v>3</v>
      </c>
      <c r="N60" s="22" t="s">
        <v>110</v>
      </c>
      <c r="O60" s="22">
        <v>1</v>
      </c>
      <c r="P60" s="22" t="s">
        <v>111</v>
      </c>
      <c r="Q60" s="22">
        <v>1</v>
      </c>
      <c r="R60" s="22" t="s">
        <v>108</v>
      </c>
      <c r="S60" s="22">
        <v>2</v>
      </c>
      <c r="T60" s="22" t="s">
        <v>175</v>
      </c>
      <c r="U60" s="22">
        <v>1</v>
      </c>
      <c r="V60" s="22" t="s">
        <v>129</v>
      </c>
      <c r="W60" s="22">
        <v>1</v>
      </c>
      <c r="X60" s="22" t="s">
        <v>126</v>
      </c>
      <c r="Y60" s="22">
        <v>1</v>
      </c>
      <c r="Z60" s="22" t="s">
        <v>109</v>
      </c>
      <c r="AA60" s="22">
        <v>1</v>
      </c>
      <c r="AB60" s="22"/>
      <c r="AC60" s="22"/>
      <c r="AD60" s="22"/>
      <c r="AE60" s="22"/>
    </row>
    <row r="61" spans="2:31" hidden="1" x14ac:dyDescent="0.35">
      <c r="B61" s="22" t="s">
        <v>5</v>
      </c>
      <c r="C61" s="76" t="s">
        <v>101</v>
      </c>
      <c r="D61" s="76" t="s">
        <v>101</v>
      </c>
      <c r="E61" s="76" t="s">
        <v>142</v>
      </c>
      <c r="F61" s="76" t="s">
        <v>103</v>
      </c>
      <c r="G61" s="76" t="s">
        <v>104</v>
      </c>
      <c r="H61" s="76" t="s">
        <v>105</v>
      </c>
      <c r="K61" s="22" t="s">
        <v>5</v>
      </c>
      <c r="L61" s="76" t="s">
        <v>111</v>
      </c>
      <c r="M61" s="76">
        <v>1</v>
      </c>
      <c r="N61" s="76" t="s">
        <v>108</v>
      </c>
      <c r="O61" s="76">
        <v>1</v>
      </c>
      <c r="P61" s="76" t="s">
        <v>126</v>
      </c>
      <c r="Q61" s="76">
        <v>1</v>
      </c>
      <c r="R61" s="76" t="s">
        <v>109</v>
      </c>
      <c r="S61" s="76">
        <v>1</v>
      </c>
      <c r="T61" s="22" t="s">
        <v>110</v>
      </c>
      <c r="U61" s="22">
        <v>1</v>
      </c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 spans="2:31" hidden="1" x14ac:dyDescent="0.35">
      <c r="B62" s="22" t="s">
        <v>5</v>
      </c>
      <c r="C62" s="76" t="s">
        <v>101</v>
      </c>
      <c r="D62" s="76" t="s">
        <v>101</v>
      </c>
      <c r="E62" s="76" t="s">
        <v>142</v>
      </c>
      <c r="F62" s="76" t="s">
        <v>103</v>
      </c>
      <c r="G62" s="76" t="s">
        <v>104</v>
      </c>
      <c r="H62" s="76" t="s">
        <v>105</v>
      </c>
      <c r="K62" s="22" t="s">
        <v>5</v>
      </c>
      <c r="L62" s="76" t="s">
        <v>110</v>
      </c>
      <c r="M62" s="76">
        <v>1</v>
      </c>
      <c r="N62" s="76" t="s">
        <v>107</v>
      </c>
      <c r="O62" s="76">
        <v>1</v>
      </c>
      <c r="P62" s="76" t="s">
        <v>108</v>
      </c>
      <c r="Q62" s="76">
        <v>1</v>
      </c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 spans="2:31" hidden="1" x14ac:dyDescent="0.35">
      <c r="B63" s="22" t="s">
        <v>5</v>
      </c>
      <c r="C63" s="22" t="s">
        <v>101</v>
      </c>
      <c r="D63" s="22" t="s">
        <v>101</v>
      </c>
      <c r="E63" s="22" t="s">
        <v>142</v>
      </c>
      <c r="F63" s="22" t="s">
        <v>103</v>
      </c>
      <c r="G63" s="22" t="s">
        <v>104</v>
      </c>
      <c r="H63" s="22" t="s">
        <v>105</v>
      </c>
      <c r="K63" s="22" t="s">
        <v>5</v>
      </c>
      <c r="L63" s="22" t="s">
        <v>110</v>
      </c>
      <c r="M63" s="22">
        <v>1</v>
      </c>
      <c r="N63" s="22" t="s">
        <v>108</v>
      </c>
      <c r="O63" s="22">
        <v>1</v>
      </c>
      <c r="P63" s="22" t="s">
        <v>121</v>
      </c>
      <c r="Q63" s="22">
        <v>1</v>
      </c>
      <c r="R63" s="22" t="s">
        <v>129</v>
      </c>
      <c r="S63" s="22">
        <v>1</v>
      </c>
      <c r="T63" s="22" t="s">
        <v>107</v>
      </c>
      <c r="U63" s="22">
        <v>1</v>
      </c>
      <c r="V63" s="22" t="s">
        <v>111</v>
      </c>
      <c r="W63" s="22">
        <v>1</v>
      </c>
      <c r="X63" s="22" t="s">
        <v>109</v>
      </c>
      <c r="Y63" s="22">
        <v>1</v>
      </c>
      <c r="Z63" s="22"/>
      <c r="AA63" s="22"/>
      <c r="AB63" s="22"/>
      <c r="AC63" s="22"/>
      <c r="AD63" s="22"/>
      <c r="AE63" s="22"/>
    </row>
    <row r="64" spans="2:31" hidden="1" x14ac:dyDescent="0.35">
      <c r="B64" s="22" t="s">
        <v>5</v>
      </c>
      <c r="C64" s="22" t="s">
        <v>101</v>
      </c>
      <c r="D64" s="22" t="s">
        <v>101</v>
      </c>
      <c r="E64" s="22" t="s">
        <v>142</v>
      </c>
      <c r="F64" s="22" t="s">
        <v>103</v>
      </c>
      <c r="G64" s="22" t="s">
        <v>104</v>
      </c>
      <c r="H64" s="22" t="s">
        <v>105</v>
      </c>
      <c r="K64" s="22" t="s">
        <v>5</v>
      </c>
      <c r="L64" s="22" t="s">
        <v>129</v>
      </c>
      <c r="M64" s="22">
        <v>1</v>
      </c>
      <c r="N64" s="22" t="s">
        <v>108</v>
      </c>
      <c r="O64" s="22">
        <v>1</v>
      </c>
      <c r="P64" s="22" t="s">
        <v>121</v>
      </c>
      <c r="Q64" s="22">
        <v>1</v>
      </c>
      <c r="R64" s="22" t="s">
        <v>107</v>
      </c>
      <c r="S64" s="22">
        <v>1</v>
      </c>
      <c r="T64" s="22" t="s">
        <v>110</v>
      </c>
      <c r="U64" s="22">
        <v>1</v>
      </c>
      <c r="V64" s="22" t="s">
        <v>109</v>
      </c>
      <c r="W64" s="22">
        <v>1</v>
      </c>
      <c r="X64" s="22"/>
      <c r="Y64" s="22"/>
      <c r="Z64" s="22"/>
      <c r="AA64" s="22"/>
      <c r="AB64" s="22"/>
      <c r="AC64" s="22"/>
      <c r="AD64" s="22"/>
      <c r="AE64" s="22"/>
    </row>
    <row r="65" spans="2:31" hidden="1" x14ac:dyDescent="0.35">
      <c r="B65" s="22" t="s">
        <v>5</v>
      </c>
      <c r="C65" s="22" t="s">
        <v>101</v>
      </c>
      <c r="D65" s="22" t="s">
        <v>101</v>
      </c>
      <c r="E65" s="22" t="s">
        <v>142</v>
      </c>
      <c r="F65" s="22" t="s">
        <v>103</v>
      </c>
      <c r="G65" s="22" t="s">
        <v>104</v>
      </c>
      <c r="H65" s="22" t="s">
        <v>105</v>
      </c>
      <c r="K65" s="22" t="s">
        <v>5</v>
      </c>
      <c r="L65" s="22" t="s">
        <v>110</v>
      </c>
      <c r="M65" s="22">
        <v>1</v>
      </c>
      <c r="N65" s="22" t="s">
        <v>109</v>
      </c>
      <c r="O65" s="22">
        <v>1</v>
      </c>
      <c r="P65" s="22" t="s">
        <v>156</v>
      </c>
      <c r="Q65" s="22">
        <v>1</v>
      </c>
      <c r="R65" s="22" t="s">
        <v>111</v>
      </c>
      <c r="S65" s="22">
        <v>1</v>
      </c>
      <c r="T65" s="22" t="s">
        <v>108</v>
      </c>
      <c r="U65" s="22">
        <v>1</v>
      </c>
      <c r="V65" s="22" t="s">
        <v>121</v>
      </c>
      <c r="W65" s="22">
        <v>1</v>
      </c>
      <c r="X65" s="22" t="s">
        <v>107</v>
      </c>
      <c r="Y65" s="22">
        <v>1</v>
      </c>
      <c r="Z65" s="22" t="s">
        <v>129</v>
      </c>
      <c r="AA65" s="22">
        <v>1</v>
      </c>
      <c r="AB65" s="22"/>
      <c r="AC65" s="22"/>
      <c r="AD65" s="22"/>
      <c r="AE65" s="22"/>
    </row>
    <row r="66" spans="2:31" hidden="1" x14ac:dyDescent="0.35">
      <c r="B66" s="22" t="s">
        <v>5</v>
      </c>
      <c r="C66" s="22" t="s">
        <v>101</v>
      </c>
      <c r="D66" s="22" t="s">
        <v>101</v>
      </c>
      <c r="E66" s="22" t="s">
        <v>142</v>
      </c>
      <c r="F66" s="22" t="s">
        <v>103</v>
      </c>
      <c r="G66" s="22" t="s">
        <v>104</v>
      </c>
      <c r="H66" s="22" t="s">
        <v>105</v>
      </c>
      <c r="K66" s="22" t="s">
        <v>5</v>
      </c>
      <c r="L66" s="22" t="s">
        <v>110</v>
      </c>
      <c r="M66" s="22">
        <v>1</v>
      </c>
      <c r="N66" s="22" t="s">
        <v>121</v>
      </c>
      <c r="O66" s="22">
        <v>1</v>
      </c>
      <c r="P66" s="22" t="s">
        <v>107</v>
      </c>
      <c r="Q66" s="22">
        <v>2</v>
      </c>
      <c r="R66" s="22" t="s">
        <v>151</v>
      </c>
      <c r="S66" s="22">
        <v>1</v>
      </c>
      <c r="T66" s="22" t="s">
        <v>139</v>
      </c>
      <c r="U66" s="22">
        <v>1</v>
      </c>
      <c r="V66" s="22" t="s">
        <v>129</v>
      </c>
      <c r="W66" s="22">
        <v>1</v>
      </c>
      <c r="X66" s="22" t="s">
        <v>108</v>
      </c>
      <c r="Y66" s="22">
        <v>1</v>
      </c>
      <c r="Z66" s="22" t="s">
        <v>109</v>
      </c>
      <c r="AA66" s="22">
        <v>1</v>
      </c>
      <c r="AB66" s="22" t="s">
        <v>156</v>
      </c>
      <c r="AC66" s="22">
        <v>1</v>
      </c>
      <c r="AD66" s="22"/>
      <c r="AE66" s="22"/>
    </row>
    <row r="67" spans="2:31" hidden="1" x14ac:dyDescent="0.35">
      <c r="B67" s="22" t="s">
        <v>5</v>
      </c>
      <c r="C67" s="22" t="s">
        <v>101</v>
      </c>
      <c r="D67" s="22" t="s">
        <v>101</v>
      </c>
      <c r="E67" s="22" t="s">
        <v>142</v>
      </c>
      <c r="F67" s="22" t="s">
        <v>103</v>
      </c>
      <c r="G67" s="22" t="s">
        <v>104</v>
      </c>
      <c r="H67" s="22" t="s">
        <v>105</v>
      </c>
      <c r="K67" s="22" t="s">
        <v>5</v>
      </c>
      <c r="L67" s="22" t="s">
        <v>109</v>
      </c>
      <c r="M67" s="22">
        <v>1</v>
      </c>
      <c r="N67" s="22" t="s">
        <v>108</v>
      </c>
      <c r="O67" s="22">
        <v>1</v>
      </c>
      <c r="P67" s="22" t="s">
        <v>139</v>
      </c>
      <c r="Q67" s="22">
        <v>1</v>
      </c>
      <c r="R67" s="22" t="s">
        <v>121</v>
      </c>
      <c r="S67" s="22">
        <v>1</v>
      </c>
      <c r="T67" s="22" t="s">
        <v>107</v>
      </c>
      <c r="U67" s="22">
        <v>1</v>
      </c>
      <c r="V67" s="22" t="s">
        <v>129</v>
      </c>
      <c r="W67" s="22">
        <v>1</v>
      </c>
      <c r="X67" s="22" t="s">
        <v>110</v>
      </c>
      <c r="Y67" s="22">
        <v>1</v>
      </c>
      <c r="Z67" s="22"/>
      <c r="AA67" s="22"/>
      <c r="AB67" s="22"/>
      <c r="AC67" s="22"/>
      <c r="AD67" s="22"/>
      <c r="AE67" s="22"/>
    </row>
    <row r="68" spans="2:31" hidden="1" x14ac:dyDescent="0.35">
      <c r="B68" s="22" t="s">
        <v>5</v>
      </c>
      <c r="C68" s="22" t="s">
        <v>101</v>
      </c>
      <c r="D68" s="22" t="s">
        <v>101</v>
      </c>
      <c r="E68" s="22" t="s">
        <v>142</v>
      </c>
      <c r="F68" s="22" t="s">
        <v>103</v>
      </c>
      <c r="G68" s="22" t="s">
        <v>104</v>
      </c>
      <c r="H68" s="22" t="s">
        <v>105</v>
      </c>
      <c r="K68" s="22" t="s">
        <v>5</v>
      </c>
      <c r="L68" s="22" t="s">
        <v>129</v>
      </c>
      <c r="M68" s="22">
        <v>1</v>
      </c>
      <c r="N68" s="22" t="s">
        <v>108</v>
      </c>
      <c r="O68" s="22">
        <v>1</v>
      </c>
      <c r="P68" s="22" t="s">
        <v>111</v>
      </c>
      <c r="Q68" s="22">
        <v>2</v>
      </c>
      <c r="R68" s="22" t="s">
        <v>107</v>
      </c>
      <c r="S68" s="22">
        <v>4</v>
      </c>
      <c r="T68" s="22" t="s">
        <v>133</v>
      </c>
      <c r="U68" s="22">
        <v>1</v>
      </c>
      <c r="V68" s="22" t="s">
        <v>126</v>
      </c>
      <c r="W68" s="22">
        <v>1</v>
      </c>
      <c r="X68" s="22" t="s">
        <v>110</v>
      </c>
      <c r="Y68" s="22">
        <v>1</v>
      </c>
      <c r="Z68" s="22" t="s">
        <v>109</v>
      </c>
      <c r="AA68" s="22">
        <v>1</v>
      </c>
      <c r="AB68" s="22"/>
      <c r="AC68" s="22"/>
      <c r="AD68" s="22"/>
      <c r="AE68" s="22"/>
    </row>
    <row r="69" spans="2:31" hidden="1" x14ac:dyDescent="0.35">
      <c r="B69" s="22" t="s">
        <v>5</v>
      </c>
      <c r="C69" s="22" t="s">
        <v>101</v>
      </c>
      <c r="D69" s="22" t="s">
        <v>101</v>
      </c>
      <c r="E69" s="22" t="s">
        <v>142</v>
      </c>
      <c r="F69" s="22" t="s">
        <v>103</v>
      </c>
      <c r="G69" s="22" t="s">
        <v>104</v>
      </c>
      <c r="H69" s="22" t="s">
        <v>105</v>
      </c>
      <c r="K69" s="22" t="s">
        <v>5</v>
      </c>
      <c r="L69" s="22" t="s">
        <v>110</v>
      </c>
      <c r="M69" s="22">
        <v>1</v>
      </c>
      <c r="N69" s="22" t="s">
        <v>129</v>
      </c>
      <c r="O69" s="22">
        <v>1</v>
      </c>
      <c r="P69" s="22" t="s">
        <v>108</v>
      </c>
      <c r="Q69" s="22">
        <v>1</v>
      </c>
      <c r="R69" s="22" t="s">
        <v>107</v>
      </c>
      <c r="S69" s="22">
        <v>1</v>
      </c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 spans="2:31" hidden="1" x14ac:dyDescent="0.35">
      <c r="B70" s="22" t="s">
        <v>5</v>
      </c>
      <c r="C70" s="22" t="s">
        <v>101</v>
      </c>
      <c r="D70" s="22" t="s">
        <v>101</v>
      </c>
      <c r="E70" s="22" t="s">
        <v>142</v>
      </c>
      <c r="F70" s="22" t="s">
        <v>103</v>
      </c>
      <c r="G70" s="22" t="s">
        <v>104</v>
      </c>
      <c r="H70" s="22" t="s">
        <v>105</v>
      </c>
      <c r="K70" s="22" t="s">
        <v>5</v>
      </c>
      <c r="L70" s="22" t="s">
        <v>110</v>
      </c>
      <c r="M70" s="22">
        <v>1</v>
      </c>
      <c r="N70" s="22" t="s">
        <v>107</v>
      </c>
      <c r="O70" s="22">
        <v>1</v>
      </c>
      <c r="P70" s="22" t="s">
        <v>121</v>
      </c>
      <c r="Q70" s="22">
        <v>1</v>
      </c>
      <c r="R70" s="22" t="s">
        <v>139</v>
      </c>
      <c r="S70" s="22">
        <v>1</v>
      </c>
      <c r="T70" s="22" t="s">
        <v>108</v>
      </c>
      <c r="U70" s="22">
        <v>1</v>
      </c>
      <c r="V70" s="22" t="s">
        <v>175</v>
      </c>
      <c r="W70" s="22">
        <v>1</v>
      </c>
      <c r="X70" s="22" t="s">
        <v>129</v>
      </c>
      <c r="Y70" s="22">
        <v>1</v>
      </c>
      <c r="Z70" s="22"/>
      <c r="AA70" s="22"/>
      <c r="AB70" s="22"/>
      <c r="AC70" s="22"/>
      <c r="AD70" s="22"/>
      <c r="AE70" s="22"/>
    </row>
    <row r="71" spans="2:31" hidden="1" x14ac:dyDescent="0.35">
      <c r="B71" s="22" t="s">
        <v>5</v>
      </c>
      <c r="C71" s="22" t="s">
        <v>101</v>
      </c>
      <c r="D71" s="22" t="s">
        <v>101</v>
      </c>
      <c r="E71" s="22" t="s">
        <v>142</v>
      </c>
      <c r="F71" s="22" t="s">
        <v>103</v>
      </c>
      <c r="G71" s="22" t="s">
        <v>104</v>
      </c>
      <c r="H71" s="22" t="s">
        <v>105</v>
      </c>
      <c r="K71" s="22" t="s">
        <v>5</v>
      </c>
      <c r="L71" s="22" t="s">
        <v>110</v>
      </c>
      <c r="M71" s="22">
        <v>1</v>
      </c>
      <c r="N71" s="22" t="s">
        <v>129</v>
      </c>
      <c r="O71" s="22">
        <v>1</v>
      </c>
      <c r="P71" s="22" t="s">
        <v>139</v>
      </c>
      <c r="Q71" s="22">
        <v>1</v>
      </c>
      <c r="R71" s="22" t="s">
        <v>121</v>
      </c>
      <c r="S71" s="22">
        <v>1</v>
      </c>
      <c r="T71" s="22" t="s">
        <v>107</v>
      </c>
      <c r="U71" s="22">
        <v>2</v>
      </c>
      <c r="V71" s="22" t="s">
        <v>108</v>
      </c>
      <c r="W71" s="22">
        <v>1</v>
      </c>
      <c r="X71" s="22"/>
      <c r="Y71" s="22"/>
      <c r="Z71" s="22"/>
      <c r="AA71" s="22"/>
      <c r="AB71" s="22"/>
      <c r="AC71" s="22"/>
      <c r="AD71" s="22"/>
      <c r="AE71" s="22"/>
    </row>
    <row r="72" spans="2:31" hidden="1" x14ac:dyDescent="0.35">
      <c r="B72" s="22" t="s">
        <v>5</v>
      </c>
      <c r="C72" s="22" t="s">
        <v>101</v>
      </c>
      <c r="D72" s="22" t="s">
        <v>101</v>
      </c>
      <c r="E72" s="22" t="s">
        <v>142</v>
      </c>
      <c r="F72" s="22" t="s">
        <v>103</v>
      </c>
      <c r="G72" s="22" t="s">
        <v>104</v>
      </c>
      <c r="H72" s="22" t="s">
        <v>105</v>
      </c>
      <c r="K72" s="22" t="s">
        <v>5</v>
      </c>
      <c r="L72" s="22" t="s">
        <v>135</v>
      </c>
      <c r="M72" s="22">
        <v>1</v>
      </c>
      <c r="N72" s="22" t="s">
        <v>107</v>
      </c>
      <c r="O72" s="22">
        <v>2</v>
      </c>
      <c r="P72" s="22" t="s">
        <v>121</v>
      </c>
      <c r="Q72" s="22">
        <v>1</v>
      </c>
      <c r="R72" s="22" t="s">
        <v>111</v>
      </c>
      <c r="S72" s="22">
        <v>1</v>
      </c>
      <c r="T72" s="22" t="s">
        <v>109</v>
      </c>
      <c r="U72" s="22">
        <v>1</v>
      </c>
      <c r="V72" s="22" t="s">
        <v>108</v>
      </c>
      <c r="W72" s="22">
        <v>1</v>
      </c>
      <c r="X72" s="22" t="s">
        <v>133</v>
      </c>
      <c r="Y72" s="22">
        <v>1</v>
      </c>
      <c r="Z72" s="22" t="s">
        <v>110</v>
      </c>
      <c r="AA72" s="22">
        <v>1</v>
      </c>
      <c r="AB72" s="22"/>
      <c r="AC72" s="22"/>
      <c r="AD72" s="22"/>
      <c r="AE72" s="22"/>
    </row>
    <row r="73" spans="2:31" hidden="1" x14ac:dyDescent="0.35">
      <c r="B73" s="22" t="s">
        <v>5</v>
      </c>
      <c r="C73" s="22" t="s">
        <v>101</v>
      </c>
      <c r="D73" s="22" t="s">
        <v>101</v>
      </c>
      <c r="E73" s="22" t="s">
        <v>142</v>
      </c>
      <c r="F73" s="22" t="s">
        <v>103</v>
      </c>
      <c r="G73" s="22" t="s">
        <v>104</v>
      </c>
      <c r="H73" s="22" t="s">
        <v>105</v>
      </c>
      <c r="K73" s="22" t="s">
        <v>5</v>
      </c>
      <c r="L73" s="22" t="s">
        <v>109</v>
      </c>
      <c r="M73" s="22">
        <v>1</v>
      </c>
      <c r="N73" s="22" t="s">
        <v>120</v>
      </c>
      <c r="O73" s="22">
        <v>1</v>
      </c>
      <c r="P73" s="22" t="s">
        <v>139</v>
      </c>
      <c r="Q73" s="22">
        <v>1</v>
      </c>
      <c r="R73" s="22" t="s">
        <v>110</v>
      </c>
      <c r="S73" s="22">
        <v>1</v>
      </c>
      <c r="T73" s="22" t="s">
        <v>121</v>
      </c>
      <c r="U73" s="22">
        <v>1</v>
      </c>
      <c r="V73" s="22" t="s">
        <v>107</v>
      </c>
      <c r="W73" s="22">
        <v>1</v>
      </c>
      <c r="X73" s="22" t="s">
        <v>108</v>
      </c>
      <c r="Y73" s="22">
        <v>1</v>
      </c>
      <c r="Z73" s="22" t="s">
        <v>129</v>
      </c>
      <c r="AA73" s="22">
        <v>1</v>
      </c>
      <c r="AB73" s="22" t="s">
        <v>133</v>
      </c>
      <c r="AC73" s="22">
        <v>1</v>
      </c>
      <c r="AD73" s="22"/>
      <c r="AE73" s="22"/>
    </row>
    <row r="74" spans="2:31" hidden="1" x14ac:dyDescent="0.35">
      <c r="B74" s="22" t="s">
        <v>5</v>
      </c>
      <c r="C74" s="22" t="s">
        <v>101</v>
      </c>
      <c r="D74" s="22" t="s">
        <v>101</v>
      </c>
      <c r="E74" s="22" t="s">
        <v>142</v>
      </c>
      <c r="F74" s="22" t="s">
        <v>103</v>
      </c>
      <c r="G74" s="22" t="s">
        <v>104</v>
      </c>
      <c r="H74" s="22" t="s">
        <v>105</v>
      </c>
      <c r="K74" s="22" t="s">
        <v>5</v>
      </c>
      <c r="L74" s="22" t="s">
        <v>110</v>
      </c>
      <c r="M74" s="22">
        <v>1</v>
      </c>
      <c r="N74" s="22" t="s">
        <v>108</v>
      </c>
      <c r="O74" s="22">
        <v>1</v>
      </c>
      <c r="P74" s="22" t="s">
        <v>107</v>
      </c>
      <c r="Q74" s="22">
        <v>2</v>
      </c>
      <c r="R74" s="22" t="s">
        <v>129</v>
      </c>
      <c r="S74" s="22">
        <v>1</v>
      </c>
      <c r="T74" s="22" t="s">
        <v>109</v>
      </c>
      <c r="U74" s="22">
        <v>1</v>
      </c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spans="2:31" hidden="1" x14ac:dyDescent="0.35">
      <c r="B75" s="22" t="s">
        <v>5</v>
      </c>
      <c r="C75" s="22" t="s">
        <v>101</v>
      </c>
      <c r="D75" s="22" t="s">
        <v>101</v>
      </c>
      <c r="E75" s="22" t="s">
        <v>142</v>
      </c>
      <c r="F75" s="22" t="s">
        <v>103</v>
      </c>
      <c r="G75" s="22" t="s">
        <v>104</v>
      </c>
      <c r="H75" s="22" t="s">
        <v>105</v>
      </c>
      <c r="K75" s="22" t="s">
        <v>5</v>
      </c>
      <c r="L75" s="22" t="s">
        <v>108</v>
      </c>
      <c r="M75" s="22">
        <v>1</v>
      </c>
      <c r="N75" s="22" t="s">
        <v>110</v>
      </c>
      <c r="O75" s="22">
        <v>1</v>
      </c>
      <c r="P75" s="22" t="s">
        <v>129</v>
      </c>
      <c r="Q75" s="22">
        <v>1</v>
      </c>
      <c r="R75" s="22" t="s">
        <v>109</v>
      </c>
      <c r="S75" s="22">
        <v>1</v>
      </c>
      <c r="T75" s="22" t="s">
        <v>107</v>
      </c>
      <c r="U75" s="22">
        <v>1</v>
      </c>
      <c r="V75" s="22" t="s">
        <v>121</v>
      </c>
      <c r="W75" s="22">
        <v>1</v>
      </c>
      <c r="X75" s="22"/>
      <c r="Y75" s="22"/>
      <c r="Z75" s="22"/>
      <c r="AA75" s="22"/>
      <c r="AB75" s="22"/>
      <c r="AC75" s="22"/>
      <c r="AD75" s="22"/>
      <c r="AE75" s="22"/>
    </row>
    <row r="76" spans="2:31" hidden="1" x14ac:dyDescent="0.35">
      <c r="B76" s="22" t="s">
        <v>5</v>
      </c>
      <c r="C76" s="22" t="s">
        <v>101</v>
      </c>
      <c r="D76" s="22" t="s">
        <v>101</v>
      </c>
      <c r="E76" s="22" t="s">
        <v>142</v>
      </c>
      <c r="F76" s="22" t="s">
        <v>103</v>
      </c>
      <c r="G76" s="22" t="s">
        <v>104</v>
      </c>
      <c r="H76" s="22" t="s">
        <v>105</v>
      </c>
      <c r="K76" s="22" t="s">
        <v>5</v>
      </c>
      <c r="L76" s="22" t="s">
        <v>129</v>
      </c>
      <c r="M76" s="22">
        <v>1</v>
      </c>
      <c r="N76" s="22" t="s">
        <v>135</v>
      </c>
      <c r="O76" s="22">
        <v>1</v>
      </c>
      <c r="P76" s="22" t="s">
        <v>175</v>
      </c>
      <c r="Q76" s="22">
        <v>1</v>
      </c>
      <c r="R76" s="22" t="s">
        <v>121</v>
      </c>
      <c r="S76" s="22">
        <v>1</v>
      </c>
      <c r="T76" s="22" t="s">
        <v>107</v>
      </c>
      <c r="U76" s="22">
        <v>1</v>
      </c>
      <c r="V76" s="22" t="s">
        <v>139</v>
      </c>
      <c r="W76" s="22">
        <v>1</v>
      </c>
      <c r="X76" s="22" t="s">
        <v>108</v>
      </c>
      <c r="Y76" s="22">
        <v>1</v>
      </c>
      <c r="Z76" s="22" t="s">
        <v>111</v>
      </c>
      <c r="AA76" s="22">
        <v>1</v>
      </c>
      <c r="AB76" s="22"/>
      <c r="AC76" s="22"/>
      <c r="AD76" s="22"/>
      <c r="AE76" s="22"/>
    </row>
    <row r="77" spans="2:31" hidden="1" x14ac:dyDescent="0.35">
      <c r="B77" s="22" t="s">
        <v>5</v>
      </c>
      <c r="C77" s="22" t="s">
        <v>101</v>
      </c>
      <c r="D77" s="22" t="s">
        <v>101</v>
      </c>
      <c r="E77" s="22" t="s">
        <v>142</v>
      </c>
      <c r="F77" s="188" t="s">
        <v>159</v>
      </c>
      <c r="G77" s="22" t="s">
        <v>104</v>
      </c>
      <c r="H77" s="22" t="s">
        <v>105</v>
      </c>
      <c r="K77" s="22" t="s">
        <v>5</v>
      </c>
      <c r="L77" s="22" t="s">
        <v>109</v>
      </c>
      <c r="M77" s="22">
        <v>1</v>
      </c>
      <c r="N77" s="22" t="s">
        <v>121</v>
      </c>
      <c r="O77" s="22">
        <v>2</v>
      </c>
      <c r="P77" s="22" t="s">
        <v>107</v>
      </c>
      <c r="Q77" s="22">
        <v>3</v>
      </c>
      <c r="R77" s="22" t="s">
        <v>108</v>
      </c>
      <c r="S77" s="22">
        <v>1</v>
      </c>
      <c r="T77" s="22" t="s">
        <v>139</v>
      </c>
      <c r="U77" s="22">
        <v>1</v>
      </c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spans="2:31" hidden="1" x14ac:dyDescent="0.35">
      <c r="B78" s="22" t="s">
        <v>5</v>
      </c>
      <c r="C78" s="22" t="s">
        <v>101</v>
      </c>
      <c r="D78" s="22" t="s">
        <v>101</v>
      </c>
      <c r="E78" s="22" t="s">
        <v>142</v>
      </c>
      <c r="F78" s="22" t="s">
        <v>103</v>
      </c>
      <c r="G78" s="188" t="s">
        <v>173</v>
      </c>
      <c r="H78" s="22" t="s">
        <v>105</v>
      </c>
      <c r="K78" s="22" t="s">
        <v>5</v>
      </c>
      <c r="L78" s="22" t="s">
        <v>110</v>
      </c>
      <c r="M78" s="22">
        <v>1</v>
      </c>
      <c r="N78" s="22" t="s">
        <v>126</v>
      </c>
      <c r="O78" s="22">
        <v>1</v>
      </c>
      <c r="P78" s="22" t="s">
        <v>107</v>
      </c>
      <c r="Q78" s="22">
        <v>1</v>
      </c>
      <c r="R78" s="22" t="s">
        <v>111</v>
      </c>
      <c r="S78" s="22">
        <v>1</v>
      </c>
      <c r="T78" s="22" t="s">
        <v>108</v>
      </c>
      <c r="U78" s="22">
        <v>1</v>
      </c>
      <c r="V78" s="22" t="s">
        <v>129</v>
      </c>
      <c r="W78" s="22">
        <v>1</v>
      </c>
      <c r="X78" s="22"/>
      <c r="Y78" s="22"/>
      <c r="Z78" s="22"/>
      <c r="AA78" s="22"/>
      <c r="AB78" s="22"/>
      <c r="AC78" s="22"/>
      <c r="AD78" s="22"/>
      <c r="AE78" s="22"/>
    </row>
    <row r="79" spans="2:31" hidden="1" x14ac:dyDescent="0.35">
      <c r="B79" s="22" t="s">
        <v>5</v>
      </c>
      <c r="C79" s="22" t="s">
        <v>101</v>
      </c>
      <c r="D79" s="22" t="s">
        <v>101</v>
      </c>
      <c r="E79" s="22" t="s">
        <v>142</v>
      </c>
      <c r="F79" s="22" t="s">
        <v>103</v>
      </c>
      <c r="G79" s="188" t="s">
        <v>173</v>
      </c>
      <c r="H79" s="22" t="s">
        <v>105</v>
      </c>
      <c r="K79" s="22" t="s">
        <v>5</v>
      </c>
      <c r="L79" s="22" t="s">
        <v>129</v>
      </c>
      <c r="M79" s="22">
        <v>1</v>
      </c>
      <c r="N79" s="22" t="s">
        <v>107</v>
      </c>
      <c r="O79" s="22">
        <v>2</v>
      </c>
      <c r="P79" s="22" t="s">
        <v>108</v>
      </c>
      <c r="Q79" s="22">
        <v>1</v>
      </c>
      <c r="R79" s="22" t="s">
        <v>156</v>
      </c>
      <c r="S79" s="22">
        <v>1</v>
      </c>
      <c r="T79" s="22" t="s">
        <v>121</v>
      </c>
      <c r="U79" s="22">
        <v>2</v>
      </c>
      <c r="V79" s="22" t="s">
        <v>175</v>
      </c>
      <c r="W79" s="22">
        <v>1</v>
      </c>
      <c r="X79" s="22" t="s">
        <v>110</v>
      </c>
      <c r="Y79" s="22">
        <v>1</v>
      </c>
      <c r="Z79" s="22" t="s">
        <v>126</v>
      </c>
      <c r="AA79" s="22">
        <v>1</v>
      </c>
      <c r="AB79" s="22"/>
      <c r="AC79" s="22"/>
      <c r="AD79" s="22"/>
      <c r="AE79" s="22"/>
    </row>
    <row r="80" spans="2:31" hidden="1" x14ac:dyDescent="0.35">
      <c r="B80" s="22" t="s">
        <v>5</v>
      </c>
      <c r="C80" s="76" t="s">
        <v>101</v>
      </c>
      <c r="D80" s="22" t="s">
        <v>101</v>
      </c>
      <c r="E80" s="76" t="s">
        <v>142</v>
      </c>
      <c r="F80" s="76" t="s">
        <v>103</v>
      </c>
      <c r="G80" s="188" t="s">
        <v>173</v>
      </c>
      <c r="H80" s="76" t="s">
        <v>105</v>
      </c>
      <c r="K80" s="22" t="s">
        <v>5</v>
      </c>
      <c r="L80" s="76" t="s">
        <v>110</v>
      </c>
      <c r="M80" s="76">
        <v>1</v>
      </c>
      <c r="N80" s="76" t="s">
        <v>121</v>
      </c>
      <c r="O80" s="76">
        <v>1</v>
      </c>
      <c r="P80" s="76" t="s">
        <v>107</v>
      </c>
      <c r="Q80" s="76">
        <v>1</v>
      </c>
      <c r="R80" s="76" t="s">
        <v>108</v>
      </c>
      <c r="S80" s="76">
        <v>1</v>
      </c>
      <c r="T80" s="76" t="s">
        <v>129</v>
      </c>
      <c r="U80" s="76">
        <v>1</v>
      </c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 spans="2:31" hidden="1" x14ac:dyDescent="0.35">
      <c r="B81" s="22" t="s">
        <v>5</v>
      </c>
      <c r="C81" s="22" t="s">
        <v>101</v>
      </c>
      <c r="D81" s="22" t="s">
        <v>101</v>
      </c>
      <c r="E81" s="22" t="s">
        <v>142</v>
      </c>
      <c r="F81" s="22" t="s">
        <v>103</v>
      </c>
      <c r="G81" s="188" t="s">
        <v>173</v>
      </c>
      <c r="H81" s="22" t="s">
        <v>105</v>
      </c>
      <c r="K81" s="22" t="s">
        <v>5</v>
      </c>
      <c r="L81" s="22" t="s">
        <v>110</v>
      </c>
      <c r="M81" s="22">
        <v>3</v>
      </c>
      <c r="N81" s="22" t="s">
        <v>107</v>
      </c>
      <c r="O81" s="22">
        <v>1</v>
      </c>
      <c r="P81" s="22" t="s">
        <v>121</v>
      </c>
      <c r="Q81" s="22">
        <v>1</v>
      </c>
      <c r="R81" s="22" t="s">
        <v>129</v>
      </c>
      <c r="S81" s="22">
        <v>1</v>
      </c>
      <c r="T81" s="22" t="s">
        <v>108</v>
      </c>
      <c r="U81" s="22">
        <v>1</v>
      </c>
      <c r="V81" s="22" t="s">
        <v>175</v>
      </c>
      <c r="W81" s="22">
        <v>1</v>
      </c>
      <c r="X81" s="22" t="s">
        <v>109</v>
      </c>
      <c r="Y81" s="22">
        <v>1</v>
      </c>
      <c r="Z81" s="22"/>
      <c r="AA81" s="22"/>
      <c r="AB81" s="22"/>
      <c r="AC81" s="22"/>
      <c r="AD81" s="22"/>
      <c r="AE81" s="22"/>
    </row>
    <row r="82" spans="2:31" hidden="1" x14ac:dyDescent="0.35">
      <c r="B82" s="22" t="s">
        <v>5</v>
      </c>
      <c r="C82" s="133" t="s">
        <v>101</v>
      </c>
      <c r="D82" s="22" t="s">
        <v>101</v>
      </c>
      <c r="E82" s="133" t="s">
        <v>142</v>
      </c>
      <c r="F82" s="133" t="s">
        <v>103</v>
      </c>
      <c r="G82" s="188" t="s">
        <v>173</v>
      </c>
      <c r="H82" s="133" t="s">
        <v>105</v>
      </c>
      <c r="K82" s="22" t="s">
        <v>5</v>
      </c>
      <c r="L82" s="133" t="s">
        <v>120</v>
      </c>
      <c r="M82" s="133">
        <v>1</v>
      </c>
      <c r="N82" s="133" t="s">
        <v>109</v>
      </c>
      <c r="O82" s="133">
        <v>1</v>
      </c>
      <c r="P82" s="133" t="s">
        <v>175</v>
      </c>
      <c r="Q82" s="133">
        <v>1</v>
      </c>
      <c r="R82" s="133" t="s">
        <v>121</v>
      </c>
      <c r="S82" s="133">
        <v>1</v>
      </c>
      <c r="T82" s="133" t="s">
        <v>108</v>
      </c>
      <c r="U82" s="133">
        <v>1</v>
      </c>
      <c r="V82" s="133" t="s">
        <v>107</v>
      </c>
      <c r="W82" s="133">
        <v>1</v>
      </c>
      <c r="X82" s="133" t="s">
        <v>126</v>
      </c>
      <c r="Y82" s="133">
        <v>1</v>
      </c>
      <c r="Z82" s="133" t="s">
        <v>110</v>
      </c>
      <c r="AA82" s="133">
        <v>1</v>
      </c>
      <c r="AB82" s="133" t="s">
        <v>129</v>
      </c>
      <c r="AC82" s="133">
        <v>1</v>
      </c>
      <c r="AD82" s="22"/>
      <c r="AE82" s="22"/>
    </row>
    <row r="83" spans="2:31" hidden="1" x14ac:dyDescent="0.35">
      <c r="B83" s="133" t="s">
        <v>5</v>
      </c>
      <c r="C83" s="133" t="s">
        <v>101</v>
      </c>
      <c r="D83" s="133" t="s">
        <v>101</v>
      </c>
      <c r="E83" s="133" t="s">
        <v>142</v>
      </c>
      <c r="F83" s="133" t="s">
        <v>103</v>
      </c>
      <c r="G83" s="133" t="s">
        <v>104</v>
      </c>
      <c r="H83" s="133" t="s">
        <v>105</v>
      </c>
      <c r="K83" s="133" t="s">
        <v>5</v>
      </c>
      <c r="L83" s="133" t="s">
        <v>107</v>
      </c>
      <c r="M83" s="133">
        <v>1</v>
      </c>
      <c r="N83" s="133" t="s">
        <v>121</v>
      </c>
      <c r="O83" s="133">
        <v>1</v>
      </c>
      <c r="P83" s="133" t="s">
        <v>175</v>
      </c>
      <c r="Q83" s="133">
        <v>1</v>
      </c>
      <c r="R83" s="133" t="s">
        <v>108</v>
      </c>
      <c r="S83" s="133">
        <v>1</v>
      </c>
      <c r="T83" s="133" t="s">
        <v>129</v>
      </c>
      <c r="U83" s="133">
        <v>1</v>
      </c>
      <c r="V83" s="133" t="s">
        <v>109</v>
      </c>
      <c r="W83" s="133">
        <v>1</v>
      </c>
      <c r="X83" s="133" t="s">
        <v>110</v>
      </c>
      <c r="Y83" s="133">
        <v>1</v>
      </c>
      <c r="Z83" s="22"/>
      <c r="AA83" s="22"/>
      <c r="AB83" s="22"/>
      <c r="AC83" s="22"/>
      <c r="AD83" s="22"/>
      <c r="AE83" s="22"/>
    </row>
    <row r="84" spans="2:31" hidden="1" x14ac:dyDescent="0.35">
      <c r="B84" s="133" t="s">
        <v>5</v>
      </c>
      <c r="C84" s="76" t="s">
        <v>101</v>
      </c>
      <c r="D84" s="76" t="s">
        <v>101</v>
      </c>
      <c r="E84" s="76" t="s">
        <v>142</v>
      </c>
      <c r="F84" s="76" t="s">
        <v>103</v>
      </c>
      <c r="G84" s="76" t="s">
        <v>104</v>
      </c>
      <c r="H84" s="76" t="s">
        <v>105</v>
      </c>
      <c r="K84" s="133" t="s">
        <v>5</v>
      </c>
      <c r="L84" s="133" t="s">
        <v>109</v>
      </c>
      <c r="M84" s="133">
        <v>1</v>
      </c>
      <c r="N84" s="133" t="s">
        <v>120</v>
      </c>
      <c r="O84" s="133">
        <v>1</v>
      </c>
      <c r="P84" s="133" t="s">
        <v>121</v>
      </c>
      <c r="Q84" s="133">
        <v>1</v>
      </c>
      <c r="R84" s="133" t="s">
        <v>107</v>
      </c>
      <c r="S84" s="133">
        <v>1</v>
      </c>
      <c r="T84" s="133" t="s">
        <v>108</v>
      </c>
      <c r="U84" s="133">
        <v>1</v>
      </c>
      <c r="V84" s="133" t="s">
        <v>129</v>
      </c>
      <c r="W84" s="133">
        <v>1</v>
      </c>
      <c r="X84" s="133" t="s">
        <v>110</v>
      </c>
      <c r="Y84" s="133">
        <v>1</v>
      </c>
      <c r="Z84" s="22"/>
      <c r="AA84" s="22">
        <v>0</v>
      </c>
      <c r="AB84" s="22"/>
      <c r="AC84" s="22"/>
      <c r="AD84" s="22"/>
      <c r="AE84" s="22"/>
    </row>
    <row r="85" spans="2:31" hidden="1" x14ac:dyDescent="0.35">
      <c r="B85" s="76" t="s">
        <v>4</v>
      </c>
      <c r="C85" s="188" t="s">
        <v>119</v>
      </c>
      <c r="D85" s="76" t="s">
        <v>101</v>
      </c>
      <c r="E85" s="76" t="s">
        <v>142</v>
      </c>
      <c r="F85" s="76" t="s">
        <v>159</v>
      </c>
      <c r="G85" s="76" t="s">
        <v>173</v>
      </c>
      <c r="H85" s="76" t="s">
        <v>105</v>
      </c>
      <c r="K85" s="76" t="s">
        <v>4</v>
      </c>
      <c r="L85" s="76" t="s">
        <v>129</v>
      </c>
      <c r="M85" s="76">
        <v>1</v>
      </c>
      <c r="N85" s="76" t="s">
        <v>108</v>
      </c>
      <c r="O85" s="76">
        <v>1</v>
      </c>
      <c r="P85" s="76" t="s">
        <v>107</v>
      </c>
      <c r="Q85" s="76">
        <v>1</v>
      </c>
      <c r="R85" s="76" t="s">
        <v>121</v>
      </c>
      <c r="S85" s="76">
        <v>1</v>
      </c>
      <c r="T85" s="76" t="s">
        <v>110</v>
      </c>
      <c r="U85" s="76">
        <v>1</v>
      </c>
      <c r="V85" s="76" t="s">
        <v>126</v>
      </c>
      <c r="W85" s="76">
        <v>1</v>
      </c>
      <c r="X85" s="76" t="s">
        <v>111</v>
      </c>
      <c r="Y85" s="76">
        <v>1</v>
      </c>
      <c r="Z85" s="76" t="s">
        <v>109</v>
      </c>
      <c r="AA85" s="76">
        <v>1</v>
      </c>
      <c r="AB85" s="22"/>
      <c r="AC85" s="22"/>
      <c r="AD85" s="22"/>
      <c r="AE85" s="22"/>
    </row>
    <row r="86" spans="2:31" hidden="1" x14ac:dyDescent="0.35">
      <c r="B86" s="133" t="s">
        <v>4</v>
      </c>
      <c r="C86" s="133" t="s">
        <v>101</v>
      </c>
      <c r="D86" s="133" t="s">
        <v>101</v>
      </c>
      <c r="E86" s="188" t="s">
        <v>102</v>
      </c>
      <c r="F86" s="133" t="s">
        <v>159</v>
      </c>
      <c r="G86" s="133" t="s">
        <v>173</v>
      </c>
      <c r="H86" s="133" t="s">
        <v>174</v>
      </c>
      <c r="K86" s="133" t="s">
        <v>4</v>
      </c>
      <c r="L86" s="133" t="s">
        <v>110</v>
      </c>
      <c r="M86" s="133">
        <v>1</v>
      </c>
      <c r="N86" s="133" t="s">
        <v>109</v>
      </c>
      <c r="O86" s="133">
        <v>1</v>
      </c>
      <c r="P86" s="133" t="s">
        <v>107</v>
      </c>
      <c r="Q86" s="133">
        <v>2</v>
      </c>
      <c r="R86" s="133" t="s">
        <v>126</v>
      </c>
      <c r="S86" s="133">
        <v>1</v>
      </c>
      <c r="T86" s="133" t="s">
        <v>108</v>
      </c>
      <c r="U86" s="133">
        <v>1</v>
      </c>
      <c r="V86" s="133" t="s">
        <v>121</v>
      </c>
      <c r="W86" s="133">
        <v>1</v>
      </c>
      <c r="X86" s="133" t="s">
        <v>129</v>
      </c>
      <c r="Y86" s="133">
        <v>1</v>
      </c>
      <c r="Z86" s="133" t="s">
        <v>111</v>
      </c>
      <c r="AA86" s="133">
        <v>1</v>
      </c>
      <c r="AB86" s="22"/>
      <c r="AC86" s="22"/>
      <c r="AD86" s="22"/>
      <c r="AE86" s="22"/>
    </row>
    <row r="87" spans="2:31" hidden="1" x14ac:dyDescent="0.35">
      <c r="B87" s="133" t="s">
        <v>4</v>
      </c>
      <c r="C87" s="133" t="s">
        <v>101</v>
      </c>
      <c r="D87" s="133" t="s">
        <v>101</v>
      </c>
      <c r="E87" s="133" t="s">
        <v>142</v>
      </c>
      <c r="F87" s="133" t="s">
        <v>159</v>
      </c>
      <c r="G87" s="133" t="s">
        <v>173</v>
      </c>
      <c r="H87" s="133" t="s">
        <v>174</v>
      </c>
      <c r="K87" s="133" t="s">
        <v>4</v>
      </c>
      <c r="L87" s="133" t="s">
        <v>129</v>
      </c>
      <c r="M87" s="133">
        <v>1</v>
      </c>
      <c r="N87" s="133" t="s">
        <v>108</v>
      </c>
      <c r="O87" s="133">
        <v>1</v>
      </c>
      <c r="P87" s="133" t="s">
        <v>175</v>
      </c>
      <c r="Q87" s="133">
        <v>1</v>
      </c>
      <c r="R87" s="22" t="s">
        <v>139</v>
      </c>
      <c r="S87" s="22">
        <v>1</v>
      </c>
      <c r="T87" s="133" t="s">
        <v>121</v>
      </c>
      <c r="U87" s="133">
        <v>1</v>
      </c>
      <c r="V87" s="133" t="s">
        <v>107</v>
      </c>
      <c r="W87" s="133">
        <v>1</v>
      </c>
      <c r="X87" s="133" t="s">
        <v>126</v>
      </c>
      <c r="Y87" s="133">
        <v>1</v>
      </c>
      <c r="Z87" s="133" t="s">
        <v>109</v>
      </c>
      <c r="AA87" s="133">
        <v>1</v>
      </c>
      <c r="AB87" s="133" t="s">
        <v>110</v>
      </c>
      <c r="AC87" s="133">
        <v>1</v>
      </c>
      <c r="AD87" s="22"/>
      <c r="AE87" s="22"/>
    </row>
    <row r="88" spans="2:31" hidden="1" x14ac:dyDescent="0.35">
      <c r="B88" s="22" t="s">
        <v>4</v>
      </c>
      <c r="C88" s="22" t="s">
        <v>101</v>
      </c>
      <c r="D88" s="22" t="s">
        <v>101</v>
      </c>
      <c r="E88" s="22" t="s">
        <v>142</v>
      </c>
      <c r="F88" s="22" t="s">
        <v>159</v>
      </c>
      <c r="G88" s="22" t="s">
        <v>173</v>
      </c>
      <c r="H88" s="22" t="s">
        <v>174</v>
      </c>
      <c r="K88" s="22" t="s">
        <v>4</v>
      </c>
      <c r="L88" s="22" t="s">
        <v>121</v>
      </c>
      <c r="M88" s="22">
        <v>1</v>
      </c>
      <c r="N88" s="22" t="s">
        <v>107</v>
      </c>
      <c r="O88" s="22">
        <v>1</v>
      </c>
      <c r="P88" s="22" t="s">
        <v>108</v>
      </c>
      <c r="Q88" s="22">
        <v>2</v>
      </c>
      <c r="R88" s="22" t="s">
        <v>129</v>
      </c>
      <c r="S88" s="22">
        <v>1</v>
      </c>
      <c r="T88" s="22" t="s">
        <v>110</v>
      </c>
      <c r="U88" s="22">
        <v>1</v>
      </c>
      <c r="V88" s="22" t="s">
        <v>109</v>
      </c>
      <c r="W88" s="22">
        <v>1</v>
      </c>
      <c r="X88" s="22" t="s">
        <v>135</v>
      </c>
      <c r="Y88" s="22">
        <v>1</v>
      </c>
      <c r="Z88" s="22" t="s">
        <v>139</v>
      </c>
      <c r="AA88" s="22">
        <v>1</v>
      </c>
      <c r="AB88" s="22" t="s">
        <v>111</v>
      </c>
      <c r="AC88" s="22">
        <v>1</v>
      </c>
      <c r="AD88" s="22"/>
      <c r="AE88" s="22"/>
    </row>
    <row r="89" spans="2:31" hidden="1" x14ac:dyDescent="0.35">
      <c r="B89" s="76" t="s">
        <v>4</v>
      </c>
      <c r="C89" s="76" t="s">
        <v>101</v>
      </c>
      <c r="D89" s="76" t="s">
        <v>101</v>
      </c>
      <c r="E89" s="22" t="s">
        <v>142</v>
      </c>
      <c r="F89" s="76" t="s">
        <v>159</v>
      </c>
      <c r="G89" s="22" t="s">
        <v>173</v>
      </c>
      <c r="H89" s="76" t="s">
        <v>174</v>
      </c>
      <c r="K89" s="76" t="s">
        <v>4</v>
      </c>
      <c r="L89" s="76" t="s">
        <v>110</v>
      </c>
      <c r="M89" s="76">
        <v>1</v>
      </c>
      <c r="N89" s="76" t="s">
        <v>129</v>
      </c>
      <c r="O89" s="76">
        <v>1</v>
      </c>
      <c r="P89" s="76" t="s">
        <v>111</v>
      </c>
      <c r="Q89" s="76">
        <v>1</v>
      </c>
      <c r="R89" s="76" t="s">
        <v>107</v>
      </c>
      <c r="S89" s="76">
        <v>1</v>
      </c>
      <c r="T89" s="76" t="s">
        <v>108</v>
      </c>
      <c r="U89" s="76">
        <v>1</v>
      </c>
      <c r="V89" s="76" t="s">
        <v>109</v>
      </c>
      <c r="W89" s="76">
        <v>1</v>
      </c>
      <c r="X89" s="76" t="s">
        <v>126</v>
      </c>
      <c r="Y89" s="76">
        <v>2</v>
      </c>
      <c r="Z89" s="76" t="s">
        <v>133</v>
      </c>
      <c r="AA89" s="76">
        <v>3</v>
      </c>
      <c r="AB89" s="22"/>
      <c r="AC89" s="22"/>
      <c r="AD89" s="22"/>
      <c r="AE89" s="22"/>
    </row>
    <row r="90" spans="2:31" hidden="1" x14ac:dyDescent="0.35">
      <c r="B90" s="22" t="s">
        <v>4</v>
      </c>
      <c r="C90" s="22" t="s">
        <v>101</v>
      </c>
      <c r="D90" s="22" t="s">
        <v>101</v>
      </c>
      <c r="E90" s="22" t="s">
        <v>142</v>
      </c>
      <c r="F90" s="22" t="s">
        <v>159</v>
      </c>
      <c r="G90" s="22" t="s">
        <v>173</v>
      </c>
      <c r="H90" s="22" t="s">
        <v>174</v>
      </c>
      <c r="K90" s="22" t="s">
        <v>4</v>
      </c>
      <c r="L90" s="22" t="s">
        <v>108</v>
      </c>
      <c r="M90" s="22">
        <v>1</v>
      </c>
      <c r="N90" s="22" t="s">
        <v>121</v>
      </c>
      <c r="O90" s="22">
        <v>1</v>
      </c>
      <c r="P90" s="22" t="s">
        <v>129</v>
      </c>
      <c r="Q90" s="22">
        <v>1</v>
      </c>
      <c r="R90" s="22" t="s">
        <v>110</v>
      </c>
      <c r="S90" s="22">
        <v>1</v>
      </c>
      <c r="T90" s="22" t="s">
        <v>107</v>
      </c>
      <c r="U90" s="22">
        <v>1</v>
      </c>
      <c r="V90" s="22"/>
      <c r="W90" s="22">
        <v>0</v>
      </c>
      <c r="X90" s="22"/>
      <c r="Y90" s="22">
        <v>0</v>
      </c>
      <c r="Z90" s="22"/>
      <c r="AA90" s="22">
        <v>0</v>
      </c>
      <c r="AB90" s="22"/>
      <c r="AC90" s="22"/>
      <c r="AD90" s="22"/>
      <c r="AE90" s="22"/>
    </row>
    <row r="91" spans="2:31" hidden="1" x14ac:dyDescent="0.35">
      <c r="B91" s="22" t="s">
        <v>4</v>
      </c>
      <c r="C91" s="22" t="s">
        <v>101</v>
      </c>
      <c r="D91" s="22" t="s">
        <v>101</v>
      </c>
      <c r="E91" s="188" t="s">
        <v>102</v>
      </c>
      <c r="F91" s="22" t="s">
        <v>159</v>
      </c>
      <c r="G91" s="22" t="s">
        <v>173</v>
      </c>
      <c r="H91" s="22" t="s">
        <v>174</v>
      </c>
      <c r="K91" s="22" t="s">
        <v>4</v>
      </c>
      <c r="L91" s="22" t="s">
        <v>121</v>
      </c>
      <c r="M91" s="22">
        <v>2</v>
      </c>
      <c r="N91" s="22" t="s">
        <v>107</v>
      </c>
      <c r="O91" s="22">
        <v>2</v>
      </c>
      <c r="P91" s="22" t="s">
        <v>129</v>
      </c>
      <c r="Q91" s="22">
        <v>1</v>
      </c>
      <c r="R91" s="22" t="s">
        <v>108</v>
      </c>
      <c r="S91" s="22">
        <v>2</v>
      </c>
      <c r="T91" s="22" t="s">
        <v>110</v>
      </c>
      <c r="U91" s="22">
        <v>1</v>
      </c>
      <c r="V91" s="22" t="s">
        <v>151</v>
      </c>
      <c r="W91" s="22">
        <v>1</v>
      </c>
      <c r="X91" s="22" t="s">
        <v>175</v>
      </c>
      <c r="Y91" s="22">
        <v>1</v>
      </c>
      <c r="Z91" s="22" t="s">
        <v>167</v>
      </c>
      <c r="AA91" s="22">
        <v>1</v>
      </c>
      <c r="AB91" s="22"/>
      <c r="AC91" s="22"/>
      <c r="AD91" s="22"/>
      <c r="AE91" s="22"/>
    </row>
    <row r="92" spans="2:31" hidden="1" x14ac:dyDescent="0.35">
      <c r="B92" s="22" t="s">
        <v>4</v>
      </c>
      <c r="C92" s="188" t="s">
        <v>119</v>
      </c>
      <c r="D92" s="22" t="s">
        <v>101</v>
      </c>
      <c r="E92" s="22" t="s">
        <v>142</v>
      </c>
      <c r="F92" s="22" t="s">
        <v>159</v>
      </c>
      <c r="G92" s="22" t="s">
        <v>173</v>
      </c>
      <c r="H92" s="22" t="s">
        <v>174</v>
      </c>
      <c r="K92" s="22" t="s">
        <v>4</v>
      </c>
      <c r="L92" s="76" t="s">
        <v>107</v>
      </c>
      <c r="M92" s="76">
        <v>1</v>
      </c>
      <c r="N92" s="76" t="s">
        <v>108</v>
      </c>
      <c r="O92" s="76">
        <v>1</v>
      </c>
      <c r="P92" s="76" t="s">
        <v>129</v>
      </c>
      <c r="Q92" s="76">
        <v>1</v>
      </c>
      <c r="R92" s="76" t="s">
        <v>110</v>
      </c>
      <c r="S92" s="76">
        <v>1</v>
      </c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spans="2:31" hidden="1" x14ac:dyDescent="0.35">
      <c r="B93" s="76" t="s">
        <v>4</v>
      </c>
      <c r="C93" s="76" t="s">
        <v>101</v>
      </c>
      <c r="D93" s="76" t="s">
        <v>101</v>
      </c>
      <c r="E93" s="76" t="s">
        <v>142</v>
      </c>
      <c r="F93" s="76" t="s">
        <v>159</v>
      </c>
      <c r="G93" s="76" t="s">
        <v>173</v>
      </c>
      <c r="H93" s="76" t="s">
        <v>174</v>
      </c>
      <c r="K93" s="76" t="s">
        <v>4</v>
      </c>
      <c r="L93" s="76" t="s">
        <v>109</v>
      </c>
      <c r="M93" s="76">
        <v>1</v>
      </c>
      <c r="N93" s="76" t="s">
        <v>108</v>
      </c>
      <c r="O93" s="76">
        <v>1</v>
      </c>
      <c r="P93" s="76" t="s">
        <v>121</v>
      </c>
      <c r="Q93" s="76">
        <v>2</v>
      </c>
      <c r="R93" s="76" t="s">
        <v>107</v>
      </c>
      <c r="S93" s="76">
        <v>4</v>
      </c>
      <c r="T93" s="76" t="s">
        <v>111</v>
      </c>
      <c r="U93" s="76">
        <v>2</v>
      </c>
      <c r="V93" s="76" t="s">
        <v>167</v>
      </c>
      <c r="W93" s="76">
        <v>1</v>
      </c>
      <c r="X93" s="76" t="s">
        <v>110</v>
      </c>
      <c r="Y93" s="76">
        <v>1</v>
      </c>
      <c r="Z93" s="76" t="s">
        <v>175</v>
      </c>
      <c r="AA93" s="76">
        <v>1</v>
      </c>
      <c r="AB93" s="76" t="s">
        <v>135</v>
      </c>
      <c r="AC93" s="76">
        <v>1</v>
      </c>
      <c r="AD93" s="22"/>
      <c r="AE93" s="22"/>
    </row>
    <row r="94" spans="2:31" hidden="1" x14ac:dyDescent="0.35">
      <c r="B94" s="22" t="s">
        <v>4</v>
      </c>
      <c r="C94" s="22" t="s">
        <v>101</v>
      </c>
      <c r="D94" s="22" t="s">
        <v>101</v>
      </c>
      <c r="E94" s="22" t="s">
        <v>142</v>
      </c>
      <c r="F94" s="22" t="s">
        <v>159</v>
      </c>
      <c r="G94" s="22" t="s">
        <v>173</v>
      </c>
      <c r="H94" s="22" t="s">
        <v>174</v>
      </c>
      <c r="K94" s="22" t="s">
        <v>4</v>
      </c>
      <c r="L94" s="22" t="s">
        <v>110</v>
      </c>
      <c r="M94" s="22">
        <v>1</v>
      </c>
      <c r="N94" s="22" t="s">
        <v>108</v>
      </c>
      <c r="O94" s="22">
        <v>1</v>
      </c>
      <c r="P94" s="22" t="s">
        <v>109</v>
      </c>
      <c r="Q94" s="22">
        <v>1</v>
      </c>
      <c r="R94" s="22" t="s">
        <v>107</v>
      </c>
      <c r="S94" s="22">
        <v>1</v>
      </c>
      <c r="T94" s="22" t="s">
        <v>120</v>
      </c>
      <c r="U94" s="22">
        <v>1</v>
      </c>
      <c r="V94" s="22" t="s">
        <v>129</v>
      </c>
      <c r="W94" s="22">
        <v>1</v>
      </c>
      <c r="X94" s="22"/>
      <c r="Y94" s="22">
        <v>0</v>
      </c>
      <c r="Z94" s="22"/>
      <c r="AA94" s="22">
        <v>0</v>
      </c>
      <c r="AB94" s="22"/>
      <c r="AC94" s="22"/>
      <c r="AD94" s="22"/>
      <c r="AE94" s="22"/>
    </row>
    <row r="95" spans="2:31" hidden="1" x14ac:dyDescent="0.35">
      <c r="B95" s="133" t="s">
        <v>4</v>
      </c>
      <c r="C95" s="133" t="s">
        <v>101</v>
      </c>
      <c r="D95" s="133" t="s">
        <v>101</v>
      </c>
      <c r="E95" s="133" t="s">
        <v>142</v>
      </c>
      <c r="F95" s="133" t="s">
        <v>159</v>
      </c>
      <c r="G95" s="133" t="s">
        <v>173</v>
      </c>
      <c r="H95" s="133" t="s">
        <v>174</v>
      </c>
      <c r="K95" s="133" t="s">
        <v>4</v>
      </c>
      <c r="L95" s="133" t="s">
        <v>167</v>
      </c>
      <c r="M95" s="133">
        <v>1</v>
      </c>
      <c r="N95" s="133" t="s">
        <v>108</v>
      </c>
      <c r="O95" s="133">
        <v>1</v>
      </c>
      <c r="P95" s="133" t="s">
        <v>107</v>
      </c>
      <c r="Q95" s="133">
        <v>1</v>
      </c>
      <c r="R95" s="133" t="s">
        <v>121</v>
      </c>
      <c r="S95" s="133">
        <v>2</v>
      </c>
      <c r="T95" s="133" t="s">
        <v>135</v>
      </c>
      <c r="U95" s="133">
        <v>1</v>
      </c>
      <c r="V95" s="133" t="s">
        <v>109</v>
      </c>
      <c r="W95" s="133">
        <v>1</v>
      </c>
      <c r="X95" s="133" t="s">
        <v>110</v>
      </c>
      <c r="Y95" s="133">
        <v>1</v>
      </c>
      <c r="Z95" s="22"/>
      <c r="AA95" s="22">
        <v>0</v>
      </c>
      <c r="AB95" s="22"/>
      <c r="AC95" s="22"/>
      <c r="AD95" s="22"/>
      <c r="AE95" s="22"/>
    </row>
    <row r="96" spans="2:31" hidden="1" x14ac:dyDescent="0.35">
      <c r="B96" s="133" t="s">
        <v>4</v>
      </c>
      <c r="C96" s="133" t="s">
        <v>101</v>
      </c>
      <c r="D96" s="133" t="s">
        <v>101</v>
      </c>
      <c r="E96" s="133" t="s">
        <v>142</v>
      </c>
      <c r="F96" s="133" t="s">
        <v>159</v>
      </c>
      <c r="G96" s="133" t="s">
        <v>173</v>
      </c>
      <c r="H96" s="133" t="s">
        <v>174</v>
      </c>
      <c r="K96" s="133" t="s">
        <v>4</v>
      </c>
      <c r="L96" s="133" t="s">
        <v>121</v>
      </c>
      <c r="M96" s="133">
        <v>2</v>
      </c>
      <c r="N96" s="133" t="s">
        <v>151</v>
      </c>
      <c r="O96" s="133">
        <v>1</v>
      </c>
      <c r="P96" s="133" t="s">
        <v>107</v>
      </c>
      <c r="Q96" s="133">
        <v>1</v>
      </c>
      <c r="R96" s="133" t="s">
        <v>108</v>
      </c>
      <c r="S96" s="133">
        <v>1</v>
      </c>
      <c r="T96" s="133" t="s">
        <v>109</v>
      </c>
      <c r="U96" s="133">
        <v>1</v>
      </c>
      <c r="V96" s="133" t="s">
        <v>111</v>
      </c>
      <c r="W96" s="133">
        <v>2</v>
      </c>
      <c r="X96" s="133" t="s">
        <v>110</v>
      </c>
      <c r="Y96" s="133">
        <v>1</v>
      </c>
      <c r="Z96" s="133" t="s">
        <v>167</v>
      </c>
      <c r="AA96" s="133">
        <v>1</v>
      </c>
      <c r="AB96" s="133" t="s">
        <v>175</v>
      </c>
      <c r="AC96" s="133">
        <v>1</v>
      </c>
      <c r="AD96" s="22" t="s">
        <v>135</v>
      </c>
      <c r="AE96" s="22">
        <v>1</v>
      </c>
    </row>
    <row r="97" spans="2:31" hidden="1" x14ac:dyDescent="0.35">
      <c r="B97" s="76" t="s">
        <v>4</v>
      </c>
      <c r="C97" s="76" t="s">
        <v>101</v>
      </c>
      <c r="D97" s="76" t="s">
        <v>101</v>
      </c>
      <c r="E97" s="76" t="s">
        <v>142</v>
      </c>
      <c r="F97" s="76" t="s">
        <v>159</v>
      </c>
      <c r="G97" s="76" t="s">
        <v>173</v>
      </c>
      <c r="H97" s="76" t="s">
        <v>174</v>
      </c>
      <c r="K97" s="76" t="s">
        <v>4</v>
      </c>
      <c r="L97" s="76" t="s">
        <v>110</v>
      </c>
      <c r="M97" s="76">
        <v>1</v>
      </c>
      <c r="N97" s="76" t="s">
        <v>107</v>
      </c>
      <c r="O97" s="76">
        <v>1</v>
      </c>
      <c r="P97" s="76" t="s">
        <v>121</v>
      </c>
      <c r="Q97" s="76">
        <v>1</v>
      </c>
      <c r="R97" s="22" t="s">
        <v>139</v>
      </c>
      <c r="S97" s="22">
        <v>1</v>
      </c>
      <c r="T97" s="76" t="s">
        <v>129</v>
      </c>
      <c r="U97" s="76">
        <v>1</v>
      </c>
      <c r="V97" s="76" t="s">
        <v>108</v>
      </c>
      <c r="W97" s="76">
        <v>1</v>
      </c>
      <c r="X97" s="76" t="s">
        <v>109</v>
      </c>
      <c r="Y97" s="76">
        <v>1</v>
      </c>
      <c r="Z97" s="22"/>
      <c r="AA97" s="22"/>
      <c r="AB97" s="22"/>
      <c r="AC97" s="22"/>
      <c r="AD97" s="22"/>
      <c r="AE97" s="22"/>
    </row>
    <row r="98" spans="2:31" hidden="1" x14ac:dyDescent="0.35">
      <c r="B98" s="92" t="s">
        <v>4</v>
      </c>
      <c r="C98" s="92" t="s">
        <v>101</v>
      </c>
      <c r="D98" s="92" t="s">
        <v>101</v>
      </c>
      <c r="E98" s="92" t="s">
        <v>142</v>
      </c>
      <c r="F98" s="92" t="s">
        <v>159</v>
      </c>
      <c r="G98" s="92" t="s">
        <v>173</v>
      </c>
      <c r="H98" s="92" t="s">
        <v>174</v>
      </c>
      <c r="K98" s="92" t="s">
        <v>4</v>
      </c>
      <c r="L98" s="92" t="s">
        <v>110</v>
      </c>
      <c r="M98" s="92">
        <v>1</v>
      </c>
      <c r="N98" s="92" t="s">
        <v>107</v>
      </c>
      <c r="O98" s="92">
        <v>2</v>
      </c>
      <c r="P98" s="92" t="s">
        <v>129</v>
      </c>
      <c r="Q98" s="92">
        <v>1</v>
      </c>
      <c r="R98" s="92" t="s">
        <v>121</v>
      </c>
      <c r="S98" s="92">
        <v>1</v>
      </c>
      <c r="T98" s="92" t="s">
        <v>139</v>
      </c>
      <c r="U98" s="92">
        <v>1</v>
      </c>
      <c r="V98" s="92" t="s">
        <v>151</v>
      </c>
      <c r="W98" s="92">
        <v>1</v>
      </c>
      <c r="X98" s="92" t="s">
        <v>175</v>
      </c>
      <c r="Y98" s="92">
        <v>1</v>
      </c>
      <c r="Z98" s="92" t="s">
        <v>108</v>
      </c>
      <c r="AA98" s="92">
        <v>1</v>
      </c>
      <c r="AB98" s="92"/>
      <c r="AC98" s="92"/>
      <c r="AD98" s="92"/>
      <c r="AE98" s="92"/>
    </row>
    <row r="99" spans="2:31" hidden="1" x14ac:dyDescent="0.35">
      <c r="B99" s="22" t="s">
        <v>4</v>
      </c>
      <c r="C99" s="22" t="s">
        <v>101</v>
      </c>
      <c r="D99" s="22" t="s">
        <v>101</v>
      </c>
      <c r="E99" s="22" t="s">
        <v>142</v>
      </c>
      <c r="F99" s="22" t="s">
        <v>159</v>
      </c>
      <c r="G99" s="22" t="s">
        <v>173</v>
      </c>
      <c r="H99" s="22" t="s">
        <v>174</v>
      </c>
      <c r="K99" s="22" t="s">
        <v>4</v>
      </c>
      <c r="L99" s="22" t="s">
        <v>109</v>
      </c>
      <c r="M99" s="22">
        <v>1</v>
      </c>
      <c r="N99" s="22" t="s">
        <v>135</v>
      </c>
      <c r="O99" s="22">
        <v>1</v>
      </c>
      <c r="P99" s="22" t="s">
        <v>129</v>
      </c>
      <c r="Q99" s="22">
        <v>1</v>
      </c>
      <c r="R99" s="22" t="s">
        <v>121</v>
      </c>
      <c r="S99" s="22">
        <v>1</v>
      </c>
      <c r="T99" s="22" t="s">
        <v>107</v>
      </c>
      <c r="U99" s="22">
        <v>1</v>
      </c>
      <c r="V99" s="22" t="s">
        <v>108</v>
      </c>
      <c r="W99" s="22">
        <v>2</v>
      </c>
      <c r="X99" s="22" t="s">
        <v>110</v>
      </c>
      <c r="Y99" s="22">
        <v>1</v>
      </c>
      <c r="Z99" s="22"/>
      <c r="AA99" s="22"/>
      <c r="AB99" s="22"/>
      <c r="AC99" s="22"/>
      <c r="AD99" s="22"/>
      <c r="AE99" s="22"/>
    </row>
    <row r="100" spans="2:31" hidden="1" x14ac:dyDescent="0.35">
      <c r="B100" s="22" t="s">
        <v>4</v>
      </c>
      <c r="C100" s="22" t="s">
        <v>101</v>
      </c>
      <c r="D100" s="22" t="s">
        <v>101</v>
      </c>
      <c r="E100" s="22" t="s">
        <v>142</v>
      </c>
      <c r="F100" s="22" t="s">
        <v>159</v>
      </c>
      <c r="G100" s="22" t="s">
        <v>173</v>
      </c>
      <c r="H100" s="22" t="s">
        <v>174</v>
      </c>
      <c r="K100" s="22" t="s">
        <v>4</v>
      </c>
      <c r="L100" s="22" t="s">
        <v>107</v>
      </c>
      <c r="M100" s="22">
        <v>2</v>
      </c>
      <c r="N100" s="22" t="s">
        <v>129</v>
      </c>
      <c r="O100" s="22">
        <v>1</v>
      </c>
      <c r="P100" s="22" t="s">
        <v>121</v>
      </c>
      <c r="Q100" s="22">
        <v>2</v>
      </c>
      <c r="R100" s="22" t="s">
        <v>108</v>
      </c>
      <c r="S100" s="22">
        <v>1</v>
      </c>
      <c r="T100" s="22" t="s">
        <v>109</v>
      </c>
      <c r="U100" s="22">
        <v>1</v>
      </c>
      <c r="V100" s="22" t="s">
        <v>133</v>
      </c>
      <c r="W100" s="22">
        <v>1</v>
      </c>
      <c r="X100" s="22" t="s">
        <v>110</v>
      </c>
      <c r="Y100" s="22">
        <v>1</v>
      </c>
      <c r="Z100" s="22"/>
      <c r="AA100" s="22"/>
      <c r="AB100" s="22"/>
      <c r="AC100" s="22"/>
      <c r="AD100" s="22"/>
      <c r="AE100" s="22"/>
    </row>
    <row r="101" spans="2:31" hidden="1" x14ac:dyDescent="0.35">
      <c r="B101" s="22" t="s">
        <v>4</v>
      </c>
      <c r="C101" s="22" t="s">
        <v>101</v>
      </c>
      <c r="D101" s="22" t="s">
        <v>101</v>
      </c>
      <c r="E101" s="22" t="s">
        <v>142</v>
      </c>
      <c r="F101" s="22" t="s">
        <v>159</v>
      </c>
      <c r="G101" s="22" t="s">
        <v>173</v>
      </c>
      <c r="H101" s="22" t="s">
        <v>174</v>
      </c>
      <c r="K101" s="22" t="s">
        <v>4</v>
      </c>
      <c r="L101" s="22" t="s">
        <v>129</v>
      </c>
      <c r="M101" s="22">
        <v>1</v>
      </c>
      <c r="N101" s="22" t="s">
        <v>120</v>
      </c>
      <c r="O101" s="22">
        <v>1</v>
      </c>
      <c r="P101" s="22" t="s">
        <v>108</v>
      </c>
      <c r="Q101" s="22">
        <v>1</v>
      </c>
      <c r="R101" s="22" t="s">
        <v>107</v>
      </c>
      <c r="S101" s="22">
        <v>1</v>
      </c>
      <c r="T101" s="22" t="s">
        <v>121</v>
      </c>
      <c r="U101" s="22">
        <v>1</v>
      </c>
      <c r="V101" s="22" t="s">
        <v>109</v>
      </c>
      <c r="W101" s="22">
        <v>1</v>
      </c>
      <c r="X101" s="22" t="s">
        <v>110</v>
      </c>
      <c r="Y101" s="22">
        <v>1</v>
      </c>
      <c r="Z101" s="22"/>
      <c r="AA101" s="22"/>
      <c r="AB101" s="22"/>
      <c r="AC101" s="22"/>
      <c r="AD101" s="22"/>
      <c r="AE101" s="22"/>
    </row>
    <row r="102" spans="2:31" hidden="1" x14ac:dyDescent="0.35">
      <c r="B102" s="22" t="s">
        <v>4</v>
      </c>
      <c r="C102" s="22" t="s">
        <v>101</v>
      </c>
      <c r="D102" s="22" t="s">
        <v>101</v>
      </c>
      <c r="E102" s="22" t="s">
        <v>142</v>
      </c>
      <c r="F102" s="22" t="s">
        <v>159</v>
      </c>
      <c r="G102" s="22" t="s">
        <v>173</v>
      </c>
      <c r="H102" s="22" t="s">
        <v>174</v>
      </c>
      <c r="K102" s="22" t="s">
        <v>4</v>
      </c>
      <c r="L102" s="22" t="s">
        <v>121</v>
      </c>
      <c r="M102" s="22">
        <v>1</v>
      </c>
      <c r="N102" s="22" t="s">
        <v>107</v>
      </c>
      <c r="O102" s="22">
        <v>1</v>
      </c>
      <c r="P102" s="22" t="s">
        <v>135</v>
      </c>
      <c r="Q102" s="22">
        <v>1</v>
      </c>
      <c r="R102" s="22" t="s">
        <v>109</v>
      </c>
      <c r="S102" s="22">
        <v>1</v>
      </c>
      <c r="T102" s="22" t="s">
        <v>175</v>
      </c>
      <c r="U102" s="22">
        <v>1</v>
      </c>
      <c r="V102" s="22" t="s">
        <v>129</v>
      </c>
      <c r="W102" s="22">
        <v>1</v>
      </c>
      <c r="X102" s="22" t="s">
        <v>108</v>
      </c>
      <c r="Y102" s="22">
        <v>1</v>
      </c>
      <c r="Z102" s="22" t="s">
        <v>110</v>
      </c>
      <c r="AA102" s="22">
        <v>1</v>
      </c>
      <c r="AB102" s="22"/>
      <c r="AC102" s="22"/>
      <c r="AD102" s="22"/>
      <c r="AE102" s="22"/>
    </row>
    <row r="103" spans="2:31" hidden="1" x14ac:dyDescent="0.35">
      <c r="B103" s="30" t="s">
        <v>4</v>
      </c>
      <c r="C103" s="30" t="s">
        <v>101</v>
      </c>
      <c r="D103" s="30" t="s">
        <v>101</v>
      </c>
      <c r="E103" s="30" t="s">
        <v>142</v>
      </c>
      <c r="F103" s="30" t="s">
        <v>159</v>
      </c>
      <c r="G103" s="30" t="s">
        <v>173</v>
      </c>
      <c r="H103" s="30" t="s">
        <v>174</v>
      </c>
      <c r="K103" s="30" t="s">
        <v>4</v>
      </c>
      <c r="L103" s="30" t="s">
        <v>110</v>
      </c>
      <c r="M103" s="30">
        <v>2</v>
      </c>
      <c r="N103" s="30" t="s">
        <v>129</v>
      </c>
      <c r="O103" s="30">
        <v>1</v>
      </c>
      <c r="P103" s="30" t="s">
        <v>108</v>
      </c>
      <c r="Q103" s="30">
        <v>1</v>
      </c>
      <c r="R103" s="30" t="s">
        <v>109</v>
      </c>
      <c r="S103" s="30">
        <v>1</v>
      </c>
      <c r="T103" s="30" t="s">
        <v>107</v>
      </c>
      <c r="U103" s="30">
        <v>1</v>
      </c>
      <c r="V103" s="30" t="s">
        <v>121</v>
      </c>
      <c r="W103" s="30">
        <v>1</v>
      </c>
      <c r="X103" s="30"/>
      <c r="Y103" s="30"/>
      <c r="Z103" s="30"/>
      <c r="AA103" s="30"/>
      <c r="AB103" s="30"/>
      <c r="AC103" s="30"/>
      <c r="AD103" s="30"/>
      <c r="AE103" s="30"/>
    </row>
    <row r="104" spans="2:31" hidden="1" x14ac:dyDescent="0.35">
      <c r="B104" s="30" t="s">
        <v>4</v>
      </c>
      <c r="C104" s="30" t="s">
        <v>101</v>
      </c>
      <c r="D104" s="30" t="s">
        <v>101</v>
      </c>
      <c r="E104" s="189" t="s">
        <v>102</v>
      </c>
      <c r="F104" s="30" t="s">
        <v>159</v>
      </c>
      <c r="G104" s="30" t="s">
        <v>173</v>
      </c>
      <c r="H104" s="30" t="s">
        <v>174</v>
      </c>
      <c r="K104" s="30" t="s">
        <v>4</v>
      </c>
      <c r="L104" s="30" t="s">
        <v>108</v>
      </c>
      <c r="M104" s="30">
        <v>1</v>
      </c>
      <c r="N104" s="30" t="s">
        <v>110</v>
      </c>
      <c r="O104" s="30">
        <v>6</v>
      </c>
      <c r="P104" s="30" t="s">
        <v>121</v>
      </c>
      <c r="Q104" s="30">
        <v>1</v>
      </c>
      <c r="R104" s="30" t="s">
        <v>175</v>
      </c>
      <c r="S104" s="30">
        <v>1</v>
      </c>
      <c r="T104" s="30" t="s">
        <v>109</v>
      </c>
      <c r="U104" s="30">
        <v>1</v>
      </c>
      <c r="V104" s="30" t="s">
        <v>129</v>
      </c>
      <c r="W104" s="30">
        <v>1</v>
      </c>
      <c r="X104" s="30" t="s">
        <v>139</v>
      </c>
      <c r="Y104" s="30">
        <v>1</v>
      </c>
      <c r="Z104" s="30" t="s">
        <v>135</v>
      </c>
      <c r="AA104" s="30">
        <v>1</v>
      </c>
      <c r="AB104" s="30" t="s">
        <v>111</v>
      </c>
      <c r="AC104" s="30">
        <v>1</v>
      </c>
      <c r="AD104" s="30" t="s">
        <v>107</v>
      </c>
      <c r="AE104" s="30">
        <v>2</v>
      </c>
    </row>
    <row r="105" spans="2:31" x14ac:dyDescent="0.35">
      <c r="B105"/>
      <c r="C105"/>
      <c r="D105"/>
      <c r="E105"/>
      <c r="F105"/>
      <c r="G105"/>
      <c r="H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</row>
    <row r="108" spans="2:31" x14ac:dyDescent="0.35">
      <c r="M108" s="35">
        <v>45</v>
      </c>
    </row>
    <row r="109" spans="2:31" x14ac:dyDescent="0.35">
      <c r="M109" s="35">
        <v>29</v>
      </c>
      <c r="N109" s="91">
        <f>M109/M108</f>
        <v>0.64444444444444449</v>
      </c>
    </row>
  </sheetData>
  <autoFilter ref="K2:AE104" xr:uid="{DCAC0F12-19E3-4644-A495-0ED09346411F}">
    <filterColumn colId="0">
      <filters>
        <filter val="Essencial"/>
      </filters>
    </filterColumn>
  </autoFilter>
  <conditionalFormatting sqref="B1:B1048576">
    <cfRule type="containsText" dxfId="5" priority="4" operator="containsText" text="BIO">
      <formula>NOT(ISERROR(SEARCH("BIO",B1)))</formula>
    </cfRule>
    <cfRule type="containsText" dxfId="4" priority="5" operator="containsText" text="ECO">
      <formula>NOT(ISERROR(SEARCH("ECO",B1)))</formula>
    </cfRule>
    <cfRule type="containsText" dxfId="3" priority="6" operator="containsText" text="ESSENCIAL">
      <formula>NOT(ISERROR(SEARCH("ESSENCIAL",B1)))</formula>
    </cfRule>
  </conditionalFormatting>
  <conditionalFormatting sqref="K1:K1048576">
    <cfRule type="containsText" dxfId="2" priority="1" operator="containsText" text="BIO">
      <formula>NOT(ISERROR(SEARCH("BIO",K1)))</formula>
    </cfRule>
    <cfRule type="containsText" dxfId="1" priority="2" operator="containsText" text="ECO">
      <formula>NOT(ISERROR(SEARCH("ECO",K1)))</formula>
    </cfRule>
    <cfRule type="containsText" dxfId="0" priority="3" operator="containsText" text="ESSENCIAL">
      <formula>NOT(ISERROR(SEARCH("ESSENCIAL",K1)))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32E0-65B9-4385-B958-66CF0A91508A}">
  <dimension ref="A3:E39"/>
  <sheetViews>
    <sheetView workbookViewId="0">
      <selection activeCell="L31" sqref="L31"/>
    </sheetView>
  </sheetViews>
  <sheetFormatPr defaultRowHeight="14.5" x14ac:dyDescent="0.35"/>
  <cols>
    <col min="1" max="1" width="28.453125" bestFit="1" customWidth="1"/>
    <col min="2" max="2" width="18.08984375" bestFit="1" customWidth="1"/>
    <col min="3" max="4" width="8.08984375" bestFit="1" customWidth="1"/>
    <col min="5" max="5" width="10" bestFit="1" customWidth="1"/>
  </cols>
  <sheetData>
    <row r="3" spans="1:5" x14ac:dyDescent="0.35">
      <c r="A3" s="86" t="s">
        <v>248</v>
      </c>
      <c r="B3" s="86" t="s">
        <v>2</v>
      </c>
    </row>
    <row r="4" spans="1:5" x14ac:dyDescent="0.35">
      <c r="A4" s="179" t="s">
        <v>247</v>
      </c>
      <c r="B4" s="51" t="s">
        <v>9</v>
      </c>
      <c r="C4" s="51" t="s">
        <v>8</v>
      </c>
      <c r="D4" s="51" t="s">
        <v>17</v>
      </c>
      <c r="E4" s="51" t="s">
        <v>7</v>
      </c>
    </row>
    <row r="5" spans="1:5" x14ac:dyDescent="0.35">
      <c r="A5" s="51" t="s">
        <v>260</v>
      </c>
      <c r="B5" s="143">
        <v>0.82352941176470584</v>
      </c>
      <c r="C5" s="143">
        <v>0.08</v>
      </c>
      <c r="D5" s="143">
        <v>0</v>
      </c>
      <c r="E5" s="143">
        <v>0.31372549019607843</v>
      </c>
    </row>
    <row r="6" spans="1:5" x14ac:dyDescent="0.35">
      <c r="A6" s="51" t="s">
        <v>261</v>
      </c>
      <c r="B6" s="143">
        <v>0.17647058823529413</v>
      </c>
      <c r="C6" s="143">
        <v>0.74</v>
      </c>
      <c r="D6" s="143">
        <v>0.16666666666666666</v>
      </c>
      <c r="E6" s="143">
        <v>0.45098039215686275</v>
      </c>
    </row>
    <row r="7" spans="1:5" x14ac:dyDescent="0.35">
      <c r="A7" s="51" t="s">
        <v>262</v>
      </c>
      <c r="B7" s="143">
        <v>0</v>
      </c>
      <c r="C7" s="143">
        <v>0.18</v>
      </c>
      <c r="D7" s="143">
        <v>0.83333333333333337</v>
      </c>
      <c r="E7" s="143">
        <v>0.23529411764705882</v>
      </c>
    </row>
    <row r="8" spans="1:5" x14ac:dyDescent="0.35">
      <c r="A8" s="51" t="s">
        <v>7</v>
      </c>
      <c r="B8" s="187">
        <v>1</v>
      </c>
      <c r="C8" s="187">
        <v>1</v>
      </c>
      <c r="D8" s="187">
        <v>1</v>
      </c>
      <c r="E8" s="187">
        <v>1</v>
      </c>
    </row>
    <row r="11" spans="1:5" x14ac:dyDescent="0.35">
      <c r="A11" s="86" t="s">
        <v>248</v>
      </c>
      <c r="B11" s="86" t="s">
        <v>2</v>
      </c>
    </row>
    <row r="12" spans="1:5" x14ac:dyDescent="0.35">
      <c r="A12" s="86" t="s">
        <v>247</v>
      </c>
      <c r="B12" s="51" t="s">
        <v>9</v>
      </c>
      <c r="C12" s="51" t="s">
        <v>8</v>
      </c>
      <c r="D12" s="51" t="s">
        <v>17</v>
      </c>
      <c r="E12" s="51" t="s">
        <v>7</v>
      </c>
    </row>
    <row r="13" spans="1:5" x14ac:dyDescent="0.35">
      <c r="A13" s="74" t="s">
        <v>42</v>
      </c>
      <c r="B13" s="143">
        <v>0.52941176470588236</v>
      </c>
      <c r="C13" s="143">
        <v>0.08</v>
      </c>
      <c r="D13" s="143">
        <v>0</v>
      </c>
      <c r="E13" s="143">
        <v>0.21568627450980393</v>
      </c>
    </row>
    <row r="14" spans="1:5" x14ac:dyDescent="0.35">
      <c r="A14" s="74" t="s">
        <v>44</v>
      </c>
      <c r="B14" s="143">
        <v>0.38235294117647056</v>
      </c>
      <c r="C14" s="143">
        <v>0.52</v>
      </c>
      <c r="D14" s="143">
        <v>0.3888888888888889</v>
      </c>
      <c r="E14" s="143">
        <v>0.45098039215686275</v>
      </c>
    </row>
    <row r="15" spans="1:5" x14ac:dyDescent="0.35">
      <c r="A15" s="74" t="s">
        <v>46</v>
      </c>
      <c r="B15" s="143">
        <v>8.8235294117647065E-2</v>
      </c>
      <c r="C15" s="143">
        <v>0.24</v>
      </c>
      <c r="D15" s="143">
        <v>0.3888888888888889</v>
      </c>
      <c r="E15" s="143">
        <v>0.21568627450980393</v>
      </c>
    </row>
    <row r="16" spans="1:5" x14ac:dyDescent="0.35">
      <c r="A16" s="74" t="s">
        <v>48</v>
      </c>
      <c r="B16" s="143">
        <v>0</v>
      </c>
      <c r="C16" s="143">
        <v>0.16</v>
      </c>
      <c r="D16" s="143">
        <v>0.22222222222222221</v>
      </c>
      <c r="E16" s="143">
        <v>0.11764705882352941</v>
      </c>
    </row>
    <row r="17" spans="1:5" x14ac:dyDescent="0.35">
      <c r="A17" s="51" t="s">
        <v>7</v>
      </c>
      <c r="B17" s="187">
        <v>1</v>
      </c>
      <c r="C17" s="187">
        <v>1</v>
      </c>
      <c r="D17" s="187">
        <v>1</v>
      </c>
      <c r="E17" s="187">
        <v>1</v>
      </c>
    </row>
    <row r="20" spans="1:5" x14ac:dyDescent="0.35">
      <c r="A20" s="86" t="s">
        <v>248</v>
      </c>
      <c r="B20" s="86" t="s">
        <v>2</v>
      </c>
    </row>
    <row r="21" spans="1:5" x14ac:dyDescent="0.35">
      <c r="A21" s="86" t="s">
        <v>247</v>
      </c>
      <c r="B21" s="51" t="s">
        <v>9</v>
      </c>
      <c r="C21" s="51" t="s">
        <v>8</v>
      </c>
      <c r="D21" s="51" t="s">
        <v>17</v>
      </c>
      <c r="E21" s="51" t="s">
        <v>7</v>
      </c>
    </row>
    <row r="22" spans="1:5" x14ac:dyDescent="0.35">
      <c r="A22" s="74" t="s">
        <v>273</v>
      </c>
      <c r="B22" s="143">
        <v>0.8529411764705882</v>
      </c>
      <c r="C22" s="143">
        <v>0.66</v>
      </c>
      <c r="D22" s="143">
        <v>0</v>
      </c>
      <c r="E22" s="143">
        <v>0.60784313725490191</v>
      </c>
    </row>
    <row r="23" spans="1:5" x14ac:dyDescent="0.35">
      <c r="A23" s="74" t="s">
        <v>274</v>
      </c>
      <c r="B23" s="143">
        <v>0.14705882352941177</v>
      </c>
      <c r="C23" s="143">
        <v>0.34</v>
      </c>
      <c r="D23" s="143">
        <v>0.33333333333333331</v>
      </c>
      <c r="E23" s="143">
        <v>0.27450980392156865</v>
      </c>
    </row>
    <row r="24" spans="1:5" x14ac:dyDescent="0.35">
      <c r="A24" s="74" t="s">
        <v>275</v>
      </c>
      <c r="B24" s="143">
        <v>0</v>
      </c>
      <c r="C24" s="143">
        <v>0</v>
      </c>
      <c r="D24" s="143">
        <v>0.66666666666666663</v>
      </c>
      <c r="E24" s="143">
        <v>0.11764705882352941</v>
      </c>
    </row>
    <row r="25" spans="1:5" x14ac:dyDescent="0.35">
      <c r="A25" s="51" t="s">
        <v>7</v>
      </c>
      <c r="B25" s="187">
        <v>1</v>
      </c>
      <c r="C25" s="187">
        <v>1</v>
      </c>
      <c r="D25" s="187">
        <v>1</v>
      </c>
      <c r="E25" s="187">
        <v>1</v>
      </c>
    </row>
    <row r="27" spans="1:5" x14ac:dyDescent="0.35">
      <c r="A27" s="86" t="s">
        <v>248</v>
      </c>
      <c r="B27" s="86" t="s">
        <v>2</v>
      </c>
    </row>
    <row r="28" spans="1:5" x14ac:dyDescent="0.35">
      <c r="A28" s="86" t="s">
        <v>247</v>
      </c>
      <c r="B28" s="51" t="s">
        <v>9</v>
      </c>
      <c r="C28" s="51" t="s">
        <v>8</v>
      </c>
      <c r="D28" s="51" t="s">
        <v>17</v>
      </c>
      <c r="E28" s="51" t="s">
        <v>7</v>
      </c>
    </row>
    <row r="29" spans="1:5" x14ac:dyDescent="0.35">
      <c r="A29" s="74" t="s">
        <v>280</v>
      </c>
      <c r="B29" s="143">
        <v>0.38235294117647056</v>
      </c>
      <c r="C29" s="143">
        <v>0.16</v>
      </c>
      <c r="D29" s="143">
        <v>0.16666666666666666</v>
      </c>
      <c r="E29" s="187">
        <v>0.23529411764705882</v>
      </c>
    </row>
    <row r="30" spans="1:5" x14ac:dyDescent="0.35">
      <c r="A30" s="74" t="s">
        <v>281</v>
      </c>
      <c r="B30" s="143">
        <v>0.61764705882352944</v>
      </c>
      <c r="C30" s="143">
        <v>0.82</v>
      </c>
      <c r="D30" s="143">
        <v>0.72222222222222221</v>
      </c>
      <c r="E30" s="187">
        <v>0.73529411764705888</v>
      </c>
    </row>
    <row r="31" spans="1:5" x14ac:dyDescent="0.35">
      <c r="A31" s="74" t="s">
        <v>282</v>
      </c>
      <c r="B31" s="143">
        <v>0</v>
      </c>
      <c r="C31" s="143">
        <v>0.02</v>
      </c>
      <c r="D31" s="143">
        <v>0.1111111111111111</v>
      </c>
      <c r="E31" s="187">
        <v>2.9411764705882353E-2</v>
      </c>
    </row>
    <row r="32" spans="1:5" x14ac:dyDescent="0.35">
      <c r="A32" s="51" t="s">
        <v>7</v>
      </c>
      <c r="B32" s="187">
        <v>1</v>
      </c>
      <c r="C32" s="187">
        <v>1</v>
      </c>
      <c r="D32" s="187">
        <v>1</v>
      </c>
      <c r="E32" s="187">
        <v>1</v>
      </c>
    </row>
    <row r="35" spans="1:2" x14ac:dyDescent="0.35">
      <c r="A35" s="86" t="s">
        <v>247</v>
      </c>
      <c r="B35" s="51" t="s">
        <v>248</v>
      </c>
    </row>
    <row r="36" spans="1:2" x14ac:dyDescent="0.35">
      <c r="A36" s="51" t="s">
        <v>9</v>
      </c>
      <c r="B36" s="51">
        <v>34</v>
      </c>
    </row>
    <row r="37" spans="1:2" x14ac:dyDescent="0.35">
      <c r="A37" s="51" t="s">
        <v>8</v>
      </c>
      <c r="B37" s="51">
        <v>50</v>
      </c>
    </row>
    <row r="38" spans="1:2" x14ac:dyDescent="0.35">
      <c r="A38" s="51" t="s">
        <v>17</v>
      </c>
      <c r="B38" s="51">
        <v>18</v>
      </c>
    </row>
    <row r="39" spans="1:2" x14ac:dyDescent="0.35">
      <c r="A39" s="51" t="s">
        <v>7</v>
      </c>
      <c r="B39" s="51">
        <v>102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F8A4-DFDF-4F3B-834C-5EB21228D386}">
  <dimension ref="A2:C104"/>
  <sheetViews>
    <sheetView topLeftCell="A61" workbookViewId="0">
      <selection activeCell="K97" sqref="K96:K97"/>
    </sheetView>
  </sheetViews>
  <sheetFormatPr defaultRowHeight="14.5" x14ac:dyDescent="0.35"/>
  <cols>
    <col min="1" max="1" width="43" bestFit="1" customWidth="1"/>
    <col min="2" max="2" width="11.90625" bestFit="1" customWidth="1"/>
  </cols>
  <sheetData>
    <row r="2" spans="1:3" x14ac:dyDescent="0.35">
      <c r="A2" t="s">
        <v>19</v>
      </c>
      <c r="B2" t="s">
        <v>89</v>
      </c>
      <c r="C2" t="s">
        <v>346</v>
      </c>
    </row>
    <row r="3" spans="1:3" x14ac:dyDescent="0.35">
      <c r="A3" t="s">
        <v>127</v>
      </c>
      <c r="B3" s="59">
        <v>2090</v>
      </c>
      <c r="C3" t="s">
        <v>9</v>
      </c>
    </row>
    <row r="4" spans="1:3" x14ac:dyDescent="0.35">
      <c r="A4" t="s">
        <v>117</v>
      </c>
      <c r="B4" s="59">
        <v>2090</v>
      </c>
      <c r="C4" t="s">
        <v>9</v>
      </c>
    </row>
    <row r="5" spans="1:3" x14ac:dyDescent="0.35">
      <c r="A5" t="s">
        <v>130</v>
      </c>
      <c r="B5" s="59">
        <v>2090</v>
      </c>
      <c r="C5" t="s">
        <v>9</v>
      </c>
    </row>
    <row r="6" spans="1:3" x14ac:dyDescent="0.35">
      <c r="A6" t="s">
        <v>144</v>
      </c>
      <c r="B6" s="59">
        <v>2090</v>
      </c>
      <c r="C6" t="s">
        <v>9</v>
      </c>
    </row>
    <row r="7" spans="1:3" x14ac:dyDescent="0.35">
      <c r="A7" t="s">
        <v>165</v>
      </c>
      <c r="B7" s="59">
        <v>3990</v>
      </c>
      <c r="C7" t="s">
        <v>9</v>
      </c>
    </row>
    <row r="8" spans="1:3" x14ac:dyDescent="0.35">
      <c r="A8" t="s">
        <v>136</v>
      </c>
      <c r="B8" s="59">
        <v>2090</v>
      </c>
      <c r="C8" t="s">
        <v>9</v>
      </c>
    </row>
    <row r="9" spans="1:3" x14ac:dyDescent="0.35">
      <c r="A9" t="s">
        <v>138</v>
      </c>
      <c r="B9" s="59">
        <v>2090</v>
      </c>
      <c r="C9" t="s">
        <v>9</v>
      </c>
    </row>
    <row r="10" spans="1:3" x14ac:dyDescent="0.35">
      <c r="A10" t="s">
        <v>134</v>
      </c>
      <c r="B10" s="59">
        <v>2090</v>
      </c>
      <c r="C10" t="s">
        <v>9</v>
      </c>
    </row>
    <row r="11" spans="1:3" x14ac:dyDescent="0.35">
      <c r="A11" t="s">
        <v>188</v>
      </c>
      <c r="B11" s="59">
        <v>2090</v>
      </c>
      <c r="C11" t="s">
        <v>9</v>
      </c>
    </row>
    <row r="12" spans="1:3" x14ac:dyDescent="0.35">
      <c r="A12" t="s">
        <v>132</v>
      </c>
      <c r="B12" s="59">
        <v>2090</v>
      </c>
      <c r="C12" t="s">
        <v>9</v>
      </c>
    </row>
    <row r="13" spans="1:3" x14ac:dyDescent="0.35">
      <c r="A13" t="s">
        <v>140</v>
      </c>
      <c r="B13" s="59">
        <v>2090</v>
      </c>
      <c r="C13" t="s">
        <v>9</v>
      </c>
    </row>
    <row r="14" spans="1:3" x14ac:dyDescent="0.35">
      <c r="A14" t="s">
        <v>124</v>
      </c>
      <c r="B14" s="59">
        <v>2090</v>
      </c>
      <c r="C14" t="s">
        <v>9</v>
      </c>
    </row>
    <row r="15" spans="1:3" x14ac:dyDescent="0.35">
      <c r="A15" t="s">
        <v>141</v>
      </c>
      <c r="B15" s="59">
        <v>2390</v>
      </c>
      <c r="C15" t="s">
        <v>9</v>
      </c>
    </row>
    <row r="16" spans="1:3" x14ac:dyDescent="0.35">
      <c r="A16" t="s">
        <v>195</v>
      </c>
      <c r="B16" s="59">
        <v>3990</v>
      </c>
      <c r="C16" t="s">
        <v>9</v>
      </c>
    </row>
    <row r="17" spans="1:3" x14ac:dyDescent="0.35">
      <c r="A17" t="s">
        <v>162</v>
      </c>
      <c r="B17" s="59">
        <v>2390</v>
      </c>
      <c r="C17" t="s">
        <v>9</v>
      </c>
    </row>
    <row r="18" spans="1:3" x14ac:dyDescent="0.35">
      <c r="A18" t="s">
        <v>171</v>
      </c>
      <c r="B18" s="59">
        <v>2390</v>
      </c>
      <c r="C18" t="s">
        <v>9</v>
      </c>
    </row>
    <row r="19" spans="1:3" x14ac:dyDescent="0.35">
      <c r="A19" t="s">
        <v>166</v>
      </c>
      <c r="B19" s="59">
        <v>2390</v>
      </c>
      <c r="C19" t="s">
        <v>9</v>
      </c>
    </row>
    <row r="20" spans="1:3" x14ac:dyDescent="0.35">
      <c r="A20" t="s">
        <v>163</v>
      </c>
      <c r="B20" s="59">
        <v>2390</v>
      </c>
      <c r="C20" t="s">
        <v>9</v>
      </c>
    </row>
    <row r="21" spans="1:3" x14ac:dyDescent="0.35">
      <c r="A21" t="s">
        <v>150</v>
      </c>
      <c r="B21" s="59">
        <v>2390</v>
      </c>
      <c r="C21" t="s">
        <v>9</v>
      </c>
    </row>
    <row r="22" spans="1:3" x14ac:dyDescent="0.35">
      <c r="A22" t="s">
        <v>146</v>
      </c>
      <c r="B22" s="59">
        <v>2390</v>
      </c>
      <c r="C22" t="s">
        <v>9</v>
      </c>
    </row>
    <row r="23" spans="1:3" x14ac:dyDescent="0.35">
      <c r="A23" t="s">
        <v>180</v>
      </c>
      <c r="B23" s="59">
        <v>4290</v>
      </c>
      <c r="C23" t="s">
        <v>9</v>
      </c>
    </row>
    <row r="24" spans="1:3" x14ac:dyDescent="0.35">
      <c r="A24" t="s">
        <v>184</v>
      </c>
      <c r="B24" s="59">
        <v>4290</v>
      </c>
      <c r="C24" t="s">
        <v>9</v>
      </c>
    </row>
    <row r="25" spans="1:3" x14ac:dyDescent="0.35">
      <c r="A25" t="s">
        <v>149</v>
      </c>
      <c r="B25" s="59">
        <v>2390</v>
      </c>
      <c r="C25" t="s">
        <v>9</v>
      </c>
    </row>
    <row r="26" spans="1:3" x14ac:dyDescent="0.35">
      <c r="A26" t="s">
        <v>164</v>
      </c>
      <c r="B26" s="59">
        <v>2390</v>
      </c>
      <c r="C26" t="s">
        <v>9</v>
      </c>
    </row>
    <row r="27" spans="1:3" x14ac:dyDescent="0.35">
      <c r="A27" t="s">
        <v>153</v>
      </c>
      <c r="B27" s="59">
        <v>2390</v>
      </c>
      <c r="C27" t="s">
        <v>9</v>
      </c>
    </row>
    <row r="28" spans="1:3" x14ac:dyDescent="0.35">
      <c r="A28" t="s">
        <v>169</v>
      </c>
      <c r="B28" s="59">
        <v>2390</v>
      </c>
      <c r="C28" t="s">
        <v>9</v>
      </c>
    </row>
    <row r="29" spans="1:3" x14ac:dyDescent="0.35">
      <c r="A29" t="s">
        <v>152</v>
      </c>
      <c r="B29" s="59">
        <v>2390</v>
      </c>
      <c r="C29" t="s">
        <v>9</v>
      </c>
    </row>
    <row r="30" spans="1:3" x14ac:dyDescent="0.35">
      <c r="A30" t="s">
        <v>160</v>
      </c>
      <c r="B30" s="59">
        <v>2390</v>
      </c>
      <c r="C30" t="s">
        <v>9</v>
      </c>
    </row>
    <row r="31" spans="1:3" x14ac:dyDescent="0.35">
      <c r="A31" t="s">
        <v>155</v>
      </c>
      <c r="B31" s="59">
        <v>2390</v>
      </c>
      <c r="C31" t="s">
        <v>9</v>
      </c>
    </row>
    <row r="32" spans="1:3" x14ac:dyDescent="0.35">
      <c r="A32" t="s">
        <v>157</v>
      </c>
      <c r="B32" s="59">
        <v>2390</v>
      </c>
      <c r="C32" t="s">
        <v>9</v>
      </c>
    </row>
    <row r="33" spans="1:3" x14ac:dyDescent="0.35">
      <c r="A33" t="s">
        <v>161</v>
      </c>
      <c r="B33" s="59">
        <v>2390</v>
      </c>
      <c r="C33" t="s">
        <v>9</v>
      </c>
    </row>
    <row r="34" spans="1:3" x14ac:dyDescent="0.35">
      <c r="A34" t="s">
        <v>179</v>
      </c>
      <c r="B34" s="59">
        <v>4290</v>
      </c>
      <c r="C34" t="s">
        <v>9</v>
      </c>
    </row>
    <row r="35" spans="1:3" x14ac:dyDescent="0.35">
      <c r="A35" t="s">
        <v>170</v>
      </c>
      <c r="B35" s="59">
        <v>3990</v>
      </c>
      <c r="C35" t="s">
        <v>9</v>
      </c>
    </row>
    <row r="36" spans="1:3" x14ac:dyDescent="0.35">
      <c r="A36" t="s">
        <v>148</v>
      </c>
      <c r="B36" s="59">
        <v>2390</v>
      </c>
      <c r="C36" t="s">
        <v>9</v>
      </c>
    </row>
    <row r="37" spans="1:3" x14ac:dyDescent="0.35">
      <c r="A37" t="s">
        <v>168</v>
      </c>
      <c r="B37" s="59">
        <v>2090</v>
      </c>
      <c r="C37" t="s">
        <v>8</v>
      </c>
    </row>
    <row r="38" spans="1:3" x14ac:dyDescent="0.35">
      <c r="A38" t="s">
        <v>189</v>
      </c>
      <c r="B38" s="59">
        <v>2090</v>
      </c>
      <c r="C38" t="s">
        <v>8</v>
      </c>
    </row>
    <row r="39" spans="1:3" x14ac:dyDescent="0.35">
      <c r="A39" t="s">
        <v>178</v>
      </c>
      <c r="B39" s="59">
        <v>2390</v>
      </c>
      <c r="C39" t="s">
        <v>8</v>
      </c>
    </row>
    <row r="40" spans="1:3" x14ac:dyDescent="0.35">
      <c r="A40" t="s">
        <v>225</v>
      </c>
      <c r="B40" s="59">
        <v>2825</v>
      </c>
      <c r="C40" t="s">
        <v>8</v>
      </c>
    </row>
    <row r="41" spans="1:3" x14ac:dyDescent="0.35">
      <c r="A41" t="s">
        <v>209</v>
      </c>
      <c r="B41" s="59">
        <v>3385</v>
      </c>
      <c r="C41" t="s">
        <v>8</v>
      </c>
    </row>
    <row r="42" spans="1:3" x14ac:dyDescent="0.35">
      <c r="A42" t="s">
        <v>182</v>
      </c>
      <c r="B42" s="59">
        <v>3990</v>
      </c>
      <c r="C42" t="s">
        <v>8</v>
      </c>
    </row>
    <row r="43" spans="1:3" x14ac:dyDescent="0.35">
      <c r="A43" t="s">
        <v>203</v>
      </c>
      <c r="B43" s="59">
        <v>3990</v>
      </c>
      <c r="C43" t="s">
        <v>8</v>
      </c>
    </row>
    <row r="44" spans="1:3" x14ac:dyDescent="0.35">
      <c r="A44" t="s">
        <v>235</v>
      </c>
      <c r="B44" s="59">
        <v>3990</v>
      </c>
      <c r="C44" t="s">
        <v>8</v>
      </c>
    </row>
    <row r="45" spans="1:3" x14ac:dyDescent="0.35">
      <c r="A45" t="s">
        <v>239</v>
      </c>
      <c r="B45" s="59">
        <v>3990</v>
      </c>
      <c r="C45" t="s">
        <v>8</v>
      </c>
    </row>
    <row r="46" spans="1:3" x14ac:dyDescent="0.35">
      <c r="A46" t="s">
        <v>185</v>
      </c>
      <c r="B46" s="59">
        <v>3990</v>
      </c>
      <c r="C46" t="s">
        <v>8</v>
      </c>
    </row>
    <row r="47" spans="1:3" x14ac:dyDescent="0.35">
      <c r="A47" t="s">
        <v>197</v>
      </c>
      <c r="B47" s="59">
        <v>3990</v>
      </c>
      <c r="C47" t="s">
        <v>8</v>
      </c>
    </row>
    <row r="48" spans="1:3" x14ac:dyDescent="0.35">
      <c r="A48" t="s">
        <v>217</v>
      </c>
      <c r="B48" s="59">
        <v>3990</v>
      </c>
      <c r="C48" t="s">
        <v>8</v>
      </c>
    </row>
    <row r="49" spans="1:3" x14ac:dyDescent="0.35">
      <c r="A49" t="s">
        <v>216</v>
      </c>
      <c r="B49" s="59">
        <v>3990</v>
      </c>
      <c r="C49" t="s">
        <v>8</v>
      </c>
    </row>
    <row r="50" spans="1:3" x14ac:dyDescent="0.35">
      <c r="A50" t="s">
        <v>204</v>
      </c>
      <c r="B50" s="59">
        <v>3990</v>
      </c>
      <c r="C50" t="s">
        <v>8</v>
      </c>
    </row>
    <row r="51" spans="1:3" x14ac:dyDescent="0.35">
      <c r="A51" t="s">
        <v>229</v>
      </c>
      <c r="B51" s="59">
        <v>3990</v>
      </c>
      <c r="C51" t="s">
        <v>8</v>
      </c>
    </row>
    <row r="52" spans="1:3" x14ac:dyDescent="0.35">
      <c r="A52" t="s">
        <v>205</v>
      </c>
      <c r="B52" s="59">
        <v>3990</v>
      </c>
      <c r="C52" t="s">
        <v>8</v>
      </c>
    </row>
    <row r="53" spans="1:3" x14ac:dyDescent="0.35">
      <c r="A53" t="s">
        <v>213</v>
      </c>
      <c r="B53" s="59">
        <v>3990</v>
      </c>
      <c r="C53" t="s">
        <v>8</v>
      </c>
    </row>
    <row r="54" spans="1:3" x14ac:dyDescent="0.35">
      <c r="A54" t="s">
        <v>201</v>
      </c>
      <c r="B54" s="59">
        <v>3990</v>
      </c>
      <c r="C54" t="s">
        <v>8</v>
      </c>
    </row>
    <row r="55" spans="1:3" x14ac:dyDescent="0.35">
      <c r="A55" t="s">
        <v>196</v>
      </c>
      <c r="B55" s="59">
        <v>3990</v>
      </c>
      <c r="C55" t="s">
        <v>8</v>
      </c>
    </row>
    <row r="56" spans="1:3" x14ac:dyDescent="0.35">
      <c r="A56" t="s">
        <v>99</v>
      </c>
      <c r="B56" s="59">
        <v>3990</v>
      </c>
      <c r="C56" t="s">
        <v>8</v>
      </c>
    </row>
    <row r="57" spans="1:3" x14ac:dyDescent="0.35">
      <c r="A57" t="s">
        <v>226</v>
      </c>
      <c r="B57" s="59">
        <v>4290</v>
      </c>
      <c r="C57" t="s">
        <v>8</v>
      </c>
    </row>
    <row r="58" spans="1:3" x14ac:dyDescent="0.35">
      <c r="A58" t="s">
        <v>230</v>
      </c>
      <c r="B58" s="59">
        <v>4290</v>
      </c>
      <c r="C58" t="s">
        <v>8</v>
      </c>
    </row>
    <row r="59" spans="1:3" x14ac:dyDescent="0.35">
      <c r="A59" t="s">
        <v>232</v>
      </c>
      <c r="B59" s="59">
        <v>4290</v>
      </c>
      <c r="C59" t="s">
        <v>8</v>
      </c>
    </row>
    <row r="60" spans="1:3" x14ac:dyDescent="0.35">
      <c r="A60" t="s">
        <v>192</v>
      </c>
      <c r="B60" s="59">
        <v>4290</v>
      </c>
      <c r="C60" t="s">
        <v>8</v>
      </c>
    </row>
    <row r="61" spans="1:3" x14ac:dyDescent="0.35">
      <c r="A61" t="s">
        <v>219</v>
      </c>
      <c r="B61" s="59">
        <v>4290</v>
      </c>
      <c r="C61" t="s">
        <v>8</v>
      </c>
    </row>
    <row r="62" spans="1:3" x14ac:dyDescent="0.35">
      <c r="A62" t="s">
        <v>181</v>
      </c>
      <c r="B62" s="59">
        <v>4290</v>
      </c>
      <c r="C62" t="s">
        <v>8</v>
      </c>
    </row>
    <row r="63" spans="1:3" x14ac:dyDescent="0.35">
      <c r="A63" t="s">
        <v>187</v>
      </c>
      <c r="B63" s="59">
        <v>4290</v>
      </c>
      <c r="C63" t="s">
        <v>8</v>
      </c>
    </row>
    <row r="64" spans="1:3" x14ac:dyDescent="0.35">
      <c r="A64" t="s">
        <v>191</v>
      </c>
      <c r="B64" s="59">
        <v>4290</v>
      </c>
      <c r="C64" t="s">
        <v>8</v>
      </c>
    </row>
    <row r="65" spans="1:3" x14ac:dyDescent="0.35">
      <c r="A65" t="s">
        <v>233</v>
      </c>
      <c r="B65" s="59">
        <v>4290</v>
      </c>
      <c r="C65" t="s">
        <v>8</v>
      </c>
    </row>
    <row r="66" spans="1:3" x14ac:dyDescent="0.35">
      <c r="A66" t="s">
        <v>223</v>
      </c>
      <c r="B66" s="59">
        <v>4290</v>
      </c>
      <c r="C66" t="s">
        <v>8</v>
      </c>
    </row>
    <row r="67" spans="1:3" x14ac:dyDescent="0.35">
      <c r="A67" t="s">
        <v>224</v>
      </c>
      <c r="B67" s="59">
        <v>4290</v>
      </c>
      <c r="C67" t="s">
        <v>8</v>
      </c>
    </row>
    <row r="68" spans="1:3" x14ac:dyDescent="0.35">
      <c r="A68" t="s">
        <v>193</v>
      </c>
      <c r="B68" s="59">
        <v>4290</v>
      </c>
      <c r="C68" t="s">
        <v>8</v>
      </c>
    </row>
    <row r="69" spans="1:3" x14ac:dyDescent="0.35">
      <c r="A69" t="s">
        <v>218</v>
      </c>
      <c r="B69" s="59">
        <v>4290</v>
      </c>
      <c r="C69" t="s">
        <v>8</v>
      </c>
    </row>
    <row r="70" spans="1:3" x14ac:dyDescent="0.35">
      <c r="A70" t="s">
        <v>202</v>
      </c>
      <c r="B70" s="59">
        <v>4290</v>
      </c>
      <c r="C70" t="s">
        <v>8</v>
      </c>
    </row>
    <row r="71" spans="1:3" x14ac:dyDescent="0.35">
      <c r="A71" t="s">
        <v>220</v>
      </c>
      <c r="B71" s="59">
        <v>4290</v>
      </c>
      <c r="C71" t="s">
        <v>8</v>
      </c>
    </row>
    <row r="72" spans="1:3" x14ac:dyDescent="0.35">
      <c r="A72" t="s">
        <v>231</v>
      </c>
      <c r="B72" s="59">
        <v>4290</v>
      </c>
      <c r="C72" t="s">
        <v>8</v>
      </c>
    </row>
    <row r="73" spans="1:3" x14ac:dyDescent="0.35">
      <c r="A73" t="s">
        <v>208</v>
      </c>
      <c r="B73" s="59">
        <v>4290</v>
      </c>
      <c r="C73" t="s">
        <v>8</v>
      </c>
    </row>
    <row r="74" spans="1:3" x14ac:dyDescent="0.35">
      <c r="A74" t="s">
        <v>246</v>
      </c>
      <c r="B74" s="59">
        <v>4290</v>
      </c>
      <c r="C74" t="s">
        <v>8</v>
      </c>
    </row>
    <row r="75" spans="1:3" x14ac:dyDescent="0.35">
      <c r="A75" t="s">
        <v>199</v>
      </c>
      <c r="B75" s="59">
        <v>4290</v>
      </c>
      <c r="C75" t="s">
        <v>8</v>
      </c>
    </row>
    <row r="76" spans="1:3" x14ac:dyDescent="0.35">
      <c r="A76" t="s">
        <v>198</v>
      </c>
      <c r="B76" s="59">
        <v>4290</v>
      </c>
      <c r="C76" t="s">
        <v>8</v>
      </c>
    </row>
    <row r="77" spans="1:3" x14ac:dyDescent="0.35">
      <c r="A77" t="s">
        <v>177</v>
      </c>
      <c r="B77" s="59">
        <v>4290</v>
      </c>
      <c r="C77" t="s">
        <v>8</v>
      </c>
    </row>
    <row r="78" spans="1:3" x14ac:dyDescent="0.35">
      <c r="A78" t="s">
        <v>158</v>
      </c>
      <c r="B78" s="59">
        <v>4725</v>
      </c>
      <c r="C78" t="s">
        <v>8</v>
      </c>
    </row>
    <row r="79" spans="1:3" x14ac:dyDescent="0.35">
      <c r="A79" t="s">
        <v>234</v>
      </c>
      <c r="B79" s="59">
        <v>4850</v>
      </c>
      <c r="C79" t="s">
        <v>8</v>
      </c>
    </row>
    <row r="80" spans="1:3" x14ac:dyDescent="0.35">
      <c r="A80" t="s">
        <v>176</v>
      </c>
      <c r="B80" s="59">
        <v>4850</v>
      </c>
      <c r="C80" t="s">
        <v>8</v>
      </c>
    </row>
    <row r="81" spans="1:3" x14ac:dyDescent="0.35">
      <c r="A81" t="s">
        <v>238</v>
      </c>
      <c r="B81" s="59">
        <v>4850</v>
      </c>
      <c r="C81" t="s">
        <v>8</v>
      </c>
    </row>
    <row r="82" spans="1:3" x14ac:dyDescent="0.35">
      <c r="A82" t="s">
        <v>200</v>
      </c>
      <c r="B82" s="59">
        <v>4850</v>
      </c>
      <c r="C82" t="s">
        <v>8</v>
      </c>
    </row>
    <row r="83" spans="1:3" x14ac:dyDescent="0.35">
      <c r="A83" t="s">
        <v>194</v>
      </c>
      <c r="B83" s="59">
        <v>5135</v>
      </c>
      <c r="C83" t="s">
        <v>8</v>
      </c>
    </row>
    <row r="84" spans="1:3" x14ac:dyDescent="0.35">
      <c r="A84" t="s">
        <v>172</v>
      </c>
      <c r="B84" s="59">
        <v>5435</v>
      </c>
      <c r="C84" t="s">
        <v>8</v>
      </c>
    </row>
    <row r="85" spans="1:3" x14ac:dyDescent="0.35">
      <c r="A85" t="s">
        <v>210</v>
      </c>
      <c r="B85" s="59">
        <v>5435</v>
      </c>
      <c r="C85" t="s">
        <v>8</v>
      </c>
    </row>
    <row r="86" spans="1:3" x14ac:dyDescent="0.35">
      <c r="A86" t="s">
        <v>206</v>
      </c>
      <c r="B86" s="59">
        <v>5435</v>
      </c>
      <c r="C86" t="s">
        <v>8</v>
      </c>
    </row>
    <row r="87" spans="1:3" x14ac:dyDescent="0.35">
      <c r="A87" t="s">
        <v>221</v>
      </c>
      <c r="B87" s="59">
        <v>5435</v>
      </c>
      <c r="C87" t="s">
        <v>17</v>
      </c>
    </row>
    <row r="88" spans="1:3" x14ac:dyDescent="0.35">
      <c r="A88" t="s">
        <v>227</v>
      </c>
      <c r="B88" s="59">
        <v>4850</v>
      </c>
      <c r="C88" t="s">
        <v>17</v>
      </c>
    </row>
    <row r="89" spans="1:3" x14ac:dyDescent="0.35">
      <c r="A89" t="s">
        <v>243</v>
      </c>
      <c r="B89" s="59">
        <v>5135</v>
      </c>
      <c r="C89" t="s">
        <v>17</v>
      </c>
    </row>
    <row r="90" spans="1:3" x14ac:dyDescent="0.35">
      <c r="A90" t="s">
        <v>236</v>
      </c>
      <c r="B90" s="59">
        <v>4290</v>
      </c>
      <c r="C90" t="s">
        <v>17</v>
      </c>
    </row>
    <row r="91" spans="1:3" x14ac:dyDescent="0.35">
      <c r="A91" t="s">
        <v>245</v>
      </c>
      <c r="B91" s="59">
        <v>3535</v>
      </c>
      <c r="C91" t="s">
        <v>17</v>
      </c>
    </row>
    <row r="92" spans="1:3" x14ac:dyDescent="0.35">
      <c r="A92" t="s">
        <v>207</v>
      </c>
      <c r="B92" s="59">
        <v>5435</v>
      </c>
      <c r="C92" t="s">
        <v>17</v>
      </c>
    </row>
    <row r="93" spans="1:3" x14ac:dyDescent="0.35">
      <c r="A93" t="s">
        <v>228</v>
      </c>
      <c r="B93" s="59">
        <v>5435</v>
      </c>
      <c r="C93" t="s">
        <v>17</v>
      </c>
    </row>
    <row r="94" spans="1:3" x14ac:dyDescent="0.35">
      <c r="A94" t="s">
        <v>186</v>
      </c>
      <c r="B94" s="59">
        <v>5435</v>
      </c>
      <c r="C94" t="s">
        <v>17</v>
      </c>
    </row>
    <row r="95" spans="1:3" x14ac:dyDescent="0.35">
      <c r="A95" t="s">
        <v>190</v>
      </c>
      <c r="B95" s="59">
        <v>5435</v>
      </c>
      <c r="C95" t="s">
        <v>17</v>
      </c>
    </row>
    <row r="96" spans="1:3" x14ac:dyDescent="0.35">
      <c r="A96" t="s">
        <v>183</v>
      </c>
      <c r="B96" s="59">
        <v>5435</v>
      </c>
      <c r="C96" t="s">
        <v>17</v>
      </c>
    </row>
    <row r="97" spans="1:3" x14ac:dyDescent="0.35">
      <c r="A97" t="s">
        <v>214</v>
      </c>
      <c r="B97" s="59">
        <v>5435</v>
      </c>
      <c r="C97" t="s">
        <v>17</v>
      </c>
    </row>
    <row r="98" spans="1:3" x14ac:dyDescent="0.35">
      <c r="A98" t="s">
        <v>237</v>
      </c>
      <c r="B98" s="59">
        <v>4290</v>
      </c>
      <c r="C98" t="s">
        <v>17</v>
      </c>
    </row>
    <row r="99" spans="1:3" x14ac:dyDescent="0.35">
      <c r="A99" t="s">
        <v>241</v>
      </c>
      <c r="B99" s="59">
        <v>5435</v>
      </c>
      <c r="C99" t="s">
        <v>17</v>
      </c>
    </row>
    <row r="100" spans="1:3" x14ac:dyDescent="0.35">
      <c r="A100" t="s">
        <v>215</v>
      </c>
      <c r="B100" s="59">
        <v>5435</v>
      </c>
      <c r="C100" t="s">
        <v>17</v>
      </c>
    </row>
    <row r="101" spans="1:3" x14ac:dyDescent="0.35">
      <c r="A101" t="s">
        <v>211</v>
      </c>
      <c r="B101" s="59">
        <v>5435</v>
      </c>
      <c r="C101" t="s">
        <v>17</v>
      </c>
    </row>
    <row r="102" spans="1:3" x14ac:dyDescent="0.35">
      <c r="A102" t="s">
        <v>240</v>
      </c>
      <c r="B102" s="59">
        <v>5435</v>
      </c>
      <c r="C102" t="s">
        <v>17</v>
      </c>
    </row>
    <row r="103" spans="1:3" x14ac:dyDescent="0.35">
      <c r="A103" t="s">
        <v>242</v>
      </c>
      <c r="B103" s="59">
        <v>5435</v>
      </c>
      <c r="C103" t="s">
        <v>17</v>
      </c>
    </row>
    <row r="104" spans="1:3" x14ac:dyDescent="0.35">
      <c r="A104" t="s">
        <v>244</v>
      </c>
      <c r="B104" s="59">
        <v>5135</v>
      </c>
      <c r="C104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6781-8F41-457A-BD99-0188938F1B2A}">
  <dimension ref="A2:C104"/>
  <sheetViews>
    <sheetView topLeftCell="A88" workbookViewId="0">
      <selection activeCell="K97" sqref="K96:K97"/>
    </sheetView>
  </sheetViews>
  <sheetFormatPr defaultRowHeight="14.5" x14ac:dyDescent="0.35"/>
  <cols>
    <col min="1" max="1" width="43" bestFit="1" customWidth="1"/>
    <col min="2" max="2" width="11.90625" bestFit="1" customWidth="1"/>
  </cols>
  <sheetData>
    <row r="2" spans="1:3" x14ac:dyDescent="0.35">
      <c r="A2" t="s">
        <v>19</v>
      </c>
      <c r="B2" t="s">
        <v>89</v>
      </c>
      <c r="C2" t="s">
        <v>346</v>
      </c>
    </row>
    <row r="3" spans="1:3" x14ac:dyDescent="0.35">
      <c r="A3" t="s">
        <v>127</v>
      </c>
      <c r="B3" s="180">
        <f>SUM(Tabela1[[#This Row],[SOMA_LZ 01]:[SOMA_LZ 10]])</f>
        <v>1914.137769230769</v>
      </c>
      <c r="C3" t="s">
        <v>9</v>
      </c>
    </row>
    <row r="4" spans="1:3" x14ac:dyDescent="0.35">
      <c r="A4" t="s">
        <v>117</v>
      </c>
      <c r="B4" s="180">
        <f>SUM(Tabela1[[#This Row],[SOMA_LZ 01]:[SOMA_LZ 10]])</f>
        <v>695.86782407407406</v>
      </c>
      <c r="C4" t="s">
        <v>9</v>
      </c>
    </row>
    <row r="5" spans="1:3" x14ac:dyDescent="0.35">
      <c r="A5" t="s">
        <v>130</v>
      </c>
      <c r="B5" s="180">
        <f>SUM(Tabela1[[#This Row],[SOMA_LZ 01]:[SOMA_LZ 10]])</f>
        <v>718.63571428571436</v>
      </c>
      <c r="C5" t="s">
        <v>9</v>
      </c>
    </row>
    <row r="6" spans="1:3" x14ac:dyDescent="0.35">
      <c r="A6" t="s">
        <v>144</v>
      </c>
      <c r="B6" s="180">
        <f>SUM(Tabela1[[#This Row],[SOMA_LZ 01]:[SOMA_LZ 10]])</f>
        <v>692.74651685393269</v>
      </c>
      <c r="C6" t="s">
        <v>9</v>
      </c>
    </row>
    <row r="7" spans="1:3" x14ac:dyDescent="0.35">
      <c r="A7" t="s">
        <v>165</v>
      </c>
      <c r="B7" s="180">
        <f>SUM(Tabela1[[#This Row],[SOMA_LZ 01]:[SOMA_LZ 10]])</f>
        <v>1424.0929411764705</v>
      </c>
      <c r="C7" t="s">
        <v>9</v>
      </c>
    </row>
    <row r="8" spans="1:3" x14ac:dyDescent="0.35">
      <c r="A8" t="s">
        <v>136</v>
      </c>
      <c r="B8" s="181">
        <f>SUM(Tabela1[[#This Row],[SOMA_LZ 01]:[SOMA_LZ 10]])</f>
        <v>1889.4801262626265</v>
      </c>
      <c r="C8" t="s">
        <v>9</v>
      </c>
    </row>
    <row r="9" spans="1:3" x14ac:dyDescent="0.35">
      <c r="A9" t="s">
        <v>138</v>
      </c>
      <c r="B9" s="180">
        <f>SUM(Tabela1[[#This Row],[SOMA_LZ 01]:[SOMA_LZ 10]])</f>
        <v>696.48404166666671</v>
      </c>
      <c r="C9" t="s">
        <v>9</v>
      </c>
    </row>
    <row r="10" spans="1:3" x14ac:dyDescent="0.35">
      <c r="A10" t="s">
        <v>134</v>
      </c>
      <c r="B10" s="180">
        <f>SUM(Tabela1[[#This Row],[SOMA_LZ 01]:[SOMA_LZ 10]])</f>
        <v>1791.949861111111</v>
      </c>
      <c r="C10" t="s">
        <v>9</v>
      </c>
    </row>
    <row r="11" spans="1:3" x14ac:dyDescent="0.35">
      <c r="A11" t="s">
        <v>188</v>
      </c>
      <c r="B11" s="180">
        <f>SUM(Tabela1[[#This Row],[SOMA_LZ 01]:[SOMA_LZ 10]])</f>
        <v>1335.7383888888889</v>
      </c>
      <c r="C11" t="s">
        <v>9</v>
      </c>
    </row>
    <row r="12" spans="1:3" x14ac:dyDescent="0.35">
      <c r="A12" t="s">
        <v>132</v>
      </c>
      <c r="B12" s="180">
        <f>SUM(Tabela1[[#This Row],[SOMA_LZ 01]:[SOMA_LZ 10]])</f>
        <v>669.77288888888882</v>
      </c>
      <c r="C12" t="s">
        <v>9</v>
      </c>
    </row>
    <row r="13" spans="1:3" x14ac:dyDescent="0.35">
      <c r="A13" t="s">
        <v>140</v>
      </c>
      <c r="B13" s="180">
        <f>SUM(Tabela1[[#This Row],[SOMA_LZ 01]:[SOMA_LZ 10]])</f>
        <v>1170.9840361445786</v>
      </c>
      <c r="C13" t="s">
        <v>9</v>
      </c>
    </row>
    <row r="14" spans="1:3" x14ac:dyDescent="0.35">
      <c r="A14" t="s">
        <v>124</v>
      </c>
      <c r="B14" s="180">
        <f>SUM(Tabela1[[#This Row],[SOMA_LZ 01]:[SOMA_LZ 10]])</f>
        <v>807.37070312499998</v>
      </c>
      <c r="C14" t="s">
        <v>9</v>
      </c>
    </row>
    <row r="15" spans="1:3" x14ac:dyDescent="0.35">
      <c r="A15" t="s">
        <v>141</v>
      </c>
      <c r="B15" s="180">
        <f>SUM(Tabela1[[#This Row],[SOMA_LZ 01]:[SOMA_LZ 10]])</f>
        <v>1066.8373888888887</v>
      </c>
      <c r="C15" t="s">
        <v>9</v>
      </c>
    </row>
    <row r="16" spans="1:3" x14ac:dyDescent="0.35">
      <c r="A16" t="s">
        <v>195</v>
      </c>
      <c r="B16" s="180">
        <f>SUM(Tabela1[[#This Row],[SOMA_LZ 01]:[SOMA_LZ 10]])</f>
        <v>1123.5918840579709</v>
      </c>
      <c r="C16" t="s">
        <v>9</v>
      </c>
    </row>
    <row r="17" spans="1:3" x14ac:dyDescent="0.35">
      <c r="A17" t="s">
        <v>162</v>
      </c>
      <c r="B17" s="180">
        <f>SUM(Tabela1[[#This Row],[SOMA_LZ 01]:[SOMA_LZ 10]])</f>
        <v>781.10903846153838</v>
      </c>
      <c r="C17" t="s">
        <v>9</v>
      </c>
    </row>
    <row r="18" spans="1:3" x14ac:dyDescent="0.35">
      <c r="A18" t="s">
        <v>171</v>
      </c>
      <c r="B18" s="180">
        <f>SUM(Tabela1[[#This Row],[SOMA_LZ 01]:[SOMA_LZ 10]])</f>
        <v>479.44558270676697</v>
      </c>
      <c r="C18" t="s">
        <v>9</v>
      </c>
    </row>
    <row r="19" spans="1:3" x14ac:dyDescent="0.35">
      <c r="A19" t="s">
        <v>166</v>
      </c>
      <c r="B19" s="180">
        <f>SUM(Tabela1[[#This Row],[SOMA_LZ 01]:[SOMA_LZ 10]])</f>
        <v>802.5384485190408</v>
      </c>
      <c r="C19" t="s">
        <v>9</v>
      </c>
    </row>
    <row r="20" spans="1:3" x14ac:dyDescent="0.35">
      <c r="A20" t="s">
        <v>163</v>
      </c>
      <c r="B20" s="180">
        <f>SUM(Tabela1[[#This Row],[SOMA_LZ 01]:[SOMA_LZ 10]])</f>
        <v>790.13236363636361</v>
      </c>
      <c r="C20" t="s">
        <v>9</v>
      </c>
    </row>
    <row r="21" spans="1:3" x14ac:dyDescent="0.35">
      <c r="A21" t="s">
        <v>150</v>
      </c>
      <c r="B21" s="180">
        <f>SUM(Tabela1[[#This Row],[SOMA_LZ 01]:[SOMA_LZ 10]])</f>
        <v>1206.8685282258064</v>
      </c>
      <c r="C21" t="s">
        <v>9</v>
      </c>
    </row>
    <row r="22" spans="1:3" x14ac:dyDescent="0.35">
      <c r="A22" t="s">
        <v>146</v>
      </c>
      <c r="B22" s="180">
        <f>SUM(Tabela1[[#This Row],[SOMA_LZ 01]:[SOMA_LZ 10]])</f>
        <v>430.53257142857143</v>
      </c>
      <c r="C22" t="s">
        <v>9</v>
      </c>
    </row>
    <row r="23" spans="1:3" x14ac:dyDescent="0.35">
      <c r="A23" t="s">
        <v>180</v>
      </c>
      <c r="B23" s="180">
        <f>SUM(Tabela1[[#This Row],[SOMA_LZ 01]:[SOMA_LZ 10]])</f>
        <v>631.77346153846156</v>
      </c>
      <c r="C23" t="s">
        <v>9</v>
      </c>
    </row>
    <row r="24" spans="1:3" x14ac:dyDescent="0.35">
      <c r="A24" t="s">
        <v>184</v>
      </c>
      <c r="B24" s="180">
        <f>SUM(Tabela1[[#This Row],[SOMA_LZ 01]:[SOMA_LZ 10]])</f>
        <v>494.05377049180328</v>
      </c>
      <c r="C24" t="s">
        <v>9</v>
      </c>
    </row>
    <row r="25" spans="1:3" x14ac:dyDescent="0.35">
      <c r="A25" t="s">
        <v>149</v>
      </c>
      <c r="B25" s="180">
        <f>SUM(Tabela1[[#This Row],[SOMA_LZ 01]:[SOMA_LZ 10]])</f>
        <v>1075.3171195652176</v>
      </c>
      <c r="C25" t="s">
        <v>9</v>
      </c>
    </row>
    <row r="26" spans="1:3" x14ac:dyDescent="0.35">
      <c r="A26" t="s">
        <v>164</v>
      </c>
      <c r="B26" s="180">
        <f>SUM(Tabela1[[#This Row],[SOMA_LZ 01]:[SOMA_LZ 10]])</f>
        <v>1168.4587743732593</v>
      </c>
      <c r="C26" t="s">
        <v>9</v>
      </c>
    </row>
    <row r="27" spans="1:3" x14ac:dyDescent="0.35">
      <c r="A27" t="s">
        <v>153</v>
      </c>
      <c r="B27" s="180">
        <f>SUM(Tabela1[[#This Row],[SOMA_LZ 01]:[SOMA_LZ 10]])</f>
        <v>709.5417261904762</v>
      </c>
      <c r="C27" t="s">
        <v>9</v>
      </c>
    </row>
    <row r="28" spans="1:3" x14ac:dyDescent="0.35">
      <c r="A28" t="s">
        <v>169</v>
      </c>
      <c r="B28" s="180">
        <f>SUM(Tabela1[[#This Row],[SOMA_LZ 01]:[SOMA_LZ 10]])</f>
        <v>1420.7931651376146</v>
      </c>
      <c r="C28" t="s">
        <v>9</v>
      </c>
    </row>
    <row r="29" spans="1:3" x14ac:dyDescent="0.35">
      <c r="A29" t="s">
        <v>152</v>
      </c>
      <c r="B29" s="180">
        <f>SUM(Tabela1[[#This Row],[SOMA_LZ 01]:[SOMA_LZ 10]])</f>
        <v>480.49999999999994</v>
      </c>
      <c r="C29" t="s">
        <v>9</v>
      </c>
    </row>
    <row r="30" spans="1:3" x14ac:dyDescent="0.35">
      <c r="A30" t="s">
        <v>160</v>
      </c>
      <c r="B30" s="180">
        <f>SUM(Tabela1[[#This Row],[SOMA_LZ 01]:[SOMA_LZ 10]])</f>
        <v>1084.2231854838708</v>
      </c>
      <c r="C30" t="s">
        <v>9</v>
      </c>
    </row>
    <row r="31" spans="1:3" x14ac:dyDescent="0.35">
      <c r="A31" t="s">
        <v>155</v>
      </c>
      <c r="B31" s="180">
        <f>SUM(Tabela1[[#This Row],[SOMA_LZ 01]:[SOMA_LZ 10]])</f>
        <v>1373.6313636363634</v>
      </c>
      <c r="C31" t="s">
        <v>9</v>
      </c>
    </row>
    <row r="32" spans="1:3" x14ac:dyDescent="0.35">
      <c r="A32" t="s">
        <v>157</v>
      </c>
      <c r="B32" s="180">
        <f>SUM(Tabela1[[#This Row],[SOMA_LZ 01]:[SOMA_LZ 10]])</f>
        <v>121.23287671232876</v>
      </c>
      <c r="C32" t="s">
        <v>9</v>
      </c>
    </row>
    <row r="33" spans="1:3" x14ac:dyDescent="0.35">
      <c r="A33" t="s">
        <v>161</v>
      </c>
      <c r="B33" s="180">
        <f>SUM(Tabela1[[#This Row],[SOMA_LZ 01]:[SOMA_LZ 10]])</f>
        <v>1004.5759999999998</v>
      </c>
      <c r="C33" t="s">
        <v>9</v>
      </c>
    </row>
    <row r="34" spans="1:3" x14ac:dyDescent="0.35">
      <c r="A34" t="s">
        <v>179</v>
      </c>
      <c r="B34" s="180">
        <f>SUM(Tabela1[[#This Row],[SOMA_LZ 01]:[SOMA_LZ 10]])</f>
        <v>538.16571428571433</v>
      </c>
      <c r="C34" t="s">
        <v>9</v>
      </c>
    </row>
    <row r="35" spans="1:3" x14ac:dyDescent="0.35">
      <c r="A35" t="s">
        <v>170</v>
      </c>
      <c r="B35" s="180">
        <f>SUM(Tabela1[[#This Row],[SOMA_LZ 01]:[SOMA_LZ 10]])</f>
        <v>906.16375000000005</v>
      </c>
      <c r="C35" t="s">
        <v>9</v>
      </c>
    </row>
    <row r="36" spans="1:3" x14ac:dyDescent="0.35">
      <c r="A36" t="s">
        <v>148</v>
      </c>
      <c r="B36" s="180">
        <f>SUM(Tabela1[[#This Row],[SOMA_LZ 01]:[SOMA_LZ 10]])</f>
        <v>709.99450000000002</v>
      </c>
      <c r="C36" t="s">
        <v>9</v>
      </c>
    </row>
    <row r="37" spans="1:3" x14ac:dyDescent="0.35">
      <c r="A37" t="s">
        <v>168</v>
      </c>
      <c r="B37" s="180">
        <f>SUM(Tabela1[[#This Row],[SOMA_LZ 01]:[SOMA_LZ 10]])</f>
        <v>824.19065104166657</v>
      </c>
      <c r="C37" t="s">
        <v>8</v>
      </c>
    </row>
    <row r="38" spans="1:3" x14ac:dyDescent="0.35">
      <c r="A38" t="s">
        <v>189</v>
      </c>
      <c r="B38" s="180">
        <f>SUM(Tabela1[[#This Row],[SOMA_LZ 01]:[SOMA_LZ 10]])</f>
        <v>4049.6531250000003</v>
      </c>
      <c r="C38" t="s">
        <v>8</v>
      </c>
    </row>
    <row r="39" spans="1:3" x14ac:dyDescent="0.35">
      <c r="A39" t="s">
        <v>178</v>
      </c>
      <c r="B39" s="180">
        <f>SUM(Tabela1[[#This Row],[SOMA_LZ 01]:[SOMA_LZ 10]])</f>
        <v>1302.2635714285714</v>
      </c>
      <c r="C39" t="s">
        <v>8</v>
      </c>
    </row>
    <row r="40" spans="1:3" x14ac:dyDescent="0.35">
      <c r="A40" t="s">
        <v>225</v>
      </c>
      <c r="B40" s="180">
        <f>SUM(Tabela1[[#This Row],[SOMA_LZ 01]:[SOMA_LZ 10]])</f>
        <v>1545.0103787878791</v>
      </c>
      <c r="C40" t="s">
        <v>8</v>
      </c>
    </row>
    <row r="41" spans="1:3" x14ac:dyDescent="0.35">
      <c r="A41" t="s">
        <v>209</v>
      </c>
      <c r="B41" s="180">
        <f>SUM(Tabela1[[#This Row],[SOMA_LZ 01]:[SOMA_LZ 10]])</f>
        <v>893.57322222222228</v>
      </c>
      <c r="C41" t="s">
        <v>8</v>
      </c>
    </row>
    <row r="42" spans="1:3" x14ac:dyDescent="0.35">
      <c r="A42" t="s">
        <v>182</v>
      </c>
      <c r="B42" s="180">
        <f>SUM(Tabela1[[#This Row],[SOMA_LZ 01]:[SOMA_LZ 10]])</f>
        <v>1159.1923793103449</v>
      </c>
      <c r="C42" t="s">
        <v>8</v>
      </c>
    </row>
    <row r="43" spans="1:3" x14ac:dyDescent="0.35">
      <c r="A43" t="s">
        <v>203</v>
      </c>
      <c r="B43" s="180">
        <f>SUM(Tabela1[[#This Row],[SOMA_LZ 01]:[SOMA_LZ 10]])</f>
        <v>639.33486486486493</v>
      </c>
      <c r="C43" t="s">
        <v>8</v>
      </c>
    </row>
    <row r="44" spans="1:3" x14ac:dyDescent="0.35">
      <c r="A44" t="s">
        <v>235</v>
      </c>
      <c r="B44" s="180">
        <f>SUM(Tabela1[[#This Row],[SOMA_LZ 01]:[SOMA_LZ 10]])</f>
        <v>846.27824999999996</v>
      </c>
      <c r="C44" t="s">
        <v>8</v>
      </c>
    </row>
    <row r="45" spans="1:3" x14ac:dyDescent="0.35">
      <c r="A45" t="s">
        <v>239</v>
      </c>
      <c r="B45" s="180">
        <f>SUM(Tabela1[[#This Row],[SOMA_LZ 01]:[SOMA_LZ 10]])</f>
        <v>1872.3486363636364</v>
      </c>
      <c r="C45" t="s">
        <v>8</v>
      </c>
    </row>
    <row r="46" spans="1:3" x14ac:dyDescent="0.35">
      <c r="A46" t="s">
        <v>185</v>
      </c>
      <c r="B46" s="180">
        <f>SUM(Tabela1[[#This Row],[SOMA_LZ 01]:[SOMA_LZ 10]])</f>
        <v>2464.0453124999999</v>
      </c>
      <c r="C46" t="s">
        <v>8</v>
      </c>
    </row>
    <row r="47" spans="1:3" x14ac:dyDescent="0.35">
      <c r="A47" t="s">
        <v>197</v>
      </c>
      <c r="B47" s="180">
        <f>SUM(Tabela1[[#This Row],[SOMA_LZ 01]:[SOMA_LZ 10]])</f>
        <v>577.86</v>
      </c>
      <c r="C47" t="s">
        <v>8</v>
      </c>
    </row>
    <row r="48" spans="1:3" x14ac:dyDescent="0.35">
      <c r="A48" t="s">
        <v>217</v>
      </c>
      <c r="B48" s="180">
        <f>SUM(Tabela1[[#This Row],[SOMA_LZ 01]:[SOMA_LZ 10]])</f>
        <v>2782.1934782608696</v>
      </c>
      <c r="C48" t="s">
        <v>8</v>
      </c>
    </row>
    <row r="49" spans="1:3" x14ac:dyDescent="0.35">
      <c r="A49" t="s">
        <v>216</v>
      </c>
      <c r="B49" s="180">
        <f>SUM(Tabela1[[#This Row],[SOMA_LZ 01]:[SOMA_LZ 10]])</f>
        <v>2398.1954545454546</v>
      </c>
      <c r="C49" t="s">
        <v>8</v>
      </c>
    </row>
    <row r="50" spans="1:3" x14ac:dyDescent="0.35">
      <c r="A50" t="s">
        <v>204</v>
      </c>
      <c r="B50" s="180">
        <f>SUM(Tabela1[[#This Row],[SOMA_LZ 01]:[SOMA_LZ 10]])</f>
        <v>3020.1135999999997</v>
      </c>
      <c r="C50" t="s">
        <v>8</v>
      </c>
    </row>
    <row r="51" spans="1:3" x14ac:dyDescent="0.35">
      <c r="A51" t="s">
        <v>229</v>
      </c>
      <c r="B51" s="180">
        <f>SUM(Tabela1[[#This Row],[SOMA_LZ 01]:[SOMA_LZ 10]])</f>
        <v>1272.9585535714284</v>
      </c>
      <c r="C51" t="s">
        <v>8</v>
      </c>
    </row>
    <row r="52" spans="1:3" x14ac:dyDescent="0.35">
      <c r="A52" t="s">
        <v>205</v>
      </c>
      <c r="B52" s="180">
        <f>SUM(Tabela1[[#This Row],[SOMA_LZ 01]:[SOMA_LZ 10]])</f>
        <v>1568.8996666666667</v>
      </c>
      <c r="C52" t="s">
        <v>8</v>
      </c>
    </row>
    <row r="53" spans="1:3" x14ac:dyDescent="0.35">
      <c r="A53" t="s">
        <v>213</v>
      </c>
      <c r="B53" s="180">
        <f>SUM(Tabela1[[#This Row],[SOMA_LZ 01]:[SOMA_LZ 10]])</f>
        <v>1537.3067999999998</v>
      </c>
      <c r="C53" t="s">
        <v>8</v>
      </c>
    </row>
    <row r="54" spans="1:3" x14ac:dyDescent="0.35">
      <c r="A54" t="s">
        <v>201</v>
      </c>
      <c r="B54" s="180">
        <f>SUM(Tabela1[[#This Row],[SOMA_LZ 01]:[SOMA_LZ 10]])</f>
        <v>1968.0557291666667</v>
      </c>
      <c r="C54" t="s">
        <v>8</v>
      </c>
    </row>
    <row r="55" spans="1:3" x14ac:dyDescent="0.35">
      <c r="A55" t="s">
        <v>196</v>
      </c>
      <c r="B55" s="180">
        <f>SUM(Tabela1[[#This Row],[SOMA_LZ 01]:[SOMA_LZ 10]])</f>
        <v>1857.8944444444446</v>
      </c>
      <c r="C55" t="s">
        <v>8</v>
      </c>
    </row>
    <row r="56" spans="1:3" x14ac:dyDescent="0.35">
      <c r="A56" t="s">
        <v>99</v>
      </c>
      <c r="B56" s="182">
        <f>SUM(Tabela1[[#This Row],[SOMA_LZ 01]:[SOMA_LZ 10]])</f>
        <v>1346.6289259259261</v>
      </c>
      <c r="C56" t="s">
        <v>8</v>
      </c>
    </row>
    <row r="57" spans="1:3" x14ac:dyDescent="0.35">
      <c r="A57" t="s">
        <v>226</v>
      </c>
      <c r="B57" s="180">
        <f>SUM(Tabela1[[#This Row],[SOMA_LZ 01]:[SOMA_LZ 10]])</f>
        <v>3279.5122549019611</v>
      </c>
      <c r="C57" t="s">
        <v>8</v>
      </c>
    </row>
    <row r="58" spans="1:3" x14ac:dyDescent="0.35">
      <c r="A58" t="s">
        <v>230</v>
      </c>
      <c r="B58" s="183">
        <f>SUM(Tabela1[[#This Row],[SOMA_LZ 01]:[SOMA_LZ 10]])</f>
        <v>1512.8252314814815</v>
      </c>
      <c r="C58" t="s">
        <v>8</v>
      </c>
    </row>
    <row r="59" spans="1:3" x14ac:dyDescent="0.35">
      <c r="A59" t="s">
        <v>232</v>
      </c>
      <c r="B59" s="180">
        <f>SUM(Tabela1[[#This Row],[SOMA_LZ 01]:[SOMA_LZ 10]])</f>
        <v>2248.3903409090913</v>
      </c>
      <c r="C59" t="s">
        <v>8</v>
      </c>
    </row>
    <row r="60" spans="1:3" x14ac:dyDescent="0.35">
      <c r="A60" t="s">
        <v>192</v>
      </c>
      <c r="B60" s="180">
        <f>SUM(Tabela1[[#This Row],[SOMA_LZ 01]:[SOMA_LZ 10]])</f>
        <v>1113.7766785714284</v>
      </c>
      <c r="C60" t="s">
        <v>8</v>
      </c>
    </row>
    <row r="61" spans="1:3" x14ac:dyDescent="0.35">
      <c r="A61" t="s">
        <v>219</v>
      </c>
      <c r="B61" s="180">
        <f>SUM(Tabela1[[#This Row],[SOMA_LZ 01]:[SOMA_LZ 10]])</f>
        <v>616.25000000000011</v>
      </c>
      <c r="C61" t="s">
        <v>8</v>
      </c>
    </row>
    <row r="62" spans="1:3" x14ac:dyDescent="0.35">
      <c r="A62" t="s">
        <v>181</v>
      </c>
      <c r="B62" s="180">
        <f>SUM(Tabela1[[#This Row],[SOMA_LZ 01]:[SOMA_LZ 10]])</f>
        <v>645.44954545454539</v>
      </c>
      <c r="C62" t="s">
        <v>8</v>
      </c>
    </row>
    <row r="63" spans="1:3" x14ac:dyDescent="0.35">
      <c r="A63" t="s">
        <v>187</v>
      </c>
      <c r="B63" s="180">
        <f>SUM(Tabela1[[#This Row],[SOMA_LZ 01]:[SOMA_LZ 10]])</f>
        <v>1393.4208333333333</v>
      </c>
      <c r="C63" t="s">
        <v>8</v>
      </c>
    </row>
    <row r="64" spans="1:3" x14ac:dyDescent="0.35">
      <c r="A64" t="s">
        <v>191</v>
      </c>
      <c r="B64" s="180">
        <f>SUM(Tabela1[[#This Row],[SOMA_LZ 01]:[SOMA_LZ 10]])</f>
        <v>1394.8215053763442</v>
      </c>
      <c r="C64" t="s">
        <v>8</v>
      </c>
    </row>
    <row r="65" spans="1:3" x14ac:dyDescent="0.35">
      <c r="A65" t="s">
        <v>233</v>
      </c>
      <c r="B65" s="180">
        <f>SUM(Tabela1[[#This Row],[SOMA_LZ 01]:[SOMA_LZ 10]])</f>
        <v>1978.51125</v>
      </c>
      <c r="C65" t="s">
        <v>8</v>
      </c>
    </row>
    <row r="66" spans="1:3" x14ac:dyDescent="0.35">
      <c r="A66" t="s">
        <v>223</v>
      </c>
      <c r="B66" s="180">
        <f>SUM(Tabela1[[#This Row],[SOMA_LZ 01]:[SOMA_LZ 10]])</f>
        <v>2511.7923511904764</v>
      </c>
      <c r="C66" t="s">
        <v>8</v>
      </c>
    </row>
    <row r="67" spans="1:3" x14ac:dyDescent="0.35">
      <c r="A67" t="s">
        <v>224</v>
      </c>
      <c r="B67" s="180">
        <f>SUM(Tabela1[[#This Row],[SOMA_LZ 01]:[SOMA_LZ 10]])</f>
        <v>1452.5747999999999</v>
      </c>
      <c r="C67" t="s">
        <v>8</v>
      </c>
    </row>
    <row r="68" spans="1:3" x14ac:dyDescent="0.35">
      <c r="A68" t="s">
        <v>193</v>
      </c>
      <c r="B68" s="180">
        <f>SUM(Tabela1[[#This Row],[SOMA_LZ 01]:[SOMA_LZ 10]])</f>
        <v>1407.4275403225809</v>
      </c>
      <c r="C68" t="s">
        <v>8</v>
      </c>
    </row>
    <row r="69" spans="1:3" x14ac:dyDescent="0.35">
      <c r="A69" t="s">
        <v>218</v>
      </c>
      <c r="B69" s="180">
        <f>SUM(Tabela1[[#This Row],[SOMA_LZ 01]:[SOMA_LZ 10]])</f>
        <v>1943.8335</v>
      </c>
      <c r="C69" t="s">
        <v>8</v>
      </c>
    </row>
    <row r="70" spans="1:3" x14ac:dyDescent="0.35">
      <c r="A70" t="s">
        <v>202</v>
      </c>
      <c r="B70" s="180">
        <f>SUM(Tabela1[[#This Row],[SOMA_LZ 01]:[SOMA_LZ 10]])</f>
        <v>1827.7184999999999</v>
      </c>
      <c r="C70" t="s">
        <v>8</v>
      </c>
    </row>
    <row r="71" spans="1:3" x14ac:dyDescent="0.35">
      <c r="A71" t="s">
        <v>220</v>
      </c>
      <c r="B71" s="180">
        <f>SUM(Tabela1[[#This Row],[SOMA_LZ 01]:[SOMA_LZ 10]])</f>
        <v>1554.7854716981133</v>
      </c>
      <c r="C71" t="s">
        <v>8</v>
      </c>
    </row>
    <row r="72" spans="1:3" x14ac:dyDescent="0.35">
      <c r="A72" t="s">
        <v>231</v>
      </c>
      <c r="B72" s="180">
        <f>SUM(Tabela1[[#This Row],[SOMA_LZ 01]:[SOMA_LZ 10]])</f>
        <v>1299.140706521739</v>
      </c>
      <c r="C72" t="s">
        <v>8</v>
      </c>
    </row>
    <row r="73" spans="1:3" x14ac:dyDescent="0.35">
      <c r="A73" t="s">
        <v>208</v>
      </c>
      <c r="B73" s="180">
        <f>SUM(Tabela1[[#This Row],[SOMA_LZ 01]:[SOMA_LZ 10]])</f>
        <v>2239.2319444444443</v>
      </c>
      <c r="C73" t="s">
        <v>8</v>
      </c>
    </row>
    <row r="74" spans="1:3" x14ac:dyDescent="0.35">
      <c r="A74" t="s">
        <v>246</v>
      </c>
      <c r="B74" s="180">
        <f>SUM(Tabela1[[#This Row],[SOMA_LZ 01]:[SOMA_LZ 10]])</f>
        <v>2003.6075833333332</v>
      </c>
      <c r="C74" t="s">
        <v>8</v>
      </c>
    </row>
    <row r="75" spans="1:3" x14ac:dyDescent="0.35">
      <c r="A75" t="s">
        <v>199</v>
      </c>
      <c r="B75" s="180">
        <f>SUM(Tabela1[[#This Row],[SOMA_LZ 01]:[SOMA_LZ 10]])</f>
        <v>2702.4666666666667</v>
      </c>
      <c r="C75" t="s">
        <v>8</v>
      </c>
    </row>
    <row r="76" spans="1:3" x14ac:dyDescent="0.35">
      <c r="A76" t="s">
        <v>198</v>
      </c>
      <c r="B76" s="180">
        <f>SUM(Tabela1[[#This Row],[SOMA_LZ 01]:[SOMA_LZ 10]])</f>
        <v>1503.8303333333336</v>
      </c>
      <c r="C76" t="s">
        <v>8</v>
      </c>
    </row>
    <row r="77" spans="1:3" x14ac:dyDescent="0.35">
      <c r="A77" t="s">
        <v>177</v>
      </c>
      <c r="B77" s="180">
        <f>SUM(Tabela1[[#This Row],[SOMA_LZ 01]:[SOMA_LZ 10]])</f>
        <v>873.55511764705875</v>
      </c>
      <c r="C77" t="s">
        <v>8</v>
      </c>
    </row>
    <row r="78" spans="1:3" x14ac:dyDescent="0.35">
      <c r="A78" t="s">
        <v>158</v>
      </c>
      <c r="B78" s="180">
        <f>SUM(Tabela1[[#This Row],[SOMA_LZ 01]:[SOMA_LZ 10]])</f>
        <v>1074.28828125</v>
      </c>
      <c r="C78" t="s">
        <v>8</v>
      </c>
    </row>
    <row r="79" spans="1:3" x14ac:dyDescent="0.35">
      <c r="A79" t="s">
        <v>234</v>
      </c>
      <c r="B79" s="180">
        <f>SUM(Tabela1[[#This Row],[SOMA_LZ 01]:[SOMA_LZ 10]])</f>
        <v>1367.0418627450979</v>
      </c>
      <c r="C79" t="s">
        <v>8</v>
      </c>
    </row>
    <row r="80" spans="1:3" x14ac:dyDescent="0.35">
      <c r="A80" t="s">
        <v>176</v>
      </c>
      <c r="B80" s="180">
        <f>SUM(Tabela1[[#This Row],[SOMA_LZ 01]:[SOMA_LZ 10]])</f>
        <v>1279.809</v>
      </c>
      <c r="C80" t="s">
        <v>8</v>
      </c>
    </row>
    <row r="81" spans="1:3" x14ac:dyDescent="0.35">
      <c r="A81" t="s">
        <v>238</v>
      </c>
      <c r="B81" s="180">
        <f>SUM(Tabela1[[#This Row],[SOMA_LZ 01]:[SOMA_LZ 10]])</f>
        <v>1324.1754901960785</v>
      </c>
      <c r="C81" t="s">
        <v>8</v>
      </c>
    </row>
    <row r="82" spans="1:3" x14ac:dyDescent="0.35">
      <c r="A82" t="s">
        <v>200</v>
      </c>
      <c r="B82" s="180">
        <f>SUM(Tabela1[[#This Row],[SOMA_LZ 01]:[SOMA_LZ 10]])</f>
        <v>1856.664</v>
      </c>
      <c r="C82" t="s">
        <v>8</v>
      </c>
    </row>
    <row r="83" spans="1:3" x14ac:dyDescent="0.35">
      <c r="A83" t="s">
        <v>194</v>
      </c>
      <c r="B83" s="180">
        <f>SUM(Tabela1[[#This Row],[SOMA_LZ 01]:[SOMA_LZ 10]])</f>
        <v>1471.2877777777776</v>
      </c>
      <c r="C83" t="s">
        <v>8</v>
      </c>
    </row>
    <row r="84" spans="1:3" x14ac:dyDescent="0.35">
      <c r="A84" t="s">
        <v>172</v>
      </c>
      <c r="B84" s="180">
        <f>SUM(Tabela1[[#This Row],[SOMA_LZ 01]:[SOMA_LZ 10]])</f>
        <v>1564.6263043478261</v>
      </c>
      <c r="C84" t="s">
        <v>8</v>
      </c>
    </row>
    <row r="85" spans="1:3" x14ac:dyDescent="0.35">
      <c r="A85" t="s">
        <v>210</v>
      </c>
      <c r="B85" s="180">
        <f>SUM(Tabela1[[#This Row],[SOMA_LZ 01]:[SOMA_LZ 10]])</f>
        <v>1773.3124183006537</v>
      </c>
      <c r="C85" t="s">
        <v>8</v>
      </c>
    </row>
    <row r="86" spans="1:3" x14ac:dyDescent="0.35">
      <c r="A86" t="s">
        <v>206</v>
      </c>
      <c r="B86" s="180">
        <f>SUM(Tabela1[[#This Row],[SOMA_LZ 01]:[SOMA_LZ 10]])</f>
        <v>2615.7613333333334</v>
      </c>
      <c r="C86" t="s">
        <v>8</v>
      </c>
    </row>
    <row r="87" spans="1:3" x14ac:dyDescent="0.35">
      <c r="A87" t="s">
        <v>221</v>
      </c>
      <c r="B87" s="180">
        <f>SUM(Tabela1[[#This Row],[SOMA_LZ 01]:[SOMA_LZ 10]])</f>
        <v>1664.9442222222222</v>
      </c>
      <c r="C87" t="s">
        <v>17</v>
      </c>
    </row>
    <row r="88" spans="1:3" x14ac:dyDescent="0.35">
      <c r="A88" t="s">
        <v>227</v>
      </c>
      <c r="B88" s="180">
        <f>SUM(Tabela1[[#This Row],[SOMA_LZ 01]:[SOMA_LZ 10]])</f>
        <v>1622.7142608695651</v>
      </c>
      <c r="C88" t="s">
        <v>17</v>
      </c>
    </row>
    <row r="89" spans="1:3" x14ac:dyDescent="0.35">
      <c r="A89" t="s">
        <v>243</v>
      </c>
      <c r="B89" s="180">
        <f>SUM(Tabela1[[#This Row],[SOMA_LZ 01]:[SOMA_LZ 10]])</f>
        <v>1333.0854166666666</v>
      </c>
      <c r="C89" t="s">
        <v>17</v>
      </c>
    </row>
    <row r="90" spans="1:3" x14ac:dyDescent="0.35">
      <c r="A90" t="s">
        <v>236</v>
      </c>
      <c r="B90" s="180">
        <f>SUM(Tabela1[[#This Row],[SOMA_LZ 01]:[SOMA_LZ 10]])</f>
        <v>2666.2687500000002</v>
      </c>
      <c r="C90" t="s">
        <v>17</v>
      </c>
    </row>
    <row r="91" spans="1:3" x14ac:dyDescent="0.35">
      <c r="A91" t="s">
        <v>245</v>
      </c>
      <c r="B91" s="180">
        <f>SUM(Tabela1[[#This Row],[SOMA_LZ 01]:[SOMA_LZ 10]])</f>
        <v>2223.1988349514559</v>
      </c>
      <c r="C91" t="s">
        <v>17</v>
      </c>
    </row>
    <row r="92" spans="1:3" x14ac:dyDescent="0.35">
      <c r="A92" t="s">
        <v>207</v>
      </c>
      <c r="B92" s="180">
        <f>SUM(Tabela1[[#This Row],[SOMA_LZ 01]:[SOMA_LZ 10]])</f>
        <v>1349.8843750000001</v>
      </c>
      <c r="C92" t="s">
        <v>17</v>
      </c>
    </row>
    <row r="93" spans="1:3" x14ac:dyDescent="0.35">
      <c r="A93" t="s">
        <v>228</v>
      </c>
      <c r="B93" s="180">
        <f>SUM(Tabela1[[#This Row],[SOMA_LZ 01]:[SOMA_LZ 10]])</f>
        <v>2426.7334166666669</v>
      </c>
      <c r="C93" t="s">
        <v>17</v>
      </c>
    </row>
    <row r="94" spans="1:3" x14ac:dyDescent="0.35">
      <c r="A94" t="s">
        <v>186</v>
      </c>
      <c r="B94" s="180">
        <f>SUM(Tabela1[[#This Row],[SOMA_LZ 01]:[SOMA_LZ 10]])</f>
        <v>3328.1292647058826</v>
      </c>
      <c r="C94" t="s">
        <v>17</v>
      </c>
    </row>
    <row r="95" spans="1:3" x14ac:dyDescent="0.35">
      <c r="A95" t="s">
        <v>190</v>
      </c>
      <c r="B95" s="180">
        <f>SUM(Tabela1[[#This Row],[SOMA_LZ 01]:[SOMA_LZ 10]])</f>
        <v>1597.1851944444445</v>
      </c>
      <c r="C95" t="s">
        <v>17</v>
      </c>
    </row>
    <row r="96" spans="1:3" x14ac:dyDescent="0.35">
      <c r="A96" t="s">
        <v>183</v>
      </c>
      <c r="B96" s="180">
        <f>SUM(Tabela1[[#This Row],[SOMA_LZ 01]:[SOMA_LZ 10]])</f>
        <v>1938.6385</v>
      </c>
      <c r="C96" t="s">
        <v>17</v>
      </c>
    </row>
    <row r="97" spans="1:3" x14ac:dyDescent="0.35">
      <c r="A97" t="s">
        <v>214</v>
      </c>
      <c r="B97" s="184">
        <f>SUM(Tabela1[[#This Row],[SOMA_LZ 01]:[SOMA_LZ 10]])</f>
        <v>1134.8240624999999</v>
      </c>
      <c r="C97" t="s">
        <v>17</v>
      </c>
    </row>
    <row r="98" spans="1:3" x14ac:dyDescent="0.35">
      <c r="A98" t="s">
        <v>237</v>
      </c>
      <c r="B98" s="180">
        <f>SUM(Tabela1[[#This Row],[SOMA_LZ 01]:[SOMA_LZ 10]])</f>
        <v>2129.9779261363637</v>
      </c>
      <c r="C98" t="s">
        <v>17</v>
      </c>
    </row>
    <row r="99" spans="1:3" x14ac:dyDescent="0.35">
      <c r="A99" t="s">
        <v>241</v>
      </c>
      <c r="B99" s="180">
        <f>SUM(Tabela1[[#This Row],[SOMA_LZ 01]:[SOMA_LZ 10]])</f>
        <v>1159.8823611111111</v>
      </c>
      <c r="C99" t="s">
        <v>17</v>
      </c>
    </row>
    <row r="100" spans="1:3" x14ac:dyDescent="0.35">
      <c r="A100" t="s">
        <v>215</v>
      </c>
      <c r="B100" s="180">
        <f>SUM(Tabela1[[#This Row],[SOMA_LZ 01]:[SOMA_LZ 10]])</f>
        <v>2867.732890625</v>
      </c>
      <c r="C100" t="s">
        <v>17</v>
      </c>
    </row>
    <row r="101" spans="1:3" x14ac:dyDescent="0.35">
      <c r="A101" t="s">
        <v>211</v>
      </c>
      <c r="B101" s="180">
        <f>SUM(Tabela1[[#This Row],[SOMA_LZ 01]:[SOMA_LZ 10]])</f>
        <v>1799.3202500000002</v>
      </c>
      <c r="C101" t="s">
        <v>17</v>
      </c>
    </row>
    <row r="102" spans="1:3" x14ac:dyDescent="0.35">
      <c r="A102" t="s">
        <v>240</v>
      </c>
      <c r="B102" s="180">
        <f>SUM(Tabela1[[#This Row],[SOMA_LZ 01]:[SOMA_LZ 10]])</f>
        <v>2049.1632500000001</v>
      </c>
      <c r="C102" t="s">
        <v>17</v>
      </c>
    </row>
    <row r="103" spans="1:3" x14ac:dyDescent="0.35">
      <c r="A103" t="s">
        <v>242</v>
      </c>
      <c r="B103" s="180">
        <f>SUM(Tabela1[[#This Row],[SOMA_LZ 01]:[SOMA_LZ 10]])</f>
        <v>1337.1775510204081</v>
      </c>
      <c r="C103" t="s">
        <v>17</v>
      </c>
    </row>
    <row r="104" spans="1:3" x14ac:dyDescent="0.35">
      <c r="A104" t="s">
        <v>244</v>
      </c>
      <c r="B104" s="180">
        <f>SUM(Tabela1[[#This Row],[SOMA_LZ 01]:[SOMA_LZ 10]])</f>
        <v>3915.4522222222226</v>
      </c>
      <c r="C104" t="s">
        <v>17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D72B3-6A3F-404A-9943-8CD7547568EE}">
  <dimension ref="A2:C104"/>
  <sheetViews>
    <sheetView topLeftCell="A76" workbookViewId="0">
      <selection activeCell="K97" sqref="K96:K97"/>
    </sheetView>
  </sheetViews>
  <sheetFormatPr defaultRowHeight="14.5" x14ac:dyDescent="0.35"/>
  <cols>
    <col min="1" max="1" width="43" bestFit="1" customWidth="1"/>
    <col min="2" max="2" width="11.90625" bestFit="1" customWidth="1"/>
  </cols>
  <sheetData>
    <row r="2" spans="1:3" x14ac:dyDescent="0.35">
      <c r="A2" t="s">
        <v>19</v>
      </c>
      <c r="B2" t="s">
        <v>89</v>
      </c>
      <c r="C2" t="s">
        <v>346</v>
      </c>
    </row>
    <row r="3" spans="1:3" x14ac:dyDescent="0.35">
      <c r="A3" t="s">
        <v>127</v>
      </c>
      <c r="B3" s="28">
        <v>0</v>
      </c>
      <c r="C3" t="s">
        <v>9</v>
      </c>
    </row>
    <row r="4" spans="1:3" x14ac:dyDescent="0.35">
      <c r="A4" t="s">
        <v>117</v>
      </c>
      <c r="B4" s="28">
        <v>0</v>
      </c>
      <c r="C4" t="s">
        <v>9</v>
      </c>
    </row>
    <row r="5" spans="1:3" x14ac:dyDescent="0.35">
      <c r="A5" t="s">
        <v>130</v>
      </c>
      <c r="B5" s="28">
        <v>2400</v>
      </c>
      <c r="C5" t="s">
        <v>9</v>
      </c>
    </row>
    <row r="6" spans="1:3" x14ac:dyDescent="0.35">
      <c r="A6" t="s">
        <v>144</v>
      </c>
      <c r="B6" s="28">
        <v>0</v>
      </c>
      <c r="C6" t="s">
        <v>9</v>
      </c>
    </row>
    <row r="7" spans="1:3" x14ac:dyDescent="0.35">
      <c r="A7" t="s">
        <v>165</v>
      </c>
      <c r="B7" s="28">
        <v>0</v>
      </c>
      <c r="C7" t="s">
        <v>9</v>
      </c>
    </row>
    <row r="8" spans="1:3" x14ac:dyDescent="0.35">
      <c r="A8" t="s">
        <v>136</v>
      </c>
      <c r="B8" s="171">
        <v>1890</v>
      </c>
      <c r="C8" t="s">
        <v>9</v>
      </c>
    </row>
    <row r="9" spans="1:3" x14ac:dyDescent="0.35">
      <c r="A9" t="s">
        <v>138</v>
      </c>
      <c r="B9" s="28">
        <v>0</v>
      </c>
      <c r="C9" t="s">
        <v>9</v>
      </c>
    </row>
    <row r="10" spans="1:3" x14ac:dyDescent="0.35">
      <c r="A10" t="s">
        <v>134</v>
      </c>
      <c r="B10" s="28">
        <v>0</v>
      </c>
      <c r="C10" t="s">
        <v>9</v>
      </c>
    </row>
    <row r="11" spans="1:3" x14ac:dyDescent="0.35">
      <c r="A11" t="s">
        <v>188</v>
      </c>
      <c r="B11" s="28">
        <v>1020.0000000000001</v>
      </c>
      <c r="C11" t="s">
        <v>9</v>
      </c>
    </row>
    <row r="12" spans="1:3" x14ac:dyDescent="0.35">
      <c r="A12" t="s">
        <v>132</v>
      </c>
      <c r="B12" s="28">
        <v>0</v>
      </c>
      <c r="C12" t="s">
        <v>9</v>
      </c>
    </row>
    <row r="13" spans="1:3" x14ac:dyDescent="0.35">
      <c r="A13" t="s">
        <v>140</v>
      </c>
      <c r="B13" s="28">
        <v>921.68674698795178</v>
      </c>
      <c r="C13" t="s">
        <v>9</v>
      </c>
    </row>
    <row r="14" spans="1:3" x14ac:dyDescent="0.35">
      <c r="A14" t="s">
        <v>124</v>
      </c>
      <c r="B14" s="28">
        <v>1500</v>
      </c>
      <c r="C14" t="s">
        <v>9</v>
      </c>
    </row>
    <row r="15" spans="1:3" x14ac:dyDescent="0.35">
      <c r="A15" t="s">
        <v>141</v>
      </c>
      <c r="B15" s="28">
        <v>2000</v>
      </c>
      <c r="C15" t="s">
        <v>9</v>
      </c>
    </row>
    <row r="16" spans="1:3" x14ac:dyDescent="0.35">
      <c r="A16" t="s">
        <v>195</v>
      </c>
      <c r="B16" s="28">
        <v>510.00000000000006</v>
      </c>
      <c r="C16" t="s">
        <v>9</v>
      </c>
    </row>
    <row r="17" spans="1:3" x14ac:dyDescent="0.35">
      <c r="A17" t="s">
        <v>162</v>
      </c>
      <c r="B17" s="28">
        <v>2000</v>
      </c>
      <c r="C17" t="s">
        <v>9</v>
      </c>
    </row>
    <row r="18" spans="1:3" x14ac:dyDescent="0.35">
      <c r="A18" t="s">
        <v>171</v>
      </c>
      <c r="B18" s="28">
        <v>0</v>
      </c>
      <c r="C18" t="s">
        <v>9</v>
      </c>
    </row>
    <row r="19" spans="1:3" x14ac:dyDescent="0.35">
      <c r="A19" t="s">
        <v>166</v>
      </c>
      <c r="B19" s="28">
        <v>1937.9407616361073</v>
      </c>
      <c r="C19" t="s">
        <v>9</v>
      </c>
    </row>
    <row r="20" spans="1:3" x14ac:dyDescent="0.35">
      <c r="A20" t="s">
        <v>163</v>
      </c>
      <c r="B20" s="28">
        <v>1200</v>
      </c>
      <c r="C20" t="s">
        <v>9</v>
      </c>
    </row>
    <row r="21" spans="1:3" x14ac:dyDescent="0.35">
      <c r="A21" t="s">
        <v>150</v>
      </c>
      <c r="B21" s="28">
        <v>1088.7096774193549</v>
      </c>
      <c r="C21" t="s">
        <v>9</v>
      </c>
    </row>
    <row r="22" spans="1:3" x14ac:dyDescent="0.35">
      <c r="A22" t="s">
        <v>146</v>
      </c>
      <c r="B22" s="28">
        <v>0</v>
      </c>
      <c r="C22" t="s">
        <v>9</v>
      </c>
    </row>
    <row r="23" spans="1:3" x14ac:dyDescent="0.35">
      <c r="A23" t="s">
        <v>180</v>
      </c>
      <c r="B23" s="28">
        <v>0</v>
      </c>
      <c r="C23" t="s">
        <v>9</v>
      </c>
    </row>
    <row r="24" spans="1:3" x14ac:dyDescent="0.35">
      <c r="A24" t="s">
        <v>184</v>
      </c>
      <c r="B24" s="28">
        <v>0</v>
      </c>
      <c r="C24" t="s">
        <v>9</v>
      </c>
    </row>
    <row r="25" spans="1:3" x14ac:dyDescent="0.35">
      <c r="A25" t="s">
        <v>149</v>
      </c>
      <c r="B25" s="28">
        <v>1110</v>
      </c>
      <c r="C25" t="s">
        <v>9</v>
      </c>
    </row>
    <row r="26" spans="1:3" x14ac:dyDescent="0.35">
      <c r="A26" t="s">
        <v>164</v>
      </c>
      <c r="B26" s="28">
        <v>0</v>
      </c>
      <c r="C26" t="s">
        <v>9</v>
      </c>
    </row>
    <row r="27" spans="1:3" x14ac:dyDescent="0.35">
      <c r="A27" t="s">
        <v>153</v>
      </c>
      <c r="B27" s="28">
        <v>0</v>
      </c>
      <c r="C27" t="s">
        <v>9</v>
      </c>
    </row>
    <row r="28" spans="1:3" x14ac:dyDescent="0.35">
      <c r="A28" t="s">
        <v>169</v>
      </c>
      <c r="B28" s="28">
        <v>1073.3944954128442</v>
      </c>
      <c r="C28" t="s">
        <v>9</v>
      </c>
    </row>
    <row r="29" spans="1:3" x14ac:dyDescent="0.35">
      <c r="A29" t="s">
        <v>152</v>
      </c>
      <c r="B29" s="28">
        <v>0</v>
      </c>
      <c r="C29" t="s">
        <v>9</v>
      </c>
    </row>
    <row r="30" spans="1:3" x14ac:dyDescent="0.35">
      <c r="A30" t="s">
        <v>160</v>
      </c>
      <c r="B30" s="28">
        <v>0</v>
      </c>
      <c r="C30" t="s">
        <v>9</v>
      </c>
    </row>
    <row r="31" spans="1:3" x14ac:dyDescent="0.35">
      <c r="A31" t="s">
        <v>155</v>
      </c>
      <c r="B31" s="28">
        <v>0</v>
      </c>
      <c r="C31" t="s">
        <v>9</v>
      </c>
    </row>
    <row r="32" spans="1:3" x14ac:dyDescent="0.35">
      <c r="A32" t="s">
        <v>157</v>
      </c>
      <c r="B32" s="28">
        <v>0</v>
      </c>
      <c r="C32" t="s">
        <v>9</v>
      </c>
    </row>
    <row r="33" spans="1:3" x14ac:dyDescent="0.35">
      <c r="A33" t="s">
        <v>161</v>
      </c>
      <c r="B33" s="28">
        <v>1200</v>
      </c>
      <c r="C33" t="s">
        <v>9</v>
      </c>
    </row>
    <row r="34" spans="1:3" x14ac:dyDescent="0.35">
      <c r="A34" t="s">
        <v>179</v>
      </c>
      <c r="B34" s="28">
        <v>0</v>
      </c>
      <c r="C34" t="s">
        <v>9</v>
      </c>
    </row>
    <row r="35" spans="1:3" x14ac:dyDescent="0.35">
      <c r="A35" t="s">
        <v>170</v>
      </c>
      <c r="B35" s="28">
        <v>0</v>
      </c>
      <c r="C35" t="s">
        <v>9</v>
      </c>
    </row>
    <row r="36" spans="1:3" x14ac:dyDescent="0.35">
      <c r="A36" t="s">
        <v>148</v>
      </c>
      <c r="B36" s="28">
        <v>0</v>
      </c>
      <c r="C36" t="s">
        <v>9</v>
      </c>
    </row>
    <row r="37" spans="1:3" x14ac:dyDescent="0.35">
      <c r="A37" t="s">
        <v>168</v>
      </c>
      <c r="B37" s="28">
        <v>2875</v>
      </c>
      <c r="C37" t="s">
        <v>8</v>
      </c>
    </row>
    <row r="38" spans="1:3" x14ac:dyDescent="0.35">
      <c r="A38" t="s">
        <v>189</v>
      </c>
      <c r="B38" s="28">
        <v>1140</v>
      </c>
      <c r="C38" t="s">
        <v>8</v>
      </c>
    </row>
    <row r="39" spans="1:3" x14ac:dyDescent="0.35">
      <c r="A39" t="s">
        <v>178</v>
      </c>
      <c r="B39" s="28">
        <v>1369.5652173913043</v>
      </c>
      <c r="C39" t="s">
        <v>8</v>
      </c>
    </row>
    <row r="40" spans="1:3" x14ac:dyDescent="0.35">
      <c r="A40" t="s">
        <v>225</v>
      </c>
      <c r="B40" s="28">
        <v>2727.272727272727</v>
      </c>
      <c r="C40" t="s">
        <v>8</v>
      </c>
    </row>
    <row r="41" spans="1:3" x14ac:dyDescent="0.35">
      <c r="A41" t="s">
        <v>209</v>
      </c>
      <c r="B41" s="28">
        <v>2820</v>
      </c>
      <c r="C41" t="s">
        <v>8</v>
      </c>
    </row>
    <row r="42" spans="1:3" x14ac:dyDescent="0.35">
      <c r="A42" t="s">
        <v>182</v>
      </c>
      <c r="B42" s="28">
        <v>1028.5714285714287</v>
      </c>
      <c r="C42" t="s">
        <v>8</v>
      </c>
    </row>
    <row r="43" spans="1:3" x14ac:dyDescent="0.35">
      <c r="A43" t="s">
        <v>203</v>
      </c>
      <c r="B43" s="28">
        <v>900</v>
      </c>
      <c r="C43" t="s">
        <v>8</v>
      </c>
    </row>
    <row r="44" spans="1:3" x14ac:dyDescent="0.35">
      <c r="A44" t="s">
        <v>235</v>
      </c>
      <c r="B44" s="28">
        <v>1200</v>
      </c>
      <c r="C44" t="s">
        <v>8</v>
      </c>
    </row>
    <row r="45" spans="1:3" x14ac:dyDescent="0.35">
      <c r="A45" t="s">
        <v>239</v>
      </c>
      <c r="B45" s="28">
        <v>1170</v>
      </c>
      <c r="C45" t="s">
        <v>8</v>
      </c>
    </row>
    <row r="46" spans="1:3" x14ac:dyDescent="0.35">
      <c r="A46" t="s">
        <v>185</v>
      </c>
      <c r="B46" s="28">
        <v>1125</v>
      </c>
      <c r="C46" t="s">
        <v>8</v>
      </c>
    </row>
    <row r="47" spans="1:3" x14ac:dyDescent="0.35">
      <c r="A47" t="s">
        <v>197</v>
      </c>
      <c r="B47" s="28">
        <v>1200</v>
      </c>
      <c r="C47" t="s">
        <v>8</v>
      </c>
    </row>
    <row r="48" spans="1:3" x14ac:dyDescent="0.35">
      <c r="A48" t="s">
        <v>217</v>
      </c>
      <c r="B48" s="28">
        <v>2742.8571428571427</v>
      </c>
      <c r="C48" t="s">
        <v>8</v>
      </c>
    </row>
    <row r="49" spans="1:3" x14ac:dyDescent="0.35">
      <c r="A49" t="s">
        <v>216</v>
      </c>
      <c r="B49" s="28">
        <v>1380</v>
      </c>
      <c r="C49" t="s">
        <v>8</v>
      </c>
    </row>
    <row r="50" spans="1:3" x14ac:dyDescent="0.35">
      <c r="A50" t="s">
        <v>204</v>
      </c>
      <c r="B50" s="28">
        <v>1307.1428571428571</v>
      </c>
      <c r="C50" t="s">
        <v>8</v>
      </c>
    </row>
    <row r="51" spans="1:3" x14ac:dyDescent="0.35">
      <c r="A51" t="s">
        <v>229</v>
      </c>
      <c r="B51" s="28">
        <v>1380</v>
      </c>
      <c r="C51" t="s">
        <v>8</v>
      </c>
    </row>
    <row r="52" spans="1:3" x14ac:dyDescent="0.35">
      <c r="A52" t="s">
        <v>205</v>
      </c>
      <c r="B52" s="28">
        <v>1350</v>
      </c>
      <c r="C52" t="s">
        <v>8</v>
      </c>
    </row>
    <row r="53" spans="1:3" x14ac:dyDescent="0.35">
      <c r="A53" t="s">
        <v>213</v>
      </c>
      <c r="B53" s="28">
        <v>1125</v>
      </c>
      <c r="C53" t="s">
        <v>8</v>
      </c>
    </row>
    <row r="54" spans="1:3" x14ac:dyDescent="0.35">
      <c r="A54" t="s">
        <v>201</v>
      </c>
      <c r="B54" s="28">
        <v>1125</v>
      </c>
      <c r="C54" t="s">
        <v>8</v>
      </c>
    </row>
    <row r="55" spans="1:3" x14ac:dyDescent="0.35">
      <c r="A55" t="s">
        <v>196</v>
      </c>
      <c r="B55" s="28">
        <v>2000</v>
      </c>
      <c r="C55" t="s">
        <v>8</v>
      </c>
    </row>
    <row r="56" spans="1:3" x14ac:dyDescent="0.35">
      <c r="A56" t="s">
        <v>99</v>
      </c>
      <c r="B56" s="167">
        <v>1031.25</v>
      </c>
      <c r="C56" t="s">
        <v>8</v>
      </c>
    </row>
    <row r="57" spans="1:3" x14ac:dyDescent="0.35">
      <c r="A57" t="s">
        <v>226</v>
      </c>
      <c r="B57" s="28">
        <v>2000</v>
      </c>
      <c r="C57" t="s">
        <v>8</v>
      </c>
    </row>
    <row r="58" spans="1:3" x14ac:dyDescent="0.35">
      <c r="A58" t="s">
        <v>230</v>
      </c>
      <c r="B58" s="119">
        <v>1882.3529411764705</v>
      </c>
      <c r="C58" t="s">
        <v>8</v>
      </c>
    </row>
    <row r="59" spans="1:3" x14ac:dyDescent="0.35">
      <c r="A59" t="s">
        <v>232</v>
      </c>
      <c r="B59" s="28">
        <v>1888.8888888888889</v>
      </c>
      <c r="C59" t="s">
        <v>8</v>
      </c>
    </row>
    <row r="60" spans="1:3" x14ac:dyDescent="0.35">
      <c r="A60" t="s">
        <v>192</v>
      </c>
      <c r="B60" s="28">
        <v>2863.636363636364</v>
      </c>
      <c r="C60" t="s">
        <v>8</v>
      </c>
    </row>
    <row r="61" spans="1:3" x14ac:dyDescent="0.35">
      <c r="A61" t="s">
        <v>219</v>
      </c>
      <c r="B61" s="28">
        <v>1125</v>
      </c>
      <c r="C61" t="s">
        <v>8</v>
      </c>
    </row>
    <row r="62" spans="1:3" x14ac:dyDescent="0.35">
      <c r="A62" t="s">
        <v>181</v>
      </c>
      <c r="B62" s="28">
        <v>750</v>
      </c>
      <c r="C62" t="s">
        <v>8</v>
      </c>
    </row>
    <row r="63" spans="1:3" x14ac:dyDescent="0.35">
      <c r="A63" t="s">
        <v>187</v>
      </c>
      <c r="B63" s="28">
        <v>1125</v>
      </c>
      <c r="C63" t="s">
        <v>8</v>
      </c>
    </row>
    <row r="64" spans="1:3" x14ac:dyDescent="0.35">
      <c r="A64" t="s">
        <v>191</v>
      </c>
      <c r="B64" s="28">
        <v>1875</v>
      </c>
      <c r="C64" t="s">
        <v>8</v>
      </c>
    </row>
    <row r="65" spans="1:3" x14ac:dyDescent="0.35">
      <c r="A65" t="s">
        <v>233</v>
      </c>
      <c r="B65" s="28">
        <v>1870.9677419354839</v>
      </c>
      <c r="C65" t="s">
        <v>8</v>
      </c>
    </row>
    <row r="66" spans="1:3" x14ac:dyDescent="0.35">
      <c r="A66" t="s">
        <v>223</v>
      </c>
      <c r="B66" s="28">
        <v>2625</v>
      </c>
      <c r="C66" t="s">
        <v>8</v>
      </c>
    </row>
    <row r="67" spans="1:3" x14ac:dyDescent="0.35">
      <c r="A67" t="s">
        <v>224</v>
      </c>
      <c r="B67" s="28">
        <v>1071.4285714285716</v>
      </c>
      <c r="C67" t="s">
        <v>8</v>
      </c>
    </row>
    <row r="68" spans="1:3" x14ac:dyDescent="0.35">
      <c r="A68" t="s">
        <v>193</v>
      </c>
      <c r="B68" s="28">
        <v>1080</v>
      </c>
      <c r="C68" t="s">
        <v>8</v>
      </c>
    </row>
    <row r="69" spans="1:3" x14ac:dyDescent="0.35">
      <c r="A69" t="s">
        <v>218</v>
      </c>
      <c r="B69" s="28">
        <v>1125</v>
      </c>
      <c r="C69" t="s">
        <v>8</v>
      </c>
    </row>
    <row r="70" spans="1:3" x14ac:dyDescent="0.35">
      <c r="A70" t="s">
        <v>202</v>
      </c>
      <c r="B70" s="28">
        <v>1200</v>
      </c>
      <c r="C70" t="s">
        <v>8</v>
      </c>
    </row>
    <row r="71" spans="1:3" x14ac:dyDescent="0.35">
      <c r="A71" t="s">
        <v>220</v>
      </c>
      <c r="B71" s="28">
        <v>0</v>
      </c>
      <c r="C71" t="s">
        <v>8</v>
      </c>
    </row>
    <row r="72" spans="1:3" x14ac:dyDescent="0.35">
      <c r="A72" t="s">
        <v>231</v>
      </c>
      <c r="B72" s="28">
        <v>1358.4905660377358</v>
      </c>
      <c r="C72" t="s">
        <v>8</v>
      </c>
    </row>
    <row r="73" spans="1:3" x14ac:dyDescent="0.35">
      <c r="A73" t="s">
        <v>208</v>
      </c>
      <c r="B73" s="28">
        <v>1125</v>
      </c>
      <c r="C73" t="s">
        <v>8</v>
      </c>
    </row>
    <row r="74" spans="1:3" x14ac:dyDescent="0.35">
      <c r="A74" t="s">
        <v>246</v>
      </c>
      <c r="B74" s="28">
        <v>2000</v>
      </c>
      <c r="C74" t="s">
        <v>8</v>
      </c>
    </row>
    <row r="75" spans="1:3" x14ac:dyDescent="0.35">
      <c r="A75" t="s">
        <v>199</v>
      </c>
      <c r="B75" s="28">
        <v>1125</v>
      </c>
      <c r="C75" t="s">
        <v>8</v>
      </c>
    </row>
    <row r="76" spans="1:3" x14ac:dyDescent="0.35">
      <c r="A76" t="s">
        <v>198</v>
      </c>
      <c r="B76" s="28">
        <v>0</v>
      </c>
      <c r="C76" t="s">
        <v>8</v>
      </c>
    </row>
    <row r="77" spans="1:3" x14ac:dyDescent="0.35">
      <c r="A77" t="s">
        <v>177</v>
      </c>
      <c r="B77" s="28">
        <v>2943.75</v>
      </c>
      <c r="C77" t="s">
        <v>8</v>
      </c>
    </row>
    <row r="78" spans="1:3" x14ac:dyDescent="0.35">
      <c r="A78" t="s">
        <v>158</v>
      </c>
      <c r="B78" s="28">
        <v>0</v>
      </c>
      <c r="C78" t="s">
        <v>8</v>
      </c>
    </row>
    <row r="79" spans="1:3" x14ac:dyDescent="0.35">
      <c r="A79" t="s">
        <v>234</v>
      </c>
      <c r="B79" s="28">
        <v>1875</v>
      </c>
      <c r="C79" t="s">
        <v>8</v>
      </c>
    </row>
    <row r="80" spans="1:3" x14ac:dyDescent="0.35">
      <c r="A80" t="s">
        <v>176</v>
      </c>
      <c r="B80" s="28">
        <v>1882.3529411764705</v>
      </c>
      <c r="C80" t="s">
        <v>8</v>
      </c>
    </row>
    <row r="81" spans="1:3" x14ac:dyDescent="0.35">
      <c r="A81" t="s">
        <v>238</v>
      </c>
      <c r="B81" s="28">
        <v>1080</v>
      </c>
      <c r="C81" t="s">
        <v>8</v>
      </c>
    </row>
    <row r="82" spans="1:3" x14ac:dyDescent="0.35">
      <c r="A82" t="s">
        <v>200</v>
      </c>
      <c r="B82" s="28">
        <v>1410</v>
      </c>
      <c r="C82" t="s">
        <v>8</v>
      </c>
    </row>
    <row r="83" spans="1:3" x14ac:dyDescent="0.35">
      <c r="A83" t="s">
        <v>194</v>
      </c>
      <c r="B83" s="28">
        <v>1350</v>
      </c>
      <c r="C83" t="s">
        <v>8</v>
      </c>
    </row>
    <row r="84" spans="1:3" x14ac:dyDescent="0.35">
      <c r="A84" t="s">
        <v>172</v>
      </c>
      <c r="B84" s="28">
        <v>1399.8</v>
      </c>
      <c r="C84" t="s">
        <v>8</v>
      </c>
    </row>
    <row r="85" spans="1:3" x14ac:dyDescent="0.35">
      <c r="A85" t="s">
        <v>210</v>
      </c>
      <c r="B85" s="28">
        <v>1200</v>
      </c>
      <c r="C85" t="s">
        <v>8</v>
      </c>
    </row>
    <row r="86" spans="1:3" x14ac:dyDescent="0.35">
      <c r="A86" t="s">
        <v>206</v>
      </c>
      <c r="B86" s="28">
        <v>1860</v>
      </c>
      <c r="C86" t="s">
        <v>8</v>
      </c>
    </row>
    <row r="87" spans="1:3" x14ac:dyDescent="0.35">
      <c r="A87" t="s">
        <v>221</v>
      </c>
      <c r="B87" s="28">
        <v>5700</v>
      </c>
      <c r="C87" t="s">
        <v>17</v>
      </c>
    </row>
    <row r="88" spans="1:3" x14ac:dyDescent="0.35">
      <c r="A88" t="s">
        <v>227</v>
      </c>
      <c r="B88" s="28">
        <v>2793.75</v>
      </c>
      <c r="C88" t="s">
        <v>17</v>
      </c>
    </row>
    <row r="89" spans="1:3" x14ac:dyDescent="0.35">
      <c r="A89" t="s">
        <v>243</v>
      </c>
      <c r="B89" s="28">
        <v>5737.2000000000007</v>
      </c>
      <c r="C89" t="s">
        <v>17</v>
      </c>
    </row>
    <row r="90" spans="1:3" x14ac:dyDescent="0.35">
      <c r="A90" t="s">
        <v>236</v>
      </c>
      <c r="B90" s="28">
        <v>4800</v>
      </c>
      <c r="C90" t="s">
        <v>17</v>
      </c>
    </row>
    <row r="91" spans="1:3" x14ac:dyDescent="0.35">
      <c r="A91" t="s">
        <v>245</v>
      </c>
      <c r="B91" s="28">
        <v>5833.3333333333339</v>
      </c>
      <c r="C91" t="s">
        <v>17</v>
      </c>
    </row>
    <row r="92" spans="1:3" x14ac:dyDescent="0.35">
      <c r="A92" t="s">
        <v>207</v>
      </c>
      <c r="B92" s="28">
        <v>2010.0000000000002</v>
      </c>
      <c r="C92" t="s">
        <v>17</v>
      </c>
    </row>
    <row r="93" spans="1:3" x14ac:dyDescent="0.35">
      <c r="A93" t="s">
        <v>228</v>
      </c>
      <c r="B93" s="28">
        <v>5700</v>
      </c>
      <c r="C93" t="s">
        <v>17</v>
      </c>
    </row>
    <row r="94" spans="1:3" x14ac:dyDescent="0.35">
      <c r="A94" t="s">
        <v>186</v>
      </c>
      <c r="B94" s="28">
        <v>1998</v>
      </c>
      <c r="C94" t="s">
        <v>17</v>
      </c>
    </row>
    <row r="95" spans="1:3" x14ac:dyDescent="0.35">
      <c r="A95" t="s">
        <v>190</v>
      </c>
      <c r="B95" s="28">
        <v>2010.0000000000002</v>
      </c>
      <c r="C95" t="s">
        <v>17</v>
      </c>
    </row>
    <row r="96" spans="1:3" x14ac:dyDescent="0.35">
      <c r="A96" t="s">
        <v>183</v>
      </c>
      <c r="B96" s="28">
        <v>2812.5</v>
      </c>
      <c r="C96" t="s">
        <v>17</v>
      </c>
    </row>
    <row r="97" spans="1:3" x14ac:dyDescent="0.35">
      <c r="A97" t="s">
        <v>214</v>
      </c>
      <c r="B97" s="185">
        <v>2730</v>
      </c>
      <c r="C97" t="s">
        <v>17</v>
      </c>
    </row>
    <row r="98" spans="1:3" x14ac:dyDescent="0.35">
      <c r="A98" t="s">
        <v>237</v>
      </c>
      <c r="B98" s="28">
        <v>6060</v>
      </c>
      <c r="C98" t="s">
        <v>17</v>
      </c>
    </row>
    <row r="99" spans="1:3" x14ac:dyDescent="0.35">
      <c r="A99" t="s">
        <v>241</v>
      </c>
      <c r="B99" s="28">
        <v>6499.7999999999993</v>
      </c>
      <c r="C99" t="s">
        <v>17</v>
      </c>
    </row>
    <row r="100" spans="1:3" x14ac:dyDescent="0.35">
      <c r="A100" t="s">
        <v>215</v>
      </c>
      <c r="B100" s="28">
        <v>5718.75</v>
      </c>
      <c r="C100" t="s">
        <v>17</v>
      </c>
    </row>
    <row r="101" spans="1:3" x14ac:dyDescent="0.35">
      <c r="A101" t="s">
        <v>211</v>
      </c>
      <c r="B101" s="28">
        <v>4500</v>
      </c>
      <c r="C101" t="s">
        <v>17</v>
      </c>
    </row>
    <row r="102" spans="1:3" x14ac:dyDescent="0.35">
      <c r="A102" t="s">
        <v>240</v>
      </c>
      <c r="B102" s="28">
        <v>5812.5</v>
      </c>
      <c r="C102" t="s">
        <v>17</v>
      </c>
    </row>
    <row r="103" spans="1:3" x14ac:dyDescent="0.35">
      <c r="A103" t="s">
        <v>242</v>
      </c>
      <c r="B103" s="28">
        <v>6090</v>
      </c>
      <c r="C103" t="s">
        <v>17</v>
      </c>
    </row>
    <row r="104" spans="1:3" x14ac:dyDescent="0.35">
      <c r="A104" t="s">
        <v>244</v>
      </c>
      <c r="B104" s="186">
        <v>4650</v>
      </c>
      <c r="C104" t="s">
        <v>17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0E6E09D2C66444A11E0CF43D0E8DA1" ma:contentTypeVersion="17" ma:contentTypeDescription="Crie um novo documento." ma:contentTypeScope="" ma:versionID="9f4c0e8cc4e750f7b5c886d304e2b8e2">
  <xsd:schema xmlns:xsd="http://www.w3.org/2001/XMLSchema" xmlns:xs="http://www.w3.org/2001/XMLSchema" xmlns:p="http://schemas.microsoft.com/office/2006/metadata/properties" xmlns:ns2="e81decf1-ce4b-46da-baba-b17ad0178143" xmlns:ns3="1c907929-caea-4231-8b95-fc19eec0e3bf" targetNamespace="http://schemas.microsoft.com/office/2006/metadata/properties" ma:root="true" ma:fieldsID="ed9c52105e0feda272bf7cc35e1afd59" ns2:_="" ns3:_="">
    <xsd:import namespace="e81decf1-ce4b-46da-baba-b17ad0178143"/>
    <xsd:import namespace="1c907929-caea-4231-8b95-fc19eec0e3b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SearchProperties" minOccurs="0"/>
                <xsd:element ref="ns3:MediaLengthInSeconds" minOccurs="0"/>
                <xsd:element ref="ns3:MediaServiceBillingMetadata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decf1-ce4b-46da-baba-b17ad017814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5e01931d-0de4-4a71-ad75-9256eb121eda}" ma:internalName="TaxCatchAll" ma:showField="CatchAllData" ma:web="e81decf1-ce4b-46da-baba-b17ad01781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907929-caea-4231-8b95-fc19eec0e3b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36c7280b-aa8e-499f-8fdb-b794955743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  <xsd:element name="_Flow_SignoffStatus" ma:index="24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907929-caea-4231-8b95-fc19eec0e3bf">
      <Terms xmlns="http://schemas.microsoft.com/office/infopath/2007/PartnerControls"/>
    </lcf76f155ced4ddcb4097134ff3c332f>
    <TaxCatchAll xmlns="e81decf1-ce4b-46da-baba-b17ad0178143" xsi:nil="true"/>
    <_Flow_SignoffStatus xmlns="1c907929-caea-4231-8b95-fc19eec0e3bf" xsi:nil="true"/>
  </documentManagement>
</p:properties>
</file>

<file path=customXml/itemProps1.xml><?xml version="1.0" encoding="utf-8"?>
<ds:datastoreItem xmlns:ds="http://schemas.openxmlformats.org/officeDocument/2006/customXml" ds:itemID="{2C7EAC6B-D3EA-4F71-A91A-B3C1ECE773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1decf1-ce4b-46da-baba-b17ad0178143"/>
    <ds:schemaRef ds:uri="1c907929-caea-4231-8b95-fc19eec0e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1600DE-39E8-4392-A0FC-787D78D775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DCF497-A32B-40B3-BC85-CD41B93BF92F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1c907929-caea-4231-8b95-fc19eec0e3bf"/>
    <ds:schemaRef ds:uri="http://purl.org/dc/elements/1.1/"/>
    <ds:schemaRef ds:uri="e81decf1-ce4b-46da-baba-b17ad0178143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SIMULAÇÃO</vt:lpstr>
      <vt:lpstr>EMPREENDIMENTOS</vt:lpstr>
      <vt:lpstr>COMPORTAMENTO</vt:lpstr>
      <vt:lpstr>ADERÊNCIA</vt:lpstr>
      <vt:lpstr>DESVIOS</vt:lpstr>
      <vt:lpstr>Planilha17</vt:lpstr>
      <vt:lpstr>ACAB</vt:lpstr>
      <vt:lpstr>LAZER</vt:lpstr>
      <vt:lpstr>TIPOLOGIA</vt:lpstr>
      <vt:lpstr>VAGAS</vt:lpstr>
      <vt:lpstr>RÉGUAS</vt:lpstr>
      <vt:lpstr>CUSTO</vt:lpstr>
      <vt:lpstr>BASE DE DADOS - ACABAMENTOS</vt:lpstr>
      <vt:lpstr>BASE DE DADOS - LAZER</vt:lpstr>
      <vt:lpstr>BASE DE DADOS - TIPOLOGIA</vt:lpstr>
      <vt:lpstr>BASE DE DADOS - VAGAS</vt:lpstr>
      <vt:lpstr>ELEVADOR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Barbara Cristina Fernandes Padua</dc:creator>
  <cp:keywords/>
  <dc:description/>
  <cp:lastModifiedBy>Vitor Luis Amorim Fonseca</cp:lastModifiedBy>
  <cp:revision/>
  <dcterms:created xsi:type="dcterms:W3CDTF">2025-02-18T13:54:41Z</dcterms:created>
  <dcterms:modified xsi:type="dcterms:W3CDTF">2025-05-06T14:09:37Z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0x010100490E6E09D2C66444A11E0CF43D0E8DA1</vt:lpwstr>
  </property>
  <property fmtid="{D5CDD505-2E9C-101B-9397-08002B2CF9AE}" pid="3" name="MediaServiceImageTags">
    <vt:lpwstr/>
  </property>
</Properties>
</file>