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rvengenhariasa-my.sharepoint.com/personal/vitor_lfonseca_mrv_com_br/Documents/Área de Trabalho/"/>
    </mc:Choice>
  </mc:AlternateContent>
  <xr:revisionPtr revIDLastSave="0" documentId="8_{3349E68E-86F9-4B61-B734-43E20FB739CD}" xr6:coauthVersionLast="47" xr6:coauthVersionMax="47" xr10:uidLastSave="{00000000-0000-0000-0000-000000000000}"/>
  <bookViews>
    <workbookView xWindow="-110" yWindow="-110" windowWidth="19420" windowHeight="10420" tabRatio="699" firstSheet="1" activeTab="8" xr2:uid="{013B0FC5-7C4E-4E34-8B8A-58DCF15B9CDF}"/>
  </bookViews>
  <sheets>
    <sheet name="BABI" sheetId="4" r:id="rId1"/>
    <sheet name="Planilha1" sheetId="7" r:id="rId2"/>
    <sheet name="CARDAPIO" sheetId="6" r:id="rId3"/>
    <sheet name="BASE" sheetId="1" r:id="rId4"/>
    <sheet name="CUSTO DE PRODUTOS" sheetId="2" r:id="rId5"/>
    <sheet name="CLASSIFICAÇÃO CLIENTE" sheetId="8" r:id="rId6"/>
    <sheet name="ESFERA" sheetId="10" r:id="rId7"/>
    <sheet name="Planilha2" sheetId="9" r:id="rId8"/>
    <sheet name="FERRAMENTA" sheetId="14" r:id="rId9"/>
    <sheet name="FERRAMENTA V2" sheetId="15" r:id="rId10"/>
    <sheet name="FERRAMENTA TESTES" sheetId="16" r:id="rId11"/>
    <sheet name="FERRAMENTA TESTES PILOTO CEI" sheetId="18" r:id="rId12"/>
    <sheet name="DIMENSÃO TIP" sheetId="17" r:id="rId13"/>
    <sheet name="Planilha3" sheetId="19" r:id="rId14"/>
    <sheet name="FERRAMENTA TESTES - FINAL" sheetId="21" r:id="rId15"/>
  </sheets>
  <definedNames>
    <definedName name="_xlnm._FilterDatabase" localSheetId="13" hidden="1">Planilha3!$B$1:$E$45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1" l="1"/>
  <c r="I71" i="21"/>
  <c r="H71" i="21"/>
  <c r="G71" i="21"/>
  <c r="F71" i="21"/>
  <c r="E71" i="21"/>
  <c r="D71" i="21"/>
  <c r="K64" i="21"/>
  <c r="J64" i="21"/>
  <c r="K63" i="21"/>
  <c r="J63" i="21"/>
  <c r="K62" i="21"/>
  <c r="J62" i="21"/>
  <c r="W34" i="21"/>
  <c r="S36" i="21" s="1"/>
  <c r="T36" i="21" s="1"/>
  <c r="W33" i="21"/>
  <c r="W32" i="21"/>
  <c r="G46" i="21"/>
  <c r="F46" i="21"/>
  <c r="E46" i="21"/>
  <c r="D46" i="21"/>
  <c r="C46" i="21"/>
  <c r="B46" i="21"/>
  <c r="D42" i="21"/>
  <c r="F41" i="21"/>
  <c r="F42" i="21"/>
  <c r="F40" i="21"/>
  <c r="D41" i="21"/>
  <c r="H80" i="21"/>
  <c r="F80" i="21"/>
  <c r="Q36" i="21"/>
  <c r="R36" i="21" s="1"/>
  <c r="Q41" i="21"/>
  <c r="O36" i="21"/>
  <c r="P36" i="21" s="1"/>
  <c r="W29" i="21"/>
  <c r="V29" i="21"/>
  <c r="U29" i="21"/>
  <c r="Q29" i="21" s="1"/>
  <c r="W28" i="21"/>
  <c r="T28" i="21"/>
  <c r="U28" i="21" s="1"/>
  <c r="Q28" i="21" s="1"/>
  <c r="V28" i="21" s="1"/>
  <c r="W27" i="21"/>
  <c r="U27" i="21"/>
  <c r="Q27" i="21" s="1"/>
  <c r="V27" i="21" s="1"/>
  <c r="W26" i="21"/>
  <c r="U26" i="21"/>
  <c r="Q26" i="21" s="1"/>
  <c r="V26" i="21" s="1"/>
  <c r="W25" i="21"/>
  <c r="V25" i="21"/>
  <c r="U25" i="21"/>
  <c r="Q25" i="21" s="1"/>
  <c r="W24" i="21"/>
  <c r="V24" i="21"/>
  <c r="U24" i="21"/>
  <c r="Q24" i="21" s="1"/>
  <c r="W23" i="21"/>
  <c r="U23" i="21"/>
  <c r="Q23" i="21" s="1"/>
  <c r="V23" i="21" s="1"/>
  <c r="W22" i="21"/>
  <c r="U22" i="21"/>
  <c r="Q22" i="21" s="1"/>
  <c r="V22" i="21" s="1"/>
  <c r="W21" i="21"/>
  <c r="U21" i="21"/>
  <c r="Q21" i="21" s="1"/>
  <c r="V21" i="21" s="1"/>
  <c r="W20" i="21"/>
  <c r="U20" i="21"/>
  <c r="Q20" i="21" s="1"/>
  <c r="W19" i="21"/>
  <c r="V19" i="21"/>
  <c r="U19" i="21"/>
  <c r="Q19" i="21" s="1"/>
  <c r="W18" i="21"/>
  <c r="V18" i="21"/>
  <c r="U18" i="21"/>
  <c r="Q18" i="21" s="1"/>
  <c r="W17" i="21"/>
  <c r="V17" i="21"/>
  <c r="U17" i="21"/>
  <c r="Q17" i="21" s="1"/>
  <c r="W16" i="21"/>
  <c r="U16" i="21"/>
  <c r="Q16" i="21" s="1"/>
  <c r="V16" i="21" s="1"/>
  <c r="W15" i="21"/>
  <c r="U15" i="21"/>
  <c r="Q15" i="21" s="1"/>
  <c r="V15" i="21" s="1"/>
  <c r="W14" i="21"/>
  <c r="U14" i="21"/>
  <c r="Q14" i="21" s="1"/>
  <c r="V14" i="21" s="1"/>
  <c r="W13" i="21"/>
  <c r="V13" i="21"/>
  <c r="U13" i="21"/>
  <c r="Q13" i="21" s="1"/>
  <c r="W12" i="21"/>
  <c r="V12" i="21"/>
  <c r="U12" i="21"/>
  <c r="Q12" i="21" s="1"/>
  <c r="L34" i="21"/>
  <c r="J34" i="21"/>
  <c r="F34" i="21" s="1"/>
  <c r="L33" i="21"/>
  <c r="K33" i="21"/>
  <c r="J33" i="21"/>
  <c r="F33" i="21" s="1"/>
  <c r="L30" i="21"/>
  <c r="J30" i="21"/>
  <c r="F30" i="21" s="1"/>
  <c r="K30" i="21" s="1"/>
  <c r="L29" i="21"/>
  <c r="K29" i="21"/>
  <c r="J29" i="21"/>
  <c r="F29" i="21" s="1"/>
  <c r="L26" i="21"/>
  <c r="J26" i="21"/>
  <c r="F26" i="21" s="1"/>
  <c r="K26" i="21" s="1"/>
  <c r="L25" i="21"/>
  <c r="K25" i="21"/>
  <c r="J25" i="21"/>
  <c r="F25" i="21" s="1"/>
  <c r="L22" i="21"/>
  <c r="J22" i="21"/>
  <c r="F22" i="21" s="1"/>
  <c r="K22" i="21" s="1"/>
  <c r="L21" i="21"/>
  <c r="K21" i="21"/>
  <c r="J21" i="21"/>
  <c r="F21" i="21" s="1"/>
  <c r="L18" i="21"/>
  <c r="J18" i="21"/>
  <c r="F18" i="21" s="1"/>
  <c r="K18" i="21" s="1"/>
  <c r="L17" i="21"/>
  <c r="K17" i="21"/>
  <c r="J17" i="21"/>
  <c r="F17" i="21" s="1"/>
  <c r="L14" i="21"/>
  <c r="J14" i="21"/>
  <c r="F14" i="21" s="1"/>
  <c r="J41" i="21" s="1"/>
  <c r="E41" i="21" s="1"/>
  <c r="L13" i="21"/>
  <c r="K13" i="21"/>
  <c r="J13" i="21"/>
  <c r="F13" i="21" s="1"/>
  <c r="J40" i="21" s="1"/>
  <c r="D40" i="21" s="1"/>
  <c r="H106" i="18"/>
  <c r="F106" i="18"/>
  <c r="D91" i="18"/>
  <c r="D97" i="18" s="1"/>
  <c r="F71" i="18"/>
  <c r="D71" i="18"/>
  <c r="L59" i="18"/>
  <c r="J59" i="18"/>
  <c r="F59" i="18" s="1"/>
  <c r="L58" i="18"/>
  <c r="K58" i="18"/>
  <c r="J58" i="18"/>
  <c r="F58" i="18" s="1"/>
  <c r="L55" i="18"/>
  <c r="J55" i="18"/>
  <c r="F55" i="18"/>
  <c r="K55" i="18" s="1"/>
  <c r="L54" i="18"/>
  <c r="K54" i="18"/>
  <c r="J54" i="18"/>
  <c r="F54" i="18" s="1"/>
  <c r="L51" i="18"/>
  <c r="K51" i="18"/>
  <c r="J51" i="18"/>
  <c r="F51" i="18"/>
  <c r="L50" i="18"/>
  <c r="K50" i="18"/>
  <c r="J50" i="18"/>
  <c r="F50" i="18" s="1"/>
  <c r="L47" i="18"/>
  <c r="J47" i="18"/>
  <c r="F47" i="18" s="1"/>
  <c r="K47" i="18" s="1"/>
  <c r="L46" i="18"/>
  <c r="K46" i="18"/>
  <c r="J46" i="18"/>
  <c r="F46" i="18" s="1"/>
  <c r="L43" i="18"/>
  <c r="J43" i="18"/>
  <c r="F43" i="18"/>
  <c r="K43" i="18" s="1"/>
  <c r="L42" i="18"/>
  <c r="K42" i="18"/>
  <c r="J42" i="18"/>
  <c r="F42" i="18" s="1"/>
  <c r="V40" i="18"/>
  <c r="R34" i="18" s="1"/>
  <c r="V39" i="18"/>
  <c r="P34" i="18" s="1"/>
  <c r="Q39" i="18"/>
  <c r="L39" i="18"/>
  <c r="J39" i="18"/>
  <c r="F39" i="18" s="1"/>
  <c r="V38" i="18"/>
  <c r="L38" i="18"/>
  <c r="F75" i="18" s="1"/>
  <c r="F76" i="18" s="1"/>
  <c r="F77" i="18" s="1"/>
  <c r="K38" i="18"/>
  <c r="J38" i="18"/>
  <c r="F38" i="18"/>
  <c r="N34" i="18"/>
  <c r="E91" i="18" s="1"/>
  <c r="E97" i="18" s="1"/>
  <c r="W27" i="18"/>
  <c r="U27" i="18"/>
  <c r="Q27" i="18" s="1"/>
  <c r="V27" i="18" s="1"/>
  <c r="W26" i="18"/>
  <c r="T26" i="18"/>
  <c r="U26" i="18" s="1"/>
  <c r="Q26" i="18" s="1"/>
  <c r="V26" i="18" s="1"/>
  <c r="W25" i="18"/>
  <c r="U25" i="18"/>
  <c r="Q25" i="18" s="1"/>
  <c r="V25" i="18" s="1"/>
  <c r="W24" i="18"/>
  <c r="U24" i="18"/>
  <c r="Q24" i="18" s="1"/>
  <c r="V24" i="18" s="1"/>
  <c r="W23" i="18"/>
  <c r="U23" i="18"/>
  <c r="Q23" i="18" s="1"/>
  <c r="V23" i="18" s="1"/>
  <c r="F23" i="18"/>
  <c r="D23" i="18"/>
  <c r="W22" i="18"/>
  <c r="U22" i="18"/>
  <c r="Q22" i="18" s="1"/>
  <c r="V22" i="18" s="1"/>
  <c r="W21" i="18"/>
  <c r="U21" i="18"/>
  <c r="Q21" i="18" s="1"/>
  <c r="V21" i="18" s="1"/>
  <c r="W20" i="18"/>
  <c r="U20" i="18"/>
  <c r="Q20" i="18" s="1"/>
  <c r="V20" i="18" s="1"/>
  <c r="W19" i="18"/>
  <c r="U19" i="18"/>
  <c r="Q19" i="18"/>
  <c r="V19" i="18" s="1"/>
  <c r="W18" i="18"/>
  <c r="U18" i="18"/>
  <c r="Q18" i="18" s="1"/>
  <c r="V18" i="18" s="1"/>
  <c r="W17" i="18"/>
  <c r="U17" i="18"/>
  <c r="Q17" i="18" s="1"/>
  <c r="V17" i="18" s="1"/>
  <c r="L17" i="18"/>
  <c r="K17" i="18"/>
  <c r="J17" i="18"/>
  <c r="W16" i="18"/>
  <c r="U16" i="18"/>
  <c r="Q16" i="18" s="1"/>
  <c r="V16" i="18" s="1"/>
  <c r="L16" i="18"/>
  <c r="K16" i="18"/>
  <c r="J16" i="18"/>
  <c r="W15" i="18"/>
  <c r="U15" i="18"/>
  <c r="Q15" i="18" s="1"/>
  <c r="V15" i="18" s="1"/>
  <c r="L15" i="18"/>
  <c r="F26" i="18" s="1"/>
  <c r="K15" i="18"/>
  <c r="J15" i="18"/>
  <c r="W14" i="18"/>
  <c r="V14" i="18"/>
  <c r="U14" i="18"/>
  <c r="Q14" i="18" s="1"/>
  <c r="W13" i="18"/>
  <c r="U13" i="18"/>
  <c r="Q13" i="18" s="1"/>
  <c r="V13" i="18" s="1"/>
  <c r="W12" i="18"/>
  <c r="U12" i="18"/>
  <c r="Q12" i="18"/>
  <c r="V12" i="18" s="1"/>
  <c r="W11" i="18"/>
  <c r="U11" i="18"/>
  <c r="Q11" i="18" s="1"/>
  <c r="V11" i="18" s="1"/>
  <c r="L11" i="18"/>
  <c r="K11" i="18"/>
  <c r="J11" i="18"/>
  <c r="W10" i="18"/>
  <c r="U10" i="18"/>
  <c r="Q10" i="18"/>
  <c r="V10" i="18" s="1"/>
  <c r="L10" i="18"/>
  <c r="K10" i="18"/>
  <c r="J10" i="18"/>
  <c r="G8" i="17"/>
  <c r="F12" i="17"/>
  <c r="H14" i="17"/>
  <c r="H12" i="17"/>
  <c r="G12" i="17"/>
  <c r="I23" i="17"/>
  <c r="I20" i="17"/>
  <c r="H23" i="17"/>
  <c r="G23" i="17"/>
  <c r="G20" i="17"/>
  <c r="H20" i="17"/>
  <c r="G4" i="17"/>
  <c r="I12" i="17" s="1"/>
  <c r="G14" i="17"/>
  <c r="F14" i="17"/>
  <c r="G10" i="17"/>
  <c r="G5" i="17"/>
  <c r="H3" i="17"/>
  <c r="H5" i="17"/>
  <c r="H4" i="17"/>
  <c r="G3" i="17"/>
  <c r="C12" i="17"/>
  <c r="C11" i="17"/>
  <c r="C10" i="17"/>
  <c r="D5" i="17"/>
  <c r="C6" i="17" s="1"/>
  <c r="D4" i="17"/>
  <c r="C5" i="17"/>
  <c r="D66" i="16"/>
  <c r="D67" i="16"/>
  <c r="D65" i="16"/>
  <c r="F59" i="16"/>
  <c r="F58" i="16"/>
  <c r="F55" i="16"/>
  <c r="K55" i="16" s="1"/>
  <c r="F54" i="16"/>
  <c r="F51" i="16"/>
  <c r="F50" i="16"/>
  <c r="F47" i="16"/>
  <c r="K47" i="16" s="1"/>
  <c r="F46" i="16"/>
  <c r="F43" i="16"/>
  <c r="F42" i="16"/>
  <c r="F39" i="16"/>
  <c r="K39" i="16" s="1"/>
  <c r="H106" i="16"/>
  <c r="F106" i="16"/>
  <c r="D91" i="16"/>
  <c r="D97" i="16" s="1"/>
  <c r="F75" i="16"/>
  <c r="F76" i="16" s="1"/>
  <c r="F77" i="16" s="1"/>
  <c r="F71" i="16"/>
  <c r="D71" i="16"/>
  <c r="L59" i="16"/>
  <c r="K59" i="16"/>
  <c r="J59" i="16"/>
  <c r="L58" i="16"/>
  <c r="K58" i="16"/>
  <c r="J58" i="16"/>
  <c r="L55" i="16"/>
  <c r="J55" i="16"/>
  <c r="L54" i="16"/>
  <c r="K54" i="16"/>
  <c r="J54" i="16"/>
  <c r="L51" i="16"/>
  <c r="K51" i="16"/>
  <c r="J51" i="16"/>
  <c r="L50" i="16"/>
  <c r="K50" i="16"/>
  <c r="J50" i="16"/>
  <c r="L47" i="16"/>
  <c r="J47" i="16"/>
  <c r="L46" i="16"/>
  <c r="K46" i="16"/>
  <c r="J46" i="16"/>
  <c r="L43" i="16"/>
  <c r="K43" i="16"/>
  <c r="J43" i="16"/>
  <c r="L42" i="16"/>
  <c r="K42" i="16"/>
  <c r="J42" i="16"/>
  <c r="V40" i="16"/>
  <c r="R34" i="16" s="1"/>
  <c r="V39" i="16"/>
  <c r="P34" i="16" s="1"/>
  <c r="E92" i="16" s="1"/>
  <c r="G97" i="16" s="1"/>
  <c r="Q39" i="16"/>
  <c r="L39" i="16"/>
  <c r="J39" i="16"/>
  <c r="V38" i="16"/>
  <c r="N34" i="16" s="1"/>
  <c r="L38" i="16"/>
  <c r="K38" i="16"/>
  <c r="J38" i="16"/>
  <c r="F38" i="16" s="1"/>
  <c r="W27" i="16"/>
  <c r="V27" i="16"/>
  <c r="U27" i="16"/>
  <c r="Q27" i="16" s="1"/>
  <c r="W26" i="16"/>
  <c r="V26" i="16"/>
  <c r="T26" i="16"/>
  <c r="U26" i="16" s="1"/>
  <c r="Q26" i="16" s="1"/>
  <c r="F26" i="16"/>
  <c r="F27" i="16" s="1"/>
  <c r="W25" i="16"/>
  <c r="V25" i="16"/>
  <c r="U25" i="16"/>
  <c r="Q25" i="16" s="1"/>
  <c r="W24" i="16"/>
  <c r="U24" i="16"/>
  <c r="Q24" i="16" s="1"/>
  <c r="V24" i="16" s="1"/>
  <c r="W23" i="16"/>
  <c r="V23" i="16"/>
  <c r="U23" i="16"/>
  <c r="Q23" i="16" s="1"/>
  <c r="F23" i="16"/>
  <c r="D23" i="16"/>
  <c r="W22" i="16"/>
  <c r="V22" i="16"/>
  <c r="U22" i="16"/>
  <c r="Q22" i="16" s="1"/>
  <c r="W21" i="16"/>
  <c r="V21" i="16"/>
  <c r="U21" i="16"/>
  <c r="Q21" i="16" s="1"/>
  <c r="W20" i="16"/>
  <c r="U20" i="16"/>
  <c r="Q20" i="16" s="1"/>
  <c r="V20" i="16" s="1"/>
  <c r="W19" i="16"/>
  <c r="V19" i="16"/>
  <c r="U19" i="16"/>
  <c r="Q19" i="16" s="1"/>
  <c r="F19" i="16"/>
  <c r="W18" i="16"/>
  <c r="V18" i="16"/>
  <c r="U18" i="16"/>
  <c r="Q18" i="16" s="1"/>
  <c r="W17" i="16"/>
  <c r="U17" i="16"/>
  <c r="Q17" i="16"/>
  <c r="V17" i="16" s="1"/>
  <c r="L17" i="16"/>
  <c r="K17" i="16"/>
  <c r="J17" i="16"/>
  <c r="W16" i="16"/>
  <c r="U16" i="16"/>
  <c r="Q16" i="16" s="1"/>
  <c r="V16" i="16" s="1"/>
  <c r="L16" i="16"/>
  <c r="K16" i="16"/>
  <c r="J16" i="16"/>
  <c r="W15" i="16"/>
  <c r="U15" i="16"/>
  <c r="Q15" i="16" s="1"/>
  <c r="V15" i="16" s="1"/>
  <c r="L15" i="16"/>
  <c r="K15" i="16"/>
  <c r="J15" i="16"/>
  <c r="W14" i="16"/>
  <c r="U14" i="16"/>
  <c r="Q14" i="16"/>
  <c r="V14" i="16" s="1"/>
  <c r="W13" i="16"/>
  <c r="U13" i="16"/>
  <c r="Q13" i="16" s="1"/>
  <c r="V13" i="16" s="1"/>
  <c r="W12" i="16"/>
  <c r="U12" i="16"/>
  <c r="Q12" i="16" s="1"/>
  <c r="V12" i="16" s="1"/>
  <c r="W11" i="16"/>
  <c r="U11" i="16"/>
  <c r="Q11" i="16" s="1"/>
  <c r="V11" i="16" s="1"/>
  <c r="L11" i="16"/>
  <c r="K11" i="16"/>
  <c r="J11" i="16"/>
  <c r="W10" i="16"/>
  <c r="U10" i="16"/>
  <c r="Q10" i="16" s="1"/>
  <c r="V10" i="16" s="1"/>
  <c r="L10" i="16"/>
  <c r="K10" i="16"/>
  <c r="J10" i="16"/>
  <c r="N34" i="15"/>
  <c r="D91" i="15"/>
  <c r="D97" i="15" s="1"/>
  <c r="V40" i="15"/>
  <c r="R34" i="15" s="1"/>
  <c r="V39" i="15"/>
  <c r="P34" i="15" s="1"/>
  <c r="V38" i="15"/>
  <c r="O34" i="15" s="1"/>
  <c r="D92" i="15" s="1"/>
  <c r="J42" i="15"/>
  <c r="J43" i="15"/>
  <c r="J46" i="15"/>
  <c r="J47" i="15"/>
  <c r="J50" i="15"/>
  <c r="J51" i="15"/>
  <c r="J54" i="15"/>
  <c r="J55" i="15"/>
  <c r="J58" i="15"/>
  <c r="J59" i="15"/>
  <c r="J39" i="15"/>
  <c r="J38" i="15"/>
  <c r="K15" i="15"/>
  <c r="J11" i="15"/>
  <c r="J10" i="15"/>
  <c r="J17" i="15"/>
  <c r="J16" i="15"/>
  <c r="J15" i="15"/>
  <c r="Q24" i="15"/>
  <c r="V24" i="15" s="1"/>
  <c r="H106" i="15"/>
  <c r="F106" i="15"/>
  <c r="L59" i="15"/>
  <c r="K59" i="15"/>
  <c r="L58" i="15"/>
  <c r="K58" i="15"/>
  <c r="L55" i="15"/>
  <c r="K55" i="15"/>
  <c r="L54" i="15"/>
  <c r="K54" i="15"/>
  <c r="L51" i="15"/>
  <c r="K51" i="15"/>
  <c r="L50" i="15"/>
  <c r="K50" i="15"/>
  <c r="L47" i="15"/>
  <c r="K47" i="15"/>
  <c r="L46" i="15"/>
  <c r="K46" i="15"/>
  <c r="L43" i="15"/>
  <c r="K43" i="15"/>
  <c r="L42" i="15"/>
  <c r="K42" i="15"/>
  <c r="Q39" i="15"/>
  <c r="L39" i="15"/>
  <c r="K39" i="15"/>
  <c r="L38" i="15"/>
  <c r="K38" i="15"/>
  <c r="W27" i="15"/>
  <c r="V27" i="15"/>
  <c r="U27" i="15"/>
  <c r="Q27" i="15" s="1"/>
  <c r="W26" i="15"/>
  <c r="V26" i="15"/>
  <c r="T26" i="15"/>
  <c r="U26" i="15" s="1"/>
  <c r="Q26" i="15" s="1"/>
  <c r="W25" i="15"/>
  <c r="V25" i="15"/>
  <c r="U25" i="15"/>
  <c r="Q25" i="15" s="1"/>
  <c r="W24" i="15"/>
  <c r="U24" i="15"/>
  <c r="W23" i="15"/>
  <c r="V23" i="15"/>
  <c r="U23" i="15"/>
  <c r="Q23" i="15" s="1"/>
  <c r="F23" i="15"/>
  <c r="D23" i="15"/>
  <c r="W22" i="15"/>
  <c r="V22" i="15"/>
  <c r="U22" i="15"/>
  <c r="Q22" i="15" s="1"/>
  <c r="W21" i="15"/>
  <c r="V21" i="15"/>
  <c r="U21" i="15"/>
  <c r="Q21" i="15" s="1"/>
  <c r="W20" i="15"/>
  <c r="U20" i="15"/>
  <c r="W19" i="15"/>
  <c r="V19" i="15"/>
  <c r="U19" i="15"/>
  <c r="Q19" i="15" s="1"/>
  <c r="W18" i="15"/>
  <c r="V18" i="15"/>
  <c r="U18" i="15"/>
  <c r="Q18" i="15" s="1"/>
  <c r="W17" i="15"/>
  <c r="V17" i="15"/>
  <c r="U17" i="15"/>
  <c r="Q17" i="15" s="1"/>
  <c r="L17" i="15"/>
  <c r="K17" i="15"/>
  <c r="W16" i="15"/>
  <c r="U16" i="15"/>
  <c r="Q16" i="15" s="1"/>
  <c r="L16" i="15"/>
  <c r="K16" i="15"/>
  <c r="W15" i="15"/>
  <c r="U15" i="15"/>
  <c r="Q15" i="15" s="1"/>
  <c r="L15" i="15"/>
  <c r="W14" i="15"/>
  <c r="V14" i="15"/>
  <c r="U14" i="15"/>
  <c r="Q14" i="15" s="1"/>
  <c r="W13" i="15"/>
  <c r="U13" i="15"/>
  <c r="Q13" i="15" s="1"/>
  <c r="W12" i="15"/>
  <c r="U12" i="15"/>
  <c r="Q12" i="15" s="1"/>
  <c r="V12" i="15" s="1"/>
  <c r="W11" i="15"/>
  <c r="U11" i="15"/>
  <c r="Q11" i="15" s="1"/>
  <c r="L11" i="15"/>
  <c r="K11" i="15"/>
  <c r="W10" i="15"/>
  <c r="V10" i="15"/>
  <c r="U10" i="15"/>
  <c r="Q10" i="15" s="1"/>
  <c r="L10" i="15"/>
  <c r="K10" i="15"/>
  <c r="F10" i="14"/>
  <c r="F11" i="14"/>
  <c r="T10" i="14"/>
  <c r="P10" i="14" s="1"/>
  <c r="U10" i="14" s="1"/>
  <c r="E91" i="14"/>
  <c r="G96" i="14" s="1"/>
  <c r="F23" i="14"/>
  <c r="D23" i="14"/>
  <c r="H105" i="14"/>
  <c r="F105" i="14"/>
  <c r="G67" i="14"/>
  <c r="G70" i="14" s="1"/>
  <c r="E92" i="14" s="1"/>
  <c r="L96" i="14" s="1"/>
  <c r="F67" i="14"/>
  <c r="G66" i="14"/>
  <c r="E70" i="14" s="1"/>
  <c r="F70" i="14" s="1"/>
  <c r="F66" i="14"/>
  <c r="G65" i="14"/>
  <c r="C70" i="14" s="1"/>
  <c r="D70" i="14" s="1"/>
  <c r="D91" i="14" s="1"/>
  <c r="F65" i="14"/>
  <c r="B70" i="14" s="1"/>
  <c r="D90" i="14" s="1"/>
  <c r="D96" i="14" s="1"/>
  <c r="K59" i="14"/>
  <c r="F59" i="14"/>
  <c r="J59" i="14" s="1"/>
  <c r="K58" i="14"/>
  <c r="F58" i="14"/>
  <c r="J58" i="14" s="1"/>
  <c r="K55" i="14"/>
  <c r="F55" i="14"/>
  <c r="J55" i="14" s="1"/>
  <c r="K54" i="14"/>
  <c r="F54" i="14"/>
  <c r="J54" i="14" s="1"/>
  <c r="K51" i="14"/>
  <c r="F51" i="14"/>
  <c r="J51" i="14" s="1"/>
  <c r="K50" i="14"/>
  <c r="F50" i="14"/>
  <c r="J50" i="14" s="1"/>
  <c r="K47" i="14"/>
  <c r="F47" i="14"/>
  <c r="J47" i="14" s="1"/>
  <c r="K46" i="14"/>
  <c r="J46" i="14"/>
  <c r="F46" i="14"/>
  <c r="K43" i="14"/>
  <c r="F43" i="14"/>
  <c r="J43" i="14" s="1"/>
  <c r="K42" i="14"/>
  <c r="J42" i="14"/>
  <c r="F42" i="14"/>
  <c r="U40" i="14"/>
  <c r="Q34" i="14" s="1"/>
  <c r="R34" i="14" s="1"/>
  <c r="U39" i="14"/>
  <c r="O34" i="14" s="1"/>
  <c r="P34" i="14" s="1"/>
  <c r="P39" i="14"/>
  <c r="K39" i="14"/>
  <c r="F39" i="14"/>
  <c r="J39" i="14" s="1"/>
  <c r="U38" i="14"/>
  <c r="M34" i="14" s="1"/>
  <c r="N34" i="14" s="1"/>
  <c r="K38" i="14"/>
  <c r="J38" i="14"/>
  <c r="F38" i="14"/>
  <c r="V27" i="14"/>
  <c r="U27" i="14"/>
  <c r="T27" i="14"/>
  <c r="P27" i="14" s="1"/>
  <c r="V26" i="14"/>
  <c r="S26" i="14"/>
  <c r="T26" i="14" s="1"/>
  <c r="P26" i="14" s="1"/>
  <c r="U26" i="14" s="1"/>
  <c r="V25" i="14"/>
  <c r="U25" i="14"/>
  <c r="T25" i="14"/>
  <c r="P25" i="14" s="1"/>
  <c r="V24" i="14"/>
  <c r="U24" i="14"/>
  <c r="T24" i="14"/>
  <c r="P24" i="14" s="1"/>
  <c r="V23" i="14"/>
  <c r="U23" i="14"/>
  <c r="T23" i="14"/>
  <c r="P23" i="14" s="1"/>
  <c r="V22" i="14"/>
  <c r="T22" i="14"/>
  <c r="P22" i="14" s="1"/>
  <c r="U22" i="14" s="1"/>
  <c r="V21" i="14"/>
  <c r="U21" i="14"/>
  <c r="T21" i="14"/>
  <c r="P21" i="14" s="1"/>
  <c r="V20" i="14"/>
  <c r="T20" i="14"/>
  <c r="P20" i="14" s="1"/>
  <c r="U20" i="14" s="1"/>
  <c r="V19" i="14"/>
  <c r="U19" i="14"/>
  <c r="T19" i="14"/>
  <c r="P19" i="14" s="1"/>
  <c r="V18" i="14"/>
  <c r="T18" i="14"/>
  <c r="P18" i="14" s="1"/>
  <c r="U18" i="14" s="1"/>
  <c r="V17" i="14"/>
  <c r="T17" i="14"/>
  <c r="P17" i="14" s="1"/>
  <c r="U17" i="14" s="1"/>
  <c r="K17" i="14"/>
  <c r="F17" i="14"/>
  <c r="J17" i="14" s="1"/>
  <c r="V16" i="14"/>
  <c r="T16" i="14"/>
  <c r="P16" i="14" s="1"/>
  <c r="U16" i="14" s="1"/>
  <c r="K16" i="14"/>
  <c r="F16" i="14"/>
  <c r="J16" i="14" s="1"/>
  <c r="V15" i="14"/>
  <c r="U15" i="14"/>
  <c r="T15" i="14"/>
  <c r="P15" i="14" s="1"/>
  <c r="K15" i="14"/>
  <c r="J15" i="14"/>
  <c r="F15" i="14"/>
  <c r="V14" i="14"/>
  <c r="T14" i="14"/>
  <c r="P14" i="14" s="1"/>
  <c r="U14" i="14" s="1"/>
  <c r="V13" i="14"/>
  <c r="T13" i="14"/>
  <c r="P13" i="14" s="1"/>
  <c r="U13" i="14" s="1"/>
  <c r="V12" i="14"/>
  <c r="T12" i="14"/>
  <c r="P12" i="14" s="1"/>
  <c r="U12" i="14" s="1"/>
  <c r="V11" i="14"/>
  <c r="T11" i="14"/>
  <c r="P11" i="14" s="1"/>
  <c r="U11" i="14" s="1"/>
  <c r="K11" i="14"/>
  <c r="J11" i="14"/>
  <c r="V10" i="14"/>
  <c r="K10" i="14"/>
  <c r="J10" i="14"/>
  <c r="P20" i="9"/>
  <c r="O20" i="9"/>
  <c r="P19" i="9"/>
  <c r="O19" i="9"/>
  <c r="P18" i="9"/>
  <c r="O18" i="9"/>
  <c r="P6" i="9"/>
  <c r="P7" i="9"/>
  <c r="P5" i="9"/>
  <c r="O7" i="9"/>
  <c r="O6" i="9"/>
  <c r="O5" i="9"/>
  <c r="J21" i="8"/>
  <c r="G32" i="7"/>
  <c r="J29" i="7"/>
  <c r="H27" i="7"/>
  <c r="G30" i="7"/>
  <c r="AQ23" i="1"/>
  <c r="M60" i="6"/>
  <c r="M59" i="6"/>
  <c r="M58" i="6"/>
  <c r="M57" i="6"/>
  <c r="M56" i="6"/>
  <c r="E75" i="6"/>
  <c r="F75" i="6" s="1"/>
  <c r="J58" i="6"/>
  <c r="J57" i="6"/>
  <c r="J56" i="6"/>
  <c r="J55" i="6"/>
  <c r="J54" i="6"/>
  <c r="I58" i="6"/>
  <c r="I57" i="6"/>
  <c r="I56" i="6"/>
  <c r="I55" i="6"/>
  <c r="I54" i="6"/>
  <c r="H58" i="6"/>
  <c r="H57" i="6"/>
  <c r="H56" i="6"/>
  <c r="H55" i="6"/>
  <c r="H54" i="6"/>
  <c r="E74" i="6"/>
  <c r="E70" i="6"/>
  <c r="X41" i="4"/>
  <c r="X40" i="4"/>
  <c r="X39" i="4"/>
  <c r="AC30" i="4"/>
  <c r="AC29" i="4"/>
  <c r="AB29" i="4"/>
  <c r="X27" i="4"/>
  <c r="V27" i="4"/>
  <c r="AQ24" i="1"/>
  <c r="AQ25" i="1"/>
  <c r="AQ26" i="1"/>
  <c r="AQ27" i="1"/>
  <c r="AQ28" i="1"/>
  <c r="AQ29" i="1"/>
  <c r="AQ30" i="1"/>
  <c r="AQ31" i="1"/>
  <c r="AQ32" i="1"/>
  <c r="AQ33" i="1"/>
  <c r="AD33" i="1"/>
  <c r="AE33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V36" i="4"/>
  <c r="T95" i="4"/>
  <c r="R95" i="4"/>
  <c r="P95" i="4"/>
  <c r="R96" i="4"/>
  <c r="R80" i="4"/>
  <c r="R85" i="4" s="1"/>
  <c r="R79" i="4"/>
  <c r="P96" i="4"/>
  <c r="P101" i="4" s="1"/>
  <c r="T96" i="4"/>
  <c r="Q10" i="4"/>
  <c r="Q6" i="4"/>
  <c r="R6" i="4"/>
  <c r="R10" i="4"/>
  <c r="S10" i="4"/>
  <c r="S6" i="4"/>
  <c r="T80" i="4"/>
  <c r="T87" i="4" s="1"/>
  <c r="P80" i="4"/>
  <c r="P86" i="4" s="1"/>
  <c r="H10" i="4"/>
  <c r="H9" i="4"/>
  <c r="P79" i="4"/>
  <c r="T45" i="4"/>
  <c r="R45" i="4"/>
  <c r="T36" i="4"/>
  <c r="R36" i="4"/>
  <c r="T27" i="4"/>
  <c r="R27" i="4"/>
  <c r="P45" i="4"/>
  <c r="P36" i="4"/>
  <c r="P27" i="4"/>
  <c r="V20" i="21" l="1"/>
  <c r="Q32" i="21" s="1"/>
  <c r="Q40" i="21"/>
  <c r="Q42" i="21" s="1"/>
  <c r="Q43" i="21" s="1"/>
  <c r="J42" i="21"/>
  <c r="F50" i="21"/>
  <c r="F51" i="21" s="1"/>
  <c r="K14" i="21"/>
  <c r="K34" i="21"/>
  <c r="D66" i="18"/>
  <c r="D67" i="18"/>
  <c r="K59" i="18"/>
  <c r="Q38" i="18"/>
  <c r="Q40" i="18" s="1"/>
  <c r="Q41" i="18" s="1"/>
  <c r="F19" i="18"/>
  <c r="F20" i="18"/>
  <c r="F27" i="18"/>
  <c r="D65" i="18"/>
  <c r="E92" i="18"/>
  <c r="G97" i="18" s="1"/>
  <c r="Q34" i="18"/>
  <c r="D93" i="18" s="1"/>
  <c r="H97" i="18" s="1"/>
  <c r="Q30" i="18"/>
  <c r="E93" i="18"/>
  <c r="M97" i="18" s="1"/>
  <c r="S34" i="18"/>
  <c r="O34" i="18"/>
  <c r="D92" i="18" s="1"/>
  <c r="F97" i="18" s="1"/>
  <c r="K39" i="18"/>
  <c r="F61" i="18" s="1"/>
  <c r="I14" i="17"/>
  <c r="Q38" i="16"/>
  <c r="Q40" i="16" s="1"/>
  <c r="Q41" i="16" s="1"/>
  <c r="F61" i="16"/>
  <c r="F62" i="16" s="1"/>
  <c r="S34" i="16"/>
  <c r="E93" i="16"/>
  <c r="M97" i="16" s="1"/>
  <c r="Q30" i="16"/>
  <c r="Q31" i="16" s="1"/>
  <c r="O34" i="16"/>
  <c r="D92" i="16" s="1"/>
  <c r="F97" i="16" s="1"/>
  <c r="E91" i="16"/>
  <c r="E97" i="16" s="1"/>
  <c r="Q34" i="16"/>
  <c r="D93" i="16" s="1"/>
  <c r="H97" i="16" s="1"/>
  <c r="F20" i="16"/>
  <c r="E92" i="15"/>
  <c r="G97" i="15" s="1"/>
  <c r="Q34" i="15"/>
  <c r="D93" i="15" s="1"/>
  <c r="H97" i="15" s="1"/>
  <c r="E93" i="15"/>
  <c r="M97" i="15" s="1"/>
  <c r="S34" i="15"/>
  <c r="E91" i="15"/>
  <c r="E97" i="15" s="1"/>
  <c r="E90" i="14"/>
  <c r="E96" i="14" s="1"/>
  <c r="F75" i="15"/>
  <c r="F76" i="15" s="1"/>
  <c r="F77" i="15" s="1"/>
  <c r="F19" i="15"/>
  <c r="F20" i="15" s="1"/>
  <c r="Q38" i="15"/>
  <c r="Q40" i="15" s="1"/>
  <c r="Q41" i="15" s="1"/>
  <c r="Q20" i="15"/>
  <c r="V20" i="15" s="1"/>
  <c r="V11" i="15"/>
  <c r="V16" i="15"/>
  <c r="F26" i="15"/>
  <c r="F27" i="15" s="1"/>
  <c r="V15" i="15"/>
  <c r="V13" i="15"/>
  <c r="F61" i="15"/>
  <c r="F62" i="15" s="1"/>
  <c r="F71" i="15"/>
  <c r="D71" i="15"/>
  <c r="F97" i="15" s="1"/>
  <c r="F19" i="14"/>
  <c r="P38" i="14"/>
  <c r="P40" i="14" s="1"/>
  <c r="P41" i="14" s="1"/>
  <c r="F74" i="14"/>
  <c r="F75" i="14" s="1"/>
  <c r="F76" i="14" s="1"/>
  <c r="F26" i="14"/>
  <c r="H96" i="14"/>
  <c r="F61" i="14"/>
  <c r="F62" i="14" s="1"/>
  <c r="P30" i="14"/>
  <c r="P31" i="14" s="1"/>
  <c r="F96" i="14"/>
  <c r="P15" i="9"/>
  <c r="P2" i="9" s="1"/>
  <c r="O15" i="9"/>
  <c r="O2" i="9" s="1"/>
  <c r="P87" i="4"/>
  <c r="P102" i="4"/>
  <c r="P103" i="4"/>
  <c r="P100" i="4"/>
  <c r="R87" i="4"/>
  <c r="P99" i="4"/>
  <c r="P83" i="4"/>
  <c r="P84" i="4"/>
  <c r="R83" i="4"/>
  <c r="R86" i="4"/>
  <c r="P85" i="4"/>
  <c r="P112" i="4"/>
  <c r="R101" i="4"/>
  <c r="R111" i="4" s="1"/>
  <c r="R100" i="4"/>
  <c r="R99" i="4"/>
  <c r="R103" i="4"/>
  <c r="R102" i="4"/>
  <c r="T83" i="4"/>
  <c r="T84" i="4"/>
  <c r="T85" i="4"/>
  <c r="T86" i="4"/>
  <c r="R84" i="4"/>
  <c r="E8" i="4"/>
  <c r="T7" i="1"/>
  <c r="V8" i="1"/>
  <c r="T13" i="1"/>
  <c r="T8" i="1"/>
  <c r="T6" i="1"/>
  <c r="T5" i="1"/>
  <c r="T4" i="1"/>
  <c r="T3" i="1"/>
  <c r="G45" i="6"/>
  <c r="H45" i="6" s="1"/>
  <c r="G44" i="6"/>
  <c r="C42" i="6"/>
  <c r="D42" i="6" s="1"/>
  <c r="C41" i="6"/>
  <c r="M28" i="6"/>
  <c r="L23" i="6"/>
  <c r="I40" i="6"/>
  <c r="F52" i="21" l="1"/>
  <c r="F75" i="21"/>
  <c r="F76" i="21" s="1"/>
  <c r="Q33" i="21"/>
  <c r="F36" i="21"/>
  <c r="F37" i="21" s="1"/>
  <c r="F101" i="18"/>
  <c r="F102" i="18" s="1"/>
  <c r="F62" i="18"/>
  <c r="F87" i="18"/>
  <c r="F88" i="18" s="1"/>
  <c r="Q31" i="18"/>
  <c r="F101" i="16"/>
  <c r="F102" i="16" s="1"/>
  <c r="F87" i="16"/>
  <c r="F88" i="16" s="1"/>
  <c r="Q30" i="15"/>
  <c r="Q31" i="15" s="1"/>
  <c r="F101" i="15"/>
  <c r="F102" i="15" s="1"/>
  <c r="F20" i="14"/>
  <c r="F86" i="14"/>
  <c r="F87" i="14" s="1"/>
  <c r="F27" i="14"/>
  <c r="F100" i="14"/>
  <c r="F101" i="14" s="1"/>
  <c r="R113" i="4"/>
  <c r="P113" i="4"/>
  <c r="R109" i="4"/>
  <c r="R112" i="4"/>
  <c r="R110" i="4"/>
  <c r="P111" i="4"/>
  <c r="P110" i="4"/>
  <c r="P109" i="4"/>
  <c r="T103" i="4"/>
  <c r="T113" i="4" s="1"/>
  <c r="T101" i="4"/>
  <c r="T111" i="4" s="1"/>
  <c r="T100" i="4"/>
  <c r="T110" i="4" s="1"/>
  <c r="T99" i="4"/>
  <c r="T109" i="4" s="1"/>
  <c r="T102" i="4"/>
  <c r="T112" i="4" s="1"/>
  <c r="I27" i="6"/>
  <c r="E27" i="6"/>
  <c r="I26" i="6"/>
  <c r="E26" i="6"/>
  <c r="I24" i="2"/>
  <c r="I20" i="2"/>
  <c r="I25" i="6"/>
  <c r="E25" i="6"/>
  <c r="I16" i="2"/>
  <c r="I12" i="2"/>
  <c r="I24" i="6"/>
  <c r="E24" i="6"/>
  <c r="I23" i="6"/>
  <c r="E23" i="6"/>
  <c r="K8" i="2"/>
  <c r="J8" i="2"/>
  <c r="I8" i="2"/>
  <c r="K4" i="2"/>
  <c r="J4" i="2"/>
  <c r="F3" i="2"/>
  <c r="G37" i="2"/>
  <c r="G36" i="2"/>
  <c r="F35" i="2"/>
  <c r="G35" i="2" s="1"/>
  <c r="G34" i="2"/>
  <c r="G33" i="2"/>
  <c r="G32" i="2"/>
  <c r="G31" i="2"/>
  <c r="G30" i="2"/>
  <c r="G29" i="2"/>
  <c r="G28" i="2"/>
  <c r="G24" i="2"/>
  <c r="G23" i="2"/>
  <c r="G16" i="2"/>
  <c r="G22" i="2"/>
  <c r="G21" i="2"/>
  <c r="G20" i="2"/>
  <c r="G19" i="2"/>
  <c r="G18" i="2"/>
  <c r="G17" i="2"/>
  <c r="G15" i="2"/>
  <c r="G14" i="2"/>
  <c r="G13" i="2"/>
  <c r="G12" i="2"/>
  <c r="F61" i="21" l="1"/>
  <c r="F62" i="21" s="1"/>
  <c r="F87" i="15"/>
  <c r="F88" i="15" s="1"/>
  <c r="G9" i="2"/>
  <c r="G8" i="2"/>
  <c r="G4" i="2"/>
  <c r="I22" i="6" s="1"/>
  <c r="F5" i="2"/>
  <c r="G5" i="2" s="1"/>
  <c r="F6" i="2" l="1"/>
  <c r="I4" i="2" s="1"/>
  <c r="G3" i="2"/>
  <c r="E22" i="6" s="1"/>
  <c r="G6" i="2" l="1"/>
  <c r="G7" i="2"/>
  <c r="D19" i="1" l="1"/>
  <c r="D18" i="1"/>
  <c r="D17" i="1"/>
  <c r="D20" i="1"/>
  <c r="D21" i="1"/>
  <c r="D22" i="1"/>
  <c r="D23" i="1"/>
  <c r="D24" i="1"/>
  <c r="D25" i="1"/>
  <c r="D26" i="1"/>
  <c r="D16" i="1"/>
  <c r="I11" i="1"/>
  <c r="I10" i="1"/>
  <c r="I5" i="1"/>
  <c r="I9" i="1"/>
  <c r="I8" i="1"/>
  <c r="I13" i="1"/>
  <c r="I12" i="1"/>
  <c r="I7" i="1"/>
</calcChain>
</file>

<file path=xl/sharedStrings.xml><?xml version="1.0" encoding="utf-8"?>
<sst xmlns="http://schemas.openxmlformats.org/spreadsheetml/2006/main" count="2031" uniqueCount="529">
  <si>
    <t>CARDÁPIO DE PRODUTOS CVA</t>
  </si>
  <si>
    <t>CUSTO MÉDIO DE OBRA P/LINHA X TIPOLOGIA (R$/APTO)</t>
  </si>
  <si>
    <t>ESSENCIAL</t>
  </si>
  <si>
    <t>ECO</t>
  </si>
  <si>
    <t>BIO</t>
  </si>
  <si>
    <t>BLOCO</t>
  </si>
  <si>
    <t>CUSTO OBRA</t>
  </si>
  <si>
    <t>LAZER</t>
  </si>
  <si>
    <t>GUARITA</t>
  </si>
  <si>
    <t>TIPOLOGIA:</t>
  </si>
  <si>
    <t>TORRE</t>
  </si>
  <si>
    <t xml:space="preserve">A </t>
  </si>
  <si>
    <t>FRAÇÃO</t>
  </si>
  <si>
    <t>301 A 350</t>
  </si>
  <si>
    <t>CLASSIFICAÇÃO DA FRAÇÃO</t>
  </si>
  <si>
    <t>CT 01</t>
  </si>
  <si>
    <t>CT 02</t>
  </si>
  <si>
    <t>CT 03</t>
  </si>
  <si>
    <t>&lt;= 300</t>
  </si>
  <si>
    <t>351 A 400</t>
  </si>
  <si>
    <t>401 A 450</t>
  </si>
  <si>
    <t>451 A 500</t>
  </si>
  <si>
    <t>501 A 550</t>
  </si>
  <si>
    <t>&gt;= 551</t>
  </si>
  <si>
    <t>FRAÇÃO EM MRV</t>
  </si>
  <si>
    <t>FRAÇÃO 01</t>
  </si>
  <si>
    <t>FRAÇÃO 01 +</t>
  </si>
  <si>
    <t>FRAÇÃO 02</t>
  </si>
  <si>
    <t>FRAÇÃO 02+</t>
  </si>
  <si>
    <t>FRAÇÃO 03</t>
  </si>
  <si>
    <t>FRAÇÃO 03+</t>
  </si>
  <si>
    <t>FRAÇÃO 04</t>
  </si>
  <si>
    <t>ACABAMENTO 1</t>
  </si>
  <si>
    <t>PISOS</t>
  </si>
  <si>
    <t>ACABAMENTOS</t>
  </si>
  <si>
    <t>Sem pisos</t>
  </si>
  <si>
    <t>1 fiada</t>
  </si>
  <si>
    <t>cerâmica 150</t>
  </si>
  <si>
    <t>textura</t>
  </si>
  <si>
    <t>lisa</t>
  </si>
  <si>
    <t>combo 1</t>
  </si>
  <si>
    <t>combo 2</t>
  </si>
  <si>
    <t>ardosia</t>
  </si>
  <si>
    <t>granito</t>
  </si>
  <si>
    <t>ACABAMENTO 2</t>
  </si>
  <si>
    <t>PAREDES</t>
  </si>
  <si>
    <t>Com piso</t>
  </si>
  <si>
    <t>Sem piso</t>
  </si>
  <si>
    <t>ACABAMENTO 3</t>
  </si>
  <si>
    <t>com piso</t>
  </si>
  <si>
    <t>TETOS</t>
  </si>
  <si>
    <t>ardósia</t>
  </si>
  <si>
    <t>BANCADAS</t>
  </si>
  <si>
    <t>PEDRAS</t>
  </si>
  <si>
    <t>DEMAIS ACABAMENTOS</t>
  </si>
  <si>
    <t>CLASSIFICAÇÃO DO ACABAMENTO</t>
  </si>
  <si>
    <t>PONTOS</t>
  </si>
  <si>
    <t>42 - 57</t>
  </si>
  <si>
    <t xml:space="preserve">ITENS DE LAZER </t>
  </si>
  <si>
    <t>LB 1</t>
  </si>
  <si>
    <t>LB 2</t>
  </si>
  <si>
    <t>LB 3</t>
  </si>
  <si>
    <t>PLAY</t>
  </si>
  <si>
    <t>PET</t>
  </si>
  <si>
    <t>GAZ</t>
  </si>
  <si>
    <t>FUNC</t>
  </si>
  <si>
    <t>REDÁRIO</t>
  </si>
  <si>
    <t>SOLA</t>
  </si>
  <si>
    <t>SOLARIUM</t>
  </si>
  <si>
    <t>Min</t>
  </si>
  <si>
    <t>CUSTO</t>
  </si>
  <si>
    <t>LC 1</t>
  </si>
  <si>
    <t>LC 2</t>
  </si>
  <si>
    <t>LC 3</t>
  </si>
  <si>
    <t>FESTAS</t>
  </si>
  <si>
    <t>CHURRAS</t>
  </si>
  <si>
    <t>PISCINA</t>
  </si>
  <si>
    <t>KIDS</t>
  </si>
  <si>
    <t>MÉDIA GASTO</t>
  </si>
  <si>
    <t>ATÉ 100</t>
  </si>
  <si>
    <t>ATÉ 150UH</t>
  </si>
  <si>
    <t>100 - 200</t>
  </si>
  <si>
    <t>200 - 300</t>
  </si>
  <si>
    <t>300 - 400</t>
  </si>
  <si>
    <t>400 -500</t>
  </si>
  <si>
    <t>Recomendado</t>
  </si>
  <si>
    <t>4+</t>
  </si>
  <si>
    <t>SUGESTÃO LAZER MÍNIMO</t>
  </si>
  <si>
    <t>150 A 200 UH</t>
  </si>
  <si>
    <t>200 A 400 UH</t>
  </si>
  <si>
    <t>ACIMA DE 400 UH</t>
  </si>
  <si>
    <t>FACHADA / MURO / GUARITA</t>
  </si>
  <si>
    <t>CLIENTE</t>
  </si>
  <si>
    <t>FACHADA / MURO E GUARITA EM DESENVOLVIMENTO</t>
  </si>
  <si>
    <t>FAIXA DO PROGRAMA MCMV:  FAIXA 1 E 2</t>
  </si>
  <si>
    <t>FAIXA DO PROGRAMA MCMV:  FAIXA 3</t>
  </si>
  <si>
    <t>RENDA:  ATÉ R$4.400,00</t>
  </si>
  <si>
    <t>RENDA:  DE R$4.400,00 A R$ 8.000,00</t>
  </si>
  <si>
    <t>FAIXA ETÁRIA:</t>
  </si>
  <si>
    <t>18 a 30 anos</t>
  </si>
  <si>
    <t>30 a 40 anos</t>
  </si>
  <si>
    <t>40 a 50 anos</t>
  </si>
  <si>
    <t>50 a 60 anos</t>
  </si>
  <si>
    <t>Sem inf.</t>
  </si>
  <si>
    <t>VALOR CLIENTE</t>
  </si>
  <si>
    <t>ITENS DE LAZER</t>
  </si>
  <si>
    <t>REPRESENTATIVIDADE DE CUSTO</t>
  </si>
  <si>
    <t>BELO HORIZONTE</t>
  </si>
  <si>
    <t xml:space="preserve">SÃO PAULO </t>
  </si>
  <si>
    <t>NORDESTE</t>
  </si>
  <si>
    <t>SANTA CATARINA</t>
  </si>
  <si>
    <t>VALOR DO CONDOMÍNIO</t>
  </si>
  <si>
    <t>0 A 10</t>
  </si>
  <si>
    <t>0 A 5</t>
  </si>
  <si>
    <t>1 E 2 - BOM
3 - MÉDIO
4 e 5 - RUIM</t>
  </si>
  <si>
    <t>PLAYGROUND</t>
  </si>
  <si>
    <t>0,11</t>
  </si>
  <si>
    <t>0</t>
  </si>
  <si>
    <t>BOM</t>
  </si>
  <si>
    <t>PET PLACE</t>
  </si>
  <si>
    <t>1</t>
  </si>
  <si>
    <t>2</t>
  </si>
  <si>
    <t>PIQUENIQUE</t>
  </si>
  <si>
    <t>FUNCIONAL</t>
  </si>
  <si>
    <t>BICICLETÁRIO</t>
  </si>
  <si>
    <t>4</t>
  </si>
  <si>
    <t>GAZEBO</t>
  </si>
  <si>
    <t>RUIM</t>
  </si>
  <si>
    <t>QUADRA DE AREIA</t>
  </si>
  <si>
    <t>MÉDIO</t>
  </si>
  <si>
    <t>QUADRA RECREATIVA</t>
  </si>
  <si>
    <t>QUADRA GRAMADA</t>
  </si>
  <si>
    <t>MINI QUADRA DE BASQUETE</t>
  </si>
  <si>
    <t>CHURRASQUEIRA</t>
  </si>
  <si>
    <t>1,1</t>
  </si>
  <si>
    <t>10</t>
  </si>
  <si>
    <t>7</t>
  </si>
  <si>
    <t>5</t>
  </si>
  <si>
    <t>LAVANDERIA</t>
  </si>
  <si>
    <t>JOGOS</t>
  </si>
  <si>
    <t>SALÃO DE FESTAS</t>
  </si>
  <si>
    <t>0,88</t>
  </si>
  <si>
    <t>8</t>
  </si>
  <si>
    <t>HOME OFFICE</t>
  </si>
  <si>
    <t>3</t>
  </si>
  <si>
    <t>ACADEMIA</t>
  </si>
  <si>
    <t>ESPAÇO BELEZA</t>
  </si>
  <si>
    <t>ESPAÇO FERRAMENTAS</t>
  </si>
  <si>
    <t>SOMATÓRIA DE PONTOS</t>
  </si>
  <si>
    <t>PONTUAÇÃO - CUSTO</t>
  </si>
  <si>
    <t>PONTUAÇÃO VISÃO CLIENTE - BH</t>
  </si>
  <si>
    <t>PESO</t>
  </si>
  <si>
    <t>TIPOLOGIA</t>
  </si>
  <si>
    <t>% REPRES. CUSTO TOTAL</t>
  </si>
  <si>
    <t>PISO SALA/QUARTOS</t>
  </si>
  <si>
    <t>SEM PISO</t>
  </si>
  <si>
    <t>COM PISO - LAMINADO</t>
  </si>
  <si>
    <t>TOTAL</t>
  </si>
  <si>
    <t>TETO</t>
  </si>
  <si>
    <t>PINTURA TEXTURIZADA</t>
  </si>
  <si>
    <t>PINTURA LISA</t>
  </si>
  <si>
    <t>PISO COZINHA</t>
  </si>
  <si>
    <t>CERÂMICA</t>
  </si>
  <si>
    <t>PAREDES HIDRÁULICAS</t>
  </si>
  <si>
    <t>1 FIADA DE CERÂMICA</t>
  </si>
  <si>
    <t>CERÂMICA ATÉ 150</t>
  </si>
  <si>
    <t xml:space="preserve"> % DE REPRESENTATIVIDADE</t>
  </si>
  <si>
    <t>COMBO 01</t>
  </si>
  <si>
    <t>COMBO 02</t>
  </si>
  <si>
    <t>SOLEIRA / PEITORIL</t>
  </si>
  <si>
    <t>ARDÓSIA</t>
  </si>
  <si>
    <t>GRANITO</t>
  </si>
  <si>
    <t>LAZER BARATO</t>
  </si>
  <si>
    <t>LAZER CARO</t>
  </si>
  <si>
    <t>L1</t>
  </si>
  <si>
    <t>L2</t>
  </si>
  <si>
    <t>L3</t>
  </si>
  <si>
    <t>N UND</t>
  </si>
  <si>
    <t>EMPREEDIMENTO</t>
  </si>
  <si>
    <t>BLOCO / TORRE</t>
  </si>
  <si>
    <t>LINHA DE PRODUTO ATUAL</t>
  </si>
  <si>
    <t>DATA VIABILIDADE</t>
  </si>
  <si>
    <t>Nº UND</t>
  </si>
  <si>
    <t>REGIONAL</t>
  </si>
  <si>
    <t>FRAÇÃO/UH</t>
  </si>
  <si>
    <t>CLASSIFICAÇÃO FRAÇÃO</t>
  </si>
  <si>
    <t>CUSTO DE OBRA/UH</t>
  </si>
  <si>
    <t>CUSTO MRV</t>
  </si>
  <si>
    <t>CLASSIFICAÇÃO DE CUSTO</t>
  </si>
  <si>
    <t>PREÇO DE VENDA MÉDIO</t>
  </si>
  <si>
    <t>RENDA DO CLIENTE</t>
  </si>
  <si>
    <t>ACABAMENTO</t>
  </si>
  <si>
    <t>AVALIAÇÃO CEF</t>
  </si>
  <si>
    <r>
      <t xml:space="preserve">LAZER BARATO
</t>
    </r>
    <r>
      <rPr>
        <b/>
        <sz val="9"/>
        <color theme="1"/>
        <rFont val="Aptos Narrow"/>
        <family val="2"/>
        <scheme val="minor"/>
      </rPr>
      <t>(ITENS DESCOBERTOS)</t>
    </r>
  </si>
  <si>
    <r>
      <t xml:space="preserve">LAZER CARO
</t>
    </r>
    <r>
      <rPr>
        <b/>
        <sz val="9"/>
        <color theme="1"/>
        <rFont val="Aptos Narrow"/>
        <family val="2"/>
        <scheme val="minor"/>
      </rPr>
      <t>(ITENS COBERTOS + PISCINAS + QUADRAS)</t>
    </r>
  </si>
  <si>
    <t>PISO SALA E QUARTO</t>
  </si>
  <si>
    <t>PAREDE HIDR</t>
  </si>
  <si>
    <t>BANCADA</t>
  </si>
  <si>
    <t>PEDRA</t>
  </si>
  <si>
    <t>CAMEMBERT</t>
  </si>
  <si>
    <t>Sul</t>
  </si>
  <si>
    <t>FR 01</t>
  </si>
  <si>
    <t>CUSTO 01</t>
  </si>
  <si>
    <t>FX 01+</t>
  </si>
  <si>
    <t>SIMPLES</t>
  </si>
  <si>
    <t>Até 150</t>
  </si>
  <si>
    <t>Textura</t>
  </si>
  <si>
    <t>COMB 01</t>
  </si>
  <si>
    <t>festa</t>
  </si>
  <si>
    <t>churrasqueira</t>
  </si>
  <si>
    <t>playground</t>
  </si>
  <si>
    <t>CANTO DAS ÁGUIAS</t>
  </si>
  <si>
    <t>RP</t>
  </si>
  <si>
    <t>FR 02</t>
  </si>
  <si>
    <t>FX 01</t>
  </si>
  <si>
    <t>pet place</t>
  </si>
  <si>
    <t>Quadra cob</t>
  </si>
  <si>
    <t>SAN LEVI</t>
  </si>
  <si>
    <t>SP</t>
  </si>
  <si>
    <t>FR 03</t>
  </si>
  <si>
    <t>FX 02</t>
  </si>
  <si>
    <t>mini quadra</t>
  </si>
  <si>
    <t>PARQUE ANDINO</t>
  </si>
  <si>
    <t>MG + ES</t>
  </si>
  <si>
    <t>INTERMEDIÁRIO</t>
  </si>
  <si>
    <t xml:space="preserve">piscina </t>
  </si>
  <si>
    <t>funcional</t>
  </si>
  <si>
    <t>LA VIENA</t>
  </si>
  <si>
    <t>SUL</t>
  </si>
  <si>
    <t>CUSTO 01+</t>
  </si>
  <si>
    <t>gazebo</t>
  </si>
  <si>
    <t>VEREDAS</t>
  </si>
  <si>
    <t>CP</t>
  </si>
  <si>
    <t>FX 02+</t>
  </si>
  <si>
    <t>VIVA CORAIS</t>
  </si>
  <si>
    <t>FR 02+</t>
  </si>
  <si>
    <t>RESIDENCIAL DE PISA</t>
  </si>
  <si>
    <t>CO + AM</t>
  </si>
  <si>
    <t>CUSTO 02</t>
  </si>
  <si>
    <t>CAPRI VILLAGE</t>
  </si>
  <si>
    <t>CUSTO 03</t>
  </si>
  <si>
    <t>FX 03</t>
  </si>
  <si>
    <t>COMPLETO</t>
  </si>
  <si>
    <t>piso ao teto</t>
  </si>
  <si>
    <t>BELGRANO</t>
  </si>
  <si>
    <t>CUSTO 02+</t>
  </si>
  <si>
    <t>MARTINI</t>
  </si>
  <si>
    <t>lsia</t>
  </si>
  <si>
    <t>piqeunique</t>
  </si>
  <si>
    <t>redário</t>
  </si>
  <si>
    <t>CLASSIFICAÇÃO PROPOSTA</t>
  </si>
  <si>
    <t>CLASSIFICAÇÃO</t>
  </si>
  <si>
    <t>QUADRA</t>
  </si>
  <si>
    <t>MINI QUADRA</t>
  </si>
  <si>
    <t>L4</t>
  </si>
  <si>
    <t>FR 01 +</t>
  </si>
  <si>
    <t>FR 02 +</t>
  </si>
  <si>
    <t>25 A 27,5K</t>
  </si>
  <si>
    <t>35 A 37,5K</t>
  </si>
  <si>
    <t>CPV</t>
  </si>
  <si>
    <t>CUSTO POR BLOCO / TORRE</t>
  </si>
  <si>
    <t>ATÉ 100K</t>
  </si>
  <si>
    <t>ACIMA DE 120K</t>
  </si>
  <si>
    <t>FRAÇÃO EM MRVS</t>
  </si>
  <si>
    <t>ATÉ 120K</t>
  </si>
  <si>
    <t>INTEGRAR LOGICA DE LAZER DENTRO DA CLASSIFICAÇÃO</t>
  </si>
  <si>
    <t>CUSTO 01 +</t>
  </si>
  <si>
    <t>CUSTO 02 +</t>
  </si>
  <si>
    <t>SEPARA O CUSTO POR REGIONAL</t>
  </si>
  <si>
    <t xml:space="preserve">100 A 110% </t>
  </si>
  <si>
    <t>120 A 132%</t>
  </si>
  <si>
    <t>CALCULADORA PARA DEFINIÇÃO PRODUTO APTO</t>
  </si>
  <si>
    <t>FAIXA 02</t>
  </si>
  <si>
    <t>FAIXA 01</t>
  </si>
  <si>
    <t>FAIXA 03</t>
  </si>
  <si>
    <t>ATÉ 200K</t>
  </si>
  <si>
    <t>ACIMA DE 240K</t>
  </si>
  <si>
    <t>ATÉ 240K</t>
  </si>
  <si>
    <t>FAIXA 01 +</t>
  </si>
  <si>
    <t>FAIXA 02 +</t>
  </si>
  <si>
    <t>200 A 220K</t>
  </si>
  <si>
    <t>240 A 264K</t>
  </si>
  <si>
    <t>AMBIENTE</t>
  </si>
  <si>
    <t>ITEM</t>
  </si>
  <si>
    <t>CARDÁPIO ATUAL</t>
  </si>
  <si>
    <t>UND MEDIDA</t>
  </si>
  <si>
    <t xml:space="preserve">VALOR </t>
  </si>
  <si>
    <t>ÁREA DO APTO (MIDI 01)</t>
  </si>
  <si>
    <t>TETO TEXTURA</t>
  </si>
  <si>
    <t>SALA / DORMITÓRIO</t>
  </si>
  <si>
    <t>PISO</t>
  </si>
  <si>
    <t>M²</t>
  </si>
  <si>
    <t>ÁREA</t>
  </si>
  <si>
    <t>V. M²</t>
  </si>
  <si>
    <t>LAMINADO</t>
  </si>
  <si>
    <t>PAREDE</t>
  </si>
  <si>
    <t>TEXTURA</t>
  </si>
  <si>
    <t>TETO LISO</t>
  </si>
  <si>
    <t>LISA</t>
  </si>
  <si>
    <t>COZINHA</t>
  </si>
  <si>
    <t>COMPOSIÇÃO</t>
  </si>
  <si>
    <t>CERÂMICA ATE 150</t>
  </si>
  <si>
    <t>INOX</t>
  </si>
  <si>
    <t>UND</t>
  </si>
  <si>
    <t>TORNEIRA</t>
  </si>
  <si>
    <t>ABS</t>
  </si>
  <si>
    <t>ÁREA DE SERVIÇO</t>
  </si>
  <si>
    <t>BANCADA COMBO 01</t>
  </si>
  <si>
    <t>TANQUE</t>
  </si>
  <si>
    <t>LOUÇA</t>
  </si>
  <si>
    <t>BANCADA COMBO 02</t>
  </si>
  <si>
    <t>RALO</t>
  </si>
  <si>
    <t>PVC</t>
  </si>
  <si>
    <t>BANHEIRO</t>
  </si>
  <si>
    <t>BOX</t>
  </si>
  <si>
    <t>CERÂMICA DO PISO AO TETO</t>
  </si>
  <si>
    <t>FORRO DE GESSO</t>
  </si>
  <si>
    <t>BACIA SANITÁRIA</t>
  </si>
  <si>
    <t>VARANDA</t>
  </si>
  <si>
    <t>ESPATULADA</t>
  </si>
  <si>
    <t>PEITORIL</t>
  </si>
  <si>
    <t>VL CLIENTE</t>
  </si>
  <si>
    <t>VALOR PARA CLIENTE</t>
  </si>
  <si>
    <t>RESULTADO</t>
  </si>
  <si>
    <t>PONTUAÇÃO ATUAL</t>
  </si>
  <si>
    <t>PONTUAÇÃO PROPOSTA</t>
  </si>
  <si>
    <t>MENOR CUSTO</t>
  </si>
  <si>
    <t>MAIOR VALOR</t>
  </si>
  <si>
    <t>MAIS RECOMENDADO</t>
  </si>
  <si>
    <t>Gerar a classificação do meu produto (produto simular ao Essencial / Eco / Bio) em relação ao custo</t>
  </si>
  <si>
    <t>Gerar uma classificação de aderência do mais recomendado para o menos recomendado (VALOR 01 , 02, 03)</t>
  </si>
  <si>
    <t>VL 03</t>
  </si>
  <si>
    <t>MAIOR CUSTO</t>
  </si>
  <si>
    <t>MENOR VALOR</t>
  </si>
  <si>
    <t>MENOS RECOMENDADO</t>
  </si>
  <si>
    <t>VL 02</t>
  </si>
  <si>
    <t>VL 01</t>
  </si>
  <si>
    <t>CUSTO LZ 01 - VL 03</t>
  </si>
  <si>
    <t>EXEMPLO</t>
  </si>
  <si>
    <t>PONTUAÇÃO DE CUSTO</t>
  </si>
  <si>
    <t>Avançar na lógica de como vamos definir essa classificação pelo valor de cliente</t>
  </si>
  <si>
    <t>2000.00</t>
  </si>
  <si>
    <t>ADERÊNCIA DE PRODUTO</t>
  </si>
  <si>
    <t>Esferas de custos</t>
  </si>
  <si>
    <t>Esferar de qualidade</t>
  </si>
  <si>
    <t>Acabamento / Lazer/Custo</t>
  </si>
  <si>
    <t>Acabamento / Lazer</t>
  </si>
  <si>
    <t>Conquista
Harmonia
Bem estar</t>
  </si>
  <si>
    <t>Ouro</t>
  </si>
  <si>
    <t>Prata</t>
  </si>
  <si>
    <t>Bronze</t>
  </si>
  <si>
    <t>ACAB 01</t>
  </si>
  <si>
    <t>ACAB 02</t>
  </si>
  <si>
    <t>ACAB 03</t>
  </si>
  <si>
    <t>VLC</t>
  </si>
  <si>
    <t>SPI</t>
  </si>
  <si>
    <t xml:space="preserve">SEM </t>
  </si>
  <si>
    <t>COM</t>
  </si>
  <si>
    <t>PH</t>
  </si>
  <si>
    <t>1 FIADA</t>
  </si>
  <si>
    <t>ATÉ 1,5</t>
  </si>
  <si>
    <t>PIQUINIQUE</t>
  </si>
  <si>
    <t>TEX</t>
  </si>
  <si>
    <t>ARDOSIA</t>
  </si>
  <si>
    <t xml:space="preserve"> GRA</t>
  </si>
  <si>
    <t>DADOS BÁSICOS</t>
  </si>
  <si>
    <t>NOME DO EMPREENDIMENTO</t>
  </si>
  <si>
    <t>CIDADE</t>
  </si>
  <si>
    <t>Nº DE UNIDADES</t>
  </si>
  <si>
    <t>TIPOLOGIAS</t>
  </si>
  <si>
    <t>CUSTO REAL</t>
  </si>
  <si>
    <t>SOMA CUSTO</t>
  </si>
  <si>
    <t>SOMA CLEINTE</t>
  </si>
  <si>
    <t>CUSTO P/UND</t>
  </si>
  <si>
    <t>EMPREENDIMENTO</t>
  </si>
  <si>
    <t>LINHA ATUAL</t>
  </si>
  <si>
    <t>PONTUAÇÃO TOTAL CUSTO</t>
  </si>
  <si>
    <t>PONTUAÇÃO LAZER</t>
  </si>
  <si>
    <t>PONTUAÇÃO ACABAMENTO</t>
  </si>
  <si>
    <t>PONTUAÇÃO GUARITA</t>
  </si>
  <si>
    <t>CLASSIFICAÇÃO FINAL CUSTO</t>
  </si>
  <si>
    <t>PONTUAÇÃO TOTAL CLIENTE</t>
  </si>
  <si>
    <t>CLASSIFICAÇÃO CLIENTE</t>
  </si>
  <si>
    <t>CONQUISTA</t>
  </si>
  <si>
    <t>PRATA</t>
  </si>
  <si>
    <t>GUARITAS</t>
  </si>
  <si>
    <t>MODELO 01</t>
  </si>
  <si>
    <t>MODELO 02</t>
  </si>
  <si>
    <t>BEM ESTAR</t>
  </si>
  <si>
    <t>OURO</t>
  </si>
  <si>
    <t>MODELO 03</t>
  </si>
  <si>
    <t>TOTAL DE PONTOS CUSTO</t>
  </si>
  <si>
    <t>GUARITA SELECIONADO</t>
  </si>
  <si>
    <t>MINI Q. DE BASQUETE</t>
  </si>
  <si>
    <t>RÉGUA CLASSIFICAÇÃO DE CUSTO</t>
  </si>
  <si>
    <t>GUARITA 1</t>
  </si>
  <si>
    <t>GUARITA 2</t>
  </si>
  <si>
    <t>GUARITA 3</t>
  </si>
  <si>
    <t>TOTAL DE PONTOS CLIENTE</t>
  </si>
  <si>
    <t>CLIENTE SELECIONADO</t>
  </si>
  <si>
    <t>RÉGUA CLASSIFICAÇÃO DE CLIENTE</t>
  </si>
  <si>
    <t>VLC 1</t>
  </si>
  <si>
    <t>VLC 2</t>
  </si>
  <si>
    <t>VLC 3</t>
  </si>
  <si>
    <t>RÉGUA CLASSIFICAÇÃO DE LAZER</t>
  </si>
  <si>
    <t>LZ 1</t>
  </si>
  <si>
    <t>LZ 2</t>
  </si>
  <si>
    <t>LZ 3</t>
  </si>
  <si>
    <t>LZ 4</t>
  </si>
  <si>
    <t>SALA E QUARTOS</t>
  </si>
  <si>
    <r>
      <t xml:space="preserve">COM PISO </t>
    </r>
    <r>
      <rPr>
        <sz val="8"/>
        <color theme="1"/>
        <rFont val="Aptos Narrow"/>
        <family val="2"/>
        <scheme val="minor"/>
      </rPr>
      <t xml:space="preserve"> (Laminado Tipo / Cerâmica Térreo)</t>
    </r>
  </si>
  <si>
    <t>QTD DE ITENS SELECIONADOS</t>
  </si>
  <si>
    <t>MÉDIA DE PONTOS CLIENTE</t>
  </si>
  <si>
    <t>COM PISO (Cerâmica)</t>
  </si>
  <si>
    <t>RÉGUA CLASSIFICAÇÃO CLIENTE</t>
  </si>
  <si>
    <t>0 A 1,0</t>
  </si>
  <si>
    <t>1,1 A 2,0</t>
  </si>
  <si>
    <t>2,1 A 3,0</t>
  </si>
  <si>
    <t>PAREDE HIDRÁULICA</t>
  </si>
  <si>
    <t xml:space="preserve">VLC 1 </t>
  </si>
  <si>
    <t>TEXT</t>
  </si>
  <si>
    <t>LISO</t>
  </si>
  <si>
    <t>ACABAMENTO SELECIONADO</t>
  </si>
  <si>
    <t>INTERVALO DE CUSTO</t>
  </si>
  <si>
    <t>RÉGUA CLASSIFICAÇÃO DE ACABAMENTOS</t>
  </si>
  <si>
    <t>ACAB 1</t>
  </si>
  <si>
    <t>ACAB 2</t>
  </si>
  <si>
    <t>ACAB 3</t>
  </si>
  <si>
    <t>SOMA PONTUAÇÃO TOTAL CUSTO</t>
  </si>
  <si>
    <t>LINHA SELECIONADA CUSTO</t>
  </si>
  <si>
    <t>MÍNIMO</t>
  </si>
  <si>
    <t>MÁXIMO</t>
  </si>
  <si>
    <t>HARMONIA</t>
  </si>
  <si>
    <t>RÉGUA DE CLASSIFICAÇÃO DE PRODUTO</t>
  </si>
  <si>
    <t>RISCO</t>
  </si>
  <si>
    <t>SOMA MÉDIA PONTUAÇÃO TOTAL CLIENTE</t>
  </si>
  <si>
    <t>RÉGUA DE CLASSIFICAÇÃO DE CLIENTE</t>
  </si>
  <si>
    <t>BRONZE</t>
  </si>
  <si>
    <t>MOEDA MRV</t>
  </si>
  <si>
    <t>CUSTO MRV/UH</t>
  </si>
  <si>
    <t>PONTOS CUSTO</t>
  </si>
  <si>
    <t>CUSTO MRV/ UH</t>
  </si>
  <si>
    <t>JARDIM BONSAI</t>
  </si>
  <si>
    <t>RESIDENCIAL ESTORIL</t>
  </si>
  <si>
    <t>RESIDENCIAL CONQUISTA</t>
  </si>
  <si>
    <t>DUNAS PARK</t>
  </si>
  <si>
    <t>RIO AGATA</t>
  </si>
  <si>
    <t>Mínimo</t>
  </si>
  <si>
    <t>Máximo</t>
  </si>
  <si>
    <t>ECO / MEIO</t>
  </si>
  <si>
    <t>CENÁRIO 01</t>
  </si>
  <si>
    <t>2QSV</t>
  </si>
  <si>
    <t>2QV</t>
  </si>
  <si>
    <t>2Q</t>
  </si>
  <si>
    <t>TIPOLOGIA 2QSV</t>
  </si>
  <si>
    <t>MÍNIMO ACAB</t>
  </si>
  <si>
    <t>MÍNIMO LAZER</t>
  </si>
  <si>
    <t>TIPOLOGIA 2Q</t>
  </si>
  <si>
    <t>MÁXIMO ACAB</t>
  </si>
  <si>
    <t>MÁXIMO LAZER</t>
  </si>
  <si>
    <t>CENÁRIO 02</t>
  </si>
  <si>
    <t>area_name</t>
  </si>
  <si>
    <t>CUSTO (R$/UH)</t>
  </si>
  <si>
    <t>Referência</t>
  </si>
  <si>
    <t>Standard THC09 - A - 2Q</t>
  </si>
  <si>
    <t>Bloquinho</t>
  </si>
  <si>
    <t>Gr 01</t>
  </si>
  <si>
    <t>Até 100K</t>
  </si>
  <si>
    <t>Standard THC03 - A - 2Q</t>
  </si>
  <si>
    <t>Gr 02</t>
  </si>
  <si>
    <t>Até 106K</t>
  </si>
  <si>
    <t>Standard Block 09 - 2QV - Nova Iguaçu</t>
  </si>
  <si>
    <t>Gr 03</t>
  </si>
  <si>
    <t>Até 116K</t>
  </si>
  <si>
    <t>Standard Block 09 - 2QV - Rio de Janeiro</t>
  </si>
  <si>
    <t>Standard Block 09 - 2QV - São Gonçalo</t>
  </si>
  <si>
    <t>Standard THC AP5 - A - 2Q</t>
  </si>
  <si>
    <t>Standard Block 09 - 2QV - Duque de Caxias</t>
  </si>
  <si>
    <t>Standard TTJF - A - 2Q + 2QV</t>
  </si>
  <si>
    <t>Torre</t>
  </si>
  <si>
    <t>Standard Fit 24 Light - 2QV - Nova Iguaçu</t>
  </si>
  <si>
    <t>Torrinha</t>
  </si>
  <si>
    <t>Standard Fit 25 Light - 2QV - Nova Iguaçu</t>
  </si>
  <si>
    <t>Standard Fit 24 Light - 2QV - São Gonçalo</t>
  </si>
  <si>
    <t>Standard Fit 24 Light - 2QV - Rio de Janeiro</t>
  </si>
  <si>
    <t>Standard Fit 25 Light - 2QV - Rio de Janeiro</t>
  </si>
  <si>
    <t>Standard Fit 25 Light - 2QV - São Gonçalo</t>
  </si>
  <si>
    <t>Standard Fit 24 Light - 2QV - Duque de Caxias</t>
  </si>
  <si>
    <t>Standard Fit 25 Light - 2QV - Duque de Caxias</t>
  </si>
  <si>
    <t>Standard THC AP5 - A - 2QV</t>
  </si>
  <si>
    <t>Standard Fit 21 - 2QV - Nova Iguaçu</t>
  </si>
  <si>
    <t>Standard Slim 05 - 2QV + 2Q</t>
  </si>
  <si>
    <t>Standard Fit 21 - 2QV - São Gonçalo</t>
  </si>
  <si>
    <t>Standard Fit 27 Light - 2QSV + 2QV - Rio de Janeiro</t>
  </si>
  <si>
    <t>Standard Fit 20 - 2QV - Nova Iguaçu</t>
  </si>
  <si>
    <t>Standard Fit 21 - 2QV - Duque de Caxias</t>
  </si>
  <si>
    <t>Standard Fit 23 - 2QSV + 2QV - Nova Iguaçu</t>
  </si>
  <si>
    <t>Standard Fit 20 - 2QV - São Gonçalo</t>
  </si>
  <si>
    <t>Standard Fit 26 Light - 2QSV + 2QV - Rio de Janeiro</t>
  </si>
  <si>
    <t>Standard Fit 20 - 2QV - Duque de Caxias</t>
  </si>
  <si>
    <t>Standard Fit 23 - 2QSV + 2QV - São Gonçalo</t>
  </si>
  <si>
    <t>Standard Fit 21 - 2QV - Rio de Janeiro</t>
  </si>
  <si>
    <t>Standard Fit 23 - 2QSV + 2QV - Duque de Caxias</t>
  </si>
  <si>
    <t>Standard Fit 22 - 2QSV + 2QV - Nova Iguaçu</t>
  </si>
  <si>
    <t>Standard Fit 27 Light - 2QSV + 2QV - Nova Iguaçu</t>
  </si>
  <si>
    <t>Standard Fit 26 Light - 2QSV + 2QV - Nova Iguaçu</t>
  </si>
  <si>
    <t>Standard Fit 20 - 2QV - Rio de Janeiro</t>
  </si>
  <si>
    <t>Standard Fit 27 Light - 2QSV + 2QV - São Gonçalo</t>
  </si>
  <si>
    <t>Standard Fit 26 Light - 2QSV + 2QV - São Gonçalo</t>
  </si>
  <si>
    <t>Standard Fit 23 - 2QSV + 2QV - Rio de Janeiro</t>
  </si>
  <si>
    <t>Standard Fit 27 Light - 2QSV + 2QV - Duque de Caxias</t>
  </si>
  <si>
    <t>Standard Fit 26 Light - 2QSV + 2QV - Duque de Caxias</t>
  </si>
  <si>
    <t>Standard TS05 - 2Q + 2QV</t>
  </si>
  <si>
    <t>Standard Fit 22 - 2QSV + 2QV - São Gonçalo</t>
  </si>
  <si>
    <t>Standard Fit 22 - 2QSV + 2QV - Rio de Janeiro</t>
  </si>
  <si>
    <t>Standard Fit 22 - 2QSV + 2QV - Duque de Caxias</t>
  </si>
  <si>
    <t>Standard Slim 14 - 2QSV + 2QV</t>
  </si>
  <si>
    <t>CONFIGURAÇÃO TIPOLOGIA</t>
  </si>
  <si>
    <t>SIMULADO ESSENCIAL</t>
  </si>
  <si>
    <t>SIMULADO ECO</t>
  </si>
  <si>
    <t>SIMULADO BIO</t>
  </si>
  <si>
    <t>FIT 20</t>
  </si>
  <si>
    <t>LAZER SELECIONADO</t>
  </si>
  <si>
    <t>PRODUTO 01</t>
  </si>
  <si>
    <t>PRODUTO 02</t>
  </si>
  <si>
    <t>PRODUTO 03</t>
  </si>
  <si>
    <t>VLC 01</t>
  </si>
  <si>
    <t>VLC 02</t>
  </si>
  <si>
    <t>VLC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</si>
</sst>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%"/>
    <numFmt numFmtId="166" formatCode="#,##0.0_ ;\-#,##0.0\ "/>
    <numFmt numFmtId="167" formatCode="_-* #,##0.0_-;\-* #,##0.0_-;_-* &quot;-&quot;?_-;_-@_-"/>
    <numFmt numFmtId="168" formatCode="_-* #,##0.000_-;\-* #,##0.000_-;_-* &quot;-&quot;??_-;_-@_-"/>
    <numFmt numFmtId="169" formatCode="_-* #,##0.0_-;\-* #,##0.0_-;_-* &quot;-&quot;??_-;_-@_-"/>
  </numFmts>
  <fonts count="4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FFC000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1"/>
      <color rgb="FF00B050"/>
      <name val="Aptos Narrow"/>
      <family val="2"/>
      <scheme val="minor"/>
    </font>
    <font>
      <sz val="11"/>
      <color rgb="FF00B050"/>
      <name val="Calibri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rgb="FF0070C0"/>
      <name val="Aptos Narrow"/>
      <family val="2"/>
      <scheme val="minor"/>
    </font>
    <font>
      <sz val="9"/>
      <color rgb="FF00B0F0"/>
      <name val="Aptos Narrow"/>
      <family val="2"/>
      <scheme val="minor"/>
    </font>
    <font>
      <b/>
      <sz val="9"/>
      <color rgb="FF00B0F0"/>
      <name val="Aptos Narrow"/>
      <family val="2"/>
      <scheme val="minor"/>
    </font>
    <font>
      <sz val="9"/>
      <color theme="5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18"/>
      <name val="Arial"/>
      <family val="2"/>
    </font>
    <font>
      <b/>
      <sz val="16"/>
      <color rgb="FF000000"/>
      <name val="Aptos"/>
      <family val="2"/>
    </font>
    <font>
      <b/>
      <sz val="16"/>
      <color rgb="FF000000"/>
      <name val="Aptos Narrow"/>
      <family val="2"/>
    </font>
    <font>
      <sz val="11"/>
      <color rgb="FF000000"/>
      <name val="Aptos"/>
      <family val="2"/>
    </font>
    <font>
      <sz val="11"/>
      <color rgb="FF000000"/>
      <name val="Aptos Narrow"/>
      <family val="2"/>
    </font>
    <font>
      <b/>
      <sz val="11"/>
      <color rgb="FF000000"/>
      <name val="Aptos"/>
      <family val="2"/>
    </font>
    <font>
      <b/>
      <sz val="9"/>
      <color rgb="FF000000"/>
      <name val="Aptos"/>
      <family val="2"/>
    </font>
    <font>
      <sz val="10"/>
      <color rgb="FF000000"/>
      <name val="Aptos"/>
      <family val="2"/>
    </font>
    <font>
      <sz val="11"/>
      <color theme="4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EBAB"/>
      <name val="Aptos Narrow"/>
      <family val="2"/>
      <scheme val="minor"/>
    </font>
    <font>
      <sz val="11"/>
      <color rgb="FFFF8B22"/>
      <name val="Aptos Narrow"/>
      <family val="2"/>
      <scheme val="minor"/>
    </font>
    <font>
      <b/>
      <sz val="10"/>
      <color theme="0" tint="-0.34998626667073579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8B22"/>
        <bgColor indexed="64"/>
      </patternFill>
    </fill>
    <fill>
      <patternFill patternType="solid">
        <fgColor rgb="FF006B3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00A462"/>
        <bgColor indexed="64"/>
      </patternFill>
    </fill>
    <fill>
      <patternFill patternType="solid">
        <fgColor rgb="FF00FA9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8894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D86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rgb="FFD86ECC"/>
        <bgColor indexed="64"/>
      </patternFill>
    </fill>
    <fill>
      <patternFill patternType="solid">
        <fgColor rgb="FFAC41D8"/>
        <bgColor indexed="64"/>
      </patternFill>
    </fill>
    <fill>
      <patternFill patternType="solid">
        <fgColor rgb="FF7030A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theme="0" tint="-0.499984740745262"/>
      </bottom>
      <diagonal/>
    </border>
    <border>
      <left/>
      <right style="thin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2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2" fillId="2" borderId="0" xfId="1" applyFont="1" applyFill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6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44" fontId="1" fillId="0" borderId="0" xfId="1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4" fontId="1" fillId="4" borderId="0" xfId="1" applyFon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1" fillId="4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14" fillId="5" borderId="0" xfId="0" applyFont="1" applyFill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44" fontId="15" fillId="0" borderId="0" xfId="1" applyFont="1" applyAlignment="1">
      <alignment horizontal="center"/>
    </xf>
    <xf numFmtId="0" fontId="16" fillId="0" borderId="0" xfId="0" applyFont="1"/>
    <xf numFmtId="0" fontId="7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9" fontId="2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6" fillId="0" borderId="9" xfId="0" applyFont="1" applyBorder="1"/>
    <xf numFmtId="0" fontId="16" fillId="0" borderId="12" xfId="0" applyFont="1" applyBorder="1"/>
    <xf numFmtId="0" fontId="16" fillId="0" borderId="13" xfId="0" applyFont="1" applyBorder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0" borderId="20" xfId="0" applyFont="1" applyBorder="1"/>
    <xf numFmtId="0" fontId="7" fillId="0" borderId="0" xfId="0" applyFont="1" applyAlignment="1">
      <alignment horizontal="center"/>
    </xf>
    <xf numFmtId="0" fontId="7" fillId="0" borderId="12" xfId="0" applyFont="1" applyBorder="1"/>
    <xf numFmtId="0" fontId="16" fillId="0" borderId="12" xfId="0" applyFont="1" applyBorder="1" applyAlignment="1">
      <alignment horizontal="center"/>
    </xf>
    <xf numFmtId="0" fontId="7" fillId="0" borderId="12" xfId="0" applyFont="1" applyBorder="1" applyAlignment="1">
      <alignment vertical="center"/>
    </xf>
    <xf numFmtId="0" fontId="7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center" vertical="top"/>
    </xf>
    <xf numFmtId="0" fontId="16" fillId="0" borderId="17" xfId="0" applyFont="1" applyBorder="1"/>
    <xf numFmtId="0" fontId="16" fillId="0" borderId="18" xfId="0" applyFont="1" applyBorder="1"/>
    <xf numFmtId="0" fontId="16" fillId="0" borderId="10" xfId="0" applyFont="1" applyBorder="1"/>
    <xf numFmtId="0" fontId="16" fillId="0" borderId="0" xfId="0" applyFont="1" applyAlignment="1">
      <alignment horizontal="center" vertical="center"/>
    </xf>
    <xf numFmtId="44" fontId="16" fillId="0" borderId="0" xfId="1" applyFont="1" applyBorder="1" applyAlignment="1">
      <alignment horizontal="center" vertical="center"/>
    </xf>
    <xf numFmtId="44" fontId="16" fillId="0" borderId="0" xfId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 vertical="center"/>
    </xf>
    <xf numFmtId="9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15" xfId="0" applyFont="1" applyBorder="1" applyAlignment="1">
      <alignment vertical="center" textRotation="90"/>
    </xf>
    <xf numFmtId="0" fontId="7" fillId="0" borderId="0" xfId="0" applyFont="1" applyAlignment="1">
      <alignment vertical="center" textRotation="90" wrapText="1"/>
    </xf>
    <xf numFmtId="0" fontId="7" fillId="0" borderId="16" xfId="0" applyFont="1" applyBorder="1" applyAlignment="1">
      <alignment vertical="center" textRotation="90" wrapText="1"/>
    </xf>
    <xf numFmtId="0" fontId="16" fillId="0" borderId="21" xfId="0" applyFont="1" applyBorder="1"/>
    <xf numFmtId="0" fontId="7" fillId="0" borderId="21" xfId="0" applyFont="1" applyBorder="1" applyAlignment="1">
      <alignment horizontal="center" wrapText="1"/>
    </xf>
    <xf numFmtId="0" fontId="7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horizontal="center"/>
    </xf>
    <xf numFmtId="0" fontId="7" fillId="0" borderId="21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7" fillId="0" borderId="21" xfId="0" applyFont="1" applyBorder="1"/>
    <xf numFmtId="0" fontId="7" fillId="0" borderId="21" xfId="0" applyFont="1" applyBorder="1" applyAlignment="1">
      <alignment horizontal="center" vertical="center" wrapText="1"/>
    </xf>
    <xf numFmtId="164" fontId="7" fillId="0" borderId="21" xfId="0" applyNumberFormat="1" applyFont="1" applyBorder="1" applyAlignment="1">
      <alignment horizontal="center"/>
    </xf>
    <xf numFmtId="0" fontId="16" fillId="0" borderId="23" xfId="0" applyFont="1" applyBorder="1"/>
    <xf numFmtId="0" fontId="16" fillId="0" borderId="24" xfId="0" applyFont="1" applyBorder="1"/>
    <xf numFmtId="0" fontId="16" fillId="0" borderId="21" xfId="0" applyFont="1" applyBorder="1" applyAlignment="1">
      <alignment vertical="center"/>
    </xf>
    <xf numFmtId="9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/>
    </xf>
    <xf numFmtId="9" fontId="6" fillId="0" borderId="0" xfId="2" applyFont="1"/>
    <xf numFmtId="44" fontId="0" fillId="0" borderId="0" xfId="1" applyFont="1"/>
    <xf numFmtId="44" fontId="6" fillId="0" borderId="0" xfId="1" applyFont="1"/>
    <xf numFmtId="1" fontId="7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7" fillId="5" borderId="0" xfId="0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44" fontId="16" fillId="0" borderId="0" xfId="1" applyFont="1"/>
    <xf numFmtId="3" fontId="16" fillId="0" borderId="0" xfId="0" applyNumberFormat="1" applyFont="1" applyAlignment="1">
      <alignment horizontal="center" vertical="center"/>
    </xf>
    <xf numFmtId="44" fontId="22" fillId="0" borderId="0" xfId="1" applyFont="1" applyAlignment="1">
      <alignment horizontal="center"/>
    </xf>
    <xf numFmtId="44" fontId="22" fillId="0" borderId="0" xfId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4" fontId="16" fillId="9" borderId="0" xfId="0" applyNumberFormat="1" applyFont="1" applyFill="1"/>
    <xf numFmtId="44" fontId="16" fillId="9" borderId="0" xfId="0" applyNumberFormat="1" applyFont="1" applyFill="1" applyAlignment="1">
      <alignment horizontal="center" vertical="center"/>
    </xf>
    <xf numFmtId="44" fontId="23" fillId="0" borderId="0" xfId="0" applyNumberFormat="1" applyFont="1"/>
    <xf numFmtId="44" fontId="19" fillId="0" borderId="0" xfId="1" applyFont="1" applyAlignment="1">
      <alignment horizontal="center" vertical="center"/>
    </xf>
    <xf numFmtId="44" fontId="19" fillId="0" borderId="0" xfId="1" applyFont="1"/>
    <xf numFmtId="0" fontId="19" fillId="0" borderId="0" xfId="0" applyFont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6" fillId="0" borderId="27" xfId="0" applyFont="1" applyBorder="1"/>
    <xf numFmtId="0" fontId="16" fillId="0" borderId="28" xfId="0" applyFont="1" applyBorder="1"/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wrapText="1"/>
    </xf>
    <xf numFmtId="44" fontId="7" fillId="0" borderId="28" xfId="0" applyNumberFormat="1" applyFont="1" applyBorder="1" applyAlignment="1">
      <alignment vertical="center"/>
    </xf>
    <xf numFmtId="0" fontId="16" fillId="0" borderId="27" xfId="0" applyFont="1" applyBorder="1" applyAlignment="1">
      <alignment wrapText="1"/>
    </xf>
    <xf numFmtId="44" fontId="16" fillId="0" borderId="28" xfId="0" applyNumberFormat="1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44" fontId="16" fillId="0" borderId="28" xfId="0" applyNumberFormat="1" applyFont="1" applyBorder="1"/>
    <xf numFmtId="0" fontId="16" fillId="0" borderId="29" xfId="0" applyFont="1" applyBorder="1"/>
    <xf numFmtId="0" fontId="16" fillId="0" borderId="30" xfId="0" applyFont="1" applyBorder="1"/>
    <xf numFmtId="0" fontId="7" fillId="0" borderId="27" xfId="0" applyFont="1" applyBorder="1"/>
    <xf numFmtId="0" fontId="16" fillId="0" borderId="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44" fontId="7" fillId="0" borderId="28" xfId="0" applyNumberFormat="1" applyFont="1" applyBorder="1"/>
    <xf numFmtId="0" fontId="16" fillId="0" borderId="29" xfId="0" applyFont="1" applyBorder="1" applyAlignment="1">
      <alignment horizontal="center" vertical="center"/>
    </xf>
    <xf numFmtId="44" fontId="16" fillId="0" borderId="30" xfId="0" applyNumberFormat="1" applyFont="1" applyBorder="1"/>
    <xf numFmtId="44" fontId="16" fillId="0" borderId="0" xfId="0" applyNumberFormat="1" applyFont="1"/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 readingOrder="1"/>
    </xf>
    <xf numFmtId="0" fontId="26" fillId="0" borderId="0" xfId="0" applyFont="1" applyAlignment="1">
      <alignment horizontal="center" vertical="center" wrapText="1" readingOrder="1"/>
    </xf>
    <xf numFmtId="0" fontId="27" fillId="0" borderId="0" xfId="0" applyFont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 readingOrder="1"/>
    </xf>
    <xf numFmtId="0" fontId="30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  <xf numFmtId="8" fontId="31" fillId="0" borderId="0" xfId="0" applyNumberFormat="1" applyFont="1" applyAlignment="1">
      <alignment horizontal="center" vertical="center" wrapText="1" readingOrder="1"/>
    </xf>
    <xf numFmtId="165" fontId="0" fillId="0" borderId="0" xfId="2" applyNumberFormat="1" applyFont="1" applyAlignment="1">
      <alignment horizontal="center" vertical="center"/>
    </xf>
    <xf numFmtId="44" fontId="33" fillId="5" borderId="1" xfId="1" applyFont="1" applyFill="1" applyBorder="1" applyAlignment="1">
      <alignment vertical="center"/>
    </xf>
    <xf numFmtId="44" fontId="33" fillId="5" borderId="1" xfId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33" fillId="5" borderId="0" xfId="0" applyFont="1" applyFill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5" fillId="7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/>
    </xf>
    <xf numFmtId="49" fontId="0" fillId="7" borderId="0" xfId="0" applyNumberFormat="1" applyFill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3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0" fillId="14" borderId="0" xfId="0" applyFill="1"/>
    <xf numFmtId="0" fontId="33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35" xfId="0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44" fontId="35" fillId="0" borderId="0" xfId="1" applyFont="1" applyAlignment="1">
      <alignment horizontal="center" vertical="center"/>
    </xf>
    <xf numFmtId="44" fontId="35" fillId="0" borderId="0" xfId="1" applyFont="1" applyAlignment="1">
      <alignment horizontal="center"/>
    </xf>
    <xf numFmtId="44" fontId="35" fillId="0" borderId="0" xfId="1" applyFont="1" applyFill="1" applyAlignment="1">
      <alignment horizontal="center"/>
    </xf>
    <xf numFmtId="167" fontId="0" fillId="16" borderId="35" xfId="3" applyNumberFormat="1" applyFont="1" applyFill="1" applyBorder="1" applyAlignment="1">
      <alignment horizontal="center"/>
    </xf>
    <xf numFmtId="167" fontId="0" fillId="0" borderId="0" xfId="3" applyNumberFormat="1" applyFont="1" applyFill="1" applyAlignment="1">
      <alignment horizontal="center"/>
    </xf>
    <xf numFmtId="166" fontId="0" fillId="16" borderId="35" xfId="3" applyNumberFormat="1" applyFont="1" applyFill="1" applyBorder="1" applyAlignment="1">
      <alignment horizontal="right"/>
    </xf>
    <xf numFmtId="0" fontId="2" fillId="0" borderId="0" xfId="0" applyFont="1" applyAlignment="1">
      <alignment vertical="top"/>
    </xf>
    <xf numFmtId="0" fontId="7" fillId="0" borderId="0" xfId="0" applyFont="1" applyAlignment="1">
      <alignment horizontal="left"/>
    </xf>
    <xf numFmtId="44" fontId="37" fillId="0" borderId="0" xfId="1" applyFont="1" applyAlignment="1">
      <alignment horizontal="center"/>
    </xf>
    <xf numFmtId="0" fontId="37" fillId="0" borderId="0" xfId="0" applyFont="1" applyAlignment="1">
      <alignment vertical="top"/>
    </xf>
    <xf numFmtId="44" fontId="38" fillId="0" borderId="0" xfId="1" applyFont="1" applyAlignment="1">
      <alignment horizontal="center"/>
    </xf>
    <xf numFmtId="43" fontId="38" fillId="0" borderId="0" xfId="3" applyFont="1" applyAlignment="1">
      <alignment horizontal="center"/>
    </xf>
    <xf numFmtId="0" fontId="38" fillId="0" borderId="0" xfId="0" applyFont="1"/>
    <xf numFmtId="43" fontId="0" fillId="0" borderId="0" xfId="0" applyNumberFormat="1"/>
    <xf numFmtId="44" fontId="35" fillId="0" borderId="0" xfId="0" applyNumberFormat="1" applyFont="1" applyAlignment="1">
      <alignment horizontal="center"/>
    </xf>
    <xf numFmtId="0" fontId="35" fillId="1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44" fontId="35" fillId="0" borderId="0" xfId="0" applyNumberFormat="1" applyFont="1"/>
    <xf numFmtId="44" fontId="35" fillId="0" borderId="0" xfId="1" applyFont="1"/>
    <xf numFmtId="164" fontId="35" fillId="0" borderId="0" xfId="0" applyNumberFormat="1" applyFont="1" applyAlignment="1">
      <alignment horizontal="center" vertical="center"/>
    </xf>
    <xf numFmtId="0" fontId="35" fillId="0" borderId="0" xfId="0" applyFont="1"/>
    <xf numFmtId="0" fontId="0" fillId="18" borderId="0" xfId="0" applyFill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9" fillId="0" borderId="0" xfId="0" applyFont="1" applyAlignment="1">
      <alignment horizontal="right"/>
    </xf>
    <xf numFmtId="0" fontId="0" fillId="15" borderId="0" xfId="0" applyFill="1"/>
    <xf numFmtId="0" fontId="0" fillId="22" borderId="0" xfId="0" applyFill="1" applyAlignment="1">
      <alignment horizontal="center"/>
    </xf>
    <xf numFmtId="0" fontId="33" fillId="22" borderId="0" xfId="0" applyFont="1" applyFill="1" applyAlignment="1">
      <alignment horizontal="center"/>
    </xf>
    <xf numFmtId="0" fontId="33" fillId="21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0" fillId="23" borderId="0" xfId="0" applyFill="1" applyAlignment="1">
      <alignment horizontal="center"/>
    </xf>
    <xf numFmtId="164" fontId="41" fillId="0" borderId="0" xfId="0" applyNumberFormat="1" applyFont="1" applyAlignment="1">
      <alignment horizontal="center" vertical="center"/>
    </xf>
    <xf numFmtId="0" fontId="33" fillId="2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4" borderId="0" xfId="0" applyFill="1"/>
    <xf numFmtId="44" fontId="35" fillId="15" borderId="0" xfId="1" applyFont="1" applyFill="1" applyAlignment="1">
      <alignment horizontal="center"/>
    </xf>
    <xf numFmtId="0" fontId="42" fillId="0" borderId="0" xfId="0" applyFont="1"/>
    <xf numFmtId="0" fontId="43" fillId="0" borderId="0" xfId="0" applyFont="1" applyAlignment="1">
      <alignment horizontal="center" vertical="center"/>
    </xf>
    <xf numFmtId="0" fontId="0" fillId="25" borderId="0" xfId="0" applyFill="1" applyAlignment="1">
      <alignment horizontal="center"/>
    </xf>
    <xf numFmtId="0" fontId="40" fillId="17" borderId="0" xfId="0" applyFont="1" applyFill="1"/>
    <xf numFmtId="44" fontId="40" fillId="17" borderId="0" xfId="1" applyFont="1" applyFill="1" applyAlignment="1">
      <alignment horizontal="center"/>
    </xf>
    <xf numFmtId="0" fontId="0" fillId="26" borderId="0" xfId="0" applyFill="1"/>
    <xf numFmtId="0" fontId="2" fillId="0" borderId="35" xfId="0" applyFont="1" applyBorder="1"/>
    <xf numFmtId="0" fontId="0" fillId="0" borderId="35" xfId="0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7" borderId="0" xfId="0" applyFont="1" applyFill="1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44" fontId="0" fillId="7" borderId="0" xfId="1" applyFont="1" applyFill="1" applyAlignment="1">
      <alignment horizontal="center" vertical="center"/>
    </xf>
    <xf numFmtId="0" fontId="0" fillId="7" borderId="0" xfId="0" applyFill="1"/>
    <xf numFmtId="0" fontId="0" fillId="0" borderId="40" xfId="0" applyBorder="1" applyAlignment="1">
      <alignment horizontal="center"/>
    </xf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4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16" borderId="46" xfId="0" applyFill="1" applyBorder="1" applyAlignment="1">
      <alignment horizontal="center"/>
    </xf>
    <xf numFmtId="0" fontId="0" fillId="0" borderId="45" xfId="0" applyBorder="1"/>
    <xf numFmtId="0" fontId="33" fillId="23" borderId="0" xfId="0" applyFont="1" applyFill="1" applyAlignment="1">
      <alignment horizontal="center"/>
    </xf>
    <xf numFmtId="0" fontId="36" fillId="0" borderId="45" xfId="0" applyFont="1" applyBorder="1"/>
    <xf numFmtId="164" fontId="40" fillId="0" borderId="45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3" fillId="15" borderId="0" xfId="0" applyFont="1" applyFill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1" fontId="42" fillId="0" borderId="0" xfId="0" applyNumberFormat="1" applyFont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0" fillId="26" borderId="35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8" borderId="0" xfId="0" applyFill="1"/>
    <xf numFmtId="2" fontId="0" fillId="0" borderId="0" xfId="0" applyNumberFormat="1" applyAlignment="1">
      <alignment horizontal="center" vertical="center"/>
    </xf>
    <xf numFmtId="2" fontId="0" fillId="0" borderId="45" xfId="0" applyNumberFormat="1" applyBorder="1" applyAlignment="1">
      <alignment horizontal="center"/>
    </xf>
    <xf numFmtId="164" fontId="35" fillId="0" borderId="0" xfId="1" applyNumberFormat="1" applyFont="1" applyAlignment="1">
      <alignment horizontal="center"/>
    </xf>
    <xf numFmtId="0" fontId="0" fillId="27" borderId="0" xfId="0" applyFill="1" applyAlignment="1">
      <alignment horizontal="center" vertical="center"/>
    </xf>
    <xf numFmtId="0" fontId="2" fillId="27" borderId="0" xfId="0" applyFont="1" applyFill="1"/>
    <xf numFmtId="0" fontId="35" fillId="0" borderId="0" xfId="3" applyNumberFormat="1" applyFont="1" applyAlignment="1">
      <alignment horizontal="center"/>
    </xf>
    <xf numFmtId="164" fontId="35" fillId="0" borderId="0" xfId="3" applyNumberFormat="1" applyFont="1" applyAlignment="1">
      <alignment horizontal="center"/>
    </xf>
    <xf numFmtId="0" fontId="0" fillId="0" borderId="0" xfId="1" applyNumberFormat="1" applyFont="1"/>
    <xf numFmtId="44" fontId="35" fillId="0" borderId="1" xfId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0" fontId="35" fillId="0" borderId="1" xfId="1" applyNumberFormat="1" applyFont="1" applyBorder="1" applyAlignment="1">
      <alignment horizontal="center" vertical="center"/>
    </xf>
    <xf numFmtId="167" fontId="35" fillId="0" borderId="1" xfId="1" applyNumberFormat="1" applyFont="1" applyBorder="1" applyAlignment="1">
      <alignment horizontal="center" vertical="center"/>
    </xf>
    <xf numFmtId="164" fontId="38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8" fontId="0" fillId="0" borderId="1" xfId="3" applyNumberFormat="1" applyFont="1" applyBorder="1"/>
    <xf numFmtId="168" fontId="0" fillId="0" borderId="0" xfId="3" applyNumberFormat="1" applyFont="1"/>
    <xf numFmtId="169" fontId="38" fillId="0" borderId="1" xfId="0" applyNumberFormat="1" applyFont="1" applyBorder="1" applyAlignment="1">
      <alignment horizontal="center" vertical="center"/>
    </xf>
    <xf numFmtId="169" fontId="38" fillId="0" borderId="1" xfId="3" applyNumberFormat="1" applyFont="1" applyBorder="1" applyAlignment="1">
      <alignment horizontal="center" vertical="center"/>
    </xf>
    <xf numFmtId="169" fontId="0" fillId="0" borderId="1" xfId="3" applyNumberFormat="1" applyFont="1" applyBorder="1" applyAlignment="1">
      <alignment horizontal="center"/>
    </xf>
    <xf numFmtId="169" fontId="0" fillId="0" borderId="0" xfId="0" applyNumberFormat="1"/>
    <xf numFmtId="169" fontId="0" fillId="0" borderId="0" xfId="3" applyNumberFormat="1" applyFont="1"/>
    <xf numFmtId="169" fontId="38" fillId="0" borderId="7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67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16" borderId="35" xfId="3" applyNumberFormat="1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44" fontId="14" fillId="22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35" fillId="0" borderId="1" xfId="1" applyNumberFormat="1" applyFont="1" applyBorder="1" applyAlignment="1">
      <alignment horizontal="center" vertical="center"/>
    </xf>
    <xf numFmtId="167" fontId="35" fillId="0" borderId="0" xfId="1" applyNumberFormat="1" applyFont="1" applyBorder="1" applyAlignment="1">
      <alignment horizontal="center" vertical="center"/>
    </xf>
    <xf numFmtId="2" fontId="35" fillId="0" borderId="0" xfId="1" applyNumberFormat="1" applyFont="1" applyBorder="1" applyAlignment="1">
      <alignment vertical="center"/>
    </xf>
    <xf numFmtId="44" fontId="35" fillId="0" borderId="0" xfId="1" applyFont="1" applyBorder="1" applyAlignment="1">
      <alignment vertical="center"/>
    </xf>
    <xf numFmtId="44" fontId="35" fillId="0" borderId="0" xfId="1" applyFont="1" applyBorder="1" applyAlignment="1">
      <alignment horizontal="center" vertical="center"/>
    </xf>
    <xf numFmtId="0" fontId="44" fillId="0" borderId="0" xfId="0" applyFont="1"/>
    <xf numFmtId="164" fontId="41" fillId="8" borderId="0" xfId="0" applyNumberFormat="1" applyFont="1" applyFill="1" applyAlignment="1">
      <alignment horizontal="center" vertical="center"/>
    </xf>
    <xf numFmtId="164" fontId="42" fillId="8" borderId="0" xfId="0" applyNumberFormat="1" applyFon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8" fillId="5" borderId="27" xfId="0" applyFont="1" applyFill="1" applyBorder="1" applyAlignment="1">
      <alignment horizontal="center"/>
    </xf>
    <xf numFmtId="0" fontId="18" fillId="5" borderId="28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textRotation="90" wrapText="1"/>
    </xf>
    <xf numFmtId="0" fontId="16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 textRotation="90" wrapText="1"/>
    </xf>
    <xf numFmtId="44" fontId="16" fillId="0" borderId="0" xfId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7" fillId="0" borderId="0" xfId="0" applyFont="1" applyAlignment="1">
      <alignment horizontal="center" wrapText="1"/>
    </xf>
    <xf numFmtId="0" fontId="16" fillId="6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4" xfId="0" applyFont="1" applyBorder="1" applyAlignment="1">
      <alignment horizontal="center" vertical="center" textRotation="90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5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14" borderId="0" xfId="0" applyFont="1" applyFill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14" fillId="1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15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39" xfId="0" applyBorder="1" applyAlignment="1">
      <alignment horizontal="left"/>
    </xf>
    <xf numFmtId="0" fontId="35" fillId="0" borderId="0" xfId="0" applyFont="1" applyAlignment="1">
      <alignment horizontal="center" vertical="center"/>
    </xf>
    <xf numFmtId="44" fontId="35" fillId="0" borderId="0" xfId="0" applyNumberFormat="1" applyFont="1" applyAlignment="1">
      <alignment horizontal="center"/>
    </xf>
    <xf numFmtId="0" fontId="0" fillId="20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4" fontId="35" fillId="0" borderId="1" xfId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3" fillId="1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9" fontId="38" fillId="0" borderId="7" xfId="0" applyNumberFormat="1" applyFont="1" applyBorder="1" applyAlignment="1">
      <alignment horizontal="center" vertical="center"/>
    </xf>
    <xf numFmtId="169" fontId="38" fillId="0" borderId="4" xfId="0" applyNumberFormat="1" applyFont="1" applyBorder="1" applyAlignment="1">
      <alignment horizontal="center" vertical="center"/>
    </xf>
    <xf numFmtId="169" fontId="38" fillId="0" borderId="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8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33" fillId="33" borderId="0" xfId="0" applyFont="1" applyFill="1" applyAlignment="1">
      <alignment horizontal="center"/>
    </xf>
    <xf numFmtId="0" fontId="33" fillId="31" borderId="0" xfId="0" applyFont="1" applyFill="1" applyAlignment="1">
      <alignment horizontal="center"/>
    </xf>
    <xf numFmtId="0" fontId="33" fillId="32" borderId="0" xfId="0" applyFont="1" applyFill="1" applyAlignment="1">
      <alignment horizontal="center"/>
    </xf>
    <xf numFmtId="0" fontId="33" fillId="29" borderId="0" xfId="0" applyFont="1" applyFill="1" applyAlignment="1">
      <alignment horizontal="center"/>
    </xf>
    <xf numFmtId="0" fontId="33" fillId="22" borderId="0" xfId="0" applyFont="1" applyFill="1" applyAlignment="1">
      <alignment horizontal="center"/>
    </xf>
    <xf numFmtId="0" fontId="33" fillId="15" borderId="0" xfId="0" applyFont="1" applyFill="1" applyAlignment="1">
      <alignment horizontal="center"/>
    </xf>
    <xf numFmtId="0" fontId="33" fillId="14" borderId="0" xfId="0" applyFont="1" applyFill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7030A0"/>
      <color rgb="FFAC41D8"/>
      <color rgb="FFD86ECC"/>
      <color rgb="FF00863D"/>
      <color rgb="FF00B050"/>
      <color rgb="FFA4D86E"/>
      <color rgb="FF00FA95"/>
      <color rgb="FFE8894E"/>
      <color rgb="FFC85C1A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627459</xdr:colOff>
      <xdr:row>14</xdr:row>
      <xdr:rowOff>22270</xdr:rowOff>
    </xdr:from>
    <xdr:to>
      <xdr:col>12</xdr:col>
      <xdr:colOff>35719</xdr:colOff>
      <xdr:row>14</xdr:row>
      <xdr:rowOff>172765</xdr:rowOff>
    </xdr:to>
    <xdr:sp macro="" textlink="">
      <xdr:nvSpPr>
        <xdr:cNvPr id="211" name="Retângulo 463">
          <a:extLst>
            <a:ext uri="{FF2B5EF4-FFF2-40B4-BE49-F238E27FC236}">
              <a16:creationId xmlns:a16="http://schemas.microsoft.com/office/drawing/2014/main" id="{ECFC1C6C-4801-4FF6-934A-743DB6F82998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3056334" y="2755945"/>
          <a:ext cx="4666060" cy="150495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50000">
              <a:srgbClr val="FFB81A">
                <a:lumMod val="99000"/>
              </a:srgbClr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239486</xdr:colOff>
      <xdr:row>140</xdr:row>
      <xdr:rowOff>141547</xdr:rowOff>
    </xdr:from>
    <xdr:to>
      <xdr:col>13</xdr:col>
      <xdr:colOff>0</xdr:colOff>
      <xdr:row>141</xdr:row>
      <xdr:rowOff>28303</xdr:rowOff>
    </xdr:to>
    <xdr:sp macro="" textlink="">
      <xdr:nvSpPr>
        <xdr:cNvPr id="2" name="Retângulo 463">
          <a:extLst>
            <a:ext uri="{FF2B5EF4-FFF2-40B4-BE49-F238E27FC236}">
              <a16:creationId xmlns:a16="http://schemas.microsoft.com/office/drawing/2014/main" id="{149426BE-7951-4845-B7B8-76B3BA0C385C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014946" y="21416587"/>
          <a:ext cx="6263639" cy="77256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70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12</xdr:col>
      <xdr:colOff>106680</xdr:colOff>
      <xdr:row>2</xdr:row>
      <xdr:rowOff>15240</xdr:rowOff>
    </xdr:from>
    <xdr:to>
      <xdr:col>12</xdr:col>
      <xdr:colOff>514350</xdr:colOff>
      <xdr:row>4</xdr:row>
      <xdr:rowOff>19050</xdr:rowOff>
    </xdr:to>
    <xdr:pic>
      <xdr:nvPicPr>
        <xdr:cNvPr id="4" name="Gráfico 1" descr="Selo seguir com preenchimento sólido">
          <a:extLst>
            <a:ext uri="{FF2B5EF4-FFF2-40B4-BE49-F238E27FC236}">
              <a16:creationId xmlns:a16="http://schemas.microsoft.com/office/drawing/2014/main" id="{63757701-2F73-4B40-978F-F8FD41D18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83780" y="579120"/>
          <a:ext cx="403860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2</xdr:row>
      <xdr:rowOff>15240</xdr:rowOff>
    </xdr:from>
    <xdr:to>
      <xdr:col>4</xdr:col>
      <xdr:colOff>552450</xdr:colOff>
      <xdr:row>4</xdr:row>
      <xdr:rowOff>57150</xdr:rowOff>
    </xdr:to>
    <xdr:pic>
      <xdr:nvPicPr>
        <xdr:cNvPr id="5" name="Gráfico 2" descr="Selo deixar de seguir com preenchimento sólido">
          <a:extLst>
            <a:ext uri="{FF2B5EF4-FFF2-40B4-BE49-F238E27FC236}">
              <a16:creationId xmlns:a16="http://schemas.microsoft.com/office/drawing/2014/main" id="{87A85390-47CC-44B7-9FD5-53103B93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76500" y="579120"/>
          <a:ext cx="461010" cy="438150"/>
        </a:xfrm>
        <a:prstGeom prst="rect">
          <a:avLst/>
        </a:prstGeom>
      </xdr:spPr>
    </xdr:pic>
    <xdr:clientData/>
  </xdr:twoCellAnchor>
  <xdr:twoCellAnchor>
    <xdr:from>
      <xdr:col>3</xdr:col>
      <xdr:colOff>458391</xdr:colOff>
      <xdr:row>46</xdr:row>
      <xdr:rowOff>248089</xdr:rowOff>
    </xdr:from>
    <xdr:to>
      <xdr:col>7</xdr:col>
      <xdr:colOff>458391</xdr:colOff>
      <xdr:row>51</xdr:row>
      <xdr:rowOff>130969</xdr:rowOff>
    </xdr:to>
    <xdr:sp macro="" textlink="">
      <xdr:nvSpPr>
        <xdr:cNvPr id="15" name="Retângulo: Cantos Arredondados 20">
          <a:extLst>
            <a:ext uri="{FF2B5EF4-FFF2-40B4-BE49-F238E27FC236}">
              <a16:creationId xmlns:a16="http://schemas.microsoft.com/office/drawing/2014/main" id="{E603D3C3-CE95-4597-99F0-F65A09D9254F}"/>
            </a:ext>
          </a:extLst>
        </xdr:cNvPr>
        <xdr:cNvSpPr/>
      </xdr:nvSpPr>
      <xdr:spPr>
        <a:xfrm>
          <a:off x="2232422" y="9106339"/>
          <a:ext cx="2619375" cy="847286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COMBO</a:t>
          </a:r>
          <a:r>
            <a:rPr lang="pt-BR" sz="900" baseline="0"/>
            <a:t> 01 </a:t>
          </a:r>
        </a:p>
        <a:p>
          <a:pPr algn="l"/>
          <a:r>
            <a:rPr lang="pt-BR" sz="900" baseline="0"/>
            <a:t>PIA: BANCADA E CUBA EM INOX + TORNEIRA ABS</a:t>
          </a:r>
        </a:p>
        <a:p>
          <a:pPr algn="l"/>
          <a:r>
            <a:rPr lang="pt-BR" sz="900" baseline="0"/>
            <a:t>TANQUE:  LOUÇA + TORNAIRA ABS</a:t>
          </a:r>
        </a:p>
        <a:p>
          <a:pPr algn="l"/>
          <a:r>
            <a:rPr lang="pt-BR" sz="900" baseline="0"/>
            <a:t>LAVATÓRIO:  LOUÇA + TORNEIRA ABS</a:t>
          </a:r>
        </a:p>
      </xdr:txBody>
    </xdr:sp>
    <xdr:clientData/>
  </xdr:twoCellAnchor>
  <xdr:twoCellAnchor>
    <xdr:from>
      <xdr:col>8</xdr:col>
      <xdr:colOff>170974</xdr:colOff>
      <xdr:row>46</xdr:row>
      <xdr:rowOff>192699</xdr:rowOff>
    </xdr:from>
    <xdr:to>
      <xdr:col>12</xdr:col>
      <xdr:colOff>174784</xdr:colOff>
      <xdr:row>51</xdr:row>
      <xdr:rowOff>92201</xdr:rowOff>
    </xdr:to>
    <xdr:sp macro="" textlink="">
      <xdr:nvSpPr>
        <xdr:cNvPr id="16" name="Retângulo: Cantos Arredondados 21">
          <a:extLst>
            <a:ext uri="{FF2B5EF4-FFF2-40B4-BE49-F238E27FC236}">
              <a16:creationId xmlns:a16="http://schemas.microsoft.com/office/drawing/2014/main" id="{9F4A9F19-871D-4FDA-A664-81B4D8291152}"/>
            </a:ext>
          </a:extLst>
        </xdr:cNvPr>
        <xdr:cNvSpPr/>
      </xdr:nvSpPr>
      <xdr:spPr>
        <a:xfrm>
          <a:off x="5219224" y="9050949"/>
          <a:ext cx="2623185" cy="863908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>
              <a:solidFill>
                <a:schemeClr val="bg1"/>
              </a:solidFill>
            </a:rPr>
            <a:t>COMBO 02</a:t>
          </a:r>
        </a:p>
        <a:p>
          <a:pPr algn="l"/>
          <a:r>
            <a:rPr lang="pt-BR" sz="900">
              <a:solidFill>
                <a:schemeClr val="bg1"/>
              </a:solidFill>
            </a:rPr>
            <a:t>PIA: BANCADA</a:t>
          </a:r>
          <a:r>
            <a:rPr lang="pt-BR" sz="900" baseline="0">
              <a:solidFill>
                <a:schemeClr val="bg1"/>
              </a:solidFill>
            </a:rPr>
            <a:t> EM GRANITO + CUBA DE INOX + TORNEIRA ABS</a:t>
          </a:r>
        </a:p>
        <a:p>
          <a:pPr algn="l"/>
          <a:r>
            <a:rPr lang="pt-BR" sz="900" baseline="0">
              <a:solidFill>
                <a:schemeClr val="bg1"/>
              </a:solidFill>
            </a:rPr>
            <a:t>TANQUE: BANCADA EM GRANITO + TANQUE EM INOX + TORNEIRA ABS</a:t>
          </a:r>
        </a:p>
        <a:p>
          <a:pPr algn="l"/>
          <a:r>
            <a:rPr lang="pt-BR" sz="900" baseline="0">
              <a:solidFill>
                <a:schemeClr val="bg1"/>
              </a:solidFill>
            </a:rPr>
            <a:t>LAVATÓRIO: BANCADA EM GRANITO + CUBA EM LOUÇA  + TORNAIRA ABS</a:t>
          </a:r>
          <a:endParaRPr lang="pt-BR" sz="9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576223</xdr:colOff>
      <xdr:row>66</xdr:row>
      <xdr:rowOff>36924</xdr:rowOff>
    </xdr:from>
    <xdr:to>
      <xdr:col>12</xdr:col>
      <xdr:colOff>85016</xdr:colOff>
      <xdr:row>66</xdr:row>
      <xdr:rowOff>166464</xdr:rowOff>
    </xdr:to>
    <xdr:sp macro="" textlink="">
      <xdr:nvSpPr>
        <xdr:cNvPr id="52" name="Retângulo 463">
          <a:extLst>
            <a:ext uri="{FF2B5EF4-FFF2-40B4-BE49-F238E27FC236}">
              <a16:creationId xmlns:a16="http://schemas.microsoft.com/office/drawing/2014/main" id="{C2240BF1-84DE-4E9B-92CA-7864F71E9508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961283" y="12922344"/>
          <a:ext cx="4400833" cy="129540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50000">
              <a:srgbClr val="FFB81A">
                <a:lumMod val="99000"/>
              </a:srgbClr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325120</xdr:colOff>
      <xdr:row>65</xdr:row>
      <xdr:rowOff>163785</xdr:rowOff>
    </xdr:from>
    <xdr:to>
      <xdr:col>8</xdr:col>
      <xdr:colOff>325120</xdr:colOff>
      <xdr:row>67</xdr:row>
      <xdr:rowOff>128225</xdr:rowOff>
    </xdr:to>
    <xdr:cxnSp macro="">
      <xdr:nvCxnSpPr>
        <xdr:cNvPr id="53" name="Conector reto 52">
          <a:extLst>
            <a:ext uri="{FF2B5EF4-FFF2-40B4-BE49-F238E27FC236}">
              <a16:creationId xmlns:a16="http://schemas.microsoft.com/office/drawing/2014/main" id="{EDE9F13C-73C2-44F8-AB73-4AACCFEC9D1E}"/>
            </a:ext>
          </a:extLst>
        </xdr:cNvPr>
        <xdr:cNvCxnSpPr/>
      </xdr:nvCxnSpPr>
      <xdr:spPr>
        <a:xfrm>
          <a:off x="5148580" y="12858705"/>
          <a:ext cx="0" cy="34544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579421</xdr:colOff>
      <xdr:row>65</xdr:row>
      <xdr:rowOff>76200</xdr:rowOff>
    </xdr:from>
    <xdr:to>
      <xdr:col>7</xdr:col>
      <xdr:colOff>419100</xdr:colOff>
      <xdr:row>65</xdr:row>
      <xdr:rowOff>97790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9B132FE1-0AF1-4C6C-BCEF-848D4609DC50}"/>
            </a:ext>
          </a:extLst>
        </xdr:cNvPr>
        <xdr:cNvCxnSpPr/>
      </xdr:nvCxnSpPr>
      <xdr:spPr>
        <a:xfrm flipV="1">
          <a:off x="3008296" y="12030075"/>
          <a:ext cx="2982929" cy="2159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507196</xdr:colOff>
      <xdr:row>65</xdr:row>
      <xdr:rowOff>101600</xdr:rowOff>
    </xdr:from>
    <xdr:to>
      <xdr:col>12</xdr:col>
      <xdr:colOff>44114</xdr:colOff>
      <xdr:row>65</xdr:row>
      <xdr:rowOff>101600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D42A7485-6B59-4B6B-9164-7CC42284EA84}"/>
            </a:ext>
          </a:extLst>
        </xdr:cNvPr>
        <xdr:cNvCxnSpPr/>
      </xdr:nvCxnSpPr>
      <xdr:spPr>
        <a:xfrm>
          <a:off x="5330656" y="12796520"/>
          <a:ext cx="1990558" cy="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325120</xdr:colOff>
      <xdr:row>132</xdr:row>
      <xdr:rowOff>0</xdr:rowOff>
    </xdr:from>
    <xdr:to>
      <xdr:col>8</xdr:col>
      <xdr:colOff>325120</xdr:colOff>
      <xdr:row>137</xdr:row>
      <xdr:rowOff>25179</xdr:rowOff>
    </xdr:to>
    <xdr:cxnSp macro="">
      <xdr:nvCxnSpPr>
        <xdr:cNvPr id="60" name="Conector reto 36">
          <a:extLst>
            <a:ext uri="{FF2B5EF4-FFF2-40B4-BE49-F238E27FC236}">
              <a16:creationId xmlns:a16="http://schemas.microsoft.com/office/drawing/2014/main" id="{7F31FD25-A474-470F-ACDB-9BF49588FFBE}"/>
            </a:ext>
          </a:extLst>
        </xdr:cNvPr>
        <xdr:cNvCxnSpPr/>
      </xdr:nvCxnSpPr>
      <xdr:spPr>
        <a:xfrm>
          <a:off x="5148580" y="19773900"/>
          <a:ext cx="0" cy="954819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262402</xdr:colOff>
      <xdr:row>134</xdr:row>
      <xdr:rowOff>177742</xdr:rowOff>
    </xdr:from>
    <xdr:to>
      <xdr:col>13</xdr:col>
      <xdr:colOff>21011</xdr:colOff>
      <xdr:row>135</xdr:row>
      <xdr:rowOff>74023</xdr:rowOff>
    </xdr:to>
    <xdr:sp macro="" textlink="">
      <xdr:nvSpPr>
        <xdr:cNvPr id="61" name="Retângulo 463">
          <a:extLst>
            <a:ext uri="{FF2B5EF4-FFF2-40B4-BE49-F238E27FC236}">
              <a16:creationId xmlns:a16="http://schemas.microsoft.com/office/drawing/2014/main" id="{96E9902F-E253-477A-B632-A4C09A6E841A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027328" y="23352907"/>
          <a:ext cx="6342065" cy="85381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86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325120</xdr:colOff>
      <xdr:row>146</xdr:row>
      <xdr:rowOff>0</xdr:rowOff>
    </xdr:from>
    <xdr:to>
      <xdr:col>8</xdr:col>
      <xdr:colOff>325120</xdr:colOff>
      <xdr:row>146</xdr:row>
      <xdr:rowOff>25179</xdr:rowOff>
    </xdr:to>
    <xdr:cxnSp macro="">
      <xdr:nvCxnSpPr>
        <xdr:cNvPr id="62" name="Conector reto 61">
          <a:extLst>
            <a:ext uri="{FF2B5EF4-FFF2-40B4-BE49-F238E27FC236}">
              <a16:creationId xmlns:a16="http://schemas.microsoft.com/office/drawing/2014/main" id="{AE720644-4A0A-4C67-AC1D-E1D33C1D8EBC}"/>
            </a:ext>
          </a:extLst>
        </xdr:cNvPr>
        <xdr:cNvCxnSpPr/>
      </xdr:nvCxnSpPr>
      <xdr:spPr>
        <a:xfrm>
          <a:off x="5148580" y="22402800"/>
          <a:ext cx="0" cy="25179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557101</xdr:colOff>
      <xdr:row>133</xdr:row>
      <xdr:rowOff>46447</xdr:rowOff>
    </xdr:from>
    <xdr:to>
      <xdr:col>4</xdr:col>
      <xdr:colOff>552087</xdr:colOff>
      <xdr:row>134</xdr:row>
      <xdr:rowOff>100148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194E5A8F-2A96-4880-A77C-A3C0EFD69117}"/>
            </a:ext>
          </a:extLst>
        </xdr:cNvPr>
        <xdr:cNvSpPr txBox="1"/>
      </xdr:nvSpPr>
      <xdr:spPr>
        <a:xfrm>
          <a:off x="2332561" y="20003227"/>
          <a:ext cx="604586" cy="236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2,9</a:t>
          </a:r>
        </a:p>
      </xdr:txBody>
    </xdr:sp>
    <xdr:clientData/>
  </xdr:twoCellAnchor>
  <xdr:twoCellAnchor>
    <xdr:from>
      <xdr:col>7</xdr:col>
      <xdr:colOff>41173</xdr:colOff>
      <xdr:row>137</xdr:row>
      <xdr:rowOff>144676</xdr:rowOff>
    </xdr:from>
    <xdr:to>
      <xdr:col>7</xdr:col>
      <xdr:colOff>41173</xdr:colOff>
      <xdr:row>139</xdr:row>
      <xdr:rowOff>120249</xdr:rowOff>
    </xdr:to>
    <xdr:cxnSp macro="">
      <xdr:nvCxnSpPr>
        <xdr:cNvPr id="64" name="Conector reto 324">
          <a:extLst>
            <a:ext uri="{FF2B5EF4-FFF2-40B4-BE49-F238E27FC236}">
              <a16:creationId xmlns:a16="http://schemas.microsoft.com/office/drawing/2014/main" id="{C277A7CD-1A6C-401D-81BB-5F070D4447DF}"/>
            </a:ext>
          </a:extLst>
        </xdr:cNvPr>
        <xdr:cNvCxnSpPr/>
      </xdr:nvCxnSpPr>
      <xdr:spPr>
        <a:xfrm>
          <a:off x="4255033" y="20848216"/>
          <a:ext cx="0" cy="356573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507597</xdr:colOff>
      <xdr:row>147</xdr:row>
      <xdr:rowOff>135385</xdr:rowOff>
    </xdr:from>
    <xdr:to>
      <xdr:col>8</xdr:col>
      <xdr:colOff>507597</xdr:colOff>
      <xdr:row>149</xdr:row>
      <xdr:rowOff>71823</xdr:rowOff>
    </xdr:to>
    <xdr:cxnSp macro="">
      <xdr:nvCxnSpPr>
        <xdr:cNvPr id="65" name="Conector reto 324">
          <a:extLst>
            <a:ext uri="{FF2B5EF4-FFF2-40B4-BE49-F238E27FC236}">
              <a16:creationId xmlns:a16="http://schemas.microsoft.com/office/drawing/2014/main" id="{6DA63DA8-BECA-4C17-9B80-CB85A1B72F6A}"/>
            </a:ext>
          </a:extLst>
        </xdr:cNvPr>
        <xdr:cNvCxnSpPr/>
      </xdr:nvCxnSpPr>
      <xdr:spPr>
        <a:xfrm>
          <a:off x="5331057" y="22721065"/>
          <a:ext cx="0" cy="302198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324115</xdr:colOff>
      <xdr:row>154</xdr:row>
      <xdr:rowOff>43400</xdr:rowOff>
    </xdr:from>
    <xdr:to>
      <xdr:col>10</xdr:col>
      <xdr:colOff>324115</xdr:colOff>
      <xdr:row>156</xdr:row>
      <xdr:rowOff>107085</xdr:rowOff>
    </xdr:to>
    <xdr:cxnSp macro="">
      <xdr:nvCxnSpPr>
        <xdr:cNvPr id="66" name="Conector reto 324">
          <a:extLst>
            <a:ext uri="{FF2B5EF4-FFF2-40B4-BE49-F238E27FC236}">
              <a16:creationId xmlns:a16="http://schemas.microsoft.com/office/drawing/2014/main" id="{B75EB297-A0D5-4BC4-B463-6E8F48D0013C}"/>
            </a:ext>
          </a:extLst>
        </xdr:cNvPr>
        <xdr:cNvCxnSpPr/>
      </xdr:nvCxnSpPr>
      <xdr:spPr>
        <a:xfrm>
          <a:off x="6382015" y="23909240"/>
          <a:ext cx="0" cy="429445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504850</xdr:colOff>
      <xdr:row>133</xdr:row>
      <xdr:rowOff>46447</xdr:rowOff>
    </xdr:from>
    <xdr:to>
      <xdr:col>5</xdr:col>
      <xdr:colOff>499836</xdr:colOff>
      <xdr:row>134</xdr:row>
      <xdr:rowOff>100148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2D26CF09-E1BD-453B-A6AE-F3AEE09C3AD1}"/>
            </a:ext>
          </a:extLst>
        </xdr:cNvPr>
        <xdr:cNvSpPr txBox="1"/>
      </xdr:nvSpPr>
      <xdr:spPr>
        <a:xfrm>
          <a:off x="2889910" y="20003227"/>
          <a:ext cx="604586" cy="236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5,6</a:t>
          </a:r>
        </a:p>
      </xdr:txBody>
    </xdr:sp>
    <xdr:clientData/>
  </xdr:twoCellAnchor>
  <xdr:twoCellAnchor>
    <xdr:from>
      <xdr:col>4</xdr:col>
      <xdr:colOff>47625</xdr:colOff>
      <xdr:row>131</xdr:row>
      <xdr:rowOff>28575</xdr:rowOff>
    </xdr:from>
    <xdr:to>
      <xdr:col>5</xdr:col>
      <xdr:colOff>428625</xdr:colOff>
      <xdr:row>134</xdr:row>
      <xdr:rowOff>66675</xdr:rowOff>
    </xdr:to>
    <xdr:sp macro="" textlink="">
      <xdr:nvSpPr>
        <xdr:cNvPr id="68" name="CaixaDeTexto 366">
          <a:extLst>
            <a:ext uri="{FF2B5EF4-FFF2-40B4-BE49-F238E27FC236}">
              <a16:creationId xmlns:a16="http://schemas.microsoft.com/office/drawing/2014/main" id="{092033CC-BB6E-4D90-9005-429C6939DC8D}"/>
            </a:ext>
            <a:ext uri="{147F2762-F138-4A5C-976F-8EAC2B608ADB}">
              <a16:predDERef xmlns:a16="http://schemas.microsoft.com/office/drawing/2014/main" pred="{A1080072-A3AC-16D9-DBDD-94F803C780F9}"/>
            </a:ext>
          </a:extLst>
        </xdr:cNvPr>
        <xdr:cNvSpPr txBox="1"/>
      </xdr:nvSpPr>
      <xdr:spPr>
        <a:xfrm>
          <a:off x="2432685" y="19619595"/>
          <a:ext cx="99060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700" b="1">
              <a:solidFill>
                <a:schemeClr val="bg1">
                  <a:lumMod val="65000"/>
                </a:schemeClr>
              </a:solidFill>
            </a:rPr>
            <a:t>INTERVALO DE PTS RECOMENDADOS</a:t>
          </a:r>
        </a:p>
      </xdr:txBody>
    </xdr:sp>
    <xdr:clientData/>
  </xdr:twoCellAnchor>
  <xdr:twoCellAnchor>
    <xdr:from>
      <xdr:col>4</xdr:col>
      <xdr:colOff>245865</xdr:colOff>
      <xdr:row>135</xdr:row>
      <xdr:rowOff>103231</xdr:rowOff>
    </xdr:from>
    <xdr:to>
      <xdr:col>5</xdr:col>
      <xdr:colOff>240852</xdr:colOff>
      <xdr:row>136</xdr:row>
      <xdr:rowOff>156754</xdr:rowOff>
    </xdr:to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54C06095-9075-4B95-8FFE-CE8F9009AD08}"/>
            </a:ext>
          </a:extLst>
        </xdr:cNvPr>
        <xdr:cNvSpPr txBox="1"/>
      </xdr:nvSpPr>
      <xdr:spPr>
        <a:xfrm>
          <a:off x="2630925" y="20425771"/>
          <a:ext cx="604587" cy="24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4,3</a:t>
          </a:r>
        </a:p>
      </xdr:txBody>
    </xdr:sp>
    <xdr:clientData/>
  </xdr:twoCellAnchor>
  <xdr:twoCellAnchor>
    <xdr:from>
      <xdr:col>2</xdr:col>
      <xdr:colOff>206412</xdr:colOff>
      <xdr:row>130</xdr:row>
      <xdr:rowOff>66674</xdr:rowOff>
    </xdr:from>
    <xdr:to>
      <xdr:col>4</xdr:col>
      <xdr:colOff>566058</xdr:colOff>
      <xdr:row>131</xdr:row>
      <xdr:rowOff>78376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9B51E04C-F1D9-4C96-99EE-1C76FB2CE9B5}"/>
            </a:ext>
          </a:extLst>
        </xdr:cNvPr>
        <xdr:cNvSpPr txBox="1"/>
      </xdr:nvSpPr>
      <xdr:spPr>
        <a:xfrm>
          <a:off x="1730412" y="20579714"/>
          <a:ext cx="1220706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006B3F"/>
              </a:solidFill>
            </a:rPr>
            <a:t>LINHA CONQUISTA</a:t>
          </a:r>
        </a:p>
      </xdr:txBody>
    </xdr:sp>
    <xdr:clientData/>
  </xdr:twoCellAnchor>
  <xdr:twoCellAnchor>
    <xdr:from>
      <xdr:col>4</xdr:col>
      <xdr:colOff>517615</xdr:colOff>
      <xdr:row>136</xdr:row>
      <xdr:rowOff>66674</xdr:rowOff>
    </xdr:from>
    <xdr:to>
      <xdr:col>6</xdr:col>
      <xdr:colOff>561552</xdr:colOff>
      <xdr:row>137</xdr:row>
      <xdr:rowOff>78376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66DCA44C-E72A-4476-B423-847C97485E66}"/>
            </a:ext>
          </a:extLst>
        </xdr:cNvPr>
        <xdr:cNvSpPr txBox="1"/>
      </xdr:nvSpPr>
      <xdr:spPr>
        <a:xfrm>
          <a:off x="2902675" y="20579714"/>
          <a:ext cx="1263137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8B22"/>
              </a:solidFill>
            </a:rPr>
            <a:t>LINHA HARMONIA</a:t>
          </a:r>
        </a:p>
      </xdr:txBody>
    </xdr:sp>
    <xdr:clientData/>
  </xdr:twoCellAnchor>
  <xdr:twoCellAnchor>
    <xdr:from>
      <xdr:col>4</xdr:col>
      <xdr:colOff>534409</xdr:colOff>
      <xdr:row>134</xdr:row>
      <xdr:rowOff>170542</xdr:rowOff>
    </xdr:from>
    <xdr:to>
      <xdr:col>4</xdr:col>
      <xdr:colOff>535096</xdr:colOff>
      <xdr:row>135</xdr:row>
      <xdr:rowOff>127997</xdr:rowOff>
    </xdr:to>
    <xdr:cxnSp macro="">
      <xdr:nvCxnSpPr>
        <xdr:cNvPr id="72" name="Conector reto 324">
          <a:extLst>
            <a:ext uri="{FF2B5EF4-FFF2-40B4-BE49-F238E27FC236}">
              <a16:creationId xmlns:a16="http://schemas.microsoft.com/office/drawing/2014/main" id="{B15C9E2E-2082-4223-8A13-2E18863F4BA3}"/>
            </a:ext>
          </a:extLst>
        </xdr:cNvPr>
        <xdr:cNvCxnSpPr/>
      </xdr:nvCxnSpPr>
      <xdr:spPr>
        <a:xfrm flipH="1" flipV="1">
          <a:off x="2919469" y="20310202"/>
          <a:ext cx="687" cy="140335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198090</xdr:colOff>
      <xdr:row>134</xdr:row>
      <xdr:rowOff>129096</xdr:rowOff>
    </xdr:from>
    <xdr:to>
      <xdr:col>5</xdr:col>
      <xdr:colOff>198777</xdr:colOff>
      <xdr:row>135</xdr:row>
      <xdr:rowOff>86551</xdr:rowOff>
    </xdr:to>
    <xdr:cxnSp macro="">
      <xdr:nvCxnSpPr>
        <xdr:cNvPr id="73" name="Conector reto 324">
          <a:extLst>
            <a:ext uri="{FF2B5EF4-FFF2-40B4-BE49-F238E27FC236}">
              <a16:creationId xmlns:a16="http://schemas.microsoft.com/office/drawing/2014/main" id="{A9E92C59-DF33-4A7B-8CC1-2FDE60C035A6}"/>
            </a:ext>
          </a:extLst>
        </xdr:cNvPr>
        <xdr:cNvCxnSpPr/>
      </xdr:nvCxnSpPr>
      <xdr:spPr>
        <a:xfrm flipH="1" flipV="1">
          <a:off x="3192750" y="20268756"/>
          <a:ext cx="687" cy="140335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458833</xdr:colOff>
      <xdr:row>136</xdr:row>
      <xdr:rowOff>137704</xdr:rowOff>
    </xdr:from>
    <xdr:to>
      <xdr:col>5</xdr:col>
      <xdr:colOff>41230</xdr:colOff>
      <xdr:row>137</xdr:row>
      <xdr:rowOff>13877</xdr:rowOff>
    </xdr:to>
    <xdr:sp macro="" textlink="">
      <xdr:nvSpPr>
        <xdr:cNvPr id="74" name="Seta: da Esquerda para a Direita 73">
          <a:extLst>
            <a:ext uri="{FF2B5EF4-FFF2-40B4-BE49-F238E27FC236}">
              <a16:creationId xmlns:a16="http://schemas.microsoft.com/office/drawing/2014/main" id="{68B307A1-8355-4BC9-AEEF-457E33B95712}"/>
            </a:ext>
          </a:extLst>
        </xdr:cNvPr>
        <xdr:cNvSpPr/>
      </xdr:nvSpPr>
      <xdr:spPr>
        <a:xfrm>
          <a:off x="2843893" y="20650744"/>
          <a:ext cx="191997" cy="66673"/>
        </a:xfrm>
        <a:prstGeom prst="leftRight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twoCellAnchor>
    <xdr:from>
      <xdr:col>6</xdr:col>
      <xdr:colOff>225433</xdr:colOff>
      <xdr:row>141</xdr:row>
      <xdr:rowOff>71119</xdr:rowOff>
    </xdr:from>
    <xdr:to>
      <xdr:col>7</xdr:col>
      <xdr:colOff>220420</xdr:colOff>
      <xdr:row>142</xdr:row>
      <xdr:rowOff>122114</xdr:rowOff>
    </xdr:to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680F0D75-5E8E-40AD-812D-61C363153E3A}"/>
            </a:ext>
          </a:extLst>
        </xdr:cNvPr>
        <xdr:cNvSpPr txBox="1"/>
      </xdr:nvSpPr>
      <xdr:spPr>
        <a:xfrm>
          <a:off x="3829693" y="21536659"/>
          <a:ext cx="604587" cy="241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9,9</a:t>
          </a:r>
        </a:p>
      </xdr:txBody>
    </xdr:sp>
    <xdr:clientData/>
  </xdr:twoCellAnchor>
  <xdr:twoCellAnchor>
    <xdr:from>
      <xdr:col>6</xdr:col>
      <xdr:colOff>515699</xdr:colOff>
      <xdr:row>140</xdr:row>
      <xdr:rowOff>116883</xdr:rowOff>
    </xdr:from>
    <xdr:to>
      <xdr:col>6</xdr:col>
      <xdr:colOff>516386</xdr:colOff>
      <xdr:row>141</xdr:row>
      <xdr:rowOff>67988</xdr:rowOff>
    </xdr:to>
    <xdr:cxnSp macro="">
      <xdr:nvCxnSpPr>
        <xdr:cNvPr id="76" name="Conector reto 324">
          <a:extLst>
            <a:ext uri="{FF2B5EF4-FFF2-40B4-BE49-F238E27FC236}">
              <a16:creationId xmlns:a16="http://schemas.microsoft.com/office/drawing/2014/main" id="{67D3771B-203B-46DD-A941-5437620DB862}"/>
            </a:ext>
          </a:extLst>
        </xdr:cNvPr>
        <xdr:cNvCxnSpPr/>
      </xdr:nvCxnSpPr>
      <xdr:spPr>
        <a:xfrm flipH="1" flipV="1">
          <a:off x="4119959" y="21391923"/>
          <a:ext cx="687" cy="141605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472050</xdr:colOff>
      <xdr:row>140</xdr:row>
      <xdr:rowOff>75435</xdr:rowOff>
    </xdr:from>
    <xdr:to>
      <xdr:col>5</xdr:col>
      <xdr:colOff>472737</xdr:colOff>
      <xdr:row>141</xdr:row>
      <xdr:rowOff>26540</xdr:rowOff>
    </xdr:to>
    <xdr:cxnSp macro="">
      <xdr:nvCxnSpPr>
        <xdr:cNvPr id="77" name="Conector reto 324">
          <a:extLst>
            <a:ext uri="{FF2B5EF4-FFF2-40B4-BE49-F238E27FC236}">
              <a16:creationId xmlns:a16="http://schemas.microsoft.com/office/drawing/2014/main" id="{F18C2E68-52B8-48A5-8093-7EE1EA26C0B1}"/>
            </a:ext>
          </a:extLst>
        </xdr:cNvPr>
        <xdr:cNvCxnSpPr/>
      </xdr:nvCxnSpPr>
      <xdr:spPr>
        <a:xfrm flipH="1" flipV="1">
          <a:off x="3466710" y="21350475"/>
          <a:ext cx="687" cy="141605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524211</xdr:colOff>
      <xdr:row>140</xdr:row>
      <xdr:rowOff>75435</xdr:rowOff>
    </xdr:from>
    <xdr:to>
      <xdr:col>7</xdr:col>
      <xdr:colOff>524898</xdr:colOff>
      <xdr:row>141</xdr:row>
      <xdr:rowOff>26540</xdr:rowOff>
    </xdr:to>
    <xdr:cxnSp macro="">
      <xdr:nvCxnSpPr>
        <xdr:cNvPr id="78" name="Conector reto 324">
          <a:extLst>
            <a:ext uri="{FF2B5EF4-FFF2-40B4-BE49-F238E27FC236}">
              <a16:creationId xmlns:a16="http://schemas.microsoft.com/office/drawing/2014/main" id="{341383D4-EB7D-46D6-A816-6C48F9B2242C}"/>
            </a:ext>
          </a:extLst>
        </xdr:cNvPr>
        <xdr:cNvCxnSpPr/>
      </xdr:nvCxnSpPr>
      <xdr:spPr>
        <a:xfrm flipH="1" flipV="1">
          <a:off x="4738071" y="21350475"/>
          <a:ext cx="687" cy="141605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159028</xdr:colOff>
      <xdr:row>139</xdr:row>
      <xdr:rowOff>23734</xdr:rowOff>
    </xdr:from>
    <xdr:to>
      <xdr:col>6</xdr:col>
      <xdr:colOff>154014</xdr:colOff>
      <xdr:row>140</xdr:row>
      <xdr:rowOff>91865</xdr:rowOff>
    </xdr:to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C39B2CB0-1917-4638-8B91-67CFF0EB2C0A}"/>
            </a:ext>
          </a:extLst>
        </xdr:cNvPr>
        <xdr:cNvSpPr txBox="1"/>
      </xdr:nvSpPr>
      <xdr:spPr>
        <a:xfrm>
          <a:off x="3153688" y="21108274"/>
          <a:ext cx="604586" cy="258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6,9</a:t>
          </a:r>
        </a:p>
      </xdr:txBody>
    </xdr:sp>
    <xdr:clientData/>
  </xdr:twoCellAnchor>
  <xdr:twoCellAnchor>
    <xdr:from>
      <xdr:col>7</xdr:col>
      <xdr:colOff>220219</xdr:colOff>
      <xdr:row>139</xdr:row>
      <xdr:rowOff>33894</xdr:rowOff>
    </xdr:from>
    <xdr:to>
      <xdr:col>8</xdr:col>
      <xdr:colOff>215205</xdr:colOff>
      <xdr:row>140</xdr:row>
      <xdr:rowOff>80808</xdr:rowOff>
    </xdr:to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2323D55D-BC2E-46F6-A23A-A08D516A26FA}"/>
            </a:ext>
          </a:extLst>
        </xdr:cNvPr>
        <xdr:cNvSpPr txBox="1"/>
      </xdr:nvSpPr>
      <xdr:spPr>
        <a:xfrm>
          <a:off x="4434079" y="21118434"/>
          <a:ext cx="604586" cy="237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13,0</a:t>
          </a:r>
        </a:p>
      </xdr:txBody>
    </xdr:sp>
    <xdr:clientData/>
  </xdr:twoCellAnchor>
  <xdr:twoCellAnchor>
    <xdr:from>
      <xdr:col>6</xdr:col>
      <xdr:colOff>40849</xdr:colOff>
      <xdr:row>138</xdr:row>
      <xdr:rowOff>136770</xdr:rowOff>
    </xdr:from>
    <xdr:to>
      <xdr:col>7</xdr:col>
      <xdr:colOff>416820</xdr:colOff>
      <xdr:row>140</xdr:row>
      <xdr:rowOff>110719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C3D4724C-E54D-4A86-B9C3-01EFD3CAD20D}"/>
            </a:ext>
          </a:extLst>
        </xdr:cNvPr>
        <xdr:cNvSpPr txBox="1"/>
      </xdr:nvSpPr>
      <xdr:spPr>
        <a:xfrm>
          <a:off x="3645109" y="21030810"/>
          <a:ext cx="985571" cy="354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700" b="1">
              <a:solidFill>
                <a:schemeClr val="bg1">
                  <a:lumMod val="65000"/>
                </a:schemeClr>
              </a:solidFill>
            </a:rPr>
            <a:t>INTERVALO DE PTS RECOMENDADOS</a:t>
          </a:r>
        </a:p>
      </xdr:txBody>
    </xdr:sp>
    <xdr:clientData/>
  </xdr:twoCellAnchor>
  <xdr:twoCellAnchor>
    <xdr:from>
      <xdr:col>4</xdr:col>
      <xdr:colOff>250341</xdr:colOff>
      <xdr:row>134</xdr:row>
      <xdr:rowOff>129096</xdr:rowOff>
    </xdr:from>
    <xdr:to>
      <xdr:col>4</xdr:col>
      <xdr:colOff>251028</xdr:colOff>
      <xdr:row>135</xdr:row>
      <xdr:rowOff>86551</xdr:rowOff>
    </xdr:to>
    <xdr:cxnSp macro="">
      <xdr:nvCxnSpPr>
        <xdr:cNvPr id="82" name="Conector reto 324">
          <a:extLst>
            <a:ext uri="{FF2B5EF4-FFF2-40B4-BE49-F238E27FC236}">
              <a16:creationId xmlns:a16="http://schemas.microsoft.com/office/drawing/2014/main" id="{1B56325D-E12E-47CF-AEFE-474C148AE639}"/>
            </a:ext>
          </a:extLst>
        </xdr:cNvPr>
        <xdr:cNvCxnSpPr/>
      </xdr:nvCxnSpPr>
      <xdr:spPr>
        <a:xfrm flipH="1" flipV="1">
          <a:off x="2635401" y="20268756"/>
          <a:ext cx="687" cy="140335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548865</xdr:colOff>
      <xdr:row>142</xdr:row>
      <xdr:rowOff>51685</xdr:rowOff>
    </xdr:from>
    <xdr:to>
      <xdr:col>6</xdr:col>
      <xdr:colOff>547050</xdr:colOff>
      <xdr:row>143</xdr:row>
      <xdr:rowOff>63387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E71DA0F7-A511-4888-A731-D7C2F8C13C5F}"/>
            </a:ext>
          </a:extLst>
        </xdr:cNvPr>
        <xdr:cNvSpPr txBox="1"/>
      </xdr:nvSpPr>
      <xdr:spPr>
        <a:xfrm>
          <a:off x="2933925" y="21707725"/>
          <a:ext cx="1217385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006B3F"/>
              </a:solidFill>
            </a:rPr>
            <a:t>LINHA CONQUISTA</a:t>
          </a:r>
        </a:p>
      </xdr:txBody>
    </xdr:sp>
    <xdr:clientData/>
  </xdr:twoCellAnchor>
  <xdr:twoCellAnchor>
    <xdr:from>
      <xdr:col>6</xdr:col>
      <xdr:colOff>498607</xdr:colOff>
      <xdr:row>142</xdr:row>
      <xdr:rowOff>51685</xdr:rowOff>
    </xdr:from>
    <xdr:to>
      <xdr:col>8</xdr:col>
      <xdr:colOff>542545</xdr:colOff>
      <xdr:row>143</xdr:row>
      <xdr:rowOff>63387</xdr:rowOff>
    </xdr:to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37533D5D-0CBA-46AB-B17E-9677345B8422}"/>
            </a:ext>
          </a:extLst>
        </xdr:cNvPr>
        <xdr:cNvSpPr txBox="1"/>
      </xdr:nvSpPr>
      <xdr:spPr>
        <a:xfrm>
          <a:off x="4102867" y="21707725"/>
          <a:ext cx="1263138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8B22"/>
              </a:solidFill>
            </a:rPr>
            <a:t>LINHA HARMONIA</a:t>
          </a:r>
        </a:p>
      </xdr:txBody>
    </xdr:sp>
    <xdr:clientData/>
  </xdr:twoCellAnchor>
  <xdr:twoCellAnchor>
    <xdr:from>
      <xdr:col>6</xdr:col>
      <xdr:colOff>439825</xdr:colOff>
      <xdr:row>142</xdr:row>
      <xdr:rowOff>122715</xdr:rowOff>
    </xdr:from>
    <xdr:to>
      <xdr:col>7</xdr:col>
      <xdr:colOff>22223</xdr:colOff>
      <xdr:row>142</xdr:row>
      <xdr:rowOff>189388</xdr:rowOff>
    </xdr:to>
    <xdr:sp macro="" textlink="">
      <xdr:nvSpPr>
        <xdr:cNvPr id="85" name="Seta: da Esquerda para a Direita 84">
          <a:extLst>
            <a:ext uri="{FF2B5EF4-FFF2-40B4-BE49-F238E27FC236}">
              <a16:creationId xmlns:a16="http://schemas.microsoft.com/office/drawing/2014/main" id="{1130EE61-E6B5-4A3D-B3C5-BF13FAADAFB2}"/>
            </a:ext>
          </a:extLst>
        </xdr:cNvPr>
        <xdr:cNvSpPr/>
      </xdr:nvSpPr>
      <xdr:spPr>
        <a:xfrm>
          <a:off x="4044085" y="21778755"/>
          <a:ext cx="191998" cy="66673"/>
        </a:xfrm>
        <a:prstGeom prst="leftRight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twoCellAnchor>
    <xdr:from>
      <xdr:col>3</xdr:col>
      <xdr:colOff>239486</xdr:colOff>
      <xdr:row>146</xdr:row>
      <xdr:rowOff>102469</xdr:rowOff>
    </xdr:from>
    <xdr:to>
      <xdr:col>13</xdr:col>
      <xdr:colOff>0</xdr:colOff>
      <xdr:row>146</xdr:row>
      <xdr:rowOff>178097</xdr:rowOff>
    </xdr:to>
    <xdr:sp macro="" textlink="">
      <xdr:nvSpPr>
        <xdr:cNvPr id="86" name="Retângulo 463">
          <a:extLst>
            <a:ext uri="{FF2B5EF4-FFF2-40B4-BE49-F238E27FC236}">
              <a16:creationId xmlns:a16="http://schemas.microsoft.com/office/drawing/2014/main" id="{E6F1DF3F-6E8F-4B98-9247-5CE1422CD0BC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014946" y="22505269"/>
          <a:ext cx="6263639" cy="75628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44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420818</xdr:colOff>
      <xdr:row>147</xdr:row>
      <xdr:rowOff>38554</xdr:rowOff>
    </xdr:from>
    <xdr:to>
      <xdr:col>9</xdr:col>
      <xdr:colOff>415805</xdr:colOff>
      <xdr:row>148</xdr:row>
      <xdr:rowOff>96063</xdr:rowOff>
    </xdr:to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B38F4492-33CF-4E8A-A409-4FF781E47FAB}"/>
            </a:ext>
          </a:extLst>
        </xdr:cNvPr>
        <xdr:cNvSpPr txBox="1"/>
      </xdr:nvSpPr>
      <xdr:spPr>
        <a:xfrm>
          <a:off x="5244278" y="22624234"/>
          <a:ext cx="619827" cy="240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17,1</a:t>
          </a:r>
        </a:p>
      </xdr:txBody>
    </xdr:sp>
    <xdr:clientData/>
  </xdr:twoCellAnchor>
  <xdr:twoCellAnchor>
    <xdr:from>
      <xdr:col>7</xdr:col>
      <xdr:colOff>132044</xdr:colOff>
      <xdr:row>148</xdr:row>
      <xdr:rowOff>25634</xdr:rowOff>
    </xdr:from>
    <xdr:to>
      <xdr:col>9</xdr:col>
      <xdr:colOff>130230</xdr:colOff>
      <xdr:row>149</xdr:row>
      <xdr:rowOff>43849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131805DA-297C-4CAD-9ED9-E373C6B30F6C}"/>
            </a:ext>
          </a:extLst>
        </xdr:cNvPr>
        <xdr:cNvSpPr txBox="1"/>
      </xdr:nvSpPr>
      <xdr:spPr>
        <a:xfrm>
          <a:off x="4345904" y="22794194"/>
          <a:ext cx="1232626" cy="20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006B3F"/>
              </a:solidFill>
            </a:rPr>
            <a:t>LINHA CONQUISTA</a:t>
          </a:r>
        </a:p>
      </xdr:txBody>
    </xdr:sp>
    <xdr:clientData/>
  </xdr:twoCellAnchor>
  <xdr:twoCellAnchor>
    <xdr:from>
      <xdr:col>9</xdr:col>
      <xdr:colOff>81787</xdr:colOff>
      <xdr:row>148</xdr:row>
      <xdr:rowOff>25634</xdr:rowOff>
    </xdr:from>
    <xdr:to>
      <xdr:col>11</xdr:col>
      <xdr:colOff>125725</xdr:colOff>
      <xdr:row>149</xdr:row>
      <xdr:rowOff>43849</xdr:rowOff>
    </xdr:to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43F2B584-27AE-4D28-BAE0-B98AC216F867}"/>
            </a:ext>
          </a:extLst>
        </xdr:cNvPr>
        <xdr:cNvSpPr txBox="1"/>
      </xdr:nvSpPr>
      <xdr:spPr>
        <a:xfrm>
          <a:off x="5530087" y="22794194"/>
          <a:ext cx="1263138" cy="20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8B22"/>
              </a:solidFill>
            </a:rPr>
            <a:t>LINHA HARMONIA</a:t>
          </a:r>
        </a:p>
      </xdr:txBody>
    </xdr:sp>
    <xdr:clientData/>
  </xdr:twoCellAnchor>
  <xdr:twoCellAnchor>
    <xdr:from>
      <xdr:col>9</xdr:col>
      <xdr:colOff>20576</xdr:colOff>
      <xdr:row>148</xdr:row>
      <xdr:rowOff>104805</xdr:rowOff>
    </xdr:from>
    <xdr:to>
      <xdr:col>9</xdr:col>
      <xdr:colOff>215178</xdr:colOff>
      <xdr:row>148</xdr:row>
      <xdr:rowOff>169850</xdr:rowOff>
    </xdr:to>
    <xdr:sp macro="" textlink="">
      <xdr:nvSpPr>
        <xdr:cNvPr id="90" name="Seta: da Esquerda para a Direita 89">
          <a:extLst>
            <a:ext uri="{FF2B5EF4-FFF2-40B4-BE49-F238E27FC236}">
              <a16:creationId xmlns:a16="http://schemas.microsoft.com/office/drawing/2014/main" id="{2C67A9D4-72E1-4603-825B-6081A8034275}"/>
            </a:ext>
          </a:extLst>
        </xdr:cNvPr>
        <xdr:cNvSpPr/>
      </xdr:nvSpPr>
      <xdr:spPr>
        <a:xfrm>
          <a:off x="5468876" y="22873365"/>
          <a:ext cx="194602" cy="65045"/>
        </a:xfrm>
        <a:prstGeom prst="leftRight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twoCellAnchor>
    <xdr:from>
      <xdr:col>7</xdr:col>
      <xdr:colOff>257127</xdr:colOff>
      <xdr:row>146</xdr:row>
      <xdr:rowOff>51010</xdr:rowOff>
    </xdr:from>
    <xdr:to>
      <xdr:col>7</xdr:col>
      <xdr:colOff>257814</xdr:colOff>
      <xdr:row>147</xdr:row>
      <xdr:rowOff>8628</xdr:rowOff>
    </xdr:to>
    <xdr:cxnSp macro="">
      <xdr:nvCxnSpPr>
        <xdr:cNvPr id="91" name="Conector reto 324">
          <a:extLst>
            <a:ext uri="{FF2B5EF4-FFF2-40B4-BE49-F238E27FC236}">
              <a16:creationId xmlns:a16="http://schemas.microsoft.com/office/drawing/2014/main" id="{6DD6FF8A-AD6C-479E-8CD1-97004BC70B7A}"/>
            </a:ext>
          </a:extLst>
        </xdr:cNvPr>
        <xdr:cNvCxnSpPr/>
      </xdr:nvCxnSpPr>
      <xdr:spPr>
        <a:xfrm flipH="1" flipV="1">
          <a:off x="4470987" y="22453810"/>
          <a:ext cx="687" cy="140498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3187</xdr:colOff>
      <xdr:row>146</xdr:row>
      <xdr:rowOff>51010</xdr:rowOff>
    </xdr:from>
    <xdr:to>
      <xdr:col>11</xdr:col>
      <xdr:colOff>3874</xdr:colOff>
      <xdr:row>147</xdr:row>
      <xdr:rowOff>8628</xdr:rowOff>
    </xdr:to>
    <xdr:cxnSp macro="">
      <xdr:nvCxnSpPr>
        <xdr:cNvPr id="92" name="Conector reto 324">
          <a:extLst>
            <a:ext uri="{FF2B5EF4-FFF2-40B4-BE49-F238E27FC236}">
              <a16:creationId xmlns:a16="http://schemas.microsoft.com/office/drawing/2014/main" id="{A69191B8-164C-4E24-AA49-1B92D059E380}"/>
            </a:ext>
          </a:extLst>
        </xdr:cNvPr>
        <xdr:cNvCxnSpPr/>
      </xdr:nvCxnSpPr>
      <xdr:spPr>
        <a:xfrm flipH="1" flipV="1">
          <a:off x="6670687" y="22453810"/>
          <a:ext cx="687" cy="140498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556310</xdr:colOff>
      <xdr:row>144</xdr:row>
      <xdr:rowOff>175156</xdr:rowOff>
    </xdr:from>
    <xdr:to>
      <xdr:col>7</xdr:col>
      <xdr:colOff>551297</xdr:colOff>
      <xdr:row>146</xdr:row>
      <xdr:rowOff>67440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16CE0779-7155-4F63-BC04-D7C004670F8B}"/>
            </a:ext>
          </a:extLst>
        </xdr:cNvPr>
        <xdr:cNvSpPr txBox="1"/>
      </xdr:nvSpPr>
      <xdr:spPr>
        <a:xfrm>
          <a:off x="4160570" y="22212196"/>
          <a:ext cx="604587" cy="258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11,8</a:t>
          </a:r>
        </a:p>
      </xdr:txBody>
    </xdr:sp>
    <xdr:clientData/>
  </xdr:twoCellAnchor>
  <xdr:twoCellAnchor>
    <xdr:from>
      <xdr:col>10</xdr:col>
      <xdr:colOff>311400</xdr:colOff>
      <xdr:row>145</xdr:row>
      <xdr:rowOff>2957</xdr:rowOff>
    </xdr:from>
    <xdr:to>
      <xdr:col>11</xdr:col>
      <xdr:colOff>306386</xdr:colOff>
      <xdr:row>146</xdr:row>
      <xdr:rowOff>56383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592CD091-23D3-4B41-84DA-8A1F788145D7}"/>
            </a:ext>
          </a:extLst>
        </xdr:cNvPr>
        <xdr:cNvSpPr txBox="1"/>
      </xdr:nvSpPr>
      <xdr:spPr>
        <a:xfrm>
          <a:off x="6369300" y="22222877"/>
          <a:ext cx="604586" cy="236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22,3</a:t>
          </a:r>
        </a:p>
      </xdr:txBody>
    </xdr:sp>
    <xdr:clientData/>
  </xdr:twoCellAnchor>
  <xdr:twoCellAnchor>
    <xdr:from>
      <xdr:col>7</xdr:col>
      <xdr:colOff>496747</xdr:colOff>
      <xdr:row>145</xdr:row>
      <xdr:rowOff>8139</xdr:rowOff>
    </xdr:from>
    <xdr:to>
      <xdr:col>10</xdr:col>
      <xdr:colOff>306102</xdr:colOff>
      <xdr:row>146</xdr:row>
      <xdr:rowOff>140268</xdr:rowOff>
    </xdr:to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402E1F54-1177-4C72-B157-82B2898412E5}"/>
            </a:ext>
          </a:extLst>
        </xdr:cNvPr>
        <xdr:cNvSpPr txBox="1"/>
      </xdr:nvSpPr>
      <xdr:spPr>
        <a:xfrm>
          <a:off x="4710607" y="22228059"/>
          <a:ext cx="1653395" cy="315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700" b="1">
              <a:solidFill>
                <a:schemeClr val="bg1">
                  <a:lumMod val="65000"/>
                </a:schemeClr>
              </a:solidFill>
            </a:rPr>
            <a:t>INTERVALO DE PTS RECOMENDADOS</a:t>
          </a:r>
        </a:p>
      </xdr:txBody>
    </xdr:sp>
    <xdr:clientData/>
  </xdr:twoCellAnchor>
  <xdr:twoCellAnchor>
    <xdr:from>
      <xdr:col>9</xdr:col>
      <xdr:colOff>110276</xdr:colOff>
      <xdr:row>146</xdr:row>
      <xdr:rowOff>82690</xdr:rowOff>
    </xdr:from>
    <xdr:to>
      <xdr:col>9</xdr:col>
      <xdr:colOff>110963</xdr:colOff>
      <xdr:row>147</xdr:row>
      <xdr:rowOff>40308</xdr:rowOff>
    </xdr:to>
    <xdr:cxnSp macro="">
      <xdr:nvCxnSpPr>
        <xdr:cNvPr id="96" name="Conector reto 324">
          <a:extLst>
            <a:ext uri="{FF2B5EF4-FFF2-40B4-BE49-F238E27FC236}">
              <a16:creationId xmlns:a16="http://schemas.microsoft.com/office/drawing/2014/main" id="{6A260293-8EBC-4D8F-9FDA-E986C8764C7A}"/>
            </a:ext>
          </a:extLst>
        </xdr:cNvPr>
        <xdr:cNvCxnSpPr/>
      </xdr:nvCxnSpPr>
      <xdr:spPr>
        <a:xfrm flipH="1" flipV="1">
          <a:off x="5558576" y="22485490"/>
          <a:ext cx="687" cy="14049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239486</xdr:colOff>
      <xdr:row>152</xdr:row>
      <xdr:rowOff>76418</xdr:rowOff>
    </xdr:from>
    <xdr:to>
      <xdr:col>13</xdr:col>
      <xdr:colOff>0</xdr:colOff>
      <xdr:row>152</xdr:row>
      <xdr:rowOff>152046</xdr:rowOff>
    </xdr:to>
    <xdr:sp macro="" textlink="">
      <xdr:nvSpPr>
        <xdr:cNvPr id="97" name="Retângulo 463">
          <a:extLst>
            <a:ext uri="{FF2B5EF4-FFF2-40B4-BE49-F238E27FC236}">
              <a16:creationId xmlns:a16="http://schemas.microsoft.com/office/drawing/2014/main" id="{2EDF170F-F81E-4096-8FB2-2C17D041B627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014946" y="23576498"/>
          <a:ext cx="6263639" cy="75628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19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23537</xdr:colOff>
      <xdr:row>153</xdr:row>
      <xdr:rowOff>12503</xdr:rowOff>
    </xdr:from>
    <xdr:to>
      <xdr:col>12</xdr:col>
      <xdr:colOff>18524</xdr:colOff>
      <xdr:row>154</xdr:row>
      <xdr:rowOff>70011</xdr:rowOff>
    </xdr:to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CACBC5FE-75BF-4964-8FD3-364628E91D01}"/>
            </a:ext>
          </a:extLst>
        </xdr:cNvPr>
        <xdr:cNvSpPr txBox="1"/>
      </xdr:nvSpPr>
      <xdr:spPr>
        <a:xfrm>
          <a:off x="6691037" y="23695463"/>
          <a:ext cx="604587" cy="240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000" b="1">
              <a:solidFill>
                <a:schemeClr val="tx1"/>
              </a:solidFill>
              <a:latin typeface="+mn-lt"/>
              <a:ea typeface="+mn-ea"/>
              <a:cs typeface="+mn-cs"/>
            </a:rPr>
            <a:t>23,8</a:t>
          </a:r>
        </a:p>
      </xdr:txBody>
    </xdr:sp>
    <xdr:clientData/>
  </xdr:twoCellAnchor>
  <xdr:twoCellAnchor>
    <xdr:from>
      <xdr:col>9</xdr:col>
      <xdr:colOff>346968</xdr:colOff>
      <xdr:row>154</xdr:row>
      <xdr:rowOff>58197</xdr:rowOff>
    </xdr:from>
    <xdr:to>
      <xdr:col>11</xdr:col>
      <xdr:colOff>345154</xdr:colOff>
      <xdr:row>155</xdr:row>
      <xdr:rowOff>76412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D011E2DE-F859-4151-91AC-A1D3E6DFD0A6}"/>
            </a:ext>
          </a:extLst>
        </xdr:cNvPr>
        <xdr:cNvSpPr txBox="1"/>
      </xdr:nvSpPr>
      <xdr:spPr>
        <a:xfrm>
          <a:off x="5795268" y="23924037"/>
          <a:ext cx="1217386" cy="20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006B3F"/>
              </a:solidFill>
            </a:rPr>
            <a:t>LINHA CONQUISTA</a:t>
          </a:r>
        </a:p>
      </xdr:txBody>
    </xdr:sp>
    <xdr:clientData/>
  </xdr:twoCellAnchor>
  <xdr:twoCellAnchor>
    <xdr:from>
      <xdr:col>11</xdr:col>
      <xdr:colOff>296711</xdr:colOff>
      <xdr:row>154</xdr:row>
      <xdr:rowOff>58197</xdr:rowOff>
    </xdr:from>
    <xdr:to>
      <xdr:col>13</xdr:col>
      <xdr:colOff>0</xdr:colOff>
      <xdr:row>155</xdr:row>
      <xdr:rowOff>76412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40DE364E-5AAF-47CF-B073-E33CCF9BE807}"/>
            </a:ext>
          </a:extLst>
        </xdr:cNvPr>
        <xdr:cNvSpPr txBox="1"/>
      </xdr:nvSpPr>
      <xdr:spPr>
        <a:xfrm>
          <a:off x="6964211" y="23924037"/>
          <a:ext cx="1263138" cy="20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8B22"/>
              </a:solidFill>
            </a:rPr>
            <a:t>LINHA HARMONIA</a:t>
          </a:r>
        </a:p>
      </xdr:txBody>
    </xdr:sp>
    <xdr:clientData/>
  </xdr:twoCellAnchor>
  <xdr:twoCellAnchor>
    <xdr:from>
      <xdr:col>11</xdr:col>
      <xdr:colOff>235500</xdr:colOff>
      <xdr:row>154</xdr:row>
      <xdr:rowOff>137368</xdr:rowOff>
    </xdr:from>
    <xdr:to>
      <xdr:col>11</xdr:col>
      <xdr:colOff>430102</xdr:colOff>
      <xdr:row>155</xdr:row>
      <xdr:rowOff>20054</xdr:rowOff>
    </xdr:to>
    <xdr:sp macro="" textlink="">
      <xdr:nvSpPr>
        <xdr:cNvPr id="101" name="Seta: da Esquerda para a Direita 100">
          <a:extLst>
            <a:ext uri="{FF2B5EF4-FFF2-40B4-BE49-F238E27FC236}">
              <a16:creationId xmlns:a16="http://schemas.microsoft.com/office/drawing/2014/main" id="{27D1CF08-7E58-46CF-ADF3-1BC0E5B8569D}"/>
            </a:ext>
          </a:extLst>
        </xdr:cNvPr>
        <xdr:cNvSpPr/>
      </xdr:nvSpPr>
      <xdr:spPr>
        <a:xfrm>
          <a:off x="6903000" y="24003208"/>
          <a:ext cx="194602" cy="65566"/>
        </a:xfrm>
        <a:prstGeom prst="leftRight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twoCellAnchor>
    <xdr:from>
      <xdr:col>9</xdr:col>
      <xdr:colOff>244101</xdr:colOff>
      <xdr:row>152</xdr:row>
      <xdr:rowOff>24959</xdr:rowOff>
    </xdr:from>
    <xdr:to>
      <xdr:col>9</xdr:col>
      <xdr:colOff>244788</xdr:colOff>
      <xdr:row>152</xdr:row>
      <xdr:rowOff>164936</xdr:rowOff>
    </xdr:to>
    <xdr:cxnSp macro="">
      <xdr:nvCxnSpPr>
        <xdr:cNvPr id="102" name="Conector reto 324">
          <a:extLst>
            <a:ext uri="{FF2B5EF4-FFF2-40B4-BE49-F238E27FC236}">
              <a16:creationId xmlns:a16="http://schemas.microsoft.com/office/drawing/2014/main" id="{D7BF07CB-D27E-43A5-BBF2-D1FEC69953CF}"/>
            </a:ext>
          </a:extLst>
        </xdr:cNvPr>
        <xdr:cNvCxnSpPr/>
      </xdr:nvCxnSpPr>
      <xdr:spPr>
        <a:xfrm flipH="1" flipV="1">
          <a:off x="5692401" y="23525039"/>
          <a:ext cx="687" cy="139977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543284</xdr:colOff>
      <xdr:row>150</xdr:row>
      <xdr:rowOff>149105</xdr:rowOff>
    </xdr:from>
    <xdr:to>
      <xdr:col>9</xdr:col>
      <xdr:colOff>538271</xdr:colOff>
      <xdr:row>152</xdr:row>
      <xdr:rowOff>41389</xdr:rowOff>
    </xdr:to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EA802651-587B-47E4-AA51-BDEB6BFE4DAE}"/>
            </a:ext>
          </a:extLst>
        </xdr:cNvPr>
        <xdr:cNvSpPr txBox="1"/>
      </xdr:nvSpPr>
      <xdr:spPr>
        <a:xfrm>
          <a:off x="5366744" y="23283425"/>
          <a:ext cx="619827" cy="258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>
                  <a:lumMod val="65000"/>
                </a:schemeClr>
              </a:solidFill>
            </a:rPr>
            <a:t>17,7</a:t>
          </a:r>
        </a:p>
      </xdr:txBody>
    </xdr:sp>
    <xdr:clientData/>
  </xdr:twoCellAnchor>
  <xdr:twoCellAnchor>
    <xdr:from>
      <xdr:col>9</xdr:col>
      <xdr:colOff>540564</xdr:colOff>
      <xdr:row>150</xdr:row>
      <xdr:rowOff>149795</xdr:rowOff>
    </xdr:from>
    <xdr:to>
      <xdr:col>13</xdr:col>
      <xdr:colOff>0</xdr:colOff>
      <xdr:row>152</xdr:row>
      <xdr:rowOff>16525</xdr:rowOff>
    </xdr:to>
    <xdr:sp macro="" textlink="">
      <xdr:nvSpPr>
        <xdr:cNvPr id="104" name="CaixaDeTexto 103">
          <a:extLst>
            <a:ext uri="{FF2B5EF4-FFF2-40B4-BE49-F238E27FC236}">
              <a16:creationId xmlns:a16="http://schemas.microsoft.com/office/drawing/2014/main" id="{2D65C057-A58A-41C2-BFFD-A2AC58D66C8D}"/>
            </a:ext>
          </a:extLst>
        </xdr:cNvPr>
        <xdr:cNvSpPr txBox="1"/>
      </xdr:nvSpPr>
      <xdr:spPr>
        <a:xfrm>
          <a:off x="5988864" y="23284115"/>
          <a:ext cx="2015067" cy="232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700" b="1">
              <a:solidFill>
                <a:schemeClr val="bg1">
                  <a:lumMod val="65000"/>
                </a:schemeClr>
              </a:solidFill>
            </a:rPr>
            <a:t>INTERVALO DE PTS RECOMENDADOS</a:t>
          </a:r>
        </a:p>
      </xdr:txBody>
    </xdr:sp>
    <xdr:clientData/>
  </xdr:twoCellAnchor>
  <xdr:twoCellAnchor>
    <xdr:from>
      <xdr:col>3</xdr:col>
      <xdr:colOff>237648</xdr:colOff>
      <xdr:row>134</xdr:row>
      <xdr:rowOff>135678</xdr:rowOff>
    </xdr:from>
    <xdr:to>
      <xdr:col>3</xdr:col>
      <xdr:colOff>238335</xdr:colOff>
      <xdr:row>135</xdr:row>
      <xdr:rowOff>93296</xdr:rowOff>
    </xdr:to>
    <xdr:cxnSp macro="">
      <xdr:nvCxnSpPr>
        <xdr:cNvPr id="113" name="Conector reto 324">
          <a:extLst>
            <a:ext uri="{FF2B5EF4-FFF2-40B4-BE49-F238E27FC236}">
              <a16:creationId xmlns:a16="http://schemas.microsoft.com/office/drawing/2014/main" id="{A92B1712-3AB4-417E-9055-B016211CE867}"/>
            </a:ext>
          </a:extLst>
        </xdr:cNvPr>
        <xdr:cNvCxnSpPr/>
      </xdr:nvCxnSpPr>
      <xdr:spPr>
        <a:xfrm flipH="1" flipV="1">
          <a:off x="2013108" y="20275338"/>
          <a:ext cx="687" cy="140498"/>
        </a:xfrm>
        <a:prstGeom prst="line">
          <a:avLst/>
        </a:prstGeom>
        <a:ln w="9525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237648</xdr:colOff>
      <xdr:row>140</xdr:row>
      <xdr:rowOff>109627</xdr:rowOff>
    </xdr:from>
    <xdr:to>
      <xdr:col>3</xdr:col>
      <xdr:colOff>238335</xdr:colOff>
      <xdr:row>141</xdr:row>
      <xdr:rowOff>60732</xdr:rowOff>
    </xdr:to>
    <xdr:cxnSp macro="">
      <xdr:nvCxnSpPr>
        <xdr:cNvPr id="115" name="Conector reto 324">
          <a:extLst>
            <a:ext uri="{FF2B5EF4-FFF2-40B4-BE49-F238E27FC236}">
              <a16:creationId xmlns:a16="http://schemas.microsoft.com/office/drawing/2014/main" id="{F3700553-27BE-4E8B-9D59-0AD1FA472497}"/>
            </a:ext>
          </a:extLst>
        </xdr:cNvPr>
        <xdr:cNvCxnSpPr/>
      </xdr:nvCxnSpPr>
      <xdr:spPr>
        <a:xfrm flipH="1" flipV="1">
          <a:off x="2013108" y="21384667"/>
          <a:ext cx="687" cy="141605"/>
        </a:xfrm>
        <a:prstGeom prst="line">
          <a:avLst/>
        </a:prstGeom>
        <a:ln w="9525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181143</xdr:colOff>
      <xdr:row>133</xdr:row>
      <xdr:rowOff>120190</xdr:rowOff>
    </xdr:from>
    <xdr:to>
      <xdr:col>3</xdr:col>
      <xdr:colOff>534334</xdr:colOff>
      <xdr:row>134</xdr:row>
      <xdr:rowOff>167104</xdr:rowOff>
    </xdr:to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035649DE-E7D5-4E82-87DE-5651BE58A0D5}"/>
            </a:ext>
          </a:extLst>
        </xdr:cNvPr>
        <xdr:cNvSpPr txBox="1"/>
      </xdr:nvSpPr>
      <xdr:spPr>
        <a:xfrm>
          <a:off x="1705143" y="21204730"/>
          <a:ext cx="604651" cy="237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chemeClr val="bg1">
                  <a:lumMod val="65000"/>
                </a:schemeClr>
              </a:solidFill>
            </a:rPr>
            <a:t>0,0</a:t>
          </a:r>
        </a:p>
      </xdr:txBody>
    </xdr:sp>
    <xdr:clientData/>
  </xdr:twoCellAnchor>
  <xdr:twoCellAnchor>
    <xdr:from>
      <xdr:col>3</xdr:col>
      <xdr:colOff>237648</xdr:colOff>
      <xdr:row>146</xdr:row>
      <xdr:rowOff>57524</xdr:rowOff>
    </xdr:from>
    <xdr:to>
      <xdr:col>3</xdr:col>
      <xdr:colOff>238335</xdr:colOff>
      <xdr:row>147</xdr:row>
      <xdr:rowOff>15142</xdr:rowOff>
    </xdr:to>
    <xdr:cxnSp macro="">
      <xdr:nvCxnSpPr>
        <xdr:cNvPr id="117" name="Conector reto 324">
          <a:extLst>
            <a:ext uri="{FF2B5EF4-FFF2-40B4-BE49-F238E27FC236}">
              <a16:creationId xmlns:a16="http://schemas.microsoft.com/office/drawing/2014/main" id="{5EA236E9-0B19-481B-920D-4F3BB77B62D4}"/>
            </a:ext>
          </a:extLst>
        </xdr:cNvPr>
        <xdr:cNvCxnSpPr/>
      </xdr:nvCxnSpPr>
      <xdr:spPr>
        <a:xfrm flipH="1" flipV="1">
          <a:off x="2013108" y="22460324"/>
          <a:ext cx="687" cy="140498"/>
        </a:xfrm>
        <a:prstGeom prst="line">
          <a:avLst/>
        </a:prstGeom>
        <a:ln w="9525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181143</xdr:colOff>
      <xdr:row>139</xdr:row>
      <xdr:rowOff>61575</xdr:rowOff>
    </xdr:from>
    <xdr:to>
      <xdr:col>3</xdr:col>
      <xdr:colOff>534334</xdr:colOff>
      <xdr:row>140</xdr:row>
      <xdr:rowOff>115001</xdr:rowOff>
    </xdr:to>
    <xdr:sp macro="" textlink="">
      <xdr:nvSpPr>
        <xdr:cNvPr id="118" name="CaixaDeTexto 117">
          <a:extLst>
            <a:ext uri="{FF2B5EF4-FFF2-40B4-BE49-F238E27FC236}">
              <a16:creationId xmlns:a16="http://schemas.microsoft.com/office/drawing/2014/main" id="{39571F8B-99A5-4580-BD4E-A8B1DA6AEC8D}"/>
            </a:ext>
          </a:extLst>
        </xdr:cNvPr>
        <xdr:cNvSpPr txBox="1"/>
      </xdr:nvSpPr>
      <xdr:spPr>
        <a:xfrm>
          <a:off x="1705143" y="22281495"/>
          <a:ext cx="604651" cy="236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chemeClr val="bg1">
                  <a:lumMod val="65000"/>
                </a:schemeClr>
              </a:solidFill>
            </a:rPr>
            <a:t>0,0</a:t>
          </a:r>
        </a:p>
      </xdr:txBody>
    </xdr:sp>
    <xdr:clientData/>
  </xdr:twoCellAnchor>
  <xdr:twoCellAnchor>
    <xdr:from>
      <xdr:col>3</xdr:col>
      <xdr:colOff>237648</xdr:colOff>
      <xdr:row>152</xdr:row>
      <xdr:rowOff>31474</xdr:rowOff>
    </xdr:from>
    <xdr:to>
      <xdr:col>3</xdr:col>
      <xdr:colOff>238335</xdr:colOff>
      <xdr:row>152</xdr:row>
      <xdr:rowOff>171451</xdr:rowOff>
    </xdr:to>
    <xdr:cxnSp macro="">
      <xdr:nvCxnSpPr>
        <xdr:cNvPr id="119" name="Conector reto 324">
          <a:extLst>
            <a:ext uri="{FF2B5EF4-FFF2-40B4-BE49-F238E27FC236}">
              <a16:creationId xmlns:a16="http://schemas.microsoft.com/office/drawing/2014/main" id="{430E37FF-ED21-462E-9AEB-A69AC6A552AE}"/>
            </a:ext>
          </a:extLst>
        </xdr:cNvPr>
        <xdr:cNvCxnSpPr/>
      </xdr:nvCxnSpPr>
      <xdr:spPr>
        <a:xfrm flipH="1" flipV="1">
          <a:off x="2013108" y="23531554"/>
          <a:ext cx="687" cy="139977"/>
        </a:xfrm>
        <a:prstGeom prst="line">
          <a:avLst/>
        </a:prstGeom>
        <a:ln w="9525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181143</xdr:colOff>
      <xdr:row>145</xdr:row>
      <xdr:rowOff>35525</xdr:rowOff>
    </xdr:from>
    <xdr:to>
      <xdr:col>3</xdr:col>
      <xdr:colOff>534334</xdr:colOff>
      <xdr:row>146</xdr:row>
      <xdr:rowOff>88951</xdr:rowOff>
    </xdr:to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CEF1731D-85C4-47C3-80D0-F5A39E4E0495}"/>
            </a:ext>
          </a:extLst>
        </xdr:cNvPr>
        <xdr:cNvSpPr txBox="1"/>
      </xdr:nvSpPr>
      <xdr:spPr>
        <a:xfrm>
          <a:off x="1705143" y="23352725"/>
          <a:ext cx="604651" cy="236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chemeClr val="bg1">
                  <a:lumMod val="65000"/>
                </a:schemeClr>
              </a:solidFill>
            </a:rPr>
            <a:t>0,0</a:t>
          </a:r>
        </a:p>
      </xdr:txBody>
    </xdr:sp>
    <xdr:clientData/>
  </xdr:twoCellAnchor>
  <xdr:twoCellAnchor>
    <xdr:from>
      <xdr:col>11</xdr:col>
      <xdr:colOff>321291</xdr:colOff>
      <xdr:row>152</xdr:row>
      <xdr:rowOff>59245</xdr:rowOff>
    </xdr:from>
    <xdr:to>
      <xdr:col>11</xdr:col>
      <xdr:colOff>321978</xdr:colOff>
      <xdr:row>153</xdr:row>
      <xdr:rowOff>16863</xdr:rowOff>
    </xdr:to>
    <xdr:cxnSp macro="">
      <xdr:nvCxnSpPr>
        <xdr:cNvPr id="121" name="Conector reto 324">
          <a:extLst>
            <a:ext uri="{FF2B5EF4-FFF2-40B4-BE49-F238E27FC236}">
              <a16:creationId xmlns:a16="http://schemas.microsoft.com/office/drawing/2014/main" id="{D0B6D9A4-066D-44AB-8EA3-5186D8F5C70C}"/>
            </a:ext>
          </a:extLst>
        </xdr:cNvPr>
        <xdr:cNvCxnSpPr/>
      </xdr:nvCxnSpPr>
      <xdr:spPr>
        <a:xfrm flipH="1" flipV="1">
          <a:off x="6988791" y="23559325"/>
          <a:ext cx="687" cy="14049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75385</xdr:colOff>
      <xdr:row>155</xdr:row>
      <xdr:rowOff>47625</xdr:rowOff>
    </xdr:from>
    <xdr:to>
      <xdr:col>7</xdr:col>
      <xdr:colOff>551796</xdr:colOff>
      <xdr:row>159</xdr:row>
      <xdr:rowOff>132194</xdr:rowOff>
    </xdr:to>
    <xdr:pic>
      <xdr:nvPicPr>
        <xdr:cNvPr id="122" name="Imagem 3">
          <a:extLst>
            <a:ext uri="{FF2B5EF4-FFF2-40B4-BE49-F238E27FC236}">
              <a16:creationId xmlns:a16="http://schemas.microsoft.com/office/drawing/2014/main" id="{6616513B-D7E5-48ED-8DB5-83F68E1535E5}"/>
            </a:ext>
            <a:ext uri="{147F2762-F138-4A5C-976F-8EAC2B608ADB}">
              <a16:predDERef xmlns:a16="http://schemas.microsoft.com/office/drawing/2014/main" pred="{6D4E70CF-5F27-41B5-3540-F0E4EC54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9385" y="25208865"/>
          <a:ext cx="3481476" cy="722983"/>
        </a:xfrm>
        <a:prstGeom prst="rect">
          <a:avLst/>
        </a:prstGeom>
      </xdr:spPr>
    </xdr:pic>
    <xdr:clientData/>
  </xdr:twoCellAnchor>
  <xdr:twoCellAnchor editAs="oneCell">
    <xdr:from>
      <xdr:col>8</xdr:col>
      <xdr:colOff>361787</xdr:colOff>
      <xdr:row>161</xdr:row>
      <xdr:rowOff>28575</xdr:rowOff>
    </xdr:from>
    <xdr:to>
      <xdr:col>13</xdr:col>
      <xdr:colOff>417489</xdr:colOff>
      <xdr:row>166</xdr:row>
      <xdr:rowOff>15282</xdr:rowOff>
    </xdr:to>
    <xdr:pic>
      <xdr:nvPicPr>
        <xdr:cNvPr id="123" name="Imagem 4">
          <a:extLst>
            <a:ext uri="{FF2B5EF4-FFF2-40B4-BE49-F238E27FC236}">
              <a16:creationId xmlns:a16="http://schemas.microsoft.com/office/drawing/2014/main" id="{BC9B47AE-70AA-4877-9E81-8CB04818ED7B}"/>
            </a:ext>
            <a:ext uri="{147F2762-F138-4A5C-976F-8EAC2B608ADB}">
              <a16:predDERef xmlns:a16="http://schemas.microsoft.com/office/drawing/2014/main" pred="{64897543-5302-A5B0-0B28-358989E35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5247" y="25189815"/>
          <a:ext cx="3463453" cy="749184"/>
        </a:xfrm>
        <a:prstGeom prst="rect">
          <a:avLst/>
        </a:prstGeom>
      </xdr:spPr>
    </xdr:pic>
    <xdr:clientData/>
  </xdr:twoCellAnchor>
  <xdr:twoCellAnchor>
    <xdr:from>
      <xdr:col>9</xdr:col>
      <xdr:colOff>504588</xdr:colOff>
      <xdr:row>139</xdr:row>
      <xdr:rowOff>27597</xdr:rowOff>
    </xdr:from>
    <xdr:to>
      <xdr:col>11</xdr:col>
      <xdr:colOff>548526</xdr:colOff>
      <xdr:row>140</xdr:row>
      <xdr:rowOff>39299</xdr:rowOff>
    </xdr:to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7FE56C7D-48FB-4681-84EA-584AD936A0AF}"/>
            </a:ext>
          </a:extLst>
        </xdr:cNvPr>
        <xdr:cNvSpPr txBox="1"/>
      </xdr:nvSpPr>
      <xdr:spPr>
        <a:xfrm>
          <a:off x="5952888" y="21112137"/>
          <a:ext cx="1263138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0000"/>
              </a:solidFill>
            </a:rPr>
            <a:t>Risco</a:t>
          </a:r>
          <a:r>
            <a:rPr lang="pt-BR" sz="800" b="1" baseline="0">
              <a:solidFill>
                <a:srgbClr val="FF0000"/>
              </a:solidFill>
            </a:rPr>
            <a:t> custo</a:t>
          </a:r>
          <a:endParaRPr lang="pt-BR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315717</xdr:colOff>
      <xdr:row>139</xdr:row>
      <xdr:rowOff>27597</xdr:rowOff>
    </xdr:from>
    <xdr:to>
      <xdr:col>5</xdr:col>
      <xdr:colOff>359655</xdr:colOff>
      <xdr:row>140</xdr:row>
      <xdr:rowOff>39299</xdr:rowOff>
    </xdr:to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19EF4BAE-C353-47DD-A4B0-E4651A7C540D}"/>
            </a:ext>
          </a:extLst>
        </xdr:cNvPr>
        <xdr:cNvSpPr txBox="1"/>
      </xdr:nvSpPr>
      <xdr:spPr>
        <a:xfrm>
          <a:off x="2091177" y="21112137"/>
          <a:ext cx="1263138" cy="20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800" b="1">
              <a:solidFill>
                <a:srgbClr val="FF0000"/>
              </a:solidFill>
            </a:rPr>
            <a:t>Risco</a:t>
          </a:r>
          <a:r>
            <a:rPr lang="pt-BR" sz="800" b="1" baseline="0">
              <a:solidFill>
                <a:srgbClr val="FF0000"/>
              </a:solidFill>
            </a:rPr>
            <a:t> qualidade</a:t>
          </a:r>
          <a:endParaRPr lang="pt-BR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403796</xdr:colOff>
      <xdr:row>139</xdr:row>
      <xdr:rowOff>110718</xdr:rowOff>
    </xdr:from>
    <xdr:to>
      <xdr:col>3</xdr:col>
      <xdr:colOff>534052</xdr:colOff>
      <xdr:row>139</xdr:row>
      <xdr:rowOff>169333</xdr:rowOff>
    </xdr:to>
    <xdr:sp macro="" textlink="">
      <xdr:nvSpPr>
        <xdr:cNvPr id="126" name="Seta: para a Esquerda 125">
          <a:extLst>
            <a:ext uri="{FF2B5EF4-FFF2-40B4-BE49-F238E27FC236}">
              <a16:creationId xmlns:a16="http://schemas.microsoft.com/office/drawing/2014/main" id="{97CDBB21-D8EB-4A49-A60B-A475F2D6B764}"/>
            </a:ext>
          </a:extLst>
        </xdr:cNvPr>
        <xdr:cNvSpPr/>
      </xdr:nvSpPr>
      <xdr:spPr>
        <a:xfrm>
          <a:off x="2179256" y="21195258"/>
          <a:ext cx="130256" cy="5861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240976</xdr:colOff>
      <xdr:row>139</xdr:row>
      <xdr:rowOff>110718</xdr:rowOff>
    </xdr:from>
    <xdr:to>
      <xdr:col>11</xdr:col>
      <xdr:colOff>371232</xdr:colOff>
      <xdr:row>139</xdr:row>
      <xdr:rowOff>169333</xdr:rowOff>
    </xdr:to>
    <xdr:sp macro="" textlink="">
      <xdr:nvSpPr>
        <xdr:cNvPr id="127" name="Seta: para a Esquerda 126">
          <a:extLst>
            <a:ext uri="{FF2B5EF4-FFF2-40B4-BE49-F238E27FC236}">
              <a16:creationId xmlns:a16="http://schemas.microsoft.com/office/drawing/2014/main" id="{8CE855A5-4D32-46FE-ABCA-73A02A50C191}"/>
            </a:ext>
          </a:extLst>
        </xdr:cNvPr>
        <xdr:cNvSpPr/>
      </xdr:nvSpPr>
      <xdr:spPr>
        <a:xfrm rot="10800000">
          <a:off x="6908476" y="21195258"/>
          <a:ext cx="130256" cy="5861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149796</xdr:colOff>
      <xdr:row>183</xdr:row>
      <xdr:rowOff>136770</xdr:rowOff>
    </xdr:from>
    <xdr:to>
      <xdr:col>13</xdr:col>
      <xdr:colOff>0</xdr:colOff>
      <xdr:row>187</xdr:row>
      <xdr:rowOff>16347</xdr:rowOff>
    </xdr:to>
    <xdr:sp macro="" textlink="">
      <xdr:nvSpPr>
        <xdr:cNvPr id="138" name="CaixaDeTexto 36">
          <a:extLst>
            <a:ext uri="{FF2B5EF4-FFF2-40B4-BE49-F238E27FC236}">
              <a16:creationId xmlns:a16="http://schemas.microsoft.com/office/drawing/2014/main" id="{868B1622-D848-45F7-AC8B-7D33BEB168B9}"/>
            </a:ext>
          </a:extLst>
        </xdr:cNvPr>
        <xdr:cNvSpPr txBox="1"/>
      </xdr:nvSpPr>
      <xdr:spPr>
        <a:xfrm>
          <a:off x="4973256" y="30273870"/>
          <a:ext cx="3480060" cy="481733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rgbClr val="FF8B22"/>
              </a:solidFill>
            </a:rPr>
            <a:t>"Um produto pensando para as pessoas que buscam mais </a:t>
          </a:r>
          <a:r>
            <a:rPr lang="pt-BR" sz="1200" b="1">
              <a:solidFill>
                <a:srgbClr val="FF8B22"/>
              </a:solidFill>
            </a:rPr>
            <a:t>conforto</a:t>
          </a:r>
          <a:r>
            <a:rPr lang="pt-BR" sz="1050" b="1">
              <a:solidFill>
                <a:srgbClr val="FF8B22"/>
              </a:solidFill>
            </a:rPr>
            <a:t> </a:t>
          </a:r>
          <a:r>
            <a:rPr lang="pt-BR" sz="1050">
              <a:solidFill>
                <a:srgbClr val="FF8B22"/>
              </a:solidFill>
            </a:rPr>
            <a:t>mais espaço para receber os amigos em casa. Abrem mão das áreas de lazer para ter mais espaço interno."</a:t>
          </a:r>
        </a:p>
      </xdr:txBody>
    </xdr:sp>
    <xdr:clientData/>
  </xdr:twoCellAnchor>
  <xdr:twoCellAnchor>
    <xdr:from>
      <xdr:col>3</xdr:col>
      <xdr:colOff>26051</xdr:colOff>
      <xdr:row>182</xdr:row>
      <xdr:rowOff>97691</xdr:rowOff>
    </xdr:from>
    <xdr:to>
      <xdr:col>8</xdr:col>
      <xdr:colOff>0</xdr:colOff>
      <xdr:row>188</xdr:row>
      <xdr:rowOff>105762</xdr:rowOff>
    </xdr:to>
    <xdr:sp macro="" textlink="">
      <xdr:nvSpPr>
        <xdr:cNvPr id="139" name="CaixaDeTexto 5">
          <a:extLst>
            <a:ext uri="{FF2B5EF4-FFF2-40B4-BE49-F238E27FC236}">
              <a16:creationId xmlns:a16="http://schemas.microsoft.com/office/drawing/2014/main" id="{68225A8C-B9BD-4005-969B-E53985D0A84E}"/>
            </a:ext>
          </a:extLst>
        </xdr:cNvPr>
        <xdr:cNvSpPr txBox="1"/>
      </xdr:nvSpPr>
      <xdr:spPr>
        <a:xfrm>
          <a:off x="1801511" y="30051911"/>
          <a:ext cx="3021949" cy="531159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050">
              <a:solidFill>
                <a:srgbClr val="006B3F"/>
              </a:solidFill>
            </a:rPr>
            <a:t>"Um produto pensando para as pessoas que estão saindo do aluguel e não querem nenhum problema ou complicação no futuro. A qualidade na entrega é o principal atributo desse grupo. Focam na </a:t>
          </a:r>
          <a:r>
            <a:rPr lang="pt-BR" sz="1200" b="1">
              <a:solidFill>
                <a:srgbClr val="006B3F"/>
              </a:solidFill>
            </a:rPr>
            <a:t>conquista</a:t>
          </a:r>
          <a:r>
            <a:rPr lang="pt-BR" sz="1050">
              <a:solidFill>
                <a:srgbClr val="006B3F"/>
              </a:solidFill>
            </a:rPr>
            <a:t> do apê, podendo abrir mão de espaço interno dos apartamentos ou áreas de lazer."</a:t>
          </a:r>
        </a:p>
      </xdr:txBody>
    </xdr:sp>
    <xdr:clientData/>
  </xdr:twoCellAnchor>
  <xdr:twoCellAnchor>
    <xdr:from>
      <xdr:col>3</xdr:col>
      <xdr:colOff>476250</xdr:colOff>
      <xdr:row>30</xdr:row>
      <xdr:rowOff>56415</xdr:rowOff>
    </xdr:from>
    <xdr:to>
      <xdr:col>7</xdr:col>
      <xdr:colOff>478393</xdr:colOff>
      <xdr:row>31</xdr:row>
      <xdr:rowOff>151491</xdr:rowOff>
    </xdr:to>
    <xdr:sp macro="" textlink="">
      <xdr:nvSpPr>
        <xdr:cNvPr id="182" name="Retângulo: Cantos Arredondados 16">
          <a:extLst>
            <a:ext uri="{FF2B5EF4-FFF2-40B4-BE49-F238E27FC236}">
              <a16:creationId xmlns:a16="http://schemas.microsoft.com/office/drawing/2014/main" id="{FDC6C716-7F14-8745-D6D7-ED6119A074A0}"/>
            </a:ext>
          </a:extLst>
        </xdr:cNvPr>
        <xdr:cNvSpPr/>
      </xdr:nvSpPr>
      <xdr:spPr>
        <a:xfrm>
          <a:off x="2250281" y="5670212"/>
          <a:ext cx="2621518" cy="255810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1</a:t>
          </a:r>
          <a:r>
            <a:rPr lang="pt-BR" sz="900" baseline="0"/>
            <a:t> FIADA DE CERÂMICA ACIMA DAS BANCADAS</a:t>
          </a:r>
          <a:endParaRPr lang="pt-BR" sz="900"/>
        </a:p>
      </xdr:txBody>
    </xdr:sp>
    <xdr:clientData/>
  </xdr:twoCellAnchor>
  <xdr:twoCellAnchor>
    <xdr:from>
      <xdr:col>8</xdr:col>
      <xdr:colOff>182642</xdr:colOff>
      <xdr:row>30</xdr:row>
      <xdr:rowOff>56416</xdr:rowOff>
    </xdr:from>
    <xdr:to>
      <xdr:col>12</xdr:col>
      <xdr:colOff>160734</xdr:colOff>
      <xdr:row>31</xdr:row>
      <xdr:rowOff>140062</xdr:rowOff>
    </xdr:to>
    <xdr:sp macro="" textlink="">
      <xdr:nvSpPr>
        <xdr:cNvPr id="183" name="Retângulo: Cantos Arredondados 17">
          <a:extLst>
            <a:ext uri="{FF2B5EF4-FFF2-40B4-BE49-F238E27FC236}">
              <a16:creationId xmlns:a16="http://schemas.microsoft.com/office/drawing/2014/main" id="{3B4D0533-087C-ED31-138A-4CB2D67B11A8}"/>
            </a:ext>
          </a:extLst>
        </xdr:cNvPr>
        <xdr:cNvSpPr/>
      </xdr:nvSpPr>
      <xdr:spPr>
        <a:xfrm>
          <a:off x="5230892" y="5670213"/>
          <a:ext cx="2597467" cy="244380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CERÂMICA DO PISO ATE 150 NAS PAREDES HIDR.</a:t>
          </a:r>
        </a:p>
      </xdr:txBody>
    </xdr:sp>
    <xdr:clientData/>
  </xdr:twoCellAnchor>
  <xdr:twoCellAnchor>
    <xdr:from>
      <xdr:col>3</xdr:col>
      <xdr:colOff>476250</xdr:colOff>
      <xdr:row>57</xdr:row>
      <xdr:rowOff>137015</xdr:rowOff>
    </xdr:from>
    <xdr:to>
      <xdr:col>12</xdr:col>
      <xdr:colOff>190500</xdr:colOff>
      <xdr:row>59</xdr:row>
      <xdr:rowOff>53579</xdr:rowOff>
    </xdr:to>
    <xdr:sp macro="" textlink="">
      <xdr:nvSpPr>
        <xdr:cNvPr id="200" name="Retângulo: Cantos Arredondados 16">
          <a:extLst>
            <a:ext uri="{FF2B5EF4-FFF2-40B4-BE49-F238E27FC236}">
              <a16:creationId xmlns:a16="http://schemas.microsoft.com/office/drawing/2014/main" id="{6D798FBD-6B54-13FC-497D-4C4D4C84D5FF}"/>
            </a:ext>
          </a:extLst>
        </xdr:cNvPr>
        <xdr:cNvSpPr/>
      </xdr:nvSpPr>
      <xdr:spPr>
        <a:xfrm>
          <a:off x="2250281" y="10983609"/>
          <a:ext cx="5607844" cy="2261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/>
            <a:t>RALO PVC</a:t>
          </a:r>
        </a:p>
      </xdr:txBody>
    </xdr:sp>
    <xdr:clientData/>
  </xdr:twoCellAnchor>
  <xdr:twoCellAnchor>
    <xdr:from>
      <xdr:col>3</xdr:col>
      <xdr:colOff>476249</xdr:colOff>
      <xdr:row>26</xdr:row>
      <xdr:rowOff>95248</xdr:rowOff>
    </xdr:from>
    <xdr:to>
      <xdr:col>12</xdr:col>
      <xdr:colOff>174784</xdr:colOff>
      <xdr:row>28</xdr:row>
      <xdr:rowOff>19288</xdr:rowOff>
    </xdr:to>
    <xdr:sp macro="" textlink="">
      <xdr:nvSpPr>
        <xdr:cNvPr id="201" name="Retângulo: Cantos Arredondados 14">
          <a:extLst>
            <a:ext uri="{FF2B5EF4-FFF2-40B4-BE49-F238E27FC236}">
              <a16:creationId xmlns:a16="http://schemas.microsoft.com/office/drawing/2014/main" id="{129E161F-C703-4890-7044-131C1881275B}"/>
            </a:ext>
          </a:extLst>
        </xdr:cNvPr>
        <xdr:cNvSpPr/>
      </xdr:nvSpPr>
      <xdr:spPr>
        <a:xfrm>
          <a:off x="2250280" y="5089920"/>
          <a:ext cx="5592129" cy="233602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VARANDA - COM PISO</a:t>
          </a:r>
          <a:r>
            <a:rPr lang="pt-BR" sz="900" baseline="0"/>
            <a:t> (</a:t>
          </a:r>
          <a:r>
            <a:rPr lang="pt-BR" sz="900"/>
            <a:t>CERÂMICO)</a:t>
          </a:r>
        </a:p>
      </xdr:txBody>
    </xdr:sp>
    <xdr:clientData/>
  </xdr:twoCellAnchor>
  <xdr:twoCellAnchor>
    <xdr:from>
      <xdr:col>3</xdr:col>
      <xdr:colOff>483210</xdr:colOff>
      <xdr:row>24</xdr:row>
      <xdr:rowOff>36706</xdr:rowOff>
    </xdr:from>
    <xdr:to>
      <xdr:col>7</xdr:col>
      <xdr:colOff>486899</xdr:colOff>
      <xdr:row>25</xdr:row>
      <xdr:rowOff>98682</xdr:rowOff>
    </xdr:to>
    <xdr:sp macro="" textlink="">
      <xdr:nvSpPr>
        <xdr:cNvPr id="204" name="Retângulo: Cantos Arredondados 14">
          <a:extLst>
            <a:ext uri="{FF2B5EF4-FFF2-40B4-BE49-F238E27FC236}">
              <a16:creationId xmlns:a16="http://schemas.microsoft.com/office/drawing/2014/main" id="{D8BD51AD-1B3D-06DD-0FDD-F1E7E7DC58E7}"/>
            </a:ext>
          </a:extLst>
        </xdr:cNvPr>
        <xdr:cNvSpPr/>
      </xdr:nvSpPr>
      <xdr:spPr>
        <a:xfrm>
          <a:off x="2257241" y="4721815"/>
          <a:ext cx="2623064" cy="216758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ÁREA PRIVATIVA - 100% GRAMADO</a:t>
          </a:r>
        </a:p>
      </xdr:txBody>
    </xdr:sp>
    <xdr:clientData/>
  </xdr:twoCellAnchor>
  <xdr:twoCellAnchor>
    <xdr:from>
      <xdr:col>8</xdr:col>
      <xdr:colOff>182539</xdr:colOff>
      <xdr:row>24</xdr:row>
      <xdr:rowOff>40516</xdr:rowOff>
    </xdr:from>
    <xdr:to>
      <xdr:col>12</xdr:col>
      <xdr:colOff>160734</xdr:colOff>
      <xdr:row>25</xdr:row>
      <xdr:rowOff>94872</xdr:rowOff>
    </xdr:to>
    <xdr:sp macro="" textlink="">
      <xdr:nvSpPr>
        <xdr:cNvPr id="205" name="Retângulo: Cantos Arredondados 15">
          <a:extLst>
            <a:ext uri="{FF2B5EF4-FFF2-40B4-BE49-F238E27FC236}">
              <a16:creationId xmlns:a16="http://schemas.microsoft.com/office/drawing/2014/main" id="{9B0C213A-B1CF-E4BB-1431-715BEDB64851}"/>
            </a:ext>
          </a:extLst>
        </xdr:cNvPr>
        <xdr:cNvSpPr/>
      </xdr:nvSpPr>
      <xdr:spPr>
        <a:xfrm>
          <a:off x="5230789" y="4725625"/>
          <a:ext cx="2597570" cy="209138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ÁREA</a:t>
          </a:r>
          <a:r>
            <a:rPr lang="pt-BR" sz="900" baseline="0"/>
            <a:t> PRIVATIVA - 100% CIMENTADO</a:t>
          </a:r>
          <a:endParaRPr lang="pt-BR" sz="900"/>
        </a:p>
      </xdr:txBody>
    </xdr:sp>
    <xdr:clientData/>
  </xdr:twoCellAnchor>
  <xdr:twoCellAnchor>
    <xdr:from>
      <xdr:col>3</xdr:col>
      <xdr:colOff>472440</xdr:colOff>
      <xdr:row>60</xdr:row>
      <xdr:rowOff>20077</xdr:rowOff>
    </xdr:from>
    <xdr:to>
      <xdr:col>12</xdr:col>
      <xdr:colOff>190500</xdr:colOff>
      <xdr:row>61</xdr:row>
      <xdr:rowOff>89297</xdr:rowOff>
    </xdr:to>
    <xdr:sp macro="" textlink="">
      <xdr:nvSpPr>
        <xdr:cNvPr id="206" name="Retângulo: Cantos Arredondados 16">
          <a:extLst>
            <a:ext uri="{FF2B5EF4-FFF2-40B4-BE49-F238E27FC236}">
              <a16:creationId xmlns:a16="http://schemas.microsoft.com/office/drawing/2014/main" id="{39B0236B-385B-C238-3DAC-839BCFEC3BD6}"/>
            </a:ext>
          </a:extLst>
        </xdr:cNvPr>
        <xdr:cNvSpPr/>
      </xdr:nvSpPr>
      <xdr:spPr>
        <a:xfrm>
          <a:off x="2246471" y="11331015"/>
          <a:ext cx="5611654" cy="224001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/>
            <a:t>PORTAS</a:t>
          </a:r>
          <a:r>
            <a:rPr lang="pt-BR" sz="1050" baseline="0"/>
            <a:t> COR MADEIRA COM FECHADURA</a:t>
          </a:r>
          <a:endParaRPr lang="pt-BR" sz="1050"/>
        </a:p>
      </xdr:txBody>
    </xdr:sp>
    <xdr:clientData/>
  </xdr:twoCellAnchor>
  <xdr:twoCellAnchor>
    <xdr:from>
      <xdr:col>11</xdr:col>
      <xdr:colOff>6190</xdr:colOff>
      <xdr:row>13</xdr:row>
      <xdr:rowOff>154543</xdr:rowOff>
    </xdr:from>
    <xdr:to>
      <xdr:col>11</xdr:col>
      <xdr:colOff>6261</xdr:colOff>
      <xdr:row>15</xdr:row>
      <xdr:rowOff>59531</xdr:rowOff>
    </xdr:to>
    <xdr:cxnSp macro="">
      <xdr:nvCxnSpPr>
        <xdr:cNvPr id="280" name="Conector reto 279">
          <a:extLst>
            <a:ext uri="{FF2B5EF4-FFF2-40B4-BE49-F238E27FC236}">
              <a16:creationId xmlns:a16="http://schemas.microsoft.com/office/drawing/2014/main" id="{D405C034-5DC1-8765-21FF-FEB350A91919}"/>
            </a:ext>
          </a:extLst>
        </xdr:cNvPr>
        <xdr:cNvCxnSpPr/>
      </xdr:nvCxnSpPr>
      <xdr:spPr>
        <a:xfrm>
          <a:off x="7018971" y="2976324"/>
          <a:ext cx="71" cy="28598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633172</xdr:colOff>
      <xdr:row>13</xdr:row>
      <xdr:rowOff>154543</xdr:rowOff>
    </xdr:from>
    <xdr:to>
      <xdr:col>9</xdr:col>
      <xdr:colOff>633243</xdr:colOff>
      <xdr:row>15</xdr:row>
      <xdr:rowOff>55721</xdr:rowOff>
    </xdr:to>
    <xdr:cxnSp macro="">
      <xdr:nvCxnSpPr>
        <xdr:cNvPr id="281" name="Conector reto 280">
          <a:extLst>
            <a:ext uri="{FF2B5EF4-FFF2-40B4-BE49-F238E27FC236}">
              <a16:creationId xmlns:a16="http://schemas.microsoft.com/office/drawing/2014/main" id="{A1FF4E69-379A-6973-5BCB-2B788FEC1C63}"/>
            </a:ext>
          </a:extLst>
        </xdr:cNvPr>
        <xdr:cNvCxnSpPr/>
      </xdr:nvCxnSpPr>
      <xdr:spPr>
        <a:xfrm>
          <a:off x="6336266" y="2976324"/>
          <a:ext cx="71" cy="28217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651270</xdr:colOff>
      <xdr:row>13</xdr:row>
      <xdr:rowOff>172403</xdr:rowOff>
    </xdr:from>
    <xdr:to>
      <xdr:col>8</xdr:col>
      <xdr:colOff>651341</xdr:colOff>
      <xdr:row>15</xdr:row>
      <xdr:rowOff>73581</xdr:rowOff>
    </xdr:to>
    <xdr:cxnSp macro="">
      <xdr:nvCxnSpPr>
        <xdr:cNvPr id="282" name="Conector reto 281">
          <a:extLst>
            <a:ext uri="{FF2B5EF4-FFF2-40B4-BE49-F238E27FC236}">
              <a16:creationId xmlns:a16="http://schemas.microsoft.com/office/drawing/2014/main" id="{A3DABC8F-0C14-2918-15C5-5BCAB2FC401F}"/>
            </a:ext>
          </a:extLst>
        </xdr:cNvPr>
        <xdr:cNvCxnSpPr/>
      </xdr:nvCxnSpPr>
      <xdr:spPr>
        <a:xfrm>
          <a:off x="5699520" y="2994184"/>
          <a:ext cx="71" cy="28217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645317</xdr:colOff>
      <xdr:row>13</xdr:row>
      <xdr:rowOff>168593</xdr:rowOff>
    </xdr:from>
    <xdr:to>
      <xdr:col>7</xdr:col>
      <xdr:colOff>645388</xdr:colOff>
      <xdr:row>15</xdr:row>
      <xdr:rowOff>73581</xdr:rowOff>
    </xdr:to>
    <xdr:cxnSp macro="">
      <xdr:nvCxnSpPr>
        <xdr:cNvPr id="283" name="Conector reto 282">
          <a:extLst>
            <a:ext uri="{FF2B5EF4-FFF2-40B4-BE49-F238E27FC236}">
              <a16:creationId xmlns:a16="http://schemas.microsoft.com/office/drawing/2014/main" id="{157EB70A-FA78-70E0-207E-1C3F7E0F7E68}"/>
            </a:ext>
          </a:extLst>
        </xdr:cNvPr>
        <xdr:cNvCxnSpPr/>
      </xdr:nvCxnSpPr>
      <xdr:spPr>
        <a:xfrm>
          <a:off x="5038723" y="2990374"/>
          <a:ext cx="71" cy="28598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2379</xdr:colOff>
      <xdr:row>13</xdr:row>
      <xdr:rowOff>172403</xdr:rowOff>
    </xdr:from>
    <xdr:to>
      <xdr:col>7</xdr:col>
      <xdr:colOff>2450</xdr:colOff>
      <xdr:row>15</xdr:row>
      <xdr:rowOff>73581</xdr:rowOff>
    </xdr:to>
    <xdr:cxnSp macro="">
      <xdr:nvCxnSpPr>
        <xdr:cNvPr id="284" name="Conector reto 283">
          <a:extLst>
            <a:ext uri="{FF2B5EF4-FFF2-40B4-BE49-F238E27FC236}">
              <a16:creationId xmlns:a16="http://schemas.microsoft.com/office/drawing/2014/main" id="{A80D07AC-7E5A-2212-6EF9-69EB527D6AB7}"/>
            </a:ext>
          </a:extLst>
        </xdr:cNvPr>
        <xdr:cNvCxnSpPr/>
      </xdr:nvCxnSpPr>
      <xdr:spPr>
        <a:xfrm>
          <a:off x="4395785" y="2994184"/>
          <a:ext cx="71" cy="28217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639363</xdr:colOff>
      <xdr:row>13</xdr:row>
      <xdr:rowOff>168593</xdr:rowOff>
    </xdr:from>
    <xdr:to>
      <xdr:col>5</xdr:col>
      <xdr:colOff>639434</xdr:colOff>
      <xdr:row>15</xdr:row>
      <xdr:rowOff>73581</xdr:rowOff>
    </xdr:to>
    <xdr:cxnSp macro="">
      <xdr:nvCxnSpPr>
        <xdr:cNvPr id="285" name="Conector reto 284">
          <a:extLst>
            <a:ext uri="{FF2B5EF4-FFF2-40B4-BE49-F238E27FC236}">
              <a16:creationId xmlns:a16="http://schemas.microsoft.com/office/drawing/2014/main" id="{ED722B06-8969-4CBD-BFB4-2B62A22359DF}"/>
            </a:ext>
          </a:extLst>
        </xdr:cNvPr>
        <xdr:cNvCxnSpPr/>
      </xdr:nvCxnSpPr>
      <xdr:spPr>
        <a:xfrm>
          <a:off x="3723082" y="2990374"/>
          <a:ext cx="71" cy="285988"/>
        </a:xfrm>
        <a:prstGeom prst="line">
          <a:avLst/>
        </a:prstGeom>
        <a:ln w="19050"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479024</xdr:colOff>
      <xdr:row>22</xdr:row>
      <xdr:rowOff>54089</xdr:rowOff>
    </xdr:from>
    <xdr:to>
      <xdr:col>7</xdr:col>
      <xdr:colOff>484557</xdr:colOff>
      <xdr:row>23</xdr:row>
      <xdr:rowOff>98919</xdr:rowOff>
    </xdr:to>
    <xdr:sp macro="" textlink="">
      <xdr:nvSpPr>
        <xdr:cNvPr id="294" name="Retângulo: Cantos Arredondados 14">
          <a:extLst>
            <a:ext uri="{FF2B5EF4-FFF2-40B4-BE49-F238E27FC236}">
              <a16:creationId xmlns:a16="http://schemas.microsoft.com/office/drawing/2014/main" id="{5260EBB7-279E-615A-75D2-3C1FCCE5386A}"/>
            </a:ext>
          </a:extLst>
        </xdr:cNvPr>
        <xdr:cNvSpPr/>
      </xdr:nvSpPr>
      <xdr:spPr>
        <a:xfrm>
          <a:off x="2253055" y="4429636"/>
          <a:ext cx="2624908" cy="199611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COZINHA</a:t>
          </a:r>
          <a:r>
            <a:rPr lang="pt-BR" sz="900" baseline="0"/>
            <a:t> - SEM PISO</a:t>
          </a:r>
          <a:endParaRPr lang="pt-BR" sz="900"/>
        </a:p>
      </xdr:txBody>
    </xdr:sp>
    <xdr:clientData/>
  </xdr:twoCellAnchor>
  <xdr:twoCellAnchor>
    <xdr:from>
      <xdr:col>8</xdr:col>
      <xdr:colOff>182403</xdr:colOff>
      <xdr:row>22</xdr:row>
      <xdr:rowOff>40754</xdr:rowOff>
    </xdr:from>
    <xdr:to>
      <xdr:col>12</xdr:col>
      <xdr:colOff>162616</xdr:colOff>
      <xdr:row>23</xdr:row>
      <xdr:rowOff>95109</xdr:rowOff>
    </xdr:to>
    <xdr:sp macro="" textlink="">
      <xdr:nvSpPr>
        <xdr:cNvPr id="295" name="Retângulo: Cantos Arredondados 15">
          <a:extLst>
            <a:ext uri="{FF2B5EF4-FFF2-40B4-BE49-F238E27FC236}">
              <a16:creationId xmlns:a16="http://schemas.microsoft.com/office/drawing/2014/main" id="{973A15D5-07EE-5F2A-2A06-677657310638}"/>
            </a:ext>
          </a:extLst>
        </xdr:cNvPr>
        <xdr:cNvSpPr/>
      </xdr:nvSpPr>
      <xdr:spPr>
        <a:xfrm>
          <a:off x="5230653" y="4416301"/>
          <a:ext cx="2599588" cy="209136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COZINHA - COM PISO (CERÂMICO)</a:t>
          </a:r>
        </a:p>
      </xdr:txBody>
    </xdr:sp>
    <xdr:clientData/>
  </xdr:twoCellAnchor>
  <xdr:twoCellAnchor>
    <xdr:from>
      <xdr:col>3</xdr:col>
      <xdr:colOff>490299</xdr:colOff>
      <xdr:row>20</xdr:row>
      <xdr:rowOff>94330</xdr:rowOff>
    </xdr:from>
    <xdr:to>
      <xdr:col>7</xdr:col>
      <xdr:colOff>484346</xdr:colOff>
      <xdr:row>21</xdr:row>
      <xdr:rowOff>131554</xdr:rowOff>
    </xdr:to>
    <xdr:sp macro="" textlink="">
      <xdr:nvSpPr>
        <xdr:cNvPr id="296" name="Retângulo: Cantos Arredondados 14">
          <a:extLst>
            <a:ext uri="{FF2B5EF4-FFF2-40B4-BE49-F238E27FC236}">
              <a16:creationId xmlns:a16="http://schemas.microsoft.com/office/drawing/2014/main" id="{18803FB5-A415-DDCD-F9FE-9A7FE3916011}"/>
            </a:ext>
          </a:extLst>
        </xdr:cNvPr>
        <xdr:cNvSpPr/>
      </xdr:nvSpPr>
      <xdr:spPr>
        <a:xfrm>
          <a:off x="2264330" y="4124596"/>
          <a:ext cx="2613422" cy="20986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SALA E QUARTOS</a:t>
          </a:r>
          <a:r>
            <a:rPr lang="pt-BR" sz="900" baseline="0"/>
            <a:t> - SEM PISO</a:t>
          </a:r>
          <a:endParaRPr lang="pt-BR" sz="900"/>
        </a:p>
      </xdr:txBody>
    </xdr:sp>
    <xdr:clientData/>
  </xdr:twoCellAnchor>
  <xdr:twoCellAnchor>
    <xdr:from>
      <xdr:col>8</xdr:col>
      <xdr:colOff>180498</xdr:colOff>
      <xdr:row>20</xdr:row>
      <xdr:rowOff>92426</xdr:rowOff>
    </xdr:from>
    <xdr:to>
      <xdr:col>12</xdr:col>
      <xdr:colOff>164521</xdr:colOff>
      <xdr:row>21</xdr:row>
      <xdr:rowOff>133460</xdr:rowOff>
    </xdr:to>
    <xdr:sp macro="" textlink="">
      <xdr:nvSpPr>
        <xdr:cNvPr id="297" name="Retângulo: Cantos Arredondados 15">
          <a:extLst>
            <a:ext uri="{FF2B5EF4-FFF2-40B4-BE49-F238E27FC236}">
              <a16:creationId xmlns:a16="http://schemas.microsoft.com/office/drawing/2014/main" id="{9ED73616-544A-BB23-7AFD-7E3BF64290FD}"/>
            </a:ext>
          </a:extLst>
        </xdr:cNvPr>
        <xdr:cNvSpPr/>
      </xdr:nvSpPr>
      <xdr:spPr>
        <a:xfrm>
          <a:off x="5228748" y="4122692"/>
          <a:ext cx="2603398" cy="21367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SALA E QUARTO-COM PISO </a:t>
          </a:r>
          <a:r>
            <a:rPr lang="pt-BR" sz="600"/>
            <a:t>(C</a:t>
          </a:r>
          <a:r>
            <a:rPr lang="pt-BR" sz="600" baseline="0"/>
            <a:t>ERÂMICA / LAMINADO)</a:t>
          </a:r>
          <a:endParaRPr lang="pt-BR" sz="900"/>
        </a:p>
      </xdr:txBody>
    </xdr:sp>
    <xdr:clientData/>
  </xdr:twoCellAnchor>
  <xdr:twoCellAnchor>
    <xdr:from>
      <xdr:col>3</xdr:col>
      <xdr:colOff>476250</xdr:colOff>
      <xdr:row>41</xdr:row>
      <xdr:rowOff>94567</xdr:rowOff>
    </xdr:from>
    <xdr:to>
      <xdr:col>7</xdr:col>
      <xdr:colOff>474107</xdr:colOff>
      <xdr:row>42</xdr:row>
      <xdr:rowOff>60115</xdr:rowOff>
    </xdr:to>
    <xdr:sp macro="" textlink="">
      <xdr:nvSpPr>
        <xdr:cNvPr id="302" name="Retângulo: Cantos Arredondados 14">
          <a:extLst>
            <a:ext uri="{FF2B5EF4-FFF2-40B4-BE49-F238E27FC236}">
              <a16:creationId xmlns:a16="http://schemas.microsoft.com/office/drawing/2014/main" id="{CB29C191-3A6A-57D5-826C-3D8DCDB2E913}"/>
            </a:ext>
          </a:extLst>
        </xdr:cNvPr>
        <xdr:cNvSpPr/>
      </xdr:nvSpPr>
      <xdr:spPr>
        <a:xfrm>
          <a:off x="2250281" y="7702661"/>
          <a:ext cx="2617232" cy="215579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PINTURA TEXTURIZADA</a:t>
          </a:r>
        </a:p>
        <a:p>
          <a:pPr algn="l"/>
          <a:endParaRPr lang="pt-BR" sz="900"/>
        </a:p>
      </xdr:txBody>
    </xdr:sp>
    <xdr:clientData/>
  </xdr:twoCellAnchor>
  <xdr:twoCellAnchor>
    <xdr:from>
      <xdr:col>8</xdr:col>
      <xdr:colOff>190500</xdr:colOff>
      <xdr:row>41</xdr:row>
      <xdr:rowOff>92663</xdr:rowOff>
    </xdr:from>
    <xdr:to>
      <xdr:col>12</xdr:col>
      <xdr:colOff>178594</xdr:colOff>
      <xdr:row>42</xdr:row>
      <xdr:rowOff>60116</xdr:rowOff>
    </xdr:to>
    <xdr:sp macro="" textlink="">
      <xdr:nvSpPr>
        <xdr:cNvPr id="303" name="Retângulo: Cantos Arredondados 15">
          <a:extLst>
            <a:ext uri="{FF2B5EF4-FFF2-40B4-BE49-F238E27FC236}">
              <a16:creationId xmlns:a16="http://schemas.microsoft.com/office/drawing/2014/main" id="{617B1B0D-12B0-69A5-B9D8-166A39DF2203}"/>
            </a:ext>
          </a:extLst>
        </xdr:cNvPr>
        <xdr:cNvSpPr/>
      </xdr:nvSpPr>
      <xdr:spPr>
        <a:xfrm>
          <a:off x="5238750" y="7700757"/>
          <a:ext cx="2607469" cy="21748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PINTURA</a:t>
          </a:r>
          <a:r>
            <a:rPr lang="pt-BR" sz="900" baseline="0"/>
            <a:t> LISA</a:t>
          </a:r>
          <a:endParaRPr lang="pt-BR" sz="900"/>
        </a:p>
      </xdr:txBody>
    </xdr:sp>
    <xdr:clientData/>
  </xdr:twoCellAnchor>
  <xdr:twoCellAnchor>
    <xdr:from>
      <xdr:col>3</xdr:col>
      <xdr:colOff>474108</xdr:colOff>
      <xdr:row>42</xdr:row>
      <xdr:rowOff>151955</xdr:rowOff>
    </xdr:from>
    <xdr:to>
      <xdr:col>12</xdr:col>
      <xdr:colOff>184548</xdr:colOff>
      <xdr:row>43</xdr:row>
      <xdr:rowOff>117502</xdr:rowOff>
    </xdr:to>
    <xdr:sp macro="" textlink="">
      <xdr:nvSpPr>
        <xdr:cNvPr id="306" name="Retângulo: Cantos Arredondados 14">
          <a:extLst>
            <a:ext uri="{FF2B5EF4-FFF2-40B4-BE49-F238E27FC236}">
              <a16:creationId xmlns:a16="http://schemas.microsoft.com/office/drawing/2014/main" id="{A3E3B11D-160E-0F21-7D9F-D91E294160E7}"/>
            </a:ext>
          </a:extLst>
        </xdr:cNvPr>
        <xdr:cNvSpPr/>
      </xdr:nvSpPr>
      <xdr:spPr>
        <a:xfrm>
          <a:off x="2248139" y="8010080"/>
          <a:ext cx="5604034" cy="215578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BANHEIRO - FORRO DE GESSO</a:t>
          </a:r>
        </a:p>
        <a:p>
          <a:pPr algn="l"/>
          <a:endParaRPr lang="pt-BR" sz="900"/>
        </a:p>
      </xdr:txBody>
    </xdr:sp>
    <xdr:clientData/>
  </xdr:twoCellAnchor>
  <xdr:twoCellAnchor>
    <xdr:from>
      <xdr:col>3</xdr:col>
      <xdr:colOff>470053</xdr:colOff>
      <xdr:row>32</xdr:row>
      <xdr:rowOff>92899</xdr:rowOff>
    </xdr:from>
    <xdr:to>
      <xdr:col>12</xdr:col>
      <xdr:colOff>167663</xdr:colOff>
      <xdr:row>34</xdr:row>
      <xdr:rowOff>12251</xdr:rowOff>
    </xdr:to>
    <xdr:sp macro="" textlink="">
      <xdr:nvSpPr>
        <xdr:cNvPr id="308" name="Retângulo: Cantos Arredondados 14">
          <a:extLst>
            <a:ext uri="{FF2B5EF4-FFF2-40B4-BE49-F238E27FC236}">
              <a16:creationId xmlns:a16="http://schemas.microsoft.com/office/drawing/2014/main" id="{F64953D2-F43A-F03E-F2CF-70A91A269A33}"/>
            </a:ext>
          </a:extLst>
        </xdr:cNvPr>
        <xdr:cNvSpPr/>
      </xdr:nvSpPr>
      <xdr:spPr>
        <a:xfrm>
          <a:off x="2244084" y="6022212"/>
          <a:ext cx="5591204" cy="228914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BOX CERÂMICA DO PISO AO TETO EM TODAS AS PAREDES</a:t>
          </a:r>
          <a:endParaRPr lang="pt-BR" sz="900"/>
        </a:p>
      </xdr:txBody>
    </xdr:sp>
    <xdr:clientData/>
  </xdr:twoCellAnchor>
  <xdr:twoCellAnchor>
    <xdr:from>
      <xdr:col>3</xdr:col>
      <xdr:colOff>470296</xdr:colOff>
      <xdr:row>34</xdr:row>
      <xdr:rowOff>92423</xdr:rowOff>
    </xdr:from>
    <xdr:to>
      <xdr:col>12</xdr:col>
      <xdr:colOff>173061</xdr:colOff>
      <xdr:row>35</xdr:row>
      <xdr:rowOff>153221</xdr:rowOff>
    </xdr:to>
    <xdr:sp macro="" textlink="">
      <xdr:nvSpPr>
        <xdr:cNvPr id="310" name="Retângulo: Cantos Arredondados 14">
          <a:extLst>
            <a:ext uri="{FF2B5EF4-FFF2-40B4-BE49-F238E27FC236}">
              <a16:creationId xmlns:a16="http://schemas.microsoft.com/office/drawing/2014/main" id="{DECE4E00-4797-6E14-BBD4-E9A2B2519206}"/>
            </a:ext>
          </a:extLst>
        </xdr:cNvPr>
        <xdr:cNvSpPr/>
      </xdr:nvSpPr>
      <xdr:spPr>
        <a:xfrm>
          <a:off x="2244327" y="6331298"/>
          <a:ext cx="5596359" cy="215579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DEMAIS PAREDES: PINTURA LISA</a:t>
          </a:r>
          <a:endParaRPr lang="pt-BR" sz="900"/>
        </a:p>
      </xdr:txBody>
    </xdr:sp>
    <xdr:clientData/>
  </xdr:twoCellAnchor>
  <xdr:twoCellAnchor>
    <xdr:from>
      <xdr:col>3</xdr:col>
      <xdr:colOff>477554</xdr:colOff>
      <xdr:row>36</xdr:row>
      <xdr:rowOff>86945</xdr:rowOff>
    </xdr:from>
    <xdr:to>
      <xdr:col>12</xdr:col>
      <xdr:colOff>172641</xdr:colOff>
      <xdr:row>38</xdr:row>
      <xdr:rowOff>15822</xdr:rowOff>
    </xdr:to>
    <xdr:sp macro="" textlink="">
      <xdr:nvSpPr>
        <xdr:cNvPr id="311" name="Retângulo: Cantos Arredondados 14">
          <a:extLst>
            <a:ext uri="{FF2B5EF4-FFF2-40B4-BE49-F238E27FC236}">
              <a16:creationId xmlns:a16="http://schemas.microsoft.com/office/drawing/2014/main" id="{C0349D10-B1EF-1D60-C216-123654CA12EA}"/>
            </a:ext>
          </a:extLst>
        </xdr:cNvPr>
        <xdr:cNvSpPr/>
      </xdr:nvSpPr>
      <xdr:spPr>
        <a:xfrm>
          <a:off x="2251585" y="6635383"/>
          <a:ext cx="5588681" cy="238439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PAREDES VARANDA: PINTURA ESPATULADA</a:t>
          </a:r>
          <a:endParaRPr lang="pt-BR" sz="900"/>
        </a:p>
      </xdr:txBody>
    </xdr:sp>
    <xdr:clientData/>
  </xdr:twoCellAnchor>
  <xdr:twoCellAnchor>
    <xdr:from>
      <xdr:col>3</xdr:col>
      <xdr:colOff>470296</xdr:colOff>
      <xdr:row>38</xdr:row>
      <xdr:rowOff>98613</xdr:rowOff>
    </xdr:from>
    <xdr:to>
      <xdr:col>12</xdr:col>
      <xdr:colOff>173061</xdr:colOff>
      <xdr:row>39</xdr:row>
      <xdr:rowOff>79401</xdr:rowOff>
    </xdr:to>
    <xdr:sp macro="" textlink="">
      <xdr:nvSpPr>
        <xdr:cNvPr id="312" name="Retângulo: Cantos Arredondados 14">
          <a:extLst>
            <a:ext uri="{FF2B5EF4-FFF2-40B4-BE49-F238E27FC236}">
              <a16:creationId xmlns:a16="http://schemas.microsoft.com/office/drawing/2014/main" id="{C987F1F3-6903-4204-1676-42005219D2C0}"/>
            </a:ext>
          </a:extLst>
        </xdr:cNvPr>
        <xdr:cNvSpPr/>
      </xdr:nvSpPr>
      <xdr:spPr>
        <a:xfrm>
          <a:off x="2244327" y="6956613"/>
          <a:ext cx="5596359" cy="230819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PAREDES ÁREA PRIVATIVA: PINTURA TEXTURIZADA</a:t>
          </a:r>
          <a:endParaRPr lang="pt-BR" sz="900"/>
        </a:p>
      </xdr:txBody>
    </xdr:sp>
    <xdr:clientData/>
  </xdr:twoCellAnchor>
  <xdr:twoCellAnchor>
    <xdr:from>
      <xdr:col>3</xdr:col>
      <xdr:colOff>476250</xdr:colOff>
      <xdr:row>53</xdr:row>
      <xdr:rowOff>102425</xdr:rowOff>
    </xdr:from>
    <xdr:to>
      <xdr:col>7</xdr:col>
      <xdr:colOff>474107</xdr:colOff>
      <xdr:row>55</xdr:row>
      <xdr:rowOff>19872</xdr:rowOff>
    </xdr:to>
    <xdr:sp macro="" textlink="">
      <xdr:nvSpPr>
        <xdr:cNvPr id="317" name="Retângulo: Cantos Arredondados 14">
          <a:extLst>
            <a:ext uri="{FF2B5EF4-FFF2-40B4-BE49-F238E27FC236}">
              <a16:creationId xmlns:a16="http://schemas.microsoft.com/office/drawing/2014/main" id="{2D8BD933-35E3-6905-F606-E2AACC0215D0}"/>
            </a:ext>
          </a:extLst>
        </xdr:cNvPr>
        <xdr:cNvSpPr/>
      </xdr:nvSpPr>
      <xdr:spPr>
        <a:xfrm>
          <a:off x="2250281" y="10234644"/>
          <a:ext cx="2617232" cy="227009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ARDÓSIA</a:t>
          </a:r>
        </a:p>
        <a:p>
          <a:pPr algn="l"/>
          <a:endParaRPr lang="pt-BR" sz="900"/>
        </a:p>
      </xdr:txBody>
    </xdr:sp>
    <xdr:clientData/>
  </xdr:twoCellAnchor>
  <xdr:twoCellAnchor>
    <xdr:from>
      <xdr:col>8</xdr:col>
      <xdr:colOff>178832</xdr:colOff>
      <xdr:row>53</xdr:row>
      <xdr:rowOff>98616</xdr:rowOff>
    </xdr:from>
    <xdr:to>
      <xdr:col>12</xdr:col>
      <xdr:colOff>172641</xdr:colOff>
      <xdr:row>55</xdr:row>
      <xdr:rowOff>19873</xdr:rowOff>
    </xdr:to>
    <xdr:sp macro="" textlink="">
      <xdr:nvSpPr>
        <xdr:cNvPr id="318" name="Retângulo: Cantos Arredondados 15">
          <a:extLst>
            <a:ext uri="{FF2B5EF4-FFF2-40B4-BE49-F238E27FC236}">
              <a16:creationId xmlns:a16="http://schemas.microsoft.com/office/drawing/2014/main" id="{381D657B-A86B-FF05-6717-207388446E9A}"/>
            </a:ext>
          </a:extLst>
        </xdr:cNvPr>
        <xdr:cNvSpPr/>
      </xdr:nvSpPr>
      <xdr:spPr>
        <a:xfrm>
          <a:off x="5227082" y="10230835"/>
          <a:ext cx="2613184" cy="230819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/>
            <a:t>GRANITO</a:t>
          </a:r>
        </a:p>
      </xdr:txBody>
    </xdr:sp>
    <xdr:clientData/>
  </xdr:twoCellAnchor>
  <xdr:twoCellAnchor>
    <xdr:from>
      <xdr:col>11</xdr:col>
      <xdr:colOff>611982</xdr:colOff>
      <xdr:row>20</xdr:row>
      <xdr:rowOff>41671</xdr:rowOff>
    </xdr:from>
    <xdr:to>
      <xdr:col>12</xdr:col>
      <xdr:colOff>430530</xdr:colOff>
      <xdr:row>21</xdr:row>
      <xdr:rowOff>168066</xdr:rowOff>
    </xdr:to>
    <xdr:sp macro="" textlink="">
      <xdr:nvSpPr>
        <xdr:cNvPr id="10" name="Elipse 45">
          <a:extLst>
            <a:ext uri="{FF2B5EF4-FFF2-40B4-BE49-F238E27FC236}">
              <a16:creationId xmlns:a16="http://schemas.microsoft.com/office/drawing/2014/main" id="{222AD058-9E9F-40C8-A3DC-C35FBAAF1D8C}"/>
            </a:ext>
          </a:extLst>
        </xdr:cNvPr>
        <xdr:cNvSpPr/>
      </xdr:nvSpPr>
      <xdr:spPr>
        <a:xfrm>
          <a:off x="7624763" y="4071937"/>
          <a:ext cx="473392" cy="2990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31</a:t>
          </a:r>
        </a:p>
      </xdr:txBody>
    </xdr:sp>
    <xdr:clientData/>
  </xdr:twoCellAnchor>
  <xdr:twoCellAnchor>
    <xdr:from>
      <xdr:col>7</xdr:col>
      <xdr:colOff>171451</xdr:colOff>
      <xdr:row>20</xdr:row>
      <xdr:rowOff>41671</xdr:rowOff>
    </xdr:from>
    <xdr:to>
      <xdr:col>7</xdr:col>
      <xdr:colOff>644843</xdr:colOff>
      <xdr:row>21</xdr:row>
      <xdr:rowOff>168066</xdr:rowOff>
    </xdr:to>
    <xdr:sp macro="" textlink="">
      <xdr:nvSpPr>
        <xdr:cNvPr id="14" name="Elipse 45">
          <a:extLst>
            <a:ext uri="{FF2B5EF4-FFF2-40B4-BE49-F238E27FC236}">
              <a16:creationId xmlns:a16="http://schemas.microsoft.com/office/drawing/2014/main" id="{A8239F84-7459-98FA-B02F-7E907F832E9A}"/>
            </a:ext>
          </a:extLst>
        </xdr:cNvPr>
        <xdr:cNvSpPr/>
      </xdr:nvSpPr>
      <xdr:spPr>
        <a:xfrm>
          <a:off x="4564857" y="4071937"/>
          <a:ext cx="473392" cy="2990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07</a:t>
          </a:r>
        </a:p>
      </xdr:txBody>
    </xdr:sp>
    <xdr:clientData/>
  </xdr:twoCellAnchor>
  <xdr:twoCellAnchor>
    <xdr:from>
      <xdr:col>11</xdr:col>
      <xdr:colOff>611982</xdr:colOff>
      <xdr:row>22</xdr:row>
      <xdr:rowOff>0</xdr:rowOff>
    </xdr:from>
    <xdr:to>
      <xdr:col>12</xdr:col>
      <xdr:colOff>434340</xdr:colOff>
      <xdr:row>23</xdr:row>
      <xdr:rowOff>148064</xdr:rowOff>
    </xdr:to>
    <xdr:sp macro="" textlink="">
      <xdr:nvSpPr>
        <xdr:cNvPr id="17" name="Elipse 45">
          <a:extLst>
            <a:ext uri="{FF2B5EF4-FFF2-40B4-BE49-F238E27FC236}">
              <a16:creationId xmlns:a16="http://schemas.microsoft.com/office/drawing/2014/main" id="{7CB16564-5C29-D844-D298-B9F73CCA748C}"/>
            </a:ext>
          </a:extLst>
        </xdr:cNvPr>
        <xdr:cNvSpPr/>
      </xdr:nvSpPr>
      <xdr:spPr>
        <a:xfrm>
          <a:off x="7624763" y="4375547"/>
          <a:ext cx="477202" cy="30284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03</a:t>
          </a:r>
        </a:p>
      </xdr:txBody>
    </xdr:sp>
    <xdr:clientData/>
  </xdr:twoCellAnchor>
  <xdr:twoCellAnchor>
    <xdr:from>
      <xdr:col>11</xdr:col>
      <xdr:colOff>611982</xdr:colOff>
      <xdr:row>30</xdr:row>
      <xdr:rowOff>35718</xdr:rowOff>
    </xdr:from>
    <xdr:to>
      <xdr:col>12</xdr:col>
      <xdr:colOff>434340</xdr:colOff>
      <xdr:row>32</xdr:row>
      <xdr:rowOff>19237</xdr:rowOff>
    </xdr:to>
    <xdr:sp macro="" textlink="">
      <xdr:nvSpPr>
        <xdr:cNvPr id="19" name="Elipse 45">
          <a:extLst>
            <a:ext uri="{FF2B5EF4-FFF2-40B4-BE49-F238E27FC236}">
              <a16:creationId xmlns:a16="http://schemas.microsoft.com/office/drawing/2014/main" id="{D15D9AD5-E203-2D0D-C6BC-6C6340966224}"/>
            </a:ext>
          </a:extLst>
        </xdr:cNvPr>
        <xdr:cNvSpPr/>
      </xdr:nvSpPr>
      <xdr:spPr>
        <a:xfrm>
          <a:off x="7624763" y="5649515"/>
          <a:ext cx="477202" cy="2990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11</xdr:col>
      <xdr:colOff>611982</xdr:colOff>
      <xdr:row>41</xdr:row>
      <xdr:rowOff>49767</xdr:rowOff>
    </xdr:from>
    <xdr:to>
      <xdr:col>12</xdr:col>
      <xdr:colOff>434340</xdr:colOff>
      <xdr:row>42</xdr:row>
      <xdr:rowOff>100676</xdr:rowOff>
    </xdr:to>
    <xdr:sp macro="" textlink="">
      <xdr:nvSpPr>
        <xdr:cNvPr id="22" name="Elipse 45">
          <a:extLst>
            <a:ext uri="{FF2B5EF4-FFF2-40B4-BE49-F238E27FC236}">
              <a16:creationId xmlns:a16="http://schemas.microsoft.com/office/drawing/2014/main" id="{07018C4D-6C31-9682-0A1E-4552888D6BD1}"/>
            </a:ext>
          </a:extLst>
        </xdr:cNvPr>
        <xdr:cNvSpPr/>
      </xdr:nvSpPr>
      <xdr:spPr>
        <a:xfrm>
          <a:off x="7624763" y="7657861"/>
          <a:ext cx="477202" cy="30094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11</xdr:col>
      <xdr:colOff>582217</xdr:colOff>
      <xdr:row>46</xdr:row>
      <xdr:rowOff>162641</xdr:rowOff>
    </xdr:from>
    <xdr:to>
      <xdr:col>12</xdr:col>
      <xdr:colOff>404575</xdr:colOff>
      <xdr:row>51</xdr:row>
      <xdr:rowOff>129302</xdr:rowOff>
    </xdr:to>
    <xdr:sp macro="" textlink="">
      <xdr:nvSpPr>
        <xdr:cNvPr id="23" name="Elipse 45">
          <a:extLst>
            <a:ext uri="{FF2B5EF4-FFF2-40B4-BE49-F238E27FC236}">
              <a16:creationId xmlns:a16="http://schemas.microsoft.com/office/drawing/2014/main" id="{0C5D1F95-9DF0-DE10-8B05-300BC6DCCA36}"/>
            </a:ext>
          </a:extLst>
        </xdr:cNvPr>
        <xdr:cNvSpPr/>
      </xdr:nvSpPr>
      <xdr:spPr>
        <a:xfrm>
          <a:off x="7594998" y="9020891"/>
          <a:ext cx="477202" cy="931067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11</xdr:col>
      <xdr:colOff>611982</xdr:colOff>
      <xdr:row>53</xdr:row>
      <xdr:rowOff>65245</xdr:rowOff>
    </xdr:from>
    <xdr:to>
      <xdr:col>12</xdr:col>
      <xdr:colOff>434340</xdr:colOff>
      <xdr:row>55</xdr:row>
      <xdr:rowOff>35668</xdr:rowOff>
    </xdr:to>
    <xdr:sp macro="" textlink="">
      <xdr:nvSpPr>
        <xdr:cNvPr id="24" name="Elipse 45">
          <a:extLst>
            <a:ext uri="{FF2B5EF4-FFF2-40B4-BE49-F238E27FC236}">
              <a16:creationId xmlns:a16="http://schemas.microsoft.com/office/drawing/2014/main" id="{AF985C2B-1DA3-5A0E-8D84-AB0F78966EF4}"/>
            </a:ext>
          </a:extLst>
        </xdr:cNvPr>
        <xdr:cNvSpPr/>
      </xdr:nvSpPr>
      <xdr:spPr>
        <a:xfrm>
          <a:off x="7624763" y="10197464"/>
          <a:ext cx="477202" cy="27998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03</a:t>
          </a:r>
        </a:p>
      </xdr:txBody>
    </xdr:sp>
    <xdr:clientData/>
  </xdr:twoCellAnchor>
  <xdr:twoCellAnchor>
    <xdr:from>
      <xdr:col>7</xdr:col>
      <xdr:colOff>197169</xdr:colOff>
      <xdr:row>53</xdr:row>
      <xdr:rowOff>59530</xdr:rowOff>
    </xdr:from>
    <xdr:to>
      <xdr:col>8</xdr:col>
      <xdr:colOff>17622</xdr:colOff>
      <xdr:row>55</xdr:row>
      <xdr:rowOff>35668</xdr:rowOff>
    </xdr:to>
    <xdr:sp macro="" textlink="">
      <xdr:nvSpPr>
        <xdr:cNvPr id="25" name="Elipse 45">
          <a:extLst>
            <a:ext uri="{FF2B5EF4-FFF2-40B4-BE49-F238E27FC236}">
              <a16:creationId xmlns:a16="http://schemas.microsoft.com/office/drawing/2014/main" id="{888B4F14-01B2-A19D-331F-9FC16BBCCB0F}"/>
            </a:ext>
          </a:extLst>
        </xdr:cNvPr>
        <xdr:cNvSpPr/>
      </xdr:nvSpPr>
      <xdr:spPr>
        <a:xfrm>
          <a:off x="4590575" y="10191749"/>
          <a:ext cx="475297" cy="28570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01</a:t>
          </a:r>
        </a:p>
      </xdr:txBody>
    </xdr:sp>
    <xdr:clientData/>
  </xdr:twoCellAnchor>
  <xdr:twoCellAnchor>
    <xdr:from>
      <xdr:col>7</xdr:col>
      <xdr:colOff>167641</xdr:colOff>
      <xdr:row>22</xdr:row>
      <xdr:rowOff>5953</xdr:rowOff>
    </xdr:from>
    <xdr:to>
      <xdr:col>7</xdr:col>
      <xdr:colOff>644843</xdr:colOff>
      <xdr:row>23</xdr:row>
      <xdr:rowOff>154017</xdr:rowOff>
    </xdr:to>
    <xdr:sp macro="" textlink="">
      <xdr:nvSpPr>
        <xdr:cNvPr id="26" name="Elipse 45">
          <a:extLst>
            <a:ext uri="{FF2B5EF4-FFF2-40B4-BE49-F238E27FC236}">
              <a16:creationId xmlns:a16="http://schemas.microsoft.com/office/drawing/2014/main" id="{5CFE968D-BE5E-B93B-1E93-32D9C46EECC0}"/>
            </a:ext>
          </a:extLst>
        </xdr:cNvPr>
        <xdr:cNvSpPr/>
      </xdr:nvSpPr>
      <xdr:spPr>
        <a:xfrm>
          <a:off x="4561047" y="4381500"/>
          <a:ext cx="477202" cy="30284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01</a:t>
          </a:r>
        </a:p>
      </xdr:txBody>
    </xdr:sp>
    <xdr:clientData/>
  </xdr:twoCellAnchor>
  <xdr:twoCellAnchor>
    <xdr:from>
      <xdr:col>7</xdr:col>
      <xdr:colOff>171451</xdr:colOff>
      <xdr:row>30</xdr:row>
      <xdr:rowOff>31671</xdr:rowOff>
    </xdr:from>
    <xdr:to>
      <xdr:col>7</xdr:col>
      <xdr:colOff>644843</xdr:colOff>
      <xdr:row>32</xdr:row>
      <xdr:rowOff>17095</xdr:rowOff>
    </xdr:to>
    <xdr:sp macro="" textlink="">
      <xdr:nvSpPr>
        <xdr:cNvPr id="28" name="Elipse 45">
          <a:extLst>
            <a:ext uri="{FF2B5EF4-FFF2-40B4-BE49-F238E27FC236}">
              <a16:creationId xmlns:a16="http://schemas.microsoft.com/office/drawing/2014/main" id="{84B2AA7B-66F6-9ACD-1F2F-77B8AE0717E8}"/>
            </a:ext>
          </a:extLst>
        </xdr:cNvPr>
        <xdr:cNvSpPr/>
      </xdr:nvSpPr>
      <xdr:spPr>
        <a:xfrm>
          <a:off x="4564857" y="5645468"/>
          <a:ext cx="473392" cy="30094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7</xdr:col>
      <xdr:colOff>167641</xdr:colOff>
      <xdr:row>41</xdr:row>
      <xdr:rowOff>41673</xdr:rowOff>
    </xdr:from>
    <xdr:to>
      <xdr:col>7</xdr:col>
      <xdr:colOff>644843</xdr:colOff>
      <xdr:row>42</xdr:row>
      <xdr:rowOff>102107</xdr:rowOff>
    </xdr:to>
    <xdr:sp macro="" textlink="">
      <xdr:nvSpPr>
        <xdr:cNvPr id="29" name="Elipse 45">
          <a:extLst>
            <a:ext uri="{FF2B5EF4-FFF2-40B4-BE49-F238E27FC236}">
              <a16:creationId xmlns:a16="http://schemas.microsoft.com/office/drawing/2014/main" id="{91C7A94C-E7A7-5384-0853-57782086893E}"/>
            </a:ext>
          </a:extLst>
        </xdr:cNvPr>
        <xdr:cNvSpPr/>
      </xdr:nvSpPr>
      <xdr:spPr>
        <a:xfrm>
          <a:off x="4561047" y="7649767"/>
          <a:ext cx="477202" cy="31046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06</a:t>
          </a:r>
        </a:p>
      </xdr:txBody>
    </xdr:sp>
    <xdr:clientData/>
  </xdr:twoCellAnchor>
  <xdr:twoCellAnchor>
    <xdr:from>
      <xdr:col>7</xdr:col>
      <xdr:colOff>240745</xdr:colOff>
      <xdr:row>46</xdr:row>
      <xdr:rowOff>190263</xdr:rowOff>
    </xdr:from>
    <xdr:to>
      <xdr:col>8</xdr:col>
      <xdr:colOff>57388</xdr:colOff>
      <xdr:row>52</xdr:row>
      <xdr:rowOff>2142</xdr:rowOff>
    </xdr:to>
    <xdr:sp macro="" textlink="">
      <xdr:nvSpPr>
        <xdr:cNvPr id="30" name="Elipse 45">
          <a:extLst>
            <a:ext uri="{FF2B5EF4-FFF2-40B4-BE49-F238E27FC236}">
              <a16:creationId xmlns:a16="http://schemas.microsoft.com/office/drawing/2014/main" id="{B7EC4AEE-5072-C669-5A1E-62A6532A4266}"/>
            </a:ext>
          </a:extLst>
        </xdr:cNvPr>
        <xdr:cNvSpPr/>
      </xdr:nvSpPr>
      <xdr:spPr>
        <a:xfrm>
          <a:off x="4634151" y="9048513"/>
          <a:ext cx="471487" cy="931067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05</a:t>
          </a:r>
        </a:p>
      </xdr:txBody>
    </xdr:sp>
    <xdr:clientData/>
  </xdr:twoCellAnchor>
  <xdr:twoCellAnchor>
    <xdr:from>
      <xdr:col>3</xdr:col>
      <xdr:colOff>476250</xdr:colOff>
      <xdr:row>88</xdr:row>
      <xdr:rowOff>100520</xdr:rowOff>
    </xdr:from>
    <xdr:to>
      <xdr:col>7</xdr:col>
      <xdr:colOff>474107</xdr:colOff>
      <xdr:row>90</xdr:row>
      <xdr:rowOff>8442</xdr:rowOff>
    </xdr:to>
    <xdr:sp macro="" textlink="">
      <xdr:nvSpPr>
        <xdr:cNvPr id="32" name="Retângulo: Cantos Arredondados 14">
          <a:extLst>
            <a:ext uri="{FF2B5EF4-FFF2-40B4-BE49-F238E27FC236}">
              <a16:creationId xmlns:a16="http://schemas.microsoft.com/office/drawing/2014/main" id="{86EE7FC5-D3F2-F12D-82FE-72A70BA65ED2}"/>
            </a:ext>
          </a:extLst>
        </xdr:cNvPr>
        <xdr:cNvSpPr/>
      </xdr:nvSpPr>
      <xdr:spPr>
        <a:xfrm>
          <a:off x="2250281" y="15989411"/>
          <a:ext cx="2617232" cy="21748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PLAYGROUND</a:t>
          </a:r>
        </a:p>
        <a:p>
          <a:pPr algn="l"/>
          <a:endParaRPr lang="pt-BR" sz="900"/>
        </a:p>
      </xdr:txBody>
    </xdr:sp>
    <xdr:clientData/>
  </xdr:twoCellAnchor>
  <xdr:twoCellAnchor>
    <xdr:from>
      <xdr:col>7</xdr:col>
      <xdr:colOff>210504</xdr:colOff>
      <xdr:row>88</xdr:row>
      <xdr:rowOff>44290</xdr:rowOff>
    </xdr:from>
    <xdr:to>
      <xdr:col>8</xdr:col>
      <xdr:colOff>21432</xdr:colOff>
      <xdr:row>90</xdr:row>
      <xdr:rowOff>41383</xdr:rowOff>
    </xdr:to>
    <xdr:sp macro="" textlink="">
      <xdr:nvSpPr>
        <xdr:cNvPr id="33" name="Elipse 45">
          <a:extLst>
            <a:ext uri="{FF2B5EF4-FFF2-40B4-BE49-F238E27FC236}">
              <a16:creationId xmlns:a16="http://schemas.microsoft.com/office/drawing/2014/main" id="{C2C21B6B-B100-E7B5-21A0-6B0B9CBF7A95}"/>
            </a:ext>
          </a:extLst>
        </xdr:cNvPr>
        <xdr:cNvSpPr/>
      </xdr:nvSpPr>
      <xdr:spPr>
        <a:xfrm>
          <a:off x="4603910" y="15933181"/>
          <a:ext cx="465772" cy="30665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26</a:t>
          </a:r>
        </a:p>
      </xdr:txBody>
    </xdr:sp>
    <xdr:clientData/>
  </xdr:twoCellAnchor>
  <xdr:twoCellAnchor>
    <xdr:from>
      <xdr:col>3</xdr:col>
      <xdr:colOff>472440</xdr:colOff>
      <xdr:row>73</xdr:row>
      <xdr:rowOff>142499</xdr:rowOff>
    </xdr:from>
    <xdr:to>
      <xdr:col>7</xdr:col>
      <xdr:colOff>477917</xdr:colOff>
      <xdr:row>75</xdr:row>
      <xdr:rowOff>59946</xdr:rowOff>
    </xdr:to>
    <xdr:sp macro="" textlink="">
      <xdr:nvSpPr>
        <xdr:cNvPr id="34" name="Retângulo: Cantos Arredondados 14">
          <a:extLst>
            <a:ext uri="{FF2B5EF4-FFF2-40B4-BE49-F238E27FC236}">
              <a16:creationId xmlns:a16="http://schemas.microsoft.com/office/drawing/2014/main" id="{4810935C-4B0B-3C7D-978B-9532D3A03539}"/>
            </a:ext>
          </a:extLst>
        </xdr:cNvPr>
        <xdr:cNvSpPr/>
      </xdr:nvSpPr>
      <xdr:spPr>
        <a:xfrm>
          <a:off x="2246471" y="13709671"/>
          <a:ext cx="2624852" cy="227009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PET PLACE</a:t>
          </a:r>
          <a:endParaRPr lang="pt-BR" sz="900"/>
        </a:p>
      </xdr:txBody>
    </xdr:sp>
    <xdr:clientData/>
  </xdr:twoCellAnchor>
  <xdr:twoCellAnchor>
    <xdr:from>
      <xdr:col>7</xdr:col>
      <xdr:colOff>210504</xdr:colOff>
      <xdr:row>73</xdr:row>
      <xdr:rowOff>86813</xdr:rowOff>
    </xdr:from>
    <xdr:to>
      <xdr:col>8</xdr:col>
      <xdr:colOff>21432</xdr:colOff>
      <xdr:row>75</xdr:row>
      <xdr:rowOff>89621</xdr:rowOff>
    </xdr:to>
    <xdr:sp macro="" textlink="">
      <xdr:nvSpPr>
        <xdr:cNvPr id="35" name="Elipse 45">
          <a:extLst>
            <a:ext uri="{FF2B5EF4-FFF2-40B4-BE49-F238E27FC236}">
              <a16:creationId xmlns:a16="http://schemas.microsoft.com/office/drawing/2014/main" id="{95ACAB43-7309-9FE5-2229-CC2B6C51BE72}"/>
            </a:ext>
          </a:extLst>
        </xdr:cNvPr>
        <xdr:cNvSpPr/>
      </xdr:nvSpPr>
      <xdr:spPr>
        <a:xfrm>
          <a:off x="4603910" y="13653985"/>
          <a:ext cx="465772" cy="31237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3</xdr:col>
      <xdr:colOff>476250</xdr:colOff>
      <xdr:row>76</xdr:row>
      <xdr:rowOff>61604</xdr:rowOff>
    </xdr:from>
    <xdr:to>
      <xdr:col>7</xdr:col>
      <xdr:colOff>474107</xdr:colOff>
      <xdr:row>77</xdr:row>
      <xdr:rowOff>131927</xdr:rowOff>
    </xdr:to>
    <xdr:sp macro="" textlink="">
      <xdr:nvSpPr>
        <xdr:cNvPr id="38" name="Retângulo: Cantos Arredondados 14">
          <a:extLst>
            <a:ext uri="{FF2B5EF4-FFF2-40B4-BE49-F238E27FC236}">
              <a16:creationId xmlns:a16="http://schemas.microsoft.com/office/drawing/2014/main" id="{FD866A7C-5C3A-1C24-2C06-F5BC2956C149}"/>
            </a:ext>
          </a:extLst>
        </xdr:cNvPr>
        <xdr:cNvSpPr/>
      </xdr:nvSpPr>
      <xdr:spPr>
        <a:xfrm>
          <a:off x="2250281" y="14093120"/>
          <a:ext cx="2617232" cy="22510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PIQUENIQUE</a:t>
          </a:r>
        </a:p>
      </xdr:txBody>
    </xdr:sp>
    <xdr:clientData/>
  </xdr:twoCellAnchor>
  <xdr:twoCellAnchor>
    <xdr:from>
      <xdr:col>7</xdr:col>
      <xdr:colOff>206694</xdr:colOff>
      <xdr:row>76</xdr:row>
      <xdr:rowOff>2652</xdr:rowOff>
    </xdr:from>
    <xdr:to>
      <xdr:col>8</xdr:col>
      <xdr:colOff>17622</xdr:colOff>
      <xdr:row>78</xdr:row>
      <xdr:rowOff>7365</xdr:rowOff>
    </xdr:to>
    <xdr:sp macro="" textlink="">
      <xdr:nvSpPr>
        <xdr:cNvPr id="39" name="Elipse 45">
          <a:extLst>
            <a:ext uri="{FF2B5EF4-FFF2-40B4-BE49-F238E27FC236}">
              <a16:creationId xmlns:a16="http://schemas.microsoft.com/office/drawing/2014/main" id="{BD63C1A3-D2EA-EE61-C869-21B5A0C32F8D}"/>
            </a:ext>
          </a:extLst>
        </xdr:cNvPr>
        <xdr:cNvSpPr/>
      </xdr:nvSpPr>
      <xdr:spPr>
        <a:xfrm>
          <a:off x="4600100" y="14034168"/>
          <a:ext cx="465772" cy="31427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3</xdr:col>
      <xdr:colOff>476250</xdr:colOff>
      <xdr:row>81</xdr:row>
      <xdr:rowOff>45071</xdr:rowOff>
    </xdr:from>
    <xdr:to>
      <xdr:col>7</xdr:col>
      <xdr:colOff>474107</xdr:colOff>
      <xdr:row>82</xdr:row>
      <xdr:rowOff>103964</xdr:rowOff>
    </xdr:to>
    <xdr:sp macro="" textlink="">
      <xdr:nvSpPr>
        <xdr:cNvPr id="40" name="Retângulo: Cantos Arredondados 14">
          <a:extLst>
            <a:ext uri="{FF2B5EF4-FFF2-40B4-BE49-F238E27FC236}">
              <a16:creationId xmlns:a16="http://schemas.microsoft.com/office/drawing/2014/main" id="{02802FB7-F3FA-F57E-C17A-5993A2A922F5}"/>
            </a:ext>
          </a:extLst>
        </xdr:cNvPr>
        <xdr:cNvSpPr/>
      </xdr:nvSpPr>
      <xdr:spPr>
        <a:xfrm>
          <a:off x="2250281" y="14850493"/>
          <a:ext cx="2617232" cy="21367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FUNCIONAL</a:t>
          </a:r>
        </a:p>
      </xdr:txBody>
    </xdr:sp>
    <xdr:clientData/>
  </xdr:twoCellAnchor>
  <xdr:twoCellAnchor>
    <xdr:from>
      <xdr:col>7</xdr:col>
      <xdr:colOff>206694</xdr:colOff>
      <xdr:row>80</xdr:row>
      <xdr:rowOff>141988</xdr:rowOff>
    </xdr:from>
    <xdr:to>
      <xdr:col>8</xdr:col>
      <xdr:colOff>17622</xdr:colOff>
      <xdr:row>82</xdr:row>
      <xdr:rowOff>139081</xdr:rowOff>
    </xdr:to>
    <xdr:sp macro="" textlink="">
      <xdr:nvSpPr>
        <xdr:cNvPr id="41" name="Elipse 45">
          <a:extLst>
            <a:ext uri="{FF2B5EF4-FFF2-40B4-BE49-F238E27FC236}">
              <a16:creationId xmlns:a16="http://schemas.microsoft.com/office/drawing/2014/main" id="{0BC795C7-7D5F-4718-3B44-5F630C796220}"/>
            </a:ext>
          </a:extLst>
        </xdr:cNvPr>
        <xdr:cNvSpPr/>
      </xdr:nvSpPr>
      <xdr:spPr>
        <a:xfrm>
          <a:off x="4600100" y="14792629"/>
          <a:ext cx="465772" cy="30665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3</xdr:col>
      <xdr:colOff>472440</xdr:colOff>
      <xdr:row>78</xdr:row>
      <xdr:rowOff>133586</xdr:rowOff>
    </xdr:from>
    <xdr:to>
      <xdr:col>7</xdr:col>
      <xdr:colOff>477917</xdr:colOff>
      <xdr:row>80</xdr:row>
      <xdr:rowOff>43412</xdr:rowOff>
    </xdr:to>
    <xdr:sp macro="" textlink="">
      <xdr:nvSpPr>
        <xdr:cNvPr id="42" name="Retângulo: Cantos Arredondados 14">
          <a:extLst>
            <a:ext uri="{FF2B5EF4-FFF2-40B4-BE49-F238E27FC236}">
              <a16:creationId xmlns:a16="http://schemas.microsoft.com/office/drawing/2014/main" id="{C650EAC3-1BF6-E470-90A0-52EE5C2F7075}"/>
            </a:ext>
          </a:extLst>
        </xdr:cNvPr>
        <xdr:cNvSpPr/>
      </xdr:nvSpPr>
      <xdr:spPr>
        <a:xfrm>
          <a:off x="2246471" y="14474664"/>
          <a:ext cx="2624852" cy="219389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REDÁRIO</a:t>
          </a:r>
        </a:p>
      </xdr:txBody>
    </xdr:sp>
    <xdr:clientData/>
  </xdr:twoCellAnchor>
  <xdr:twoCellAnchor>
    <xdr:from>
      <xdr:col>7</xdr:col>
      <xdr:colOff>210504</xdr:colOff>
      <xdr:row>78</xdr:row>
      <xdr:rowOff>75178</xdr:rowOff>
    </xdr:from>
    <xdr:to>
      <xdr:col>8</xdr:col>
      <xdr:colOff>21432</xdr:colOff>
      <xdr:row>80</xdr:row>
      <xdr:rowOff>74175</xdr:rowOff>
    </xdr:to>
    <xdr:sp macro="" textlink="">
      <xdr:nvSpPr>
        <xdr:cNvPr id="43" name="Elipse 45">
          <a:extLst>
            <a:ext uri="{FF2B5EF4-FFF2-40B4-BE49-F238E27FC236}">
              <a16:creationId xmlns:a16="http://schemas.microsoft.com/office/drawing/2014/main" id="{CD0A4F2C-4718-0CED-D44F-A263206BD507}"/>
            </a:ext>
          </a:extLst>
        </xdr:cNvPr>
        <xdr:cNvSpPr/>
      </xdr:nvSpPr>
      <xdr:spPr>
        <a:xfrm>
          <a:off x="4603910" y="14416256"/>
          <a:ext cx="465772" cy="30856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3</xdr:col>
      <xdr:colOff>476250</xdr:colOff>
      <xdr:row>83</xdr:row>
      <xdr:rowOff>105623</xdr:rowOff>
    </xdr:from>
    <xdr:to>
      <xdr:col>7</xdr:col>
      <xdr:colOff>474107</xdr:colOff>
      <xdr:row>85</xdr:row>
      <xdr:rowOff>15449</xdr:rowOff>
    </xdr:to>
    <xdr:sp macro="" textlink="">
      <xdr:nvSpPr>
        <xdr:cNvPr id="44" name="Retângulo: Cantos Arredondados 14">
          <a:extLst>
            <a:ext uri="{FF2B5EF4-FFF2-40B4-BE49-F238E27FC236}">
              <a16:creationId xmlns:a16="http://schemas.microsoft.com/office/drawing/2014/main" id="{5355578E-2E0F-C300-29FA-57468D9F518F}"/>
            </a:ext>
          </a:extLst>
        </xdr:cNvPr>
        <xdr:cNvSpPr/>
      </xdr:nvSpPr>
      <xdr:spPr>
        <a:xfrm>
          <a:off x="2250281" y="15220607"/>
          <a:ext cx="2617232" cy="219389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SOLARIUM</a:t>
          </a:r>
        </a:p>
      </xdr:txBody>
    </xdr:sp>
    <xdr:clientData/>
  </xdr:twoCellAnchor>
  <xdr:twoCellAnchor>
    <xdr:from>
      <xdr:col>7</xdr:col>
      <xdr:colOff>210504</xdr:colOff>
      <xdr:row>83</xdr:row>
      <xdr:rowOff>52113</xdr:rowOff>
    </xdr:from>
    <xdr:to>
      <xdr:col>8</xdr:col>
      <xdr:colOff>21432</xdr:colOff>
      <xdr:row>85</xdr:row>
      <xdr:rowOff>60635</xdr:rowOff>
    </xdr:to>
    <xdr:sp macro="" textlink="">
      <xdr:nvSpPr>
        <xdr:cNvPr id="45" name="Elipse 45">
          <a:extLst>
            <a:ext uri="{FF2B5EF4-FFF2-40B4-BE49-F238E27FC236}">
              <a16:creationId xmlns:a16="http://schemas.microsoft.com/office/drawing/2014/main" id="{A975410B-027E-008D-5F2F-60B197B1253C}"/>
            </a:ext>
          </a:extLst>
        </xdr:cNvPr>
        <xdr:cNvSpPr/>
      </xdr:nvSpPr>
      <xdr:spPr>
        <a:xfrm>
          <a:off x="4603910" y="15167097"/>
          <a:ext cx="465772" cy="31808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3</xdr:col>
      <xdr:colOff>476250</xdr:colOff>
      <xdr:row>71</xdr:row>
      <xdr:rowOff>64803</xdr:rowOff>
    </xdr:from>
    <xdr:to>
      <xdr:col>7</xdr:col>
      <xdr:colOff>474107</xdr:colOff>
      <xdr:row>72</xdr:row>
      <xdr:rowOff>142745</xdr:rowOff>
    </xdr:to>
    <xdr:sp macro="" textlink="">
      <xdr:nvSpPr>
        <xdr:cNvPr id="46" name="Retângulo: Cantos Arredondados 14">
          <a:extLst>
            <a:ext uri="{FF2B5EF4-FFF2-40B4-BE49-F238E27FC236}">
              <a16:creationId xmlns:a16="http://schemas.microsoft.com/office/drawing/2014/main" id="{B56F7A1A-DC9A-5F5F-EC3C-C8CEAE710084}"/>
            </a:ext>
          </a:extLst>
        </xdr:cNvPr>
        <xdr:cNvSpPr/>
      </xdr:nvSpPr>
      <xdr:spPr>
        <a:xfrm>
          <a:off x="2250281" y="13322412"/>
          <a:ext cx="2617232" cy="23272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BICICLETÁRIO</a:t>
          </a:r>
        </a:p>
      </xdr:txBody>
    </xdr:sp>
    <xdr:clientData/>
  </xdr:twoCellAnchor>
  <xdr:twoCellAnchor>
    <xdr:from>
      <xdr:col>7</xdr:col>
      <xdr:colOff>210504</xdr:colOff>
      <xdr:row>71</xdr:row>
      <xdr:rowOff>10478</xdr:rowOff>
    </xdr:from>
    <xdr:to>
      <xdr:col>8</xdr:col>
      <xdr:colOff>21432</xdr:colOff>
      <xdr:row>73</xdr:row>
      <xdr:rowOff>22810</xdr:rowOff>
    </xdr:to>
    <xdr:sp macro="" textlink="">
      <xdr:nvSpPr>
        <xdr:cNvPr id="47" name="Elipse 45">
          <a:extLst>
            <a:ext uri="{FF2B5EF4-FFF2-40B4-BE49-F238E27FC236}">
              <a16:creationId xmlns:a16="http://schemas.microsoft.com/office/drawing/2014/main" id="{2F027C70-DCC3-C0C8-6C71-79BF29394E85}"/>
            </a:ext>
          </a:extLst>
        </xdr:cNvPr>
        <xdr:cNvSpPr/>
      </xdr:nvSpPr>
      <xdr:spPr>
        <a:xfrm>
          <a:off x="4603910" y="13268087"/>
          <a:ext cx="465772" cy="32189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06</a:t>
          </a:r>
        </a:p>
      </xdr:txBody>
    </xdr:sp>
    <xdr:clientData/>
  </xdr:twoCellAnchor>
  <xdr:twoCellAnchor>
    <xdr:from>
      <xdr:col>3</xdr:col>
      <xdr:colOff>476250</xdr:colOff>
      <xdr:row>86</xdr:row>
      <xdr:rowOff>17108</xdr:rowOff>
    </xdr:from>
    <xdr:to>
      <xdr:col>7</xdr:col>
      <xdr:colOff>474107</xdr:colOff>
      <xdr:row>87</xdr:row>
      <xdr:rowOff>95051</xdr:rowOff>
    </xdr:to>
    <xdr:sp macro="" textlink="">
      <xdr:nvSpPr>
        <xdr:cNvPr id="48" name="Retângulo: Cantos Arredondados 14">
          <a:extLst>
            <a:ext uri="{FF2B5EF4-FFF2-40B4-BE49-F238E27FC236}">
              <a16:creationId xmlns:a16="http://schemas.microsoft.com/office/drawing/2014/main" id="{2477C41F-DD26-057A-8E87-24EAB96DA4A2}"/>
            </a:ext>
          </a:extLst>
        </xdr:cNvPr>
        <xdr:cNvSpPr/>
      </xdr:nvSpPr>
      <xdr:spPr>
        <a:xfrm>
          <a:off x="2250281" y="15596436"/>
          <a:ext cx="2617232" cy="232724"/>
        </a:xfrm>
        <a:prstGeom prst="roundRect">
          <a:avLst/>
        </a:prstGeom>
        <a:solidFill>
          <a:srgbClr val="006B3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GAZEBO</a:t>
          </a:r>
        </a:p>
      </xdr:txBody>
    </xdr:sp>
    <xdr:clientData/>
  </xdr:twoCellAnchor>
  <xdr:twoCellAnchor>
    <xdr:from>
      <xdr:col>7</xdr:col>
      <xdr:colOff>206694</xdr:colOff>
      <xdr:row>85</xdr:row>
      <xdr:rowOff>128448</xdr:rowOff>
    </xdr:from>
    <xdr:to>
      <xdr:col>8</xdr:col>
      <xdr:colOff>17622</xdr:colOff>
      <xdr:row>87</xdr:row>
      <xdr:rowOff>133161</xdr:rowOff>
    </xdr:to>
    <xdr:sp macro="" textlink="">
      <xdr:nvSpPr>
        <xdr:cNvPr id="49" name="Elipse 45">
          <a:extLst>
            <a:ext uri="{FF2B5EF4-FFF2-40B4-BE49-F238E27FC236}">
              <a16:creationId xmlns:a16="http://schemas.microsoft.com/office/drawing/2014/main" id="{00345804-2186-9FA4-6BB6-1CDA33FEF69D}"/>
            </a:ext>
          </a:extLst>
        </xdr:cNvPr>
        <xdr:cNvSpPr/>
      </xdr:nvSpPr>
      <xdr:spPr>
        <a:xfrm>
          <a:off x="4600100" y="15552995"/>
          <a:ext cx="465772" cy="31427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</xdr:col>
      <xdr:colOff>205976</xdr:colOff>
      <xdr:row>108</xdr:row>
      <xdr:rowOff>57325</xdr:rowOff>
    </xdr:from>
    <xdr:to>
      <xdr:col>12</xdr:col>
      <xdr:colOff>228598</xdr:colOff>
      <xdr:row>109</xdr:row>
      <xdr:rowOff>96215</xdr:rowOff>
    </xdr:to>
    <xdr:sp macro="" textlink="">
      <xdr:nvSpPr>
        <xdr:cNvPr id="50" name="Retângulo: Cantos Arredondados 14">
          <a:extLst>
            <a:ext uri="{FF2B5EF4-FFF2-40B4-BE49-F238E27FC236}">
              <a16:creationId xmlns:a16="http://schemas.microsoft.com/office/drawing/2014/main" id="{4A39F9E0-B522-4E7B-99F0-228AA7F5A826}"/>
            </a:ext>
          </a:extLst>
        </xdr:cNvPr>
        <xdr:cNvSpPr/>
      </xdr:nvSpPr>
      <xdr:spPr>
        <a:xfrm>
          <a:off x="5254226" y="18934684"/>
          <a:ext cx="2641997" cy="21748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QUADRA RECREATIVA</a:t>
          </a:r>
        </a:p>
      </xdr:txBody>
    </xdr:sp>
    <xdr:clientData/>
  </xdr:twoCellAnchor>
  <xdr:twoCellAnchor>
    <xdr:from>
      <xdr:col>11</xdr:col>
      <xdr:colOff>622698</xdr:colOff>
      <xdr:row>107</xdr:row>
      <xdr:rowOff>200741</xdr:rowOff>
    </xdr:from>
    <xdr:to>
      <xdr:col>12</xdr:col>
      <xdr:colOff>439341</xdr:colOff>
      <xdr:row>109</xdr:row>
      <xdr:rowOff>126396</xdr:rowOff>
    </xdr:to>
    <xdr:sp macro="" textlink="">
      <xdr:nvSpPr>
        <xdr:cNvPr id="51" name="Elipse 45">
          <a:extLst>
            <a:ext uri="{FF2B5EF4-FFF2-40B4-BE49-F238E27FC236}">
              <a16:creationId xmlns:a16="http://schemas.microsoft.com/office/drawing/2014/main" id="{E2AE6276-630B-4E87-B66F-6227C69EA4C3}"/>
            </a:ext>
          </a:extLst>
        </xdr:cNvPr>
        <xdr:cNvSpPr/>
      </xdr:nvSpPr>
      <xdr:spPr>
        <a:xfrm>
          <a:off x="7635479" y="18875694"/>
          <a:ext cx="471487" cy="30665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205976</xdr:colOff>
      <xdr:row>94</xdr:row>
      <xdr:rowOff>21416</xdr:rowOff>
    </xdr:from>
    <xdr:to>
      <xdr:col>12</xdr:col>
      <xdr:colOff>219073</xdr:colOff>
      <xdr:row>95</xdr:row>
      <xdr:rowOff>95549</xdr:rowOff>
    </xdr:to>
    <xdr:sp macro="" textlink="">
      <xdr:nvSpPr>
        <xdr:cNvPr id="56" name="Retângulo: Cantos Arredondados 14">
          <a:extLst>
            <a:ext uri="{FF2B5EF4-FFF2-40B4-BE49-F238E27FC236}">
              <a16:creationId xmlns:a16="http://schemas.microsoft.com/office/drawing/2014/main" id="{BEA142B0-AE2B-4C9E-B10E-B16E89D690E6}"/>
            </a:ext>
          </a:extLst>
        </xdr:cNvPr>
        <xdr:cNvSpPr/>
      </xdr:nvSpPr>
      <xdr:spPr>
        <a:xfrm>
          <a:off x="5254226" y="16838994"/>
          <a:ext cx="2632472" cy="22891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ESPAÇO KIDS</a:t>
          </a:r>
          <a:endParaRPr lang="pt-BR" sz="900"/>
        </a:p>
      </xdr:txBody>
    </xdr:sp>
    <xdr:clientData/>
  </xdr:twoCellAnchor>
  <xdr:twoCellAnchor>
    <xdr:from>
      <xdr:col>11</xdr:col>
      <xdr:colOff>618888</xdr:colOff>
      <xdr:row>93</xdr:row>
      <xdr:rowOff>118348</xdr:rowOff>
    </xdr:from>
    <xdr:to>
      <xdr:col>12</xdr:col>
      <xdr:colOff>429816</xdr:colOff>
      <xdr:row>95</xdr:row>
      <xdr:rowOff>123061</xdr:rowOff>
    </xdr:to>
    <xdr:sp macro="" textlink="">
      <xdr:nvSpPr>
        <xdr:cNvPr id="57" name="Elipse 45">
          <a:extLst>
            <a:ext uri="{FF2B5EF4-FFF2-40B4-BE49-F238E27FC236}">
              <a16:creationId xmlns:a16="http://schemas.microsoft.com/office/drawing/2014/main" id="{D4FDFFB6-736C-4DE8-9487-9DD80AC5905A}"/>
            </a:ext>
          </a:extLst>
        </xdr:cNvPr>
        <xdr:cNvSpPr/>
      </xdr:nvSpPr>
      <xdr:spPr>
        <a:xfrm>
          <a:off x="7631669" y="16781145"/>
          <a:ext cx="465772" cy="31427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05</a:t>
          </a:r>
        </a:p>
      </xdr:txBody>
    </xdr:sp>
    <xdr:clientData/>
  </xdr:twoCellAnchor>
  <xdr:twoCellAnchor>
    <xdr:from>
      <xdr:col>8</xdr:col>
      <xdr:colOff>205976</xdr:colOff>
      <xdr:row>96</xdr:row>
      <xdr:rowOff>53991</xdr:rowOff>
    </xdr:from>
    <xdr:to>
      <xdr:col>12</xdr:col>
      <xdr:colOff>192403</xdr:colOff>
      <xdr:row>97</xdr:row>
      <xdr:rowOff>135744</xdr:rowOff>
    </xdr:to>
    <xdr:sp macro="" textlink="">
      <xdr:nvSpPr>
        <xdr:cNvPr id="58" name="Retângulo: Cantos Arredondados 14">
          <a:extLst>
            <a:ext uri="{FF2B5EF4-FFF2-40B4-BE49-F238E27FC236}">
              <a16:creationId xmlns:a16="http://schemas.microsoft.com/office/drawing/2014/main" id="{74ECA402-5275-4F24-A0EF-38ED9DBAB9E9}"/>
            </a:ext>
          </a:extLst>
        </xdr:cNvPr>
        <xdr:cNvSpPr/>
      </xdr:nvSpPr>
      <xdr:spPr>
        <a:xfrm>
          <a:off x="5254226" y="17181132"/>
          <a:ext cx="2605802" cy="23653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CHURRASQUEIRA</a:t>
          </a:r>
        </a:p>
      </xdr:txBody>
    </xdr:sp>
    <xdr:clientData/>
  </xdr:twoCellAnchor>
  <xdr:twoCellAnchor>
    <xdr:from>
      <xdr:col>11</xdr:col>
      <xdr:colOff>618888</xdr:colOff>
      <xdr:row>95</xdr:row>
      <xdr:rowOff>147400</xdr:rowOff>
    </xdr:from>
    <xdr:to>
      <xdr:col>12</xdr:col>
      <xdr:colOff>431721</xdr:colOff>
      <xdr:row>98</xdr:row>
      <xdr:rowOff>1141</xdr:rowOff>
    </xdr:to>
    <xdr:sp macro="" textlink="">
      <xdr:nvSpPr>
        <xdr:cNvPr id="59" name="Elipse 45">
          <a:extLst>
            <a:ext uri="{FF2B5EF4-FFF2-40B4-BE49-F238E27FC236}">
              <a16:creationId xmlns:a16="http://schemas.microsoft.com/office/drawing/2014/main" id="{CF3E9CFF-D874-43F2-8D26-BCA2B234454F}"/>
            </a:ext>
          </a:extLst>
        </xdr:cNvPr>
        <xdr:cNvSpPr/>
      </xdr:nvSpPr>
      <xdr:spPr>
        <a:xfrm>
          <a:off x="7631669" y="17119759"/>
          <a:ext cx="467677" cy="31808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07</a:t>
          </a:r>
        </a:p>
      </xdr:txBody>
    </xdr:sp>
    <xdr:clientData/>
  </xdr:twoCellAnchor>
  <xdr:twoCellAnchor>
    <xdr:from>
      <xdr:col>8</xdr:col>
      <xdr:colOff>205976</xdr:colOff>
      <xdr:row>98</xdr:row>
      <xdr:rowOff>94187</xdr:rowOff>
    </xdr:from>
    <xdr:to>
      <xdr:col>12</xdr:col>
      <xdr:colOff>220978</xdr:colOff>
      <xdr:row>100</xdr:row>
      <xdr:rowOff>15443</xdr:rowOff>
    </xdr:to>
    <xdr:sp macro="" textlink="">
      <xdr:nvSpPr>
        <xdr:cNvPr id="130" name="Retângulo: Cantos Arredondados 14">
          <a:extLst>
            <a:ext uri="{FF2B5EF4-FFF2-40B4-BE49-F238E27FC236}">
              <a16:creationId xmlns:a16="http://schemas.microsoft.com/office/drawing/2014/main" id="{5A688E33-CC0A-4393-B197-B1CAAAB12B48}"/>
            </a:ext>
          </a:extLst>
        </xdr:cNvPr>
        <xdr:cNvSpPr/>
      </xdr:nvSpPr>
      <xdr:spPr>
        <a:xfrm>
          <a:off x="5254226" y="17530890"/>
          <a:ext cx="2634377" cy="230819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JOGOS</a:t>
          </a:r>
        </a:p>
      </xdr:txBody>
    </xdr:sp>
    <xdr:clientData/>
  </xdr:twoCellAnchor>
  <xdr:twoCellAnchor>
    <xdr:from>
      <xdr:col>11</xdr:col>
      <xdr:colOff>620793</xdr:colOff>
      <xdr:row>98</xdr:row>
      <xdr:rowOff>45483</xdr:rowOff>
    </xdr:from>
    <xdr:to>
      <xdr:col>12</xdr:col>
      <xdr:colOff>431721</xdr:colOff>
      <xdr:row>100</xdr:row>
      <xdr:rowOff>44480</xdr:rowOff>
    </xdr:to>
    <xdr:sp macro="" textlink="">
      <xdr:nvSpPr>
        <xdr:cNvPr id="131" name="Elipse 45">
          <a:extLst>
            <a:ext uri="{FF2B5EF4-FFF2-40B4-BE49-F238E27FC236}">
              <a16:creationId xmlns:a16="http://schemas.microsoft.com/office/drawing/2014/main" id="{405142AB-BDFD-4969-A85B-48F625D7FEB7}"/>
            </a:ext>
          </a:extLst>
        </xdr:cNvPr>
        <xdr:cNvSpPr/>
      </xdr:nvSpPr>
      <xdr:spPr>
        <a:xfrm>
          <a:off x="7633574" y="17482186"/>
          <a:ext cx="465772" cy="30856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07</a:t>
          </a:r>
        </a:p>
      </xdr:txBody>
    </xdr:sp>
    <xdr:clientData/>
  </xdr:twoCellAnchor>
  <xdr:twoCellAnchor>
    <xdr:from>
      <xdr:col>8</xdr:col>
      <xdr:colOff>205976</xdr:colOff>
      <xdr:row>103</xdr:row>
      <xdr:rowOff>10272</xdr:rowOff>
    </xdr:from>
    <xdr:to>
      <xdr:col>12</xdr:col>
      <xdr:colOff>188593</xdr:colOff>
      <xdr:row>105</xdr:row>
      <xdr:rowOff>92500</xdr:rowOff>
    </xdr:to>
    <xdr:sp macro="" textlink="">
      <xdr:nvSpPr>
        <xdr:cNvPr id="132" name="Retângulo: Cantos Arredondados 14">
          <a:extLst>
            <a:ext uri="{FF2B5EF4-FFF2-40B4-BE49-F238E27FC236}">
              <a16:creationId xmlns:a16="http://schemas.microsoft.com/office/drawing/2014/main" id="{30399399-BCED-428F-9373-C67A3ED9599D}"/>
            </a:ext>
          </a:extLst>
        </xdr:cNvPr>
        <xdr:cNvSpPr/>
      </xdr:nvSpPr>
      <xdr:spPr>
        <a:xfrm>
          <a:off x="5254226" y="18220881"/>
          <a:ext cx="2601992" cy="237010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QUADRA GRAMADA</a:t>
          </a:r>
        </a:p>
      </xdr:txBody>
    </xdr:sp>
    <xdr:clientData/>
  </xdr:twoCellAnchor>
  <xdr:twoCellAnchor>
    <xdr:from>
      <xdr:col>11</xdr:col>
      <xdr:colOff>626508</xdr:colOff>
      <xdr:row>102</xdr:row>
      <xdr:rowOff>98109</xdr:rowOff>
    </xdr:from>
    <xdr:to>
      <xdr:col>12</xdr:col>
      <xdr:colOff>439341</xdr:colOff>
      <xdr:row>106</xdr:row>
      <xdr:rowOff>9000</xdr:rowOff>
    </xdr:to>
    <xdr:sp macro="" textlink="">
      <xdr:nvSpPr>
        <xdr:cNvPr id="133" name="Elipse 45">
          <a:extLst>
            <a:ext uri="{FF2B5EF4-FFF2-40B4-BE49-F238E27FC236}">
              <a16:creationId xmlns:a16="http://schemas.microsoft.com/office/drawing/2014/main" id="{DA0B0892-3F66-44CE-9EE0-B93584D7394F}"/>
            </a:ext>
          </a:extLst>
        </xdr:cNvPr>
        <xdr:cNvSpPr/>
      </xdr:nvSpPr>
      <xdr:spPr>
        <a:xfrm>
          <a:off x="7639289" y="18153937"/>
          <a:ext cx="467677" cy="3752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8</xdr:col>
      <xdr:colOff>205976</xdr:colOff>
      <xdr:row>91</xdr:row>
      <xdr:rowOff>136002</xdr:rowOff>
    </xdr:from>
    <xdr:to>
      <xdr:col>12</xdr:col>
      <xdr:colOff>220978</xdr:colOff>
      <xdr:row>93</xdr:row>
      <xdr:rowOff>59163</xdr:rowOff>
    </xdr:to>
    <xdr:sp macro="" textlink="">
      <xdr:nvSpPr>
        <xdr:cNvPr id="134" name="Retângulo: Cantos Arredondados 14">
          <a:extLst>
            <a:ext uri="{FF2B5EF4-FFF2-40B4-BE49-F238E27FC236}">
              <a16:creationId xmlns:a16="http://schemas.microsoft.com/office/drawing/2014/main" id="{AF3B94A5-63B0-4C52-B810-15D416C882F1}"/>
            </a:ext>
          </a:extLst>
        </xdr:cNvPr>
        <xdr:cNvSpPr/>
      </xdr:nvSpPr>
      <xdr:spPr>
        <a:xfrm>
          <a:off x="5254226" y="16489236"/>
          <a:ext cx="2634377" cy="23272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MINI QUADRA DE BASQUETE</a:t>
          </a:r>
        </a:p>
      </xdr:txBody>
    </xdr:sp>
    <xdr:clientData/>
  </xdr:twoCellAnchor>
  <xdr:twoCellAnchor>
    <xdr:from>
      <xdr:col>11</xdr:col>
      <xdr:colOff>616983</xdr:colOff>
      <xdr:row>91</xdr:row>
      <xdr:rowOff>95012</xdr:rowOff>
    </xdr:from>
    <xdr:to>
      <xdr:col>12</xdr:col>
      <xdr:colOff>429816</xdr:colOff>
      <xdr:row>93</xdr:row>
      <xdr:rowOff>97819</xdr:rowOff>
    </xdr:to>
    <xdr:sp macro="" textlink="">
      <xdr:nvSpPr>
        <xdr:cNvPr id="135" name="Elipse 45">
          <a:extLst>
            <a:ext uri="{FF2B5EF4-FFF2-40B4-BE49-F238E27FC236}">
              <a16:creationId xmlns:a16="http://schemas.microsoft.com/office/drawing/2014/main" id="{EAA77385-76A8-4E78-842A-0A8F08AC44B5}"/>
            </a:ext>
          </a:extLst>
        </xdr:cNvPr>
        <xdr:cNvSpPr/>
      </xdr:nvSpPr>
      <xdr:spPr>
        <a:xfrm>
          <a:off x="7629764" y="16448246"/>
          <a:ext cx="467677" cy="31237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05</a:t>
          </a:r>
        </a:p>
      </xdr:txBody>
    </xdr:sp>
    <xdr:clientData/>
  </xdr:twoCellAnchor>
  <xdr:twoCellAnchor>
    <xdr:from>
      <xdr:col>8</xdr:col>
      <xdr:colOff>205976</xdr:colOff>
      <xdr:row>106</xdr:row>
      <xdr:rowOff>58563</xdr:rowOff>
    </xdr:from>
    <xdr:to>
      <xdr:col>12</xdr:col>
      <xdr:colOff>188593</xdr:colOff>
      <xdr:row>107</xdr:row>
      <xdr:rowOff>131267</xdr:rowOff>
    </xdr:to>
    <xdr:sp macro="" textlink="">
      <xdr:nvSpPr>
        <xdr:cNvPr id="174" name="Retângulo: Cantos Arredondados 14">
          <a:extLst>
            <a:ext uri="{FF2B5EF4-FFF2-40B4-BE49-F238E27FC236}">
              <a16:creationId xmlns:a16="http://schemas.microsoft.com/office/drawing/2014/main" id="{144811AD-35E2-0D6F-3F63-EAD3C5378B0B}"/>
            </a:ext>
          </a:extLst>
        </xdr:cNvPr>
        <xdr:cNvSpPr/>
      </xdr:nvSpPr>
      <xdr:spPr>
        <a:xfrm>
          <a:off x="5254226" y="18578735"/>
          <a:ext cx="2601992" cy="227485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QUADRA DE AREIA</a:t>
          </a:r>
        </a:p>
      </xdr:txBody>
    </xdr:sp>
    <xdr:clientData/>
  </xdr:twoCellAnchor>
  <xdr:twoCellAnchor>
    <xdr:from>
      <xdr:col>11</xdr:col>
      <xdr:colOff>626508</xdr:colOff>
      <xdr:row>105</xdr:row>
      <xdr:rowOff>136685</xdr:rowOff>
    </xdr:from>
    <xdr:to>
      <xdr:col>12</xdr:col>
      <xdr:colOff>439341</xdr:colOff>
      <xdr:row>108</xdr:row>
      <xdr:rowOff>1857</xdr:rowOff>
    </xdr:to>
    <xdr:sp macro="" textlink="">
      <xdr:nvSpPr>
        <xdr:cNvPr id="175" name="Elipse 45">
          <a:extLst>
            <a:ext uri="{FF2B5EF4-FFF2-40B4-BE49-F238E27FC236}">
              <a16:creationId xmlns:a16="http://schemas.microsoft.com/office/drawing/2014/main" id="{5E999106-3856-17B0-506E-018792135452}"/>
            </a:ext>
          </a:extLst>
        </xdr:cNvPr>
        <xdr:cNvSpPr/>
      </xdr:nvSpPr>
      <xdr:spPr>
        <a:xfrm>
          <a:off x="7639289" y="18502076"/>
          <a:ext cx="467677" cy="37714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08</a:t>
          </a:r>
        </a:p>
      </xdr:txBody>
    </xdr:sp>
    <xdr:clientData/>
  </xdr:twoCellAnchor>
  <xdr:twoCellAnchor>
    <xdr:from>
      <xdr:col>8</xdr:col>
      <xdr:colOff>205976</xdr:colOff>
      <xdr:row>110</xdr:row>
      <xdr:rowOff>54658</xdr:rowOff>
    </xdr:from>
    <xdr:to>
      <xdr:col>12</xdr:col>
      <xdr:colOff>219073</xdr:colOff>
      <xdr:row>111</xdr:row>
      <xdr:rowOff>124980</xdr:rowOff>
    </xdr:to>
    <xdr:sp macro="" textlink="">
      <xdr:nvSpPr>
        <xdr:cNvPr id="178" name="Retângulo: Cantos Arredondados 14">
          <a:extLst>
            <a:ext uri="{FF2B5EF4-FFF2-40B4-BE49-F238E27FC236}">
              <a16:creationId xmlns:a16="http://schemas.microsoft.com/office/drawing/2014/main" id="{05BA107F-0E4F-A8FA-9661-EF19749332B6}"/>
            </a:ext>
          </a:extLst>
        </xdr:cNvPr>
        <xdr:cNvSpPr/>
      </xdr:nvSpPr>
      <xdr:spPr>
        <a:xfrm>
          <a:off x="5254226" y="19265392"/>
          <a:ext cx="2632472" cy="22510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SALÃO DE FESTAS</a:t>
          </a:r>
        </a:p>
      </xdr:txBody>
    </xdr:sp>
    <xdr:clientData/>
  </xdr:twoCellAnchor>
  <xdr:twoCellAnchor>
    <xdr:from>
      <xdr:col>11</xdr:col>
      <xdr:colOff>630318</xdr:colOff>
      <xdr:row>110</xdr:row>
      <xdr:rowOff>10003</xdr:rowOff>
    </xdr:from>
    <xdr:to>
      <xdr:col>12</xdr:col>
      <xdr:colOff>439341</xdr:colOff>
      <xdr:row>111</xdr:row>
      <xdr:rowOff>154256</xdr:rowOff>
    </xdr:to>
    <xdr:sp macro="" textlink="">
      <xdr:nvSpPr>
        <xdr:cNvPr id="179" name="Elipse 45">
          <a:extLst>
            <a:ext uri="{FF2B5EF4-FFF2-40B4-BE49-F238E27FC236}">
              <a16:creationId xmlns:a16="http://schemas.microsoft.com/office/drawing/2014/main" id="{DB530C45-F748-87F5-240B-CFDC5818F7BD}"/>
            </a:ext>
          </a:extLst>
        </xdr:cNvPr>
        <xdr:cNvSpPr/>
      </xdr:nvSpPr>
      <xdr:spPr>
        <a:xfrm>
          <a:off x="7643099" y="19220737"/>
          <a:ext cx="463867" cy="2990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205976</xdr:colOff>
      <xdr:row>112</xdr:row>
      <xdr:rowOff>92948</xdr:rowOff>
    </xdr:from>
    <xdr:to>
      <xdr:col>12</xdr:col>
      <xdr:colOff>213358</xdr:colOff>
      <xdr:row>113</xdr:row>
      <xdr:rowOff>116122</xdr:rowOff>
    </xdr:to>
    <xdr:sp macro="" textlink="">
      <xdr:nvSpPr>
        <xdr:cNvPr id="184" name="Retângulo: Cantos Arredondados 14">
          <a:extLst>
            <a:ext uri="{FF2B5EF4-FFF2-40B4-BE49-F238E27FC236}">
              <a16:creationId xmlns:a16="http://schemas.microsoft.com/office/drawing/2014/main" id="{0E448C20-6773-979A-0CC5-ED3AB62E44D8}"/>
            </a:ext>
          </a:extLst>
        </xdr:cNvPr>
        <xdr:cNvSpPr/>
      </xdr:nvSpPr>
      <xdr:spPr>
        <a:xfrm>
          <a:off x="5254226" y="19613245"/>
          <a:ext cx="2626757" cy="21367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LAVANDERIA</a:t>
          </a:r>
        </a:p>
      </xdr:txBody>
    </xdr:sp>
    <xdr:clientData/>
  </xdr:twoCellAnchor>
  <xdr:twoCellAnchor>
    <xdr:from>
      <xdr:col>11</xdr:col>
      <xdr:colOff>630318</xdr:colOff>
      <xdr:row>112</xdr:row>
      <xdr:rowOff>45484</xdr:rowOff>
    </xdr:from>
    <xdr:to>
      <xdr:col>12</xdr:col>
      <xdr:colOff>439341</xdr:colOff>
      <xdr:row>113</xdr:row>
      <xdr:rowOff>152114</xdr:rowOff>
    </xdr:to>
    <xdr:sp macro="" textlink="">
      <xdr:nvSpPr>
        <xdr:cNvPr id="185" name="Elipse 45">
          <a:extLst>
            <a:ext uri="{FF2B5EF4-FFF2-40B4-BE49-F238E27FC236}">
              <a16:creationId xmlns:a16="http://schemas.microsoft.com/office/drawing/2014/main" id="{BE8EF539-7E12-3235-99D8-C8D6B19B96F4}"/>
            </a:ext>
          </a:extLst>
        </xdr:cNvPr>
        <xdr:cNvSpPr/>
      </xdr:nvSpPr>
      <xdr:spPr>
        <a:xfrm>
          <a:off x="7643099" y="19565781"/>
          <a:ext cx="463867" cy="29713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205976</xdr:colOff>
      <xdr:row>100</xdr:row>
      <xdr:rowOff>136287</xdr:rowOff>
    </xdr:from>
    <xdr:to>
      <xdr:col>12</xdr:col>
      <xdr:colOff>228598</xdr:colOff>
      <xdr:row>102</xdr:row>
      <xdr:rowOff>44209</xdr:rowOff>
    </xdr:to>
    <xdr:sp macro="" textlink="">
      <xdr:nvSpPr>
        <xdr:cNvPr id="186" name="Retângulo: Cantos Arredondados 14">
          <a:extLst>
            <a:ext uri="{FF2B5EF4-FFF2-40B4-BE49-F238E27FC236}">
              <a16:creationId xmlns:a16="http://schemas.microsoft.com/office/drawing/2014/main" id="{6FE424CF-EB22-10E0-11CD-76A3714C8A31}"/>
            </a:ext>
          </a:extLst>
        </xdr:cNvPr>
        <xdr:cNvSpPr/>
      </xdr:nvSpPr>
      <xdr:spPr>
        <a:xfrm>
          <a:off x="5254226" y="17882553"/>
          <a:ext cx="2641997" cy="217484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HOME OFFICE</a:t>
          </a:r>
        </a:p>
      </xdr:txBody>
    </xdr:sp>
    <xdr:clientData/>
  </xdr:twoCellAnchor>
  <xdr:twoCellAnchor>
    <xdr:from>
      <xdr:col>11</xdr:col>
      <xdr:colOff>622698</xdr:colOff>
      <xdr:row>100</xdr:row>
      <xdr:rowOff>86440</xdr:rowOff>
    </xdr:from>
    <xdr:to>
      <xdr:col>12</xdr:col>
      <xdr:colOff>435531</xdr:colOff>
      <xdr:row>102</xdr:row>
      <xdr:rowOff>83533</xdr:rowOff>
    </xdr:to>
    <xdr:sp macro="" textlink="">
      <xdr:nvSpPr>
        <xdr:cNvPr id="187" name="Elipse 45">
          <a:extLst>
            <a:ext uri="{FF2B5EF4-FFF2-40B4-BE49-F238E27FC236}">
              <a16:creationId xmlns:a16="http://schemas.microsoft.com/office/drawing/2014/main" id="{4F71D364-7AF6-5BA8-F326-A6DD8DDF618C}"/>
            </a:ext>
          </a:extLst>
        </xdr:cNvPr>
        <xdr:cNvSpPr/>
      </xdr:nvSpPr>
      <xdr:spPr>
        <a:xfrm>
          <a:off x="7635479" y="17832706"/>
          <a:ext cx="467677" cy="30665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07</a:t>
          </a:r>
        </a:p>
      </xdr:txBody>
    </xdr:sp>
    <xdr:clientData/>
  </xdr:twoCellAnchor>
  <xdr:twoCellAnchor>
    <xdr:from>
      <xdr:col>8</xdr:col>
      <xdr:colOff>205976</xdr:colOff>
      <xdr:row>114</xdr:row>
      <xdr:rowOff>46465</xdr:rowOff>
    </xdr:from>
    <xdr:to>
      <xdr:col>12</xdr:col>
      <xdr:colOff>234313</xdr:colOff>
      <xdr:row>115</xdr:row>
      <xdr:rowOff>67734</xdr:rowOff>
    </xdr:to>
    <xdr:sp macro="" textlink="">
      <xdr:nvSpPr>
        <xdr:cNvPr id="188" name="Retângulo: Cantos Arredondados 14">
          <a:extLst>
            <a:ext uri="{FF2B5EF4-FFF2-40B4-BE49-F238E27FC236}">
              <a16:creationId xmlns:a16="http://schemas.microsoft.com/office/drawing/2014/main" id="{95CB013E-D8D2-C579-B8E0-6446FDCD8629}"/>
            </a:ext>
          </a:extLst>
        </xdr:cNvPr>
        <xdr:cNvSpPr/>
      </xdr:nvSpPr>
      <xdr:spPr>
        <a:xfrm>
          <a:off x="5254226" y="19947762"/>
          <a:ext cx="2647712" cy="211769"/>
        </a:xfrm>
        <a:prstGeom prst="roundRect">
          <a:avLst/>
        </a:prstGeom>
        <a:solidFill>
          <a:srgbClr val="FF8B2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aseline="0">
              <a:solidFill>
                <a:schemeClr val="lt1"/>
              </a:solidFill>
              <a:latin typeface="+mn-lt"/>
              <a:ea typeface="+mn-ea"/>
              <a:cs typeface="+mn-cs"/>
            </a:rPr>
            <a:t>PISCINA</a:t>
          </a:r>
        </a:p>
      </xdr:txBody>
    </xdr:sp>
    <xdr:clientData/>
  </xdr:twoCellAnchor>
  <xdr:twoCellAnchor>
    <xdr:from>
      <xdr:col>11</xdr:col>
      <xdr:colOff>630318</xdr:colOff>
      <xdr:row>113</xdr:row>
      <xdr:rowOff>188355</xdr:rowOff>
    </xdr:from>
    <xdr:to>
      <xdr:col>12</xdr:col>
      <xdr:colOff>439341</xdr:colOff>
      <xdr:row>115</xdr:row>
      <xdr:rowOff>106390</xdr:rowOff>
    </xdr:to>
    <xdr:sp macro="" textlink="">
      <xdr:nvSpPr>
        <xdr:cNvPr id="189" name="Elipse 45">
          <a:extLst>
            <a:ext uri="{FF2B5EF4-FFF2-40B4-BE49-F238E27FC236}">
              <a16:creationId xmlns:a16="http://schemas.microsoft.com/office/drawing/2014/main" id="{5F7578CE-318E-99A2-E0F2-71DB375495F7}"/>
            </a:ext>
          </a:extLst>
        </xdr:cNvPr>
        <xdr:cNvSpPr/>
      </xdr:nvSpPr>
      <xdr:spPr>
        <a:xfrm>
          <a:off x="7643099" y="19899152"/>
          <a:ext cx="463867" cy="299035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23</a:t>
          </a:r>
        </a:p>
      </xdr:txBody>
    </xdr:sp>
    <xdr:clientData/>
  </xdr:twoCellAnchor>
  <xdr:twoCellAnchor>
    <xdr:from>
      <xdr:col>3</xdr:col>
      <xdr:colOff>595033</xdr:colOff>
      <xdr:row>94</xdr:row>
      <xdr:rowOff>21348</xdr:rowOff>
    </xdr:from>
    <xdr:to>
      <xdr:col>7</xdr:col>
      <xdr:colOff>139626</xdr:colOff>
      <xdr:row>94</xdr:row>
      <xdr:rowOff>133623</xdr:rowOff>
    </xdr:to>
    <xdr:sp macro="" textlink="">
      <xdr:nvSpPr>
        <xdr:cNvPr id="3" name="Retângulo 463">
          <a:extLst>
            <a:ext uri="{FF2B5EF4-FFF2-40B4-BE49-F238E27FC236}">
              <a16:creationId xmlns:a16="http://schemas.microsoft.com/office/drawing/2014/main" id="{FF2BD8FF-FE8B-45B8-B704-BD457842E31B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2365562" y="16886201"/>
          <a:ext cx="2189182" cy="112275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54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584388</xdr:colOff>
      <xdr:row>118</xdr:row>
      <xdr:rowOff>59839</xdr:rowOff>
    </xdr:from>
    <xdr:to>
      <xdr:col>12</xdr:col>
      <xdr:colOff>146127</xdr:colOff>
      <xdr:row>118</xdr:row>
      <xdr:rowOff>168304</xdr:rowOff>
    </xdr:to>
    <xdr:sp macro="" textlink="">
      <xdr:nvSpPr>
        <xdr:cNvPr id="6" name="Retângulo 463">
          <a:extLst>
            <a:ext uri="{FF2B5EF4-FFF2-40B4-BE49-F238E27FC236}">
              <a16:creationId xmlns:a16="http://schemas.microsoft.com/office/drawing/2014/main" id="{D593724F-CC29-4028-823C-E203923B906B}"/>
            </a:ext>
            <a:ext uri="{147F2762-F138-4A5C-976F-8EAC2B608ADB}">
              <a16:predDERef xmlns:a16="http://schemas.microsoft.com/office/drawing/2014/main" pred="{621C42EB-AAC1-4DE6-8126-CF38CEBA3758}"/>
            </a:ext>
          </a:extLst>
        </xdr:cNvPr>
        <xdr:cNvSpPr/>
      </xdr:nvSpPr>
      <xdr:spPr>
        <a:xfrm>
          <a:off x="5660653" y="20801927"/>
          <a:ext cx="2206327" cy="108465"/>
        </a:xfrm>
        <a:prstGeom prst="rect">
          <a:avLst/>
        </a:prstGeom>
        <a:gradFill flip="none" rotWithShape="1">
          <a:gsLst>
            <a:gs pos="0">
              <a:srgbClr val="FF8B22">
                <a:lumMod val="100000"/>
              </a:srgbClr>
            </a:gs>
            <a:gs pos="54000">
              <a:srgbClr val="FFB717"/>
            </a:gs>
            <a:gs pos="100000">
              <a:srgbClr val="006B3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845820</xdr:colOff>
      <xdr:row>4</xdr:row>
      <xdr:rowOff>144780</xdr:rowOff>
    </xdr:from>
    <xdr:to>
      <xdr:col>10</xdr:col>
      <xdr:colOff>845820</xdr:colOff>
      <xdr:row>9</xdr:row>
      <xdr:rowOff>99060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5966E25D-10C9-E027-A46F-6D4F18CE137F}"/>
            </a:ext>
          </a:extLst>
        </xdr:cNvPr>
        <xdr:cNvCxnSpPr/>
      </xdr:nvCxnSpPr>
      <xdr:spPr>
        <a:xfrm>
          <a:off x="11818620" y="876300"/>
          <a:ext cx="0" cy="10972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845820</xdr:colOff>
      <xdr:row>9</xdr:row>
      <xdr:rowOff>91440</xdr:rowOff>
    </xdr:from>
    <xdr:to>
      <xdr:col>12</xdr:col>
      <xdr:colOff>289560</xdr:colOff>
      <xdr:row>9</xdr:row>
      <xdr:rowOff>91440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8DBF595F-7F0A-48D4-9541-9F335BF332B3}"/>
            </a:ext>
          </a:extLst>
        </xdr:cNvPr>
        <xdr:cNvCxnSpPr/>
      </xdr:nvCxnSpPr>
      <xdr:spPr>
        <a:xfrm flipH="1">
          <a:off x="11818620" y="1965960"/>
          <a:ext cx="12725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1051560</xdr:colOff>
      <xdr:row>8</xdr:row>
      <xdr:rowOff>114300</xdr:rowOff>
    </xdr:from>
    <xdr:to>
      <xdr:col>10</xdr:col>
      <xdr:colOff>1051560</xdr:colOff>
      <xdr:row>10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0D6808C-E86E-4992-B5EA-AFB80B3CDC25}"/>
            </a:ext>
          </a:extLst>
        </xdr:cNvPr>
        <xdr:cNvCxnSpPr/>
      </xdr:nvCxnSpPr>
      <xdr:spPr>
        <a:xfrm>
          <a:off x="12024360" y="1805940"/>
          <a:ext cx="0" cy="28956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281940</xdr:colOff>
      <xdr:row>8</xdr:row>
      <xdr:rowOff>114300</xdr:rowOff>
    </xdr:from>
    <xdr:to>
      <xdr:col>11</xdr:col>
      <xdr:colOff>281940</xdr:colOff>
      <xdr:row>10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15E3E79E-7920-894D-5D29-B93224D594EA}"/>
            </a:ext>
          </a:extLst>
        </xdr:cNvPr>
        <xdr:cNvCxnSpPr/>
      </xdr:nvCxnSpPr>
      <xdr:spPr>
        <a:xfrm>
          <a:off x="12473940" y="1805940"/>
          <a:ext cx="0" cy="28956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8</xdr:row>
      <xdr:rowOff>114300</xdr:rowOff>
    </xdr:from>
    <xdr:to>
      <xdr:col>12</xdr:col>
      <xdr:colOff>167640</xdr:colOff>
      <xdr:row>10</xdr:row>
      <xdr:rowOff>38100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83E6F2F-A60B-989B-536E-FE90B440BC40}"/>
            </a:ext>
          </a:extLst>
        </xdr:cNvPr>
        <xdr:cNvCxnSpPr/>
      </xdr:nvCxnSpPr>
      <xdr:spPr>
        <a:xfrm>
          <a:off x="12969240" y="1805940"/>
          <a:ext cx="0" cy="28956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701040</xdr:colOff>
      <xdr:row>5</xdr:row>
      <xdr:rowOff>144780</xdr:rowOff>
    </xdr:from>
    <xdr:to>
      <xdr:col>10</xdr:col>
      <xdr:colOff>1036320</xdr:colOff>
      <xdr:row>5</xdr:row>
      <xdr:rowOff>144780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79BCABA4-CACF-4F7E-95BC-C3DBB1898DB0}"/>
            </a:ext>
          </a:extLst>
        </xdr:cNvPr>
        <xdr:cNvCxnSpPr/>
      </xdr:nvCxnSpPr>
      <xdr:spPr>
        <a:xfrm flipH="1">
          <a:off x="11673840" y="1059180"/>
          <a:ext cx="3352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701040</xdr:colOff>
      <xdr:row>6</xdr:row>
      <xdr:rowOff>152400</xdr:rowOff>
    </xdr:from>
    <xdr:to>
      <xdr:col>10</xdr:col>
      <xdr:colOff>1036320</xdr:colOff>
      <xdr:row>6</xdr:row>
      <xdr:rowOff>152400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FC9248C7-ABD3-7AC3-9609-703255CAF090}"/>
            </a:ext>
          </a:extLst>
        </xdr:cNvPr>
        <xdr:cNvCxnSpPr/>
      </xdr:nvCxnSpPr>
      <xdr:spPr>
        <a:xfrm flipH="1">
          <a:off x="11673840" y="1363980"/>
          <a:ext cx="3352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701040</xdr:colOff>
      <xdr:row>7</xdr:row>
      <xdr:rowOff>137160</xdr:rowOff>
    </xdr:from>
    <xdr:to>
      <xdr:col>10</xdr:col>
      <xdr:colOff>1036320</xdr:colOff>
      <xdr:row>7</xdr:row>
      <xdr:rowOff>137160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BEC81930-7A45-B4ED-5357-1CAE749EE160}"/>
            </a:ext>
          </a:extLst>
        </xdr:cNvPr>
        <xdr:cNvCxnSpPr/>
      </xdr:nvCxnSpPr>
      <xdr:spPr>
        <a:xfrm flipH="1">
          <a:off x="11673840" y="1645920"/>
          <a:ext cx="3352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960120</xdr:colOff>
      <xdr:row>5</xdr:row>
      <xdr:rowOff>68580</xdr:rowOff>
    </xdr:from>
    <xdr:to>
      <xdr:col>11</xdr:col>
      <xdr:colOff>38100</xdr:colOff>
      <xdr:row>5</xdr:row>
      <xdr:rowOff>243840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27D7CD81-14F3-F6BD-33FC-BC9042FFB61C}"/>
            </a:ext>
          </a:extLst>
        </xdr:cNvPr>
        <xdr:cNvSpPr/>
      </xdr:nvSpPr>
      <xdr:spPr>
        <a:xfrm>
          <a:off x="12832080" y="982980"/>
          <a:ext cx="190500" cy="17526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83820</xdr:colOff>
      <xdr:row>7</xdr:row>
      <xdr:rowOff>144780</xdr:rowOff>
    </xdr:from>
    <xdr:to>
      <xdr:col>12</xdr:col>
      <xdr:colOff>274320</xdr:colOff>
      <xdr:row>8</xdr:row>
      <xdr:rowOff>137160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D12F7E6B-C897-46C1-A6C1-417C15171B71}"/>
            </a:ext>
          </a:extLst>
        </xdr:cNvPr>
        <xdr:cNvSpPr/>
      </xdr:nvSpPr>
      <xdr:spPr>
        <a:xfrm>
          <a:off x="13677900" y="1653540"/>
          <a:ext cx="190500" cy="17526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395654</xdr:colOff>
      <xdr:row>1</xdr:row>
      <xdr:rowOff>175260</xdr:rowOff>
    </xdr:from>
    <xdr:to>
      <xdr:col>16</xdr:col>
      <xdr:colOff>29866</xdr:colOff>
      <xdr:row>33</xdr:row>
      <xdr:rowOff>119226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4C67A1-FD48-B493-BBF5-830D93FB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4774" y="358140"/>
          <a:ext cx="4511012" cy="5796126"/>
        </a:xfrm>
        <a:prstGeom prst="rect">
          <a:avLst/>
        </a:prstGeom>
      </xdr:spPr>
    </xdr:pic>
    <xdr:clientData/>
  </xdr:twoCellAnchor>
  <xdr:twoCellAnchor editAs="oneCell">
    <xdr:from>
      <xdr:col>16</xdr:col>
      <xdr:colOff>213360</xdr:colOff>
      <xdr:row>1</xdr:row>
      <xdr:rowOff>160020</xdr:rowOff>
    </xdr:from>
    <xdr:to>
      <xdr:col>29</xdr:col>
      <xdr:colOff>107608</xdr:colOff>
      <xdr:row>12</xdr:row>
      <xdr:rowOff>5483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063CED-6277-6D68-84D0-E2C316632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9280" y="342900"/>
          <a:ext cx="7819048" cy="1857143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1575-2B7A-4AEA-AE20-63CC8EC40C1A}">
  <dimension ref="B1:XEG189"/>
  <sheetViews>
    <sheetView topLeftCell="A9" zoomScaleNormal="100" zoomScaleSheetLayoutView="50" workbookViewId="0">
      <selection activeCell="M14" sqref="M14"/>
    </sheetView>
  </sheetViews>
  <sheetFormatPr defaultColWidth="8.90625" defaultRowHeight="12" x14ac:dyDescent="0.3"/>
  <cols>
    <col min="1" max="1" width="16.36328125" style="42" customWidth="1"/>
    <col min="2" max="2" width="5.90625" style="42" customWidth="1"/>
    <col min="3" max="3" width="3.6328125" style="42" customWidth="1"/>
    <col min="4" max="12" width="9.90625" style="42" customWidth="1"/>
    <col min="13" max="13" width="9.90625" style="92" customWidth="1"/>
    <col min="14" max="14" width="8.90625" style="42"/>
    <col min="15" max="15" width="11" style="42" customWidth="1"/>
    <col min="16" max="16" width="11.6328125" style="42" bestFit="1" customWidth="1"/>
    <col min="17" max="17" width="10" style="42" bestFit="1" customWidth="1"/>
    <col min="18" max="18" width="11.6328125" style="42" bestFit="1" customWidth="1"/>
    <col min="19" max="22" width="11.6328125" style="42" customWidth="1"/>
    <col min="23" max="24" width="12.54296875" style="42" customWidth="1"/>
    <col min="25" max="16384" width="8.90625" style="42"/>
  </cols>
  <sheetData>
    <row r="1" spans="2:24" ht="29" customHeight="1" thickBot="1" x14ac:dyDescent="0.35"/>
    <row r="2" spans="2:24" ht="15.75" customHeight="1" thickBot="1" x14ac:dyDescent="0.35">
      <c r="B2" s="368"/>
      <c r="C2" s="43"/>
      <c r="D2" s="55"/>
      <c r="E2" s="369" t="s">
        <v>0</v>
      </c>
      <c r="F2" s="369"/>
      <c r="G2" s="369"/>
      <c r="H2" s="369"/>
      <c r="I2" s="369"/>
      <c r="J2" s="369"/>
      <c r="K2" s="369"/>
      <c r="L2" s="369"/>
      <c r="M2" s="369"/>
      <c r="P2" s="335"/>
      <c r="Q2" s="335"/>
      <c r="R2" s="335"/>
      <c r="S2" s="335"/>
      <c r="U2" s="335"/>
      <c r="V2" s="335"/>
      <c r="W2" s="335"/>
      <c r="X2" s="335"/>
    </row>
    <row r="3" spans="2:24" ht="15.75" customHeight="1" thickBot="1" x14ac:dyDescent="0.35">
      <c r="B3" s="368"/>
      <c r="C3" s="43"/>
      <c r="D3" s="56"/>
      <c r="E3" s="369"/>
      <c r="F3" s="369"/>
      <c r="G3" s="369"/>
      <c r="H3" s="369"/>
      <c r="I3" s="369"/>
      <c r="J3" s="369"/>
      <c r="K3" s="369"/>
      <c r="L3" s="369"/>
      <c r="M3" s="369"/>
      <c r="O3" s="337" t="s">
        <v>1</v>
      </c>
      <c r="P3" s="337"/>
      <c r="Q3" s="337"/>
      <c r="R3" s="337"/>
      <c r="S3" s="337"/>
    </row>
    <row r="4" spans="2:24" ht="15.75" customHeight="1" thickBot="1" x14ac:dyDescent="0.35">
      <c r="B4" s="368"/>
      <c r="C4" s="43"/>
      <c r="D4" s="56"/>
      <c r="E4" s="369"/>
      <c r="F4" s="369"/>
      <c r="G4" s="369"/>
      <c r="H4" s="369"/>
      <c r="I4" s="369"/>
      <c r="J4" s="369"/>
      <c r="K4" s="369"/>
      <c r="L4" s="369"/>
      <c r="M4" s="369"/>
      <c r="Q4" s="51" t="s">
        <v>2</v>
      </c>
      <c r="R4" s="51" t="s">
        <v>3</v>
      </c>
      <c r="S4" s="51" t="s">
        <v>4</v>
      </c>
      <c r="U4" s="119"/>
    </row>
    <row r="5" spans="2:24" ht="15" customHeight="1" x14ac:dyDescent="0.3">
      <c r="B5" s="368"/>
      <c r="C5" s="43"/>
      <c r="D5" s="56"/>
      <c r="E5" s="369"/>
      <c r="F5" s="369"/>
      <c r="G5" s="369"/>
      <c r="H5" s="369"/>
      <c r="I5" s="369"/>
      <c r="J5" s="369"/>
      <c r="K5" s="369"/>
      <c r="L5" s="369"/>
      <c r="M5" s="369"/>
      <c r="O5" s="336" t="s">
        <v>5</v>
      </c>
      <c r="P5" s="51" t="s">
        <v>6</v>
      </c>
      <c r="Q5" s="123">
        <v>94.26</v>
      </c>
      <c r="R5" s="123">
        <v>103.23</v>
      </c>
      <c r="S5" s="123">
        <v>118.58</v>
      </c>
    </row>
    <row r="6" spans="2:24" ht="15" customHeight="1" x14ac:dyDescent="0.3">
      <c r="B6" s="368"/>
      <c r="C6" s="43"/>
      <c r="D6" s="338"/>
      <c r="E6" s="339"/>
      <c r="F6" s="339"/>
      <c r="G6" s="339"/>
      <c r="H6" s="339"/>
      <c r="I6" s="339"/>
      <c r="J6" s="339"/>
      <c r="K6" s="339"/>
      <c r="L6" s="339"/>
      <c r="M6" s="339"/>
      <c r="O6" s="336"/>
      <c r="P6" s="64" t="s">
        <v>7</v>
      </c>
      <c r="Q6" s="122">
        <f>1352-435-25</f>
        <v>892</v>
      </c>
      <c r="R6" s="122">
        <f>2443-513-131</f>
        <v>1799</v>
      </c>
      <c r="S6" s="121">
        <f>2905-624-171</f>
        <v>2110</v>
      </c>
    </row>
    <row r="7" spans="2:24" ht="15" customHeight="1" x14ac:dyDescent="0.3">
      <c r="D7" s="338"/>
      <c r="E7" s="339"/>
      <c r="F7" s="339"/>
      <c r="G7" s="339"/>
      <c r="H7" s="339"/>
      <c r="I7" s="339"/>
      <c r="J7" s="339"/>
      <c r="K7" s="339"/>
      <c r="L7" s="339"/>
      <c r="M7" s="339"/>
      <c r="O7" s="336"/>
      <c r="P7" s="51" t="s">
        <v>8</v>
      </c>
      <c r="Q7" s="122">
        <v>231</v>
      </c>
      <c r="R7" s="122">
        <v>572</v>
      </c>
      <c r="S7" s="122">
        <v>522</v>
      </c>
    </row>
    <row r="8" spans="2:24" ht="14.4" customHeight="1" x14ac:dyDescent="0.3">
      <c r="D8" s="114"/>
      <c r="E8" s="341" t="str">
        <f>CONCATENATE(H9,"-",H10,"-",)</f>
        <v>TB-FR 01+-</v>
      </c>
      <c r="F8" s="341"/>
      <c r="G8" s="341"/>
      <c r="H8" s="341"/>
      <c r="I8" s="341"/>
      <c r="J8" s="341"/>
      <c r="K8" s="341"/>
      <c r="L8" s="341"/>
      <c r="M8" s="42"/>
    </row>
    <row r="9" spans="2:24" ht="15" customHeight="1" x14ac:dyDescent="0.3">
      <c r="D9" s="114"/>
      <c r="E9" s="74" t="s">
        <v>9</v>
      </c>
      <c r="F9" s="340" t="s">
        <v>5</v>
      </c>
      <c r="G9" s="340"/>
      <c r="H9" s="80" t="str">
        <f>IF(F9="","",IF(F9="BLOCO","TB",IF(F9="TORRINHA","TTR",IF(F9="TORRE","TR"))))</f>
        <v>TB</v>
      </c>
      <c r="L9" s="115"/>
      <c r="M9" s="115"/>
      <c r="O9" s="336" t="s">
        <v>10</v>
      </c>
      <c r="P9" s="51" t="s">
        <v>6</v>
      </c>
      <c r="Q9" s="123">
        <v>102.7</v>
      </c>
      <c r="R9" s="123" t="s">
        <v>11</v>
      </c>
      <c r="S9" s="123">
        <v>120.35</v>
      </c>
    </row>
    <row r="10" spans="2:24" ht="15" customHeight="1" x14ac:dyDescent="0.3">
      <c r="D10" s="114"/>
      <c r="E10" s="74" t="s">
        <v>12</v>
      </c>
      <c r="F10" s="340" t="s">
        <v>13</v>
      </c>
      <c r="G10" s="340"/>
      <c r="H10" s="80" t="str">
        <f>IF(F10="&lt;=300","FR01",IF(F10="301 A 350","FR 01+",IF(F10="351 A 400","FR02",IF(F10="401 A 450","FR 02",IF(F10="451 A 500","FR 02+",IF(F10="501 A 550","FR 03",IF(F10="551 A 600","FR 03+",IF(F10="&gt;=551","FR 04"))))))))</f>
        <v>FR 01+</v>
      </c>
      <c r="L10" s="115"/>
      <c r="M10" s="115"/>
      <c r="O10" s="336"/>
      <c r="P10" s="51" t="s">
        <v>7</v>
      </c>
      <c r="Q10" s="122">
        <f>1165-525-6</f>
        <v>634</v>
      </c>
      <c r="R10" s="122">
        <f>2081-497</f>
        <v>1584</v>
      </c>
      <c r="S10" s="122">
        <f>3219-521-219</f>
        <v>2479</v>
      </c>
    </row>
    <row r="11" spans="2:24" ht="15" customHeight="1" x14ac:dyDescent="0.3">
      <c r="D11" s="114"/>
      <c r="E11" s="74"/>
      <c r="F11" s="340"/>
      <c r="G11" s="340"/>
      <c r="H11" s="80"/>
      <c r="L11" s="115"/>
      <c r="M11" s="115"/>
      <c r="O11" s="336"/>
      <c r="P11" s="51" t="s">
        <v>8</v>
      </c>
      <c r="Q11" s="122">
        <v>238</v>
      </c>
      <c r="R11" s="122">
        <v>502</v>
      </c>
      <c r="S11" s="122">
        <v>592</v>
      </c>
    </row>
    <row r="12" spans="2:24" ht="15" customHeight="1" x14ac:dyDescent="0.3">
      <c r="B12" s="342"/>
      <c r="D12" s="355" t="s">
        <v>14</v>
      </c>
      <c r="E12" s="353"/>
      <c r="F12" s="353"/>
      <c r="G12" s="353"/>
      <c r="H12" s="353"/>
      <c r="I12" s="353"/>
      <c r="J12" s="353"/>
      <c r="K12" s="353"/>
      <c r="L12" s="353"/>
      <c r="M12" s="353"/>
      <c r="P12" s="120"/>
      <c r="Q12" s="120"/>
    </row>
    <row r="13" spans="2:24" ht="15" customHeight="1" x14ac:dyDescent="0.3">
      <c r="B13" s="342"/>
      <c r="D13" s="356"/>
      <c r="E13" s="357"/>
      <c r="F13" s="70"/>
      <c r="G13" s="357"/>
      <c r="H13" s="357"/>
      <c r="I13" s="357"/>
      <c r="J13" s="353"/>
      <c r="K13" s="353"/>
      <c r="L13" s="353"/>
      <c r="M13" s="93"/>
      <c r="Q13" s="80" t="s">
        <v>15</v>
      </c>
      <c r="R13" s="80" t="s">
        <v>16</v>
      </c>
      <c r="S13" s="80" t="s">
        <v>17</v>
      </c>
    </row>
    <row r="14" spans="2:24" ht="15" customHeight="1" x14ac:dyDescent="0.3">
      <c r="B14" s="342"/>
      <c r="D14" s="356"/>
      <c r="E14" s="357"/>
      <c r="F14" s="51" t="s">
        <v>18</v>
      </c>
      <c r="G14" s="51" t="s">
        <v>13</v>
      </c>
      <c r="H14" s="51" t="s">
        <v>19</v>
      </c>
      <c r="I14" s="51" t="s">
        <v>20</v>
      </c>
      <c r="J14" s="51" t="s">
        <v>21</v>
      </c>
      <c r="K14" s="51" t="s">
        <v>22</v>
      </c>
      <c r="L14" s="51" t="s">
        <v>23</v>
      </c>
      <c r="M14" s="94"/>
    </row>
    <row r="15" spans="2:24" ht="15" customHeight="1" x14ac:dyDescent="0.3">
      <c r="B15" s="342"/>
      <c r="D15" s="356" t="s">
        <v>24</v>
      </c>
      <c r="E15" s="357"/>
      <c r="F15" s="59"/>
      <c r="G15" s="59"/>
      <c r="H15" s="59"/>
      <c r="J15" s="59"/>
      <c r="K15" s="59"/>
      <c r="L15" s="59"/>
      <c r="M15" s="95"/>
    </row>
    <row r="16" spans="2:24" ht="15" customHeight="1" x14ac:dyDescent="0.3">
      <c r="B16" s="342"/>
      <c r="D16" s="356"/>
      <c r="E16" s="357"/>
      <c r="F16" s="51" t="s">
        <v>25</v>
      </c>
      <c r="G16" s="51" t="s">
        <v>26</v>
      </c>
      <c r="H16" s="51" t="s">
        <v>27</v>
      </c>
      <c r="I16" s="51" t="s">
        <v>28</v>
      </c>
      <c r="J16" s="51" t="s">
        <v>29</v>
      </c>
      <c r="K16" s="51" t="s">
        <v>30</v>
      </c>
      <c r="L16" s="51" t="s">
        <v>31</v>
      </c>
      <c r="M16" s="96"/>
    </row>
    <row r="17" spans="2:29" ht="15" customHeight="1" x14ac:dyDescent="0.3">
      <c r="B17" s="342"/>
      <c r="D17" s="60"/>
      <c r="E17" s="51"/>
      <c r="F17" s="59"/>
      <c r="G17" s="59"/>
      <c r="H17" s="59"/>
      <c r="I17" s="59"/>
      <c r="J17" s="59"/>
      <c r="L17" s="51"/>
      <c r="M17" s="97"/>
    </row>
    <row r="18" spans="2:29" ht="15" customHeight="1" thickBot="1" x14ac:dyDescent="0.35">
      <c r="D18" s="61"/>
      <c r="E18" s="62"/>
      <c r="F18" s="62"/>
      <c r="G18" s="88"/>
      <c r="H18" s="88"/>
      <c r="I18" s="63"/>
      <c r="J18" s="63"/>
      <c r="K18" s="63"/>
      <c r="L18" s="62"/>
      <c r="M18" s="98"/>
    </row>
    <row r="19" spans="2:29" ht="14.4" customHeight="1" x14ac:dyDescent="0.3">
      <c r="D19" s="65"/>
      <c r="E19" s="59"/>
      <c r="F19" s="59"/>
      <c r="G19" s="59"/>
      <c r="H19" s="59"/>
      <c r="I19" s="59"/>
      <c r="J19" s="59"/>
      <c r="K19" s="59"/>
      <c r="L19" s="59"/>
      <c r="M19" s="59"/>
      <c r="O19" s="330" t="s">
        <v>32</v>
      </c>
      <c r="P19" s="330"/>
      <c r="Q19" s="330"/>
      <c r="R19" s="330"/>
      <c r="S19" s="330"/>
      <c r="T19" s="330"/>
    </row>
    <row r="20" spans="2:29" ht="14" customHeight="1" x14ac:dyDescent="0.3">
      <c r="C20" s="43"/>
      <c r="D20" s="366" t="s">
        <v>33</v>
      </c>
      <c r="E20" s="330"/>
      <c r="F20" s="330"/>
      <c r="G20" s="330"/>
      <c r="H20" s="330"/>
      <c r="I20" s="330"/>
      <c r="J20" s="330"/>
      <c r="K20" s="330"/>
      <c r="L20" s="330"/>
      <c r="M20" s="330"/>
      <c r="O20" s="371" t="s">
        <v>2</v>
      </c>
      <c r="P20" s="371"/>
      <c r="Q20" s="371" t="s">
        <v>2</v>
      </c>
      <c r="R20" s="371"/>
      <c r="S20" s="371" t="s">
        <v>2</v>
      </c>
      <c r="T20" s="371"/>
      <c r="U20" s="370" t="s">
        <v>2</v>
      </c>
      <c r="V20" s="370"/>
      <c r="W20" s="370" t="s">
        <v>2</v>
      </c>
      <c r="X20" s="370"/>
    </row>
    <row r="21" spans="2:29" ht="14" customHeight="1" x14ac:dyDescent="0.3">
      <c r="B21" s="358" t="s">
        <v>34</v>
      </c>
      <c r="C21" s="43"/>
      <c r="D21" s="65"/>
      <c r="E21" s="365"/>
      <c r="F21" s="365"/>
      <c r="G21" s="365"/>
      <c r="H21" s="365"/>
      <c r="I21" s="59"/>
      <c r="J21" s="364"/>
      <c r="K21" s="364"/>
      <c r="L21" s="364"/>
      <c r="M21" s="364"/>
      <c r="O21" s="42" t="s">
        <v>35</v>
      </c>
      <c r="P21" s="42">
        <v>7</v>
      </c>
      <c r="Q21" s="42" t="s">
        <v>35</v>
      </c>
      <c r="R21" s="42">
        <v>7</v>
      </c>
      <c r="S21" s="42" t="s">
        <v>35</v>
      </c>
      <c r="T21" s="42">
        <v>7</v>
      </c>
      <c r="U21" s="42" t="s">
        <v>35</v>
      </c>
      <c r="V21" s="42">
        <v>7</v>
      </c>
      <c r="W21" s="42" t="s">
        <v>35</v>
      </c>
      <c r="X21" s="42">
        <v>7</v>
      </c>
    </row>
    <row r="22" spans="2:29" ht="13.25" customHeight="1" x14ac:dyDescent="0.3">
      <c r="B22" s="359"/>
      <c r="C22" s="43"/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O22" s="42" t="s">
        <v>35</v>
      </c>
      <c r="P22" s="42">
        <v>1</v>
      </c>
      <c r="Q22" s="42" t="s">
        <v>35</v>
      </c>
      <c r="R22" s="42">
        <v>1</v>
      </c>
      <c r="S22" s="42" t="s">
        <v>35</v>
      </c>
      <c r="T22" s="42">
        <v>1</v>
      </c>
      <c r="U22" s="42" t="s">
        <v>35</v>
      </c>
      <c r="V22" s="42">
        <v>1</v>
      </c>
      <c r="W22" s="42" t="s">
        <v>35</v>
      </c>
      <c r="X22" s="42">
        <v>1</v>
      </c>
    </row>
    <row r="23" spans="2:29" x14ac:dyDescent="0.3">
      <c r="B23" s="359"/>
      <c r="C23" s="43"/>
      <c r="D23" s="56"/>
      <c r="E23" s="365"/>
      <c r="F23" s="365"/>
      <c r="G23" s="365"/>
      <c r="H23" s="365"/>
      <c r="J23" s="335"/>
      <c r="K23" s="335"/>
      <c r="L23" s="335"/>
      <c r="M23" s="335"/>
      <c r="O23" s="42" t="s">
        <v>36</v>
      </c>
      <c r="P23" s="42">
        <v>8</v>
      </c>
      <c r="Q23" s="59" t="s">
        <v>37</v>
      </c>
      <c r="R23" s="42">
        <v>11</v>
      </c>
      <c r="S23" s="59" t="s">
        <v>37</v>
      </c>
      <c r="T23" s="42">
        <v>11</v>
      </c>
      <c r="U23" s="42" t="s">
        <v>36</v>
      </c>
      <c r="V23" s="42">
        <v>8</v>
      </c>
      <c r="W23" s="42" t="s">
        <v>36</v>
      </c>
      <c r="X23" s="42">
        <v>8</v>
      </c>
    </row>
    <row r="24" spans="2:29" x14ac:dyDescent="0.3">
      <c r="B24" s="359"/>
      <c r="C24" s="43"/>
      <c r="D24" s="67"/>
      <c r="F24" s="58"/>
      <c r="G24" s="58"/>
      <c r="H24" s="58"/>
      <c r="I24" s="58"/>
      <c r="J24" s="58"/>
      <c r="K24" s="58"/>
      <c r="L24" s="58"/>
      <c r="M24" s="96"/>
      <c r="O24" s="42" t="s">
        <v>38</v>
      </c>
      <c r="P24" s="42">
        <v>6</v>
      </c>
      <c r="Q24" s="42" t="s">
        <v>38</v>
      </c>
      <c r="R24" s="42">
        <v>6</v>
      </c>
      <c r="S24" s="59" t="s">
        <v>39</v>
      </c>
      <c r="T24" s="42">
        <v>12</v>
      </c>
      <c r="U24" s="59" t="s">
        <v>39</v>
      </c>
      <c r="V24" s="59">
        <v>12</v>
      </c>
      <c r="W24" s="59" t="s">
        <v>39</v>
      </c>
      <c r="X24" s="59">
        <v>12</v>
      </c>
    </row>
    <row r="25" spans="2:29" x14ac:dyDescent="0.3">
      <c r="B25" s="359"/>
      <c r="C25" s="43"/>
      <c r="D25" s="67"/>
      <c r="E25" s="58"/>
      <c r="F25" s="58"/>
      <c r="G25" s="58"/>
      <c r="H25" s="58"/>
      <c r="I25" s="58"/>
      <c r="J25" s="58"/>
      <c r="K25" s="58"/>
      <c r="L25" s="58"/>
      <c r="M25" s="96"/>
      <c r="O25" s="42" t="s">
        <v>40</v>
      </c>
      <c r="P25" s="42">
        <v>5</v>
      </c>
      <c r="Q25" s="59" t="s">
        <v>41</v>
      </c>
      <c r="R25" s="42">
        <v>12</v>
      </c>
      <c r="S25" s="42" t="s">
        <v>40</v>
      </c>
      <c r="T25" s="42">
        <v>5</v>
      </c>
      <c r="U25" s="59" t="s">
        <v>41</v>
      </c>
      <c r="V25" s="42">
        <v>12</v>
      </c>
      <c r="W25" s="59" t="s">
        <v>41</v>
      </c>
      <c r="X25" s="42">
        <v>12</v>
      </c>
    </row>
    <row r="26" spans="2:29" x14ac:dyDescent="0.3">
      <c r="B26" s="359"/>
      <c r="C26" s="43"/>
      <c r="D26" s="67"/>
      <c r="E26" s="58"/>
      <c r="F26" s="58"/>
      <c r="G26" s="58"/>
      <c r="H26" s="58"/>
      <c r="I26" s="58"/>
      <c r="J26" s="58"/>
      <c r="K26" s="58"/>
      <c r="L26" s="58"/>
      <c r="M26" s="96"/>
      <c r="O26" s="42" t="s">
        <v>42</v>
      </c>
      <c r="P26" s="42">
        <v>1</v>
      </c>
      <c r="Q26" s="59" t="s">
        <v>43</v>
      </c>
      <c r="R26" s="42">
        <v>3</v>
      </c>
      <c r="S26" s="59" t="s">
        <v>43</v>
      </c>
      <c r="T26" s="59">
        <v>3</v>
      </c>
      <c r="U26" s="59" t="s">
        <v>43</v>
      </c>
      <c r="V26" s="59">
        <v>3</v>
      </c>
      <c r="W26" s="59" t="s">
        <v>43</v>
      </c>
      <c r="X26" s="59">
        <v>3</v>
      </c>
    </row>
    <row r="27" spans="2:29" x14ac:dyDescent="0.3">
      <c r="B27" s="359"/>
      <c r="C27" s="43"/>
      <c r="D27" s="67"/>
      <c r="E27" s="58"/>
      <c r="F27" s="58"/>
      <c r="G27" s="58"/>
      <c r="H27" s="58"/>
      <c r="I27" s="58"/>
      <c r="J27" s="58"/>
      <c r="K27" s="58"/>
      <c r="L27" s="58"/>
      <c r="M27" s="96"/>
      <c r="P27" s="59">
        <f>SUM(P21:P26)</f>
        <v>28</v>
      </c>
      <c r="R27" s="59">
        <f>SUM(R21:R26)</f>
        <v>40</v>
      </c>
      <c r="T27" s="59">
        <f>SUM(T21:T26)</f>
        <v>39</v>
      </c>
      <c r="V27" s="59">
        <f>SUM(V21:V26)</f>
        <v>43</v>
      </c>
      <c r="X27" s="59">
        <f>SUM(X21:X26)</f>
        <v>43</v>
      </c>
    </row>
    <row r="28" spans="2:29" x14ac:dyDescent="0.3">
      <c r="B28" s="359"/>
      <c r="C28" s="43"/>
      <c r="D28" s="67"/>
      <c r="E28" s="58"/>
      <c r="F28" s="58"/>
      <c r="G28" s="58"/>
      <c r="H28" s="58"/>
      <c r="I28" s="58"/>
      <c r="J28" s="58"/>
      <c r="K28" s="58"/>
      <c r="L28" s="58"/>
      <c r="M28" s="96"/>
      <c r="O28" s="330" t="s">
        <v>44</v>
      </c>
      <c r="P28" s="330"/>
      <c r="Q28" s="330"/>
      <c r="R28" s="330"/>
      <c r="S28" s="330"/>
      <c r="T28" s="330"/>
      <c r="AA28" s="42">
        <v>28</v>
      </c>
    </row>
    <row r="29" spans="2:29" x14ac:dyDescent="0.3">
      <c r="B29" s="359"/>
      <c r="C29" s="43"/>
      <c r="D29" s="67"/>
      <c r="E29" s="58"/>
      <c r="F29" s="58"/>
      <c r="G29" s="58"/>
      <c r="H29" s="58"/>
      <c r="I29" s="58"/>
      <c r="J29" s="58"/>
      <c r="K29" s="58"/>
      <c r="L29" s="58"/>
      <c r="M29" s="96"/>
      <c r="O29" s="371" t="s">
        <v>3</v>
      </c>
      <c r="P29" s="371"/>
      <c r="Q29" s="371" t="s">
        <v>3</v>
      </c>
      <c r="R29" s="371"/>
      <c r="S29" s="371" t="s">
        <v>3</v>
      </c>
      <c r="T29" s="371"/>
      <c r="U29" s="371" t="s">
        <v>3</v>
      </c>
      <c r="V29" s="371"/>
      <c r="AA29" s="42">
        <v>54</v>
      </c>
      <c r="AB29" s="42">
        <f>AA29-AA28</f>
        <v>26</v>
      </c>
      <c r="AC29" s="42">
        <f>AB29/2</f>
        <v>13</v>
      </c>
    </row>
    <row r="30" spans="2:29" x14ac:dyDescent="0.3">
      <c r="B30" s="359"/>
      <c r="C30" s="43"/>
      <c r="D30" s="366" t="s">
        <v>45</v>
      </c>
      <c r="E30" s="366"/>
      <c r="F30" s="366"/>
      <c r="G30" s="366"/>
      <c r="H30" s="366"/>
      <c r="I30" s="366"/>
      <c r="J30" s="366"/>
      <c r="K30" s="366"/>
      <c r="L30" s="366"/>
      <c r="M30" s="366"/>
      <c r="O30" s="59" t="s">
        <v>46</v>
      </c>
      <c r="P30" s="42">
        <v>31</v>
      </c>
      <c r="Q30" s="42" t="s">
        <v>46</v>
      </c>
      <c r="R30" s="42">
        <v>31</v>
      </c>
      <c r="S30" s="42" t="s">
        <v>46</v>
      </c>
      <c r="T30" s="42">
        <v>31</v>
      </c>
      <c r="U30" s="42" t="s">
        <v>47</v>
      </c>
      <c r="V30" s="42">
        <v>7</v>
      </c>
      <c r="AA30" s="42">
        <v>72</v>
      </c>
      <c r="AC30" s="42">
        <f>AA28+AC29</f>
        <v>41</v>
      </c>
    </row>
    <row r="31" spans="2:29" ht="12.65" customHeight="1" x14ac:dyDescent="0.3">
      <c r="B31" s="359"/>
      <c r="C31" s="43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O31" s="59" t="s">
        <v>46</v>
      </c>
      <c r="P31" s="42">
        <v>3</v>
      </c>
      <c r="Q31" s="42" t="s">
        <v>46</v>
      </c>
      <c r="R31" s="42">
        <v>3</v>
      </c>
      <c r="S31" s="42" t="s">
        <v>46</v>
      </c>
      <c r="T31" s="42">
        <v>3</v>
      </c>
      <c r="U31" s="42" t="s">
        <v>47</v>
      </c>
      <c r="V31" s="42">
        <v>1</v>
      </c>
    </row>
    <row r="32" spans="2:29" x14ac:dyDescent="0.3">
      <c r="B32" s="359"/>
      <c r="C32" s="43"/>
      <c r="D32" s="367"/>
      <c r="E32" s="367"/>
      <c r="F32" s="367"/>
      <c r="G32" s="367"/>
      <c r="H32" s="367"/>
      <c r="I32" s="367"/>
      <c r="J32" s="367"/>
      <c r="K32" s="367"/>
      <c r="L32" s="367"/>
      <c r="M32" s="367"/>
      <c r="O32" s="42" t="s">
        <v>36</v>
      </c>
      <c r="P32" s="42">
        <v>8</v>
      </c>
      <c r="Q32" s="59" t="s">
        <v>37</v>
      </c>
      <c r="R32" s="59">
        <v>11</v>
      </c>
      <c r="S32" s="42" t="s">
        <v>36</v>
      </c>
      <c r="T32" s="42">
        <v>8</v>
      </c>
      <c r="U32" s="59" t="s">
        <v>37</v>
      </c>
      <c r="V32" s="59">
        <v>11</v>
      </c>
    </row>
    <row r="33" spans="2:24" x14ac:dyDescent="0.3">
      <c r="B33" s="359"/>
      <c r="C33" s="43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O33" s="42" t="s">
        <v>38</v>
      </c>
      <c r="P33" s="42">
        <v>6</v>
      </c>
      <c r="Q33" s="42" t="s">
        <v>38</v>
      </c>
      <c r="R33" s="42">
        <v>6</v>
      </c>
      <c r="S33" s="42" t="s">
        <v>38</v>
      </c>
      <c r="T33" s="42">
        <v>6</v>
      </c>
      <c r="U33" s="59" t="s">
        <v>39</v>
      </c>
      <c r="V33" s="59">
        <v>12</v>
      </c>
    </row>
    <row r="34" spans="2:24" x14ac:dyDescent="0.3">
      <c r="B34" s="359"/>
      <c r="C34" s="43"/>
      <c r="D34" s="58"/>
      <c r="E34" s="58"/>
      <c r="F34" s="58"/>
      <c r="G34" s="58"/>
      <c r="H34" s="58"/>
      <c r="I34" s="58"/>
      <c r="J34" s="58"/>
      <c r="K34" s="58"/>
      <c r="L34" s="58"/>
      <c r="M34" s="96"/>
      <c r="O34" s="42" t="s">
        <v>40</v>
      </c>
      <c r="P34" s="42">
        <v>5</v>
      </c>
      <c r="Q34" s="42" t="s">
        <v>40</v>
      </c>
      <c r="R34" s="42">
        <v>5</v>
      </c>
      <c r="S34" s="42" t="s">
        <v>40</v>
      </c>
      <c r="T34" s="42">
        <v>5</v>
      </c>
      <c r="U34" s="59" t="s">
        <v>41</v>
      </c>
      <c r="V34" s="59">
        <v>12</v>
      </c>
    </row>
    <row r="35" spans="2:24" x14ac:dyDescent="0.3">
      <c r="B35" s="359"/>
      <c r="C35" s="43"/>
      <c r="D35" s="58"/>
      <c r="E35" s="58"/>
      <c r="G35" s="58"/>
      <c r="H35" s="58"/>
      <c r="I35" s="58"/>
      <c r="J35" s="58"/>
      <c r="K35" s="58"/>
      <c r="L35" s="58"/>
      <c r="M35" s="96"/>
      <c r="O35" s="42" t="s">
        <v>42</v>
      </c>
      <c r="P35" s="42">
        <v>1</v>
      </c>
      <c r="Q35" s="42" t="s">
        <v>42</v>
      </c>
      <c r="R35" s="42">
        <v>1</v>
      </c>
      <c r="S35" s="59" t="s">
        <v>43</v>
      </c>
      <c r="T35" s="59">
        <v>3</v>
      </c>
      <c r="U35" s="59" t="s">
        <v>43</v>
      </c>
      <c r="V35" s="59">
        <v>3</v>
      </c>
    </row>
    <row r="36" spans="2:24" x14ac:dyDescent="0.3">
      <c r="B36" s="359"/>
      <c r="C36" s="43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P36" s="59">
        <f>SUM(P30:P35)</f>
        <v>54</v>
      </c>
      <c r="R36" s="59">
        <f>SUM(R30:R35)</f>
        <v>57</v>
      </c>
      <c r="T36" s="59">
        <f>SUM(T30:T35)</f>
        <v>56</v>
      </c>
      <c r="V36" s="59">
        <f>SUM(V30:V35)</f>
        <v>46</v>
      </c>
    </row>
    <row r="37" spans="2:24" x14ac:dyDescent="0.3">
      <c r="B37" s="359"/>
      <c r="C37" s="43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O37" s="330" t="s">
        <v>48</v>
      </c>
      <c r="P37" s="330"/>
      <c r="Q37" s="330"/>
      <c r="R37" s="330"/>
      <c r="S37" s="330"/>
      <c r="T37" s="330"/>
    </row>
    <row r="38" spans="2:24" x14ac:dyDescent="0.3">
      <c r="B38" s="359"/>
      <c r="C38" s="43"/>
      <c r="D38" s="54"/>
      <c r="E38" s="54"/>
      <c r="F38" s="54"/>
      <c r="G38" s="54"/>
      <c r="H38" s="54"/>
      <c r="I38" s="54"/>
      <c r="J38" s="54"/>
      <c r="K38" s="54"/>
      <c r="L38" s="54"/>
      <c r="M38" s="93"/>
      <c r="O38" s="116" t="s">
        <v>4</v>
      </c>
      <c r="P38" s="116"/>
      <c r="Q38" s="116" t="s">
        <v>4</v>
      </c>
      <c r="R38" s="116"/>
      <c r="S38" s="116" t="s">
        <v>4</v>
      </c>
      <c r="T38" s="116"/>
    </row>
    <row r="39" spans="2:24" ht="20" customHeight="1" x14ac:dyDescent="0.3">
      <c r="B39" s="359"/>
      <c r="C39" s="43"/>
      <c r="D39" s="58"/>
      <c r="E39" s="58"/>
      <c r="F39" s="58"/>
      <c r="G39" s="58"/>
      <c r="H39" s="58"/>
      <c r="I39" s="58"/>
      <c r="J39" s="58"/>
      <c r="K39" s="58"/>
      <c r="L39" s="58"/>
      <c r="M39" s="96"/>
      <c r="O39" s="42" t="s">
        <v>49</v>
      </c>
      <c r="P39" s="42">
        <v>31</v>
      </c>
      <c r="Q39" s="42" t="s">
        <v>49</v>
      </c>
      <c r="R39" s="42">
        <v>31</v>
      </c>
      <c r="S39" s="42" t="s">
        <v>49</v>
      </c>
      <c r="T39" s="42">
        <v>31</v>
      </c>
      <c r="X39" s="42">
        <f>72-54</f>
        <v>18</v>
      </c>
    </row>
    <row r="40" spans="2:24" ht="20" customHeight="1" x14ac:dyDescent="0.3">
      <c r="B40" s="359"/>
      <c r="C40" s="43"/>
      <c r="D40" s="58"/>
      <c r="E40" s="58"/>
      <c r="F40" s="58"/>
      <c r="G40" s="58"/>
      <c r="H40" s="58"/>
      <c r="I40" s="58"/>
      <c r="J40" s="58"/>
      <c r="K40" s="58"/>
      <c r="L40" s="58"/>
      <c r="M40" s="96"/>
      <c r="O40" s="42" t="s">
        <v>49</v>
      </c>
      <c r="P40" s="42">
        <v>3</v>
      </c>
      <c r="Q40" s="42" t="s">
        <v>49</v>
      </c>
      <c r="R40" s="42">
        <v>3</v>
      </c>
      <c r="S40" s="42" t="s">
        <v>49</v>
      </c>
      <c r="T40" s="42">
        <v>3</v>
      </c>
      <c r="X40" s="42">
        <f>X39/2</f>
        <v>9</v>
      </c>
    </row>
    <row r="41" spans="2:24" ht="20" customHeight="1" x14ac:dyDescent="0.3">
      <c r="B41" s="359"/>
      <c r="C41" s="43"/>
      <c r="D41" s="366" t="s">
        <v>50</v>
      </c>
      <c r="E41" s="366"/>
      <c r="F41" s="366"/>
      <c r="G41" s="366"/>
      <c r="H41" s="366"/>
      <c r="I41" s="366"/>
      <c r="J41" s="366"/>
      <c r="K41" s="366"/>
      <c r="L41" s="366"/>
      <c r="M41" s="366"/>
      <c r="O41" s="59" t="s">
        <v>37</v>
      </c>
      <c r="P41" s="42">
        <v>11</v>
      </c>
      <c r="Q41" s="59" t="s">
        <v>36</v>
      </c>
      <c r="R41" s="59">
        <v>8</v>
      </c>
      <c r="S41" s="59" t="s">
        <v>36</v>
      </c>
      <c r="T41" s="59">
        <v>8</v>
      </c>
      <c r="X41" s="42">
        <f>54+9</f>
        <v>63</v>
      </c>
    </row>
    <row r="42" spans="2:24" ht="20" customHeight="1" x14ac:dyDescent="0.3">
      <c r="B42" s="359"/>
      <c r="C42" s="43"/>
      <c r="D42" s="64"/>
      <c r="E42" s="64"/>
      <c r="F42" s="64"/>
      <c r="G42" s="64"/>
      <c r="H42" s="64"/>
      <c r="I42" s="64"/>
      <c r="J42" s="64"/>
      <c r="K42" s="64"/>
      <c r="L42" s="64"/>
      <c r="M42" s="95"/>
      <c r="O42" s="59" t="s">
        <v>39</v>
      </c>
      <c r="P42" s="42">
        <v>12</v>
      </c>
      <c r="Q42" s="42" t="s">
        <v>39</v>
      </c>
      <c r="R42" s="42">
        <v>12</v>
      </c>
      <c r="S42" s="59" t="s">
        <v>38</v>
      </c>
      <c r="T42" s="59">
        <v>6</v>
      </c>
    </row>
    <row r="43" spans="2:24" ht="20" customHeight="1" x14ac:dyDescent="0.3">
      <c r="B43" s="359"/>
      <c r="C43" s="43"/>
      <c r="D43" s="64"/>
      <c r="E43" s="64"/>
      <c r="F43" s="64"/>
      <c r="G43" s="64"/>
      <c r="H43" s="64"/>
      <c r="I43" s="64"/>
      <c r="J43" s="64"/>
      <c r="K43" s="64"/>
      <c r="L43" s="64"/>
      <c r="M43" s="95"/>
      <c r="O43" s="59" t="s">
        <v>41</v>
      </c>
      <c r="P43" s="42">
        <v>12</v>
      </c>
      <c r="Q43" s="59" t="s">
        <v>40</v>
      </c>
      <c r="R43" s="59">
        <v>5</v>
      </c>
      <c r="S43" s="42" t="s">
        <v>41</v>
      </c>
      <c r="T43" s="42">
        <v>12</v>
      </c>
    </row>
    <row r="44" spans="2:24" ht="20" customHeight="1" x14ac:dyDescent="0.3">
      <c r="B44" s="359"/>
      <c r="C44" s="43"/>
      <c r="D44" s="64"/>
      <c r="E44" s="64"/>
      <c r="F44" s="64"/>
      <c r="G44" s="64"/>
      <c r="H44" s="64"/>
      <c r="I44" s="64"/>
      <c r="J44" s="64"/>
      <c r="K44" s="64"/>
      <c r="L44" s="64"/>
      <c r="M44" s="95"/>
      <c r="O44" s="59" t="s">
        <v>43</v>
      </c>
      <c r="P44" s="42">
        <v>3</v>
      </c>
      <c r="Q44" s="59" t="s">
        <v>51</v>
      </c>
      <c r="R44" s="59">
        <v>1</v>
      </c>
      <c r="S44" s="59" t="s">
        <v>51</v>
      </c>
      <c r="T44" s="59">
        <v>1</v>
      </c>
    </row>
    <row r="45" spans="2:24" ht="20" customHeight="1" x14ac:dyDescent="0.3">
      <c r="B45" s="359"/>
      <c r="C45" s="43"/>
      <c r="D45" s="58"/>
      <c r="E45" s="58"/>
      <c r="F45" s="58"/>
      <c r="G45" s="58"/>
      <c r="H45" s="58"/>
      <c r="I45" s="58"/>
      <c r="J45" s="58"/>
      <c r="K45" s="58"/>
      <c r="L45" s="58"/>
      <c r="M45" s="96"/>
      <c r="P45" s="59">
        <f>SUM(P39:P44)</f>
        <v>72</v>
      </c>
      <c r="R45" s="59">
        <f>SUM(R39:R44)</f>
        <v>60</v>
      </c>
      <c r="T45" s="59">
        <f>SUM(T39:T44)</f>
        <v>61</v>
      </c>
    </row>
    <row r="46" spans="2:24" ht="20" customHeight="1" x14ac:dyDescent="0.3">
      <c r="B46" s="359"/>
      <c r="C46" s="43"/>
      <c r="D46" s="366" t="s">
        <v>52</v>
      </c>
      <c r="E46" s="366"/>
      <c r="F46" s="366"/>
      <c r="G46" s="366"/>
      <c r="H46" s="366"/>
      <c r="I46" s="366"/>
      <c r="J46" s="366"/>
      <c r="K46" s="366"/>
      <c r="L46" s="366"/>
      <c r="M46" s="366"/>
    </row>
    <row r="47" spans="2:24" ht="20" customHeight="1" x14ac:dyDescent="0.3">
      <c r="B47" s="359"/>
      <c r="C47" s="43"/>
      <c r="D47" s="58"/>
      <c r="E47" s="58"/>
      <c r="F47" s="58"/>
      <c r="G47" s="58"/>
      <c r="H47" s="58"/>
      <c r="I47" s="58"/>
      <c r="J47" s="58"/>
      <c r="K47" s="58"/>
      <c r="L47" s="58"/>
      <c r="M47" s="96"/>
    </row>
    <row r="48" spans="2:24" ht="20" customHeight="1" x14ac:dyDescent="0.3">
      <c r="B48" s="359"/>
      <c r="C48" s="43"/>
      <c r="D48" s="58"/>
      <c r="E48" s="58"/>
      <c r="F48" s="58"/>
      <c r="G48" s="58"/>
      <c r="H48" s="58"/>
      <c r="I48" s="58"/>
      <c r="J48" s="58"/>
      <c r="K48" s="58"/>
      <c r="L48" s="58"/>
      <c r="M48" s="96"/>
    </row>
    <row r="49" spans="2:13" x14ac:dyDescent="0.3">
      <c r="B49" s="359"/>
      <c r="C49" s="43"/>
      <c r="D49" s="367"/>
      <c r="E49" s="367"/>
      <c r="F49" s="367"/>
      <c r="G49" s="367"/>
      <c r="H49" s="367"/>
      <c r="I49" s="367"/>
      <c r="J49" s="367"/>
      <c r="K49" s="367"/>
      <c r="L49" s="367"/>
      <c r="M49" s="367"/>
    </row>
    <row r="50" spans="2:13" x14ac:dyDescent="0.3">
      <c r="B50" s="359"/>
      <c r="C50" s="43"/>
      <c r="D50" s="367"/>
      <c r="E50" s="367"/>
      <c r="F50" s="367"/>
      <c r="G50" s="367"/>
      <c r="H50" s="367"/>
      <c r="I50" s="367"/>
      <c r="J50" s="367"/>
      <c r="K50" s="367"/>
      <c r="L50" s="367"/>
      <c r="M50" s="367"/>
    </row>
    <row r="51" spans="2:13" x14ac:dyDescent="0.3">
      <c r="B51" s="359"/>
      <c r="C51" s="43"/>
      <c r="D51" s="367"/>
      <c r="E51" s="367"/>
      <c r="F51" s="367"/>
      <c r="G51" s="367"/>
      <c r="H51" s="367"/>
      <c r="I51" s="367"/>
      <c r="J51" s="367"/>
      <c r="K51" s="367"/>
      <c r="L51" s="367"/>
      <c r="M51" s="367"/>
    </row>
    <row r="52" spans="2:13" x14ac:dyDescent="0.3">
      <c r="B52" s="359"/>
      <c r="C52" s="43"/>
      <c r="D52" s="66"/>
      <c r="E52" s="53"/>
      <c r="F52" s="53"/>
      <c r="G52" s="53"/>
      <c r="H52" s="53"/>
      <c r="I52" s="53"/>
      <c r="J52" s="53"/>
      <c r="K52" s="53"/>
      <c r="L52" s="53"/>
      <c r="M52" s="99"/>
    </row>
    <row r="53" spans="2:13" x14ac:dyDescent="0.3">
      <c r="B53" s="359"/>
      <c r="C53" s="43"/>
      <c r="D53" s="366" t="s">
        <v>53</v>
      </c>
      <c r="E53" s="366"/>
      <c r="F53" s="366"/>
      <c r="G53" s="366"/>
      <c r="H53" s="366"/>
      <c r="I53" s="366"/>
      <c r="J53" s="366"/>
      <c r="K53" s="366"/>
      <c r="L53" s="366"/>
      <c r="M53" s="366"/>
    </row>
    <row r="54" spans="2:13" x14ac:dyDescent="0.3">
      <c r="B54" s="359"/>
      <c r="C54" s="43"/>
      <c r="D54" s="66"/>
      <c r="E54" s="53"/>
      <c r="F54" s="53"/>
      <c r="G54" s="53"/>
      <c r="H54" s="53"/>
      <c r="I54" s="53"/>
      <c r="J54" s="53"/>
      <c r="K54" s="53"/>
      <c r="L54" s="53"/>
      <c r="M54" s="99"/>
    </row>
    <row r="55" spans="2:13" x14ac:dyDescent="0.3">
      <c r="B55" s="359"/>
      <c r="C55" s="43"/>
      <c r="D55" s="66"/>
      <c r="E55" s="53"/>
      <c r="F55" s="53"/>
      <c r="G55" s="53"/>
      <c r="H55" s="53"/>
      <c r="I55" s="53"/>
      <c r="J55" s="53"/>
      <c r="K55" s="53"/>
      <c r="L55" s="53"/>
      <c r="M55" s="99"/>
    </row>
    <row r="56" spans="2:13" x14ac:dyDescent="0.3">
      <c r="B56" s="359"/>
      <c r="C56" s="43"/>
      <c r="D56" s="66"/>
      <c r="E56" s="53"/>
      <c r="F56" s="53"/>
      <c r="G56" s="53"/>
      <c r="H56" s="53"/>
      <c r="I56" s="53"/>
      <c r="J56" s="53"/>
      <c r="K56" s="53"/>
      <c r="L56" s="53"/>
      <c r="M56" s="99"/>
    </row>
    <row r="57" spans="2:13" ht="20" customHeight="1" x14ac:dyDescent="0.3">
      <c r="B57" s="359"/>
      <c r="C57" s="43"/>
      <c r="D57" s="366" t="s">
        <v>54</v>
      </c>
      <c r="E57" s="366"/>
      <c r="F57" s="366"/>
      <c r="G57" s="366"/>
      <c r="H57" s="366"/>
      <c r="I57" s="366"/>
      <c r="J57" s="366"/>
      <c r="K57" s="366"/>
      <c r="L57" s="366"/>
      <c r="M57" s="366"/>
    </row>
    <row r="58" spans="2:13" x14ac:dyDescent="0.3">
      <c r="B58" s="359"/>
      <c r="C58" s="43"/>
      <c r="D58" s="56"/>
    </row>
    <row r="59" spans="2:13" x14ac:dyDescent="0.3">
      <c r="B59" s="359"/>
      <c r="C59" s="43"/>
      <c r="D59" s="56"/>
    </row>
    <row r="60" spans="2:13" x14ac:dyDescent="0.3">
      <c r="B60" s="359"/>
      <c r="C60" s="43"/>
      <c r="D60" s="56"/>
    </row>
    <row r="61" spans="2:13" x14ac:dyDescent="0.3">
      <c r="B61" s="359"/>
      <c r="C61" s="43"/>
      <c r="D61" s="56"/>
    </row>
    <row r="62" spans="2:13" ht="15" customHeight="1" x14ac:dyDescent="0.3">
      <c r="B62" s="359"/>
      <c r="C62" s="43"/>
      <c r="D62" s="56"/>
      <c r="E62" s="59"/>
      <c r="F62" s="59"/>
      <c r="G62" s="59"/>
      <c r="H62" s="59"/>
      <c r="I62" s="59"/>
      <c r="J62" s="59"/>
      <c r="K62" s="59"/>
      <c r="L62" s="59"/>
      <c r="M62" s="100"/>
    </row>
    <row r="63" spans="2:13" ht="15" customHeight="1" x14ac:dyDescent="0.3">
      <c r="D63" s="355" t="s">
        <v>55</v>
      </c>
      <c r="E63" s="353"/>
      <c r="F63" s="353"/>
      <c r="G63" s="353"/>
      <c r="H63" s="353"/>
      <c r="I63" s="353"/>
      <c r="J63" s="353"/>
      <c r="K63" s="353"/>
      <c r="L63" s="353"/>
      <c r="M63" s="353"/>
    </row>
    <row r="64" spans="2:13" ht="15" customHeight="1" x14ac:dyDescent="0.3">
      <c r="D64" s="52"/>
      <c r="E64" s="54"/>
      <c r="F64" s="54"/>
      <c r="G64" s="54"/>
      <c r="H64" s="54"/>
      <c r="I64" s="54"/>
      <c r="J64" s="54"/>
      <c r="K64" s="54"/>
      <c r="L64" s="54"/>
      <c r="M64" s="93"/>
    </row>
    <row r="65" spans="2:20" ht="15" customHeight="1" x14ac:dyDescent="0.3">
      <c r="D65" s="52"/>
      <c r="E65" s="54"/>
      <c r="F65" s="353" t="s">
        <v>32</v>
      </c>
      <c r="G65" s="353"/>
      <c r="H65" s="353" t="s">
        <v>44</v>
      </c>
      <c r="I65" s="353"/>
      <c r="J65" s="353"/>
      <c r="K65" s="353" t="s">
        <v>48</v>
      </c>
      <c r="L65" s="353"/>
      <c r="M65" s="93"/>
    </row>
    <row r="66" spans="2:20" ht="15" customHeight="1" x14ac:dyDescent="0.3">
      <c r="D66" s="52" t="s">
        <v>56</v>
      </c>
      <c r="E66" s="51">
        <v>28</v>
      </c>
      <c r="F66" s="59"/>
      <c r="G66" s="59"/>
      <c r="H66" s="59"/>
      <c r="I66" s="111" t="s">
        <v>57</v>
      </c>
      <c r="J66" s="59"/>
      <c r="K66" s="59"/>
      <c r="L66" s="59"/>
      <c r="M66" s="95">
        <v>72</v>
      </c>
    </row>
    <row r="67" spans="2:20" ht="15" customHeight="1" x14ac:dyDescent="0.3">
      <c r="D67" s="68"/>
      <c r="F67" s="59"/>
      <c r="G67" s="59"/>
      <c r="H67" s="59"/>
      <c r="I67" s="59"/>
      <c r="J67" s="59"/>
      <c r="K67" s="59"/>
      <c r="L67" s="59"/>
      <c r="M67" s="95"/>
    </row>
    <row r="68" spans="2:20" ht="15" customHeight="1" x14ac:dyDescent="0.3">
      <c r="D68" s="68"/>
      <c r="E68" s="59"/>
      <c r="F68" s="59"/>
      <c r="G68" s="59"/>
      <c r="H68" s="59"/>
      <c r="I68" s="59"/>
      <c r="J68" s="59"/>
      <c r="K68" s="59"/>
      <c r="L68" s="59"/>
      <c r="M68" s="100"/>
    </row>
    <row r="69" spans="2:20" ht="15" customHeight="1" x14ac:dyDescent="0.3">
      <c r="D69" s="356" t="s">
        <v>58</v>
      </c>
      <c r="E69" s="357"/>
      <c r="F69" s="357"/>
      <c r="G69" s="357"/>
      <c r="H69" s="357"/>
      <c r="I69" s="357"/>
      <c r="J69" s="357"/>
      <c r="K69" s="357"/>
      <c r="L69" s="357"/>
      <c r="M69" s="357"/>
    </row>
    <row r="70" spans="2:20" ht="15" customHeight="1" thickBot="1" x14ac:dyDescent="0.35">
      <c r="B70" s="358" t="s">
        <v>7</v>
      </c>
      <c r="C70" s="43"/>
      <c r="D70" s="356"/>
      <c r="E70" s="357"/>
      <c r="F70" s="357"/>
      <c r="G70" s="357"/>
      <c r="H70" s="357"/>
      <c r="I70" s="357"/>
      <c r="J70" s="357"/>
      <c r="K70" s="357"/>
      <c r="L70" s="357"/>
      <c r="M70" s="357"/>
    </row>
    <row r="71" spans="2:20" ht="12" customHeight="1" x14ac:dyDescent="0.3">
      <c r="B71" s="359"/>
      <c r="C71" s="43"/>
      <c r="D71" s="65"/>
      <c r="E71" s="59"/>
      <c r="F71" s="59"/>
      <c r="G71" s="59"/>
      <c r="H71" s="59"/>
      <c r="I71" s="59"/>
      <c r="J71" s="59"/>
      <c r="K71" s="59"/>
      <c r="L71" s="59"/>
      <c r="M71" s="100"/>
      <c r="O71" s="333" t="s">
        <v>59</v>
      </c>
      <c r="P71" s="334"/>
      <c r="Q71" s="333" t="s">
        <v>60</v>
      </c>
      <c r="R71" s="334"/>
      <c r="S71" s="333" t="s">
        <v>61</v>
      </c>
      <c r="T71" s="334"/>
    </row>
    <row r="72" spans="2:20" ht="12" customHeight="1" x14ac:dyDescent="0.3">
      <c r="B72" s="359"/>
      <c r="C72" s="43"/>
      <c r="D72" s="56"/>
      <c r="O72" s="331" t="s">
        <v>2</v>
      </c>
      <c r="P72" s="332"/>
      <c r="Q72" s="331" t="s">
        <v>3</v>
      </c>
      <c r="R72" s="332"/>
      <c r="S72" s="331" t="s">
        <v>4</v>
      </c>
      <c r="T72" s="332"/>
    </row>
    <row r="73" spans="2:20" x14ac:dyDescent="0.3">
      <c r="B73" s="359"/>
      <c r="C73" s="43"/>
      <c r="D73" s="56"/>
      <c r="O73" s="131" t="s">
        <v>62</v>
      </c>
      <c r="P73" s="132">
        <v>26</v>
      </c>
      <c r="Q73" s="131" t="s">
        <v>62</v>
      </c>
      <c r="R73" s="132">
        <v>26</v>
      </c>
      <c r="S73" s="131" t="s">
        <v>62</v>
      </c>
      <c r="T73" s="132">
        <v>26</v>
      </c>
    </row>
    <row r="74" spans="2:20" x14ac:dyDescent="0.3">
      <c r="B74" s="359"/>
      <c r="C74" s="43"/>
      <c r="D74" s="56"/>
      <c r="O74" s="131" t="s">
        <v>63</v>
      </c>
      <c r="P74" s="132">
        <v>8</v>
      </c>
      <c r="Q74" s="131" t="s">
        <v>63</v>
      </c>
      <c r="R74" s="132">
        <v>8</v>
      </c>
      <c r="S74" s="131" t="s">
        <v>64</v>
      </c>
      <c r="T74" s="132">
        <v>18</v>
      </c>
    </row>
    <row r="75" spans="2:20" x14ac:dyDescent="0.3">
      <c r="B75" s="359"/>
      <c r="C75" s="43"/>
      <c r="D75" s="56"/>
      <c r="O75" s="131" t="s">
        <v>65</v>
      </c>
      <c r="P75" s="132">
        <v>12</v>
      </c>
      <c r="Q75" s="131" t="s">
        <v>66</v>
      </c>
      <c r="R75" s="132">
        <v>8</v>
      </c>
      <c r="S75" s="131" t="s">
        <v>67</v>
      </c>
      <c r="T75" s="132">
        <v>14</v>
      </c>
    </row>
    <row r="76" spans="2:20" x14ac:dyDescent="0.3">
      <c r="B76" s="359"/>
      <c r="C76" s="43"/>
      <c r="D76" s="56"/>
      <c r="O76" s="131"/>
      <c r="P76" s="132"/>
      <c r="Q76" s="131" t="s">
        <v>68</v>
      </c>
      <c r="R76" s="132">
        <v>14</v>
      </c>
      <c r="S76" s="131" t="s">
        <v>65</v>
      </c>
      <c r="T76" s="132">
        <v>12</v>
      </c>
    </row>
    <row r="77" spans="2:20" x14ac:dyDescent="0.3">
      <c r="B77" s="359"/>
      <c r="C77" s="43"/>
      <c r="D77" s="56"/>
      <c r="O77" s="131"/>
      <c r="P77" s="132"/>
      <c r="Q77" s="143"/>
      <c r="R77" s="132"/>
      <c r="S77" s="131" t="s">
        <v>63</v>
      </c>
      <c r="T77" s="132">
        <v>8</v>
      </c>
    </row>
    <row r="78" spans="2:20" x14ac:dyDescent="0.3">
      <c r="B78" s="359"/>
      <c r="C78" s="43"/>
      <c r="D78" s="56"/>
      <c r="O78" s="328"/>
      <c r="P78" s="329"/>
      <c r="Q78" s="328"/>
      <c r="R78" s="329"/>
      <c r="S78" s="328"/>
      <c r="T78" s="329"/>
    </row>
    <row r="79" spans="2:20" x14ac:dyDescent="0.3">
      <c r="B79" s="359"/>
      <c r="C79" s="43"/>
      <c r="D79" s="56"/>
      <c r="O79" s="133" t="s">
        <v>56</v>
      </c>
      <c r="P79" s="134">
        <f>SUM(P73:P78)</f>
        <v>46</v>
      </c>
      <c r="Q79" s="144"/>
      <c r="R79" s="134">
        <f>SUM(R73:R78)</f>
        <v>56</v>
      </c>
      <c r="S79" s="144"/>
      <c r="T79" s="134" t="s">
        <v>69</v>
      </c>
    </row>
    <row r="80" spans="2:20" ht="12" customHeight="1" x14ac:dyDescent="0.3">
      <c r="B80" s="359"/>
      <c r="C80" s="43"/>
      <c r="D80" s="56"/>
      <c r="O80" s="135" t="s">
        <v>70</v>
      </c>
      <c r="P80" s="136">
        <f>CARDAPIO!E31+CARDAPIO!E32+CARDAPIO!E34</f>
        <v>40891.82</v>
      </c>
      <c r="Q80" s="143"/>
      <c r="R80" s="136">
        <f>CARDAPIO!E31+CARDAPIO!E32+CARDAPIO!E35+CARDAPIO!E36</f>
        <v>50572.189999999995</v>
      </c>
      <c r="S80" s="143"/>
      <c r="T80" s="136">
        <f>CARDAPIO!E31+CARDAPIO!E38+CARDAPIO!E34+CARDAPIO!E36+CARDAPIO!E32</f>
        <v>70013.98</v>
      </c>
    </row>
    <row r="81" spans="2:20" x14ac:dyDescent="0.3">
      <c r="B81" s="359"/>
      <c r="C81" s="43"/>
      <c r="D81" s="56"/>
      <c r="O81" s="137"/>
      <c r="P81" s="138"/>
      <c r="Q81" s="131"/>
      <c r="R81" s="138"/>
      <c r="S81" s="131"/>
      <c r="T81" s="138"/>
    </row>
    <row r="82" spans="2:20" x14ac:dyDescent="0.3">
      <c r="B82" s="359"/>
      <c r="C82" s="43"/>
      <c r="D82" s="56"/>
      <c r="O82" s="131"/>
      <c r="P82" s="132"/>
      <c r="Q82" s="131"/>
      <c r="R82" s="132"/>
      <c r="S82" s="131"/>
      <c r="T82" s="132"/>
    </row>
    <row r="83" spans="2:20" x14ac:dyDescent="0.3">
      <c r="B83" s="359"/>
      <c r="C83" s="43"/>
      <c r="D83" s="56"/>
      <c r="O83" s="139">
        <v>100</v>
      </c>
      <c r="P83" s="140">
        <f>P80/O83</f>
        <v>408.91820000000001</v>
      </c>
      <c r="Q83" s="131"/>
      <c r="R83" s="140">
        <f>R80/O83</f>
        <v>505.72189999999995</v>
      </c>
      <c r="S83" s="131"/>
      <c r="T83" s="140">
        <f>T80/O83</f>
        <v>700.13979999999992</v>
      </c>
    </row>
    <row r="84" spans="2:20" x14ac:dyDescent="0.3">
      <c r="B84" s="359"/>
      <c r="C84" s="43"/>
      <c r="D84" s="56"/>
      <c r="O84" s="139">
        <v>200</v>
      </c>
      <c r="P84" s="140">
        <f>P80/O84</f>
        <v>204.45910000000001</v>
      </c>
      <c r="Q84" s="131"/>
      <c r="R84" s="140">
        <f>R80/O84</f>
        <v>252.86094999999997</v>
      </c>
      <c r="S84" s="131"/>
      <c r="T84" s="140">
        <f>T80/O84</f>
        <v>350.06989999999996</v>
      </c>
    </row>
    <row r="85" spans="2:20" x14ac:dyDescent="0.3">
      <c r="B85" s="359"/>
      <c r="C85" s="43"/>
      <c r="D85" s="56"/>
      <c r="O85" s="139">
        <v>300</v>
      </c>
      <c r="P85" s="140">
        <f>P80/O85</f>
        <v>136.30606666666665</v>
      </c>
      <c r="Q85" s="131"/>
      <c r="R85" s="140">
        <f>R80/O85</f>
        <v>168.57396666666665</v>
      </c>
      <c r="S85" s="131"/>
      <c r="T85" s="140">
        <f>T80/O85</f>
        <v>233.37993333333333</v>
      </c>
    </row>
    <row r="86" spans="2:20" x14ac:dyDescent="0.3">
      <c r="B86" s="359"/>
      <c r="C86" s="43"/>
      <c r="D86" s="56"/>
      <c r="O86" s="139">
        <v>400</v>
      </c>
      <c r="P86" s="140">
        <f>P80/O86</f>
        <v>102.22955</v>
      </c>
      <c r="Q86" s="131"/>
      <c r="R86" s="140">
        <f>R80/O86</f>
        <v>126.43047499999999</v>
      </c>
      <c r="S86" s="131"/>
      <c r="T86" s="140">
        <f>T80/O86</f>
        <v>175.03494999999998</v>
      </c>
    </row>
    <row r="87" spans="2:20" x14ac:dyDescent="0.3">
      <c r="B87" s="359"/>
      <c r="C87" s="43"/>
      <c r="D87" s="56"/>
      <c r="O87" s="139">
        <v>500</v>
      </c>
      <c r="P87" s="140">
        <f>P80/O87</f>
        <v>81.783640000000005</v>
      </c>
      <c r="Q87" s="131"/>
      <c r="R87" s="140">
        <f>R80/O87</f>
        <v>101.14437999999998</v>
      </c>
      <c r="S87" s="131"/>
      <c r="T87" s="140">
        <f>T80/O87</f>
        <v>140.02795999999998</v>
      </c>
    </row>
    <row r="88" spans="2:20" ht="12.5" thickBot="1" x14ac:dyDescent="0.35">
      <c r="B88" s="359"/>
      <c r="C88" s="43"/>
      <c r="D88" s="56"/>
      <c r="O88" s="141"/>
      <c r="P88" s="142"/>
      <c r="Q88" s="141"/>
      <c r="R88" s="142"/>
      <c r="S88" s="141"/>
      <c r="T88" s="142"/>
    </row>
    <row r="89" spans="2:20" ht="12.5" thickBot="1" x14ac:dyDescent="0.35">
      <c r="B89" s="359"/>
      <c r="C89" s="43"/>
      <c r="D89" s="56"/>
    </row>
    <row r="90" spans="2:20" x14ac:dyDescent="0.3">
      <c r="B90" s="359"/>
      <c r="C90" s="43"/>
      <c r="D90" s="56"/>
      <c r="O90" s="333" t="s">
        <v>71</v>
      </c>
      <c r="P90" s="334"/>
      <c r="Q90" s="333" t="s">
        <v>72</v>
      </c>
      <c r="R90" s="334"/>
      <c r="S90" s="333" t="s">
        <v>73</v>
      </c>
      <c r="T90" s="334"/>
    </row>
    <row r="91" spans="2:20" x14ac:dyDescent="0.3">
      <c r="B91" s="359"/>
      <c r="C91" s="43"/>
      <c r="D91" s="56"/>
      <c r="O91" s="331" t="s">
        <v>2</v>
      </c>
      <c r="P91" s="332"/>
      <c r="Q91" s="331" t="s">
        <v>3</v>
      </c>
      <c r="R91" s="332"/>
      <c r="S91" s="331" t="s">
        <v>4</v>
      </c>
      <c r="T91" s="332"/>
    </row>
    <row r="92" spans="2:20" x14ac:dyDescent="0.3">
      <c r="B92" s="359"/>
      <c r="C92" s="43"/>
      <c r="D92" s="56"/>
      <c r="O92" s="131" t="s">
        <v>74</v>
      </c>
      <c r="P92" s="132">
        <v>10</v>
      </c>
      <c r="Q92" s="131" t="s">
        <v>75</v>
      </c>
      <c r="R92" s="132">
        <v>7</v>
      </c>
      <c r="S92" s="131" t="s">
        <v>74</v>
      </c>
      <c r="T92" s="132">
        <v>10</v>
      </c>
    </row>
    <row r="93" spans="2:20" x14ac:dyDescent="0.3">
      <c r="B93" s="359"/>
      <c r="C93" s="43"/>
      <c r="D93" s="56"/>
      <c r="O93" s="131"/>
      <c r="P93" s="145"/>
      <c r="Q93" s="131" t="s">
        <v>74</v>
      </c>
      <c r="R93" s="132">
        <v>10</v>
      </c>
      <c r="S93" s="131" t="s">
        <v>76</v>
      </c>
      <c r="T93" s="132">
        <v>23</v>
      </c>
    </row>
    <row r="94" spans="2:20" x14ac:dyDescent="0.3">
      <c r="B94" s="359"/>
      <c r="C94" s="43"/>
      <c r="D94" s="56"/>
      <c r="O94" s="131"/>
      <c r="P94" s="132"/>
      <c r="Q94" s="131" t="s">
        <v>77</v>
      </c>
      <c r="R94" s="132">
        <v>5</v>
      </c>
      <c r="S94" s="131" t="s">
        <v>77</v>
      </c>
      <c r="T94" s="132">
        <v>10</v>
      </c>
    </row>
    <row r="95" spans="2:20" x14ac:dyDescent="0.3">
      <c r="B95" s="359"/>
      <c r="C95" s="43"/>
      <c r="D95" s="56"/>
      <c r="O95" s="146" t="s">
        <v>56</v>
      </c>
      <c r="P95" s="134">
        <f>SUM(P92:P94)</f>
        <v>10</v>
      </c>
      <c r="Q95" s="144"/>
      <c r="R95" s="134">
        <f>SUM(R92:R94)</f>
        <v>22</v>
      </c>
      <c r="S95" s="144"/>
      <c r="T95" s="134">
        <f>SUM(T92:T94)</f>
        <v>43</v>
      </c>
    </row>
    <row r="96" spans="2:20" x14ac:dyDescent="0.3">
      <c r="B96" s="359"/>
      <c r="C96" s="43"/>
      <c r="D96" s="56"/>
      <c r="E96" s="64" t="s">
        <v>59</v>
      </c>
      <c r="F96" s="64" t="s">
        <v>60</v>
      </c>
      <c r="G96" s="64" t="s">
        <v>61</v>
      </c>
      <c r="O96" s="146" t="s">
        <v>70</v>
      </c>
      <c r="P96" s="147">
        <f>CARDAPIO!I40</f>
        <v>123156.9</v>
      </c>
      <c r="Q96" s="143"/>
      <c r="R96" s="147">
        <f>CARDAPIO!I36+CARDAPIO!I40+CARDAPIO!I37</f>
        <v>270462.33999999997</v>
      </c>
      <c r="S96" s="143"/>
      <c r="T96" s="147">
        <f>CARDAPIO!I31+CARDAPIO!I40+CARDAPIO!I37</f>
        <v>460480.8</v>
      </c>
    </row>
    <row r="97" spans="2:20" x14ac:dyDescent="0.3">
      <c r="B97" s="359"/>
      <c r="C97" s="43"/>
      <c r="D97" s="56"/>
      <c r="E97" s="53">
        <v>46</v>
      </c>
      <c r="F97" s="53">
        <v>64</v>
      </c>
      <c r="G97" s="53">
        <v>78</v>
      </c>
      <c r="O97" s="146"/>
      <c r="P97" s="132"/>
      <c r="Q97" s="131"/>
      <c r="R97" s="132"/>
      <c r="S97" s="131"/>
      <c r="T97" s="132"/>
    </row>
    <row r="98" spans="2:20" x14ac:dyDescent="0.3">
      <c r="B98" s="359"/>
      <c r="C98" s="43"/>
      <c r="D98" s="56"/>
      <c r="O98" s="131"/>
      <c r="P98" s="132"/>
      <c r="Q98" s="131"/>
      <c r="R98" s="132"/>
      <c r="S98" s="131"/>
      <c r="T98" s="132"/>
    </row>
    <row r="99" spans="2:20" x14ac:dyDescent="0.3">
      <c r="B99" s="359"/>
      <c r="C99" s="43"/>
      <c r="D99" s="56"/>
      <c r="O99" s="139">
        <v>100</v>
      </c>
      <c r="P99" s="140">
        <f>P96/O99</f>
        <v>1231.569</v>
      </c>
      <c r="Q99" s="131"/>
      <c r="R99" s="140">
        <f>R96/O99</f>
        <v>2704.6233999999995</v>
      </c>
      <c r="S99" s="131"/>
      <c r="T99" s="140">
        <f>T96/O99</f>
        <v>4604.808</v>
      </c>
    </row>
    <row r="100" spans="2:20" x14ac:dyDescent="0.3">
      <c r="B100" s="359"/>
      <c r="C100" s="43"/>
      <c r="D100" s="56"/>
      <c r="O100" s="139">
        <v>200</v>
      </c>
      <c r="P100" s="140">
        <f>P96/O100</f>
        <v>615.78449999999998</v>
      </c>
      <c r="Q100" s="131"/>
      <c r="R100" s="140">
        <f>R96/O100</f>
        <v>1352.3116999999997</v>
      </c>
      <c r="S100" s="131"/>
      <c r="T100" s="140">
        <f>T96/O100</f>
        <v>2302.404</v>
      </c>
    </row>
    <row r="101" spans="2:20" x14ac:dyDescent="0.3">
      <c r="B101" s="359"/>
      <c r="C101" s="43"/>
      <c r="D101" s="56"/>
      <c r="O101" s="139">
        <v>300</v>
      </c>
      <c r="P101" s="140">
        <f>P96/O101</f>
        <v>410.52299999999997</v>
      </c>
      <c r="Q101" s="131"/>
      <c r="R101" s="140">
        <f>R96/O101</f>
        <v>901.54113333333328</v>
      </c>
      <c r="S101" s="131"/>
      <c r="T101" s="140">
        <f>T96/O101</f>
        <v>1534.9359999999999</v>
      </c>
    </row>
    <row r="102" spans="2:20" x14ac:dyDescent="0.3">
      <c r="B102" s="360"/>
      <c r="C102" s="43"/>
      <c r="D102" s="56"/>
      <c r="O102" s="139">
        <v>400</v>
      </c>
      <c r="P102" s="140">
        <f>P96/O102</f>
        <v>307.89224999999999</v>
      </c>
      <c r="Q102" s="131"/>
      <c r="R102" s="140">
        <f>R96/O102</f>
        <v>676.15584999999987</v>
      </c>
      <c r="S102" s="131"/>
      <c r="T102" s="140">
        <f>T96/O102</f>
        <v>1151.202</v>
      </c>
    </row>
    <row r="103" spans="2:20" x14ac:dyDescent="0.3">
      <c r="B103" s="43"/>
      <c r="C103" s="43"/>
      <c r="D103" s="56"/>
      <c r="M103" s="42"/>
      <c r="O103" s="139">
        <v>500</v>
      </c>
      <c r="P103" s="140">
        <f>P96/O103</f>
        <v>246.31379999999999</v>
      </c>
      <c r="Q103" s="131"/>
      <c r="R103" s="140">
        <f>R96/O103</f>
        <v>540.92467999999997</v>
      </c>
      <c r="S103" s="131"/>
      <c r="T103" s="140">
        <f>T96/O103</f>
        <v>920.96159999999998</v>
      </c>
    </row>
    <row r="104" spans="2:20" ht="12.5" thickBot="1" x14ac:dyDescent="0.35">
      <c r="B104" s="43"/>
      <c r="C104" s="43"/>
      <c r="D104" s="56"/>
      <c r="M104" s="42"/>
      <c r="O104" s="148"/>
      <c r="P104" s="149"/>
      <c r="Q104" s="141"/>
      <c r="R104" s="149"/>
      <c r="S104" s="141"/>
      <c r="T104" s="149"/>
    </row>
    <row r="105" spans="2:20" ht="12.5" thickBot="1" x14ac:dyDescent="0.35">
      <c r="B105" s="43"/>
      <c r="C105" s="43"/>
      <c r="D105" s="56"/>
      <c r="M105" s="42"/>
      <c r="O105" s="80"/>
      <c r="P105" s="150"/>
      <c r="R105" s="150"/>
      <c r="T105" s="150"/>
    </row>
    <row r="106" spans="2:20" ht="14.4" customHeight="1" thickBot="1" x14ac:dyDescent="0.35">
      <c r="B106" s="43"/>
      <c r="C106" s="43"/>
      <c r="D106" s="56"/>
      <c r="M106" s="42"/>
      <c r="O106" s="361" t="s">
        <v>2</v>
      </c>
      <c r="P106" s="362"/>
      <c r="Q106" s="362" t="s">
        <v>3</v>
      </c>
      <c r="R106" s="362"/>
      <c r="S106" s="362" t="s">
        <v>4</v>
      </c>
      <c r="T106" s="363"/>
    </row>
    <row r="107" spans="2:20" x14ac:dyDescent="0.3">
      <c r="B107" s="43"/>
      <c r="C107" s="43"/>
      <c r="D107" s="56"/>
      <c r="M107" s="42"/>
      <c r="O107" s="129" t="s">
        <v>78</v>
      </c>
      <c r="P107" s="127">
        <v>753</v>
      </c>
      <c r="R107" s="128">
        <v>1691</v>
      </c>
      <c r="T107" s="128">
        <v>2294</v>
      </c>
    </row>
    <row r="108" spans="2:20" ht="15.65" customHeight="1" x14ac:dyDescent="0.3">
      <c r="B108" s="89"/>
      <c r="C108" s="43"/>
      <c r="D108" s="56"/>
      <c r="M108" s="42"/>
      <c r="O108" s="129"/>
      <c r="P108" s="127"/>
      <c r="R108" s="128"/>
    </row>
    <row r="109" spans="2:20" ht="14.4" customHeight="1" x14ac:dyDescent="0.3">
      <c r="B109" s="90"/>
      <c r="C109" s="43"/>
      <c r="D109" s="56"/>
      <c r="M109" s="42"/>
      <c r="N109" s="80" t="s">
        <v>79</v>
      </c>
      <c r="O109" s="80">
        <v>100</v>
      </c>
      <c r="P109" s="126">
        <f>P99+P83</f>
        <v>1640.4872</v>
      </c>
      <c r="R109" s="126">
        <f>R99+R83</f>
        <v>3210.3452999999995</v>
      </c>
      <c r="T109" s="126">
        <f>T99+T83</f>
        <v>5304.9477999999999</v>
      </c>
    </row>
    <row r="110" spans="2:20" x14ac:dyDescent="0.3">
      <c r="B110" s="344" t="s">
        <v>80</v>
      </c>
      <c r="C110" s="43"/>
      <c r="D110" s="56"/>
      <c r="M110" s="42"/>
      <c r="N110" s="130" t="s">
        <v>81</v>
      </c>
      <c r="O110" s="80">
        <v>200</v>
      </c>
      <c r="P110" s="124">
        <f>P100+P84</f>
        <v>820.24360000000001</v>
      </c>
      <c r="R110" s="124">
        <f>R100+R84</f>
        <v>1605.1726499999997</v>
      </c>
      <c r="T110" s="124">
        <f>T100+T84</f>
        <v>2652.4739</v>
      </c>
    </row>
    <row r="111" spans="2:20" x14ac:dyDescent="0.3">
      <c r="B111" s="345"/>
      <c r="C111" s="43"/>
      <c r="D111" s="56"/>
      <c r="M111" s="42"/>
      <c r="N111" s="130" t="s">
        <v>82</v>
      </c>
      <c r="O111" s="80">
        <v>300</v>
      </c>
      <c r="P111" s="125">
        <f>P101+P85</f>
        <v>546.82906666666668</v>
      </c>
      <c r="R111" s="124">
        <f>R101+R85</f>
        <v>1070.1151</v>
      </c>
      <c r="T111" s="124">
        <f>T101+T85</f>
        <v>1768.3159333333333</v>
      </c>
    </row>
    <row r="112" spans="2:20" x14ac:dyDescent="0.3">
      <c r="B112" s="345"/>
      <c r="C112" s="43"/>
      <c r="D112" s="56"/>
      <c r="M112" s="42"/>
      <c r="N112" s="130" t="s">
        <v>83</v>
      </c>
      <c r="O112" s="80">
        <v>400</v>
      </c>
      <c r="P112" s="124">
        <f>P102+P86</f>
        <v>410.12180000000001</v>
      </c>
      <c r="R112" s="124">
        <f>R102+R86</f>
        <v>802.58632499999987</v>
      </c>
      <c r="T112" s="124">
        <f>T102+T86</f>
        <v>1326.23695</v>
      </c>
    </row>
    <row r="113" spans="2:20 16361:16361" ht="15" customHeight="1" x14ac:dyDescent="0.3">
      <c r="B113" s="345"/>
      <c r="C113" s="43"/>
      <c r="D113" s="56"/>
      <c r="M113" s="42"/>
      <c r="N113" s="80" t="s">
        <v>84</v>
      </c>
      <c r="O113" s="80">
        <v>500</v>
      </c>
      <c r="P113" s="124">
        <f>P103+P87</f>
        <v>328.09744000000001</v>
      </c>
      <c r="R113" s="124">
        <f>R103+R87</f>
        <v>642.06905999999992</v>
      </c>
      <c r="T113" s="124">
        <f>T103+T87</f>
        <v>1060.98956</v>
      </c>
      <c r="XEG113" s="47" t="s">
        <v>85</v>
      </c>
    </row>
    <row r="114" spans="2:20 16361:16361" ht="15" customHeight="1" x14ac:dyDescent="0.3">
      <c r="B114" s="345"/>
      <c r="C114" s="43"/>
      <c r="D114" s="56"/>
      <c r="M114" s="42"/>
      <c r="XEG114" s="47"/>
    </row>
    <row r="115" spans="2:20 16361:16361" ht="15" customHeight="1" x14ac:dyDescent="0.3">
      <c r="B115" s="345"/>
      <c r="C115" s="43"/>
      <c r="D115" s="56"/>
      <c r="M115" s="42"/>
      <c r="XEG115" s="47"/>
    </row>
    <row r="116" spans="2:20 16361:16361" ht="15" customHeight="1" x14ac:dyDescent="0.3">
      <c r="B116" s="345"/>
      <c r="C116" s="43"/>
      <c r="D116" s="56"/>
      <c r="M116" s="42"/>
      <c r="XEG116" s="47"/>
    </row>
    <row r="117" spans="2:20 16361:16361" ht="15" customHeight="1" x14ac:dyDescent="0.3">
      <c r="B117" s="345"/>
      <c r="C117" s="43"/>
      <c r="D117" s="56"/>
      <c r="M117" s="42"/>
      <c r="XEG117" s="47"/>
    </row>
    <row r="118" spans="2:20 16361:16361" ht="15" customHeight="1" x14ac:dyDescent="0.3">
      <c r="B118" s="345"/>
      <c r="C118" s="43"/>
      <c r="D118" s="56"/>
      <c r="M118" s="42"/>
      <c r="XEG118" s="47"/>
    </row>
    <row r="119" spans="2:20 16361:16361" ht="15" customHeight="1" x14ac:dyDescent="0.3">
      <c r="B119" s="345"/>
      <c r="C119" s="43"/>
      <c r="D119" s="56"/>
      <c r="M119" s="42"/>
      <c r="XEG119" s="47"/>
    </row>
    <row r="120" spans="2:20 16361:16361" ht="15" customHeight="1" x14ac:dyDescent="0.3">
      <c r="B120" s="345"/>
      <c r="C120" s="43"/>
      <c r="D120" s="56"/>
      <c r="J120" s="51" t="s">
        <v>71</v>
      </c>
      <c r="K120" s="51" t="s">
        <v>72</v>
      </c>
      <c r="L120" s="51" t="s">
        <v>73</v>
      </c>
      <c r="M120" s="42"/>
      <c r="XEG120" s="47"/>
    </row>
    <row r="121" spans="2:20 16361:16361" ht="15" customHeight="1" x14ac:dyDescent="0.3">
      <c r="B121" s="345"/>
      <c r="C121" s="43"/>
      <c r="D121" s="56"/>
      <c r="J121" s="53">
        <v>2</v>
      </c>
      <c r="K121" s="53">
        <v>3</v>
      </c>
      <c r="L121" s="53" t="s">
        <v>86</v>
      </c>
      <c r="M121" s="53"/>
      <c r="XEG121" s="47"/>
    </row>
    <row r="122" spans="2:20 16361:16361" ht="15" customHeight="1" x14ac:dyDescent="0.3">
      <c r="B122" s="345"/>
      <c r="C122" s="43"/>
      <c r="D122" s="56"/>
      <c r="M122" s="42"/>
      <c r="XEG122" s="47"/>
    </row>
    <row r="123" spans="2:20 16361:16361" ht="15" customHeight="1" x14ac:dyDescent="0.3">
      <c r="B123" s="345"/>
      <c r="C123" s="43"/>
      <c r="D123" s="56"/>
      <c r="M123" s="42"/>
      <c r="XEG123" s="47"/>
    </row>
    <row r="124" spans="2:20 16361:16361" ht="15" customHeight="1" x14ac:dyDescent="0.3">
      <c r="B124" s="345"/>
      <c r="C124" s="43"/>
      <c r="D124" s="56"/>
      <c r="M124" s="42"/>
      <c r="XEG124" s="47"/>
    </row>
    <row r="125" spans="2:20 16361:16361" ht="15" customHeight="1" x14ac:dyDescent="0.3">
      <c r="B125" s="345"/>
      <c r="C125" s="43"/>
      <c r="D125" s="56"/>
      <c r="M125" s="42"/>
      <c r="XEG125" s="47"/>
    </row>
    <row r="126" spans="2:20 16361:16361" ht="7.25" customHeight="1" x14ac:dyDescent="0.3">
      <c r="B126" s="345"/>
      <c r="C126" s="43"/>
      <c r="D126" s="56"/>
      <c r="M126" s="42"/>
      <c r="XEG126" s="47"/>
    </row>
    <row r="127" spans="2:20 16361:16361" ht="15" customHeight="1" x14ac:dyDescent="0.3">
      <c r="B127" s="345"/>
      <c r="C127" s="43"/>
      <c r="D127" s="56"/>
      <c r="M127" s="42"/>
      <c r="XEG127" s="47"/>
    </row>
    <row r="128" spans="2:20 16361:16361" ht="15" customHeight="1" x14ac:dyDescent="0.3">
      <c r="B128" s="345"/>
      <c r="C128" s="43"/>
      <c r="D128" s="56"/>
      <c r="M128" s="42"/>
      <c r="XEG128" s="47"/>
    </row>
    <row r="129" spans="2:13 16361:16361" ht="15" customHeight="1" x14ac:dyDescent="0.3">
      <c r="B129" s="345"/>
      <c r="C129" s="43"/>
      <c r="D129" s="56"/>
      <c r="M129" s="42"/>
      <c r="XEG129" s="47"/>
    </row>
    <row r="130" spans="2:13 16361:16361" ht="15" customHeight="1" x14ac:dyDescent="0.3">
      <c r="B130" s="345"/>
      <c r="C130" s="43"/>
      <c r="D130" s="56"/>
      <c r="M130" s="42"/>
      <c r="XEG130" s="47"/>
    </row>
    <row r="131" spans="2:13 16361:16361" ht="15" customHeight="1" x14ac:dyDescent="0.3">
      <c r="B131" s="346"/>
      <c r="C131" s="43"/>
      <c r="D131" s="356" t="s">
        <v>87</v>
      </c>
      <c r="E131" s="357"/>
      <c r="F131" s="357"/>
      <c r="G131" s="357"/>
      <c r="H131" s="357"/>
      <c r="I131" s="357"/>
      <c r="J131" s="357"/>
      <c r="K131" s="357"/>
      <c r="L131" s="357"/>
      <c r="M131" s="357"/>
      <c r="XEG131" s="47"/>
    </row>
    <row r="132" spans="2:13 16361:16361" ht="15" customHeight="1" x14ac:dyDescent="0.3">
      <c r="B132" s="91"/>
      <c r="C132" s="57"/>
      <c r="D132" s="356"/>
      <c r="E132" s="357"/>
      <c r="F132" s="357"/>
      <c r="G132" s="357"/>
      <c r="H132" s="357"/>
      <c r="I132" s="357"/>
      <c r="J132" s="357"/>
      <c r="K132" s="357"/>
      <c r="L132" s="357"/>
      <c r="M132" s="357"/>
    </row>
    <row r="133" spans="2:13 16361:16361" ht="15" customHeight="1" x14ac:dyDescent="0.3">
      <c r="B133" s="344" t="s">
        <v>88</v>
      </c>
      <c r="C133" s="43"/>
      <c r="D133" s="69"/>
      <c r="E133" s="70"/>
      <c r="F133" s="70"/>
      <c r="L133" s="70"/>
      <c r="M133" s="101"/>
    </row>
    <row r="134" spans="2:13 16361:16361" ht="15" customHeight="1" x14ac:dyDescent="0.3">
      <c r="B134" s="345"/>
      <c r="C134" s="43"/>
      <c r="D134" s="69"/>
      <c r="E134" s="70"/>
      <c r="F134" s="70"/>
      <c r="L134" s="70"/>
      <c r="M134" s="101"/>
    </row>
    <row r="135" spans="2:13 16361:16361" ht="15" customHeight="1" x14ac:dyDescent="0.3">
      <c r="B135" s="345"/>
      <c r="C135" s="43"/>
      <c r="D135" s="56"/>
    </row>
    <row r="136" spans="2:13 16361:16361" ht="15" customHeight="1" x14ac:dyDescent="0.3">
      <c r="B136" s="345"/>
      <c r="C136" s="43"/>
      <c r="D136" s="351"/>
      <c r="E136" s="352"/>
      <c r="G136" s="347"/>
      <c r="H136" s="347"/>
      <c r="K136" s="82"/>
      <c r="L136" s="82"/>
    </row>
    <row r="137" spans="2:13 16361:16361" ht="15" customHeight="1" x14ac:dyDescent="0.3">
      <c r="B137" s="346"/>
      <c r="C137" s="43"/>
      <c r="D137" s="71"/>
      <c r="E137" s="72"/>
      <c r="G137" s="81"/>
      <c r="H137" s="81"/>
      <c r="K137" s="82"/>
      <c r="L137" s="82"/>
    </row>
    <row r="138" spans="2:13 16361:16361" ht="15" customHeight="1" x14ac:dyDescent="0.3">
      <c r="B138" s="91"/>
      <c r="C138" s="43"/>
      <c r="D138" s="71"/>
      <c r="E138" s="72"/>
    </row>
    <row r="139" spans="2:13 16361:16361" x14ac:dyDescent="0.3">
      <c r="B139" s="344" t="s">
        <v>89</v>
      </c>
      <c r="C139" s="43"/>
      <c r="D139" s="351"/>
      <c r="E139" s="352"/>
      <c r="F139" s="54"/>
      <c r="G139" s="54"/>
      <c r="H139" s="54"/>
      <c r="I139" s="54"/>
      <c r="J139" s="54"/>
      <c r="K139" s="54"/>
      <c r="L139" s="54"/>
      <c r="M139" s="93"/>
      <c r="XEG139" s="47" t="s">
        <v>85</v>
      </c>
    </row>
    <row r="140" spans="2:13 16361:16361" x14ac:dyDescent="0.3">
      <c r="B140" s="345"/>
      <c r="D140" s="71"/>
      <c r="E140" s="72"/>
      <c r="F140" s="353"/>
      <c r="G140" s="353"/>
      <c r="H140" s="353"/>
      <c r="I140" s="54"/>
      <c r="J140" s="353"/>
      <c r="K140" s="353"/>
      <c r="L140" s="353"/>
    </row>
    <row r="141" spans="2:13 16361:16361" x14ac:dyDescent="0.3">
      <c r="B141" s="345"/>
      <c r="D141" s="351"/>
      <c r="E141" s="352"/>
      <c r="F141" s="73"/>
      <c r="G141" s="73"/>
      <c r="H141" s="74"/>
    </row>
    <row r="142" spans="2:13 16361:16361" x14ac:dyDescent="0.3">
      <c r="B142" s="345"/>
      <c r="D142" s="71"/>
      <c r="E142" s="75"/>
      <c r="F142" s="59"/>
      <c r="G142" s="354"/>
      <c r="H142" s="354"/>
      <c r="I142" s="76"/>
      <c r="J142" s="59"/>
      <c r="K142" s="46"/>
      <c r="L142" s="59"/>
      <c r="M142" s="102"/>
    </row>
    <row r="143" spans="2:13 16361:16361" x14ac:dyDescent="0.3">
      <c r="B143" s="346"/>
      <c r="D143" s="351"/>
      <c r="E143" s="352"/>
    </row>
    <row r="144" spans="2:13 16361:16361" x14ac:dyDescent="0.3">
      <c r="D144" s="56"/>
    </row>
    <row r="145" spans="2:13" x14ac:dyDescent="0.3">
      <c r="B145" s="344" t="s">
        <v>90</v>
      </c>
      <c r="D145" s="56"/>
      <c r="G145" s="347"/>
      <c r="H145" s="347"/>
      <c r="K145" s="82"/>
      <c r="L145" s="82"/>
    </row>
    <row r="146" spans="2:13" x14ac:dyDescent="0.3">
      <c r="B146" s="345"/>
      <c r="D146" s="56"/>
    </row>
    <row r="147" spans="2:13" x14ac:dyDescent="0.3">
      <c r="B147" s="345"/>
      <c r="D147" s="56"/>
    </row>
    <row r="148" spans="2:13" x14ac:dyDescent="0.3">
      <c r="B148" s="345"/>
      <c r="D148" s="56"/>
    </row>
    <row r="149" spans="2:13" x14ac:dyDescent="0.3">
      <c r="B149" s="346"/>
      <c r="D149" s="56"/>
    </row>
    <row r="150" spans="2:13" x14ac:dyDescent="0.3">
      <c r="D150" s="56"/>
    </row>
    <row r="151" spans="2:13" x14ac:dyDescent="0.3">
      <c r="D151" s="56"/>
    </row>
    <row r="152" spans="2:13" x14ac:dyDescent="0.3">
      <c r="D152" s="56"/>
    </row>
    <row r="153" spans="2:13" x14ac:dyDescent="0.3">
      <c r="D153" s="56"/>
    </row>
    <row r="154" spans="2:13" x14ac:dyDescent="0.3">
      <c r="D154" s="56"/>
    </row>
    <row r="155" spans="2:13" x14ac:dyDescent="0.3">
      <c r="D155" s="56"/>
    </row>
    <row r="156" spans="2:13" x14ac:dyDescent="0.3">
      <c r="D156" s="56"/>
    </row>
    <row r="157" spans="2:13" x14ac:dyDescent="0.3">
      <c r="D157" s="56"/>
    </row>
    <row r="158" spans="2:13" x14ac:dyDescent="0.3">
      <c r="D158" s="56"/>
    </row>
    <row r="159" spans="2:13" ht="12.5" thickBot="1" x14ac:dyDescent="0.35">
      <c r="D159" s="77"/>
      <c r="E159" s="78"/>
      <c r="F159" s="78"/>
      <c r="G159" s="78"/>
      <c r="H159" s="78"/>
      <c r="I159" s="78"/>
      <c r="J159" s="78"/>
      <c r="K159" s="78"/>
      <c r="L159" s="78"/>
      <c r="M159" s="103"/>
    </row>
    <row r="160" spans="2:13" ht="12.5" thickBot="1" x14ac:dyDescent="0.35"/>
    <row r="161" spans="2:13" ht="72" customHeight="1" x14ac:dyDescent="0.3">
      <c r="B161" s="342" t="s">
        <v>91</v>
      </c>
      <c r="D161" s="55"/>
      <c r="E161" s="79"/>
      <c r="F161" s="79"/>
      <c r="G161" s="79"/>
      <c r="H161" s="79"/>
      <c r="I161" s="79"/>
      <c r="J161" s="79"/>
      <c r="K161" s="79"/>
      <c r="L161" s="79"/>
      <c r="M161" s="104"/>
    </row>
    <row r="162" spans="2:13" x14ac:dyDescent="0.3">
      <c r="B162" s="342"/>
      <c r="D162" s="56"/>
    </row>
    <row r="163" spans="2:13" x14ac:dyDescent="0.3">
      <c r="B163" s="342"/>
      <c r="D163" s="56"/>
    </row>
    <row r="164" spans="2:13" x14ac:dyDescent="0.3">
      <c r="B164" s="342"/>
      <c r="D164" s="56"/>
    </row>
    <row r="165" spans="2:13" x14ac:dyDescent="0.3">
      <c r="B165" s="342"/>
      <c r="D165" s="56"/>
    </row>
    <row r="166" spans="2:13" x14ac:dyDescent="0.3">
      <c r="D166" s="56"/>
    </row>
    <row r="167" spans="2:13" ht="19.25" customHeight="1" x14ac:dyDescent="0.3">
      <c r="B167" s="342" t="s">
        <v>92</v>
      </c>
      <c r="D167" s="348" t="s">
        <v>93</v>
      </c>
      <c r="E167" s="349"/>
      <c r="F167" s="349"/>
      <c r="G167" s="349"/>
      <c r="H167" s="349"/>
      <c r="J167" s="343" t="s">
        <v>93</v>
      </c>
      <c r="K167" s="349"/>
      <c r="L167" s="349"/>
      <c r="M167" s="349"/>
    </row>
    <row r="168" spans="2:13" s="47" customFormat="1" ht="18.649999999999999" customHeight="1" x14ac:dyDescent="0.3">
      <c r="B168" s="342"/>
      <c r="D168" s="350"/>
      <c r="E168" s="349"/>
      <c r="F168" s="349"/>
      <c r="G168" s="349"/>
      <c r="H168" s="349"/>
      <c r="I168" s="42"/>
      <c r="J168" s="349"/>
      <c r="K168" s="349"/>
      <c r="L168" s="349"/>
      <c r="M168" s="349"/>
    </row>
    <row r="169" spans="2:13" s="47" customFormat="1" ht="18.649999999999999" customHeight="1" x14ac:dyDescent="0.3">
      <c r="B169" s="342"/>
      <c r="D169" s="350"/>
      <c r="E169" s="349"/>
      <c r="F169" s="349"/>
      <c r="G169" s="349"/>
      <c r="H169" s="349"/>
      <c r="I169" s="42"/>
      <c r="J169" s="349"/>
      <c r="K169" s="349"/>
      <c r="L169" s="349"/>
      <c r="M169" s="349"/>
    </row>
    <row r="170" spans="2:13" s="47" customFormat="1" ht="18.649999999999999" customHeight="1" x14ac:dyDescent="0.3">
      <c r="B170" s="342"/>
      <c r="D170" s="350"/>
      <c r="E170" s="349"/>
      <c r="F170" s="349"/>
      <c r="G170" s="349"/>
      <c r="H170" s="349"/>
      <c r="I170" s="42"/>
      <c r="J170" s="349"/>
      <c r="K170" s="349"/>
      <c r="L170" s="349"/>
      <c r="M170" s="349"/>
    </row>
    <row r="171" spans="2:13" x14ac:dyDescent="0.3">
      <c r="B171" s="342"/>
      <c r="D171" s="350"/>
      <c r="E171" s="349"/>
      <c r="F171" s="349"/>
      <c r="G171" s="349"/>
      <c r="H171" s="349"/>
      <c r="J171" s="349"/>
      <c r="K171" s="349"/>
      <c r="L171" s="349"/>
      <c r="M171" s="349"/>
    </row>
    <row r="172" spans="2:13" x14ac:dyDescent="0.3">
      <c r="B172" s="342"/>
      <c r="D172" s="56"/>
    </row>
    <row r="173" spans="2:13" x14ac:dyDescent="0.3">
      <c r="B173" s="342"/>
      <c r="D173" s="56"/>
    </row>
    <row r="174" spans="2:13" x14ac:dyDescent="0.3">
      <c r="B174" s="342"/>
      <c r="D174" s="83" t="s">
        <v>94</v>
      </c>
      <c r="E174" s="47"/>
      <c r="F174" s="47"/>
      <c r="G174" s="47"/>
      <c r="H174" s="47"/>
      <c r="I174" s="47"/>
      <c r="J174" s="47" t="s">
        <v>95</v>
      </c>
      <c r="K174" s="47"/>
      <c r="L174" s="47"/>
      <c r="M174" s="105"/>
    </row>
    <row r="175" spans="2:13" x14ac:dyDescent="0.3">
      <c r="B175" s="342"/>
      <c r="D175" s="83" t="s">
        <v>96</v>
      </c>
      <c r="E175" s="47"/>
      <c r="F175" s="47"/>
      <c r="G175" s="47"/>
      <c r="H175" s="47"/>
      <c r="I175" s="47"/>
      <c r="J175" s="47" t="s">
        <v>97</v>
      </c>
      <c r="K175" s="47"/>
      <c r="L175" s="47"/>
      <c r="M175" s="105"/>
    </row>
    <row r="176" spans="2:13" x14ac:dyDescent="0.3">
      <c r="B176" s="342"/>
      <c r="D176" s="83" t="s">
        <v>98</v>
      </c>
      <c r="E176" s="47"/>
      <c r="F176" s="47"/>
      <c r="G176" s="47"/>
      <c r="H176" s="47"/>
      <c r="I176" s="47"/>
      <c r="J176" s="47" t="s">
        <v>98</v>
      </c>
      <c r="K176" s="47"/>
      <c r="L176" s="47"/>
      <c r="M176" s="105"/>
    </row>
    <row r="177" spans="2:13" x14ac:dyDescent="0.3">
      <c r="B177" s="342"/>
      <c r="D177" s="56"/>
    </row>
    <row r="178" spans="2:13" ht="345.65" customHeight="1" x14ac:dyDescent="0.3">
      <c r="B178" s="342"/>
      <c r="D178" s="56"/>
      <c r="E178" s="84">
        <v>0.56000000000000005</v>
      </c>
      <c r="F178" s="59" t="s">
        <v>99</v>
      </c>
      <c r="K178" s="85">
        <v>0.5</v>
      </c>
      <c r="L178" s="59" t="s">
        <v>99</v>
      </c>
    </row>
    <row r="179" spans="2:13" x14ac:dyDescent="0.3">
      <c r="B179" s="342"/>
      <c r="D179" s="56"/>
      <c r="E179" s="86">
        <v>0.24</v>
      </c>
      <c r="F179" s="42" t="s">
        <v>100</v>
      </c>
      <c r="K179" s="87">
        <v>0.28000000000000003</v>
      </c>
      <c r="L179" s="42" t="s">
        <v>100</v>
      </c>
    </row>
    <row r="180" spans="2:13" x14ac:dyDescent="0.3">
      <c r="B180" s="342"/>
      <c r="D180" s="56"/>
      <c r="E180" s="86">
        <v>0.12</v>
      </c>
      <c r="F180" s="42" t="s">
        <v>101</v>
      </c>
      <c r="K180" s="87">
        <v>0.15</v>
      </c>
      <c r="L180" s="42" t="s">
        <v>101</v>
      </c>
    </row>
    <row r="181" spans="2:13" x14ac:dyDescent="0.3">
      <c r="B181" s="342"/>
      <c r="D181" s="56"/>
      <c r="E181" s="86">
        <v>0.04</v>
      </c>
      <c r="F181" s="42" t="s">
        <v>102</v>
      </c>
      <c r="K181" s="87">
        <v>0.05</v>
      </c>
      <c r="L181" s="42" t="s">
        <v>102</v>
      </c>
    </row>
    <row r="182" spans="2:13" x14ac:dyDescent="0.3">
      <c r="B182" s="342"/>
      <c r="D182" s="56"/>
      <c r="E182" s="86">
        <v>0.04</v>
      </c>
      <c r="F182" s="42" t="s">
        <v>103</v>
      </c>
      <c r="K182" s="87">
        <v>0.02</v>
      </c>
      <c r="L182" s="42" t="s">
        <v>103</v>
      </c>
    </row>
    <row r="183" spans="2:13" x14ac:dyDescent="0.3">
      <c r="B183" s="342"/>
      <c r="D183" s="56"/>
      <c r="L183" s="80"/>
    </row>
    <row r="184" spans="2:13" x14ac:dyDescent="0.3">
      <c r="D184" s="56"/>
      <c r="J184" s="343"/>
      <c r="K184" s="343"/>
      <c r="L184" s="343"/>
      <c r="M184" s="343"/>
    </row>
    <row r="185" spans="2:13" x14ac:dyDescent="0.3">
      <c r="D185" s="56"/>
      <c r="J185" s="343"/>
      <c r="K185" s="343"/>
      <c r="L185" s="343"/>
      <c r="M185" s="343"/>
    </row>
    <row r="186" spans="2:13" x14ac:dyDescent="0.3">
      <c r="D186" s="56"/>
      <c r="J186" s="343"/>
      <c r="K186" s="343"/>
      <c r="L186" s="343"/>
      <c r="M186" s="343"/>
    </row>
    <row r="187" spans="2:13" x14ac:dyDescent="0.3">
      <c r="D187" s="56"/>
      <c r="J187" s="343"/>
      <c r="K187" s="343"/>
      <c r="L187" s="343"/>
      <c r="M187" s="343"/>
    </row>
    <row r="188" spans="2:13" x14ac:dyDescent="0.3">
      <c r="D188" s="56"/>
    </row>
    <row r="189" spans="2:13" ht="12.5" thickBot="1" x14ac:dyDescent="0.35">
      <c r="D189" s="77"/>
      <c r="E189" s="78"/>
      <c r="F189" s="78"/>
      <c r="G189" s="78"/>
      <c r="H189" s="78"/>
      <c r="I189" s="78"/>
      <c r="J189" s="78"/>
      <c r="K189" s="78"/>
      <c r="L189" s="78"/>
      <c r="M189" s="103"/>
    </row>
  </sheetData>
  <mergeCells count="90">
    <mergeCell ref="W20:X20"/>
    <mergeCell ref="U29:V29"/>
    <mergeCell ref="S71:T71"/>
    <mergeCell ref="O20:P20"/>
    <mergeCell ref="O29:P29"/>
    <mergeCell ref="Q20:R20"/>
    <mergeCell ref="S20:T20"/>
    <mergeCell ref="Q29:R29"/>
    <mergeCell ref="S29:T29"/>
    <mergeCell ref="U20:V20"/>
    <mergeCell ref="B2:B6"/>
    <mergeCell ref="E2:M5"/>
    <mergeCell ref="B12:B17"/>
    <mergeCell ref="D13:E13"/>
    <mergeCell ref="D15:E15"/>
    <mergeCell ref="D14:E14"/>
    <mergeCell ref="D16:E16"/>
    <mergeCell ref="J13:L13"/>
    <mergeCell ref="G13:I13"/>
    <mergeCell ref="D12:M12"/>
    <mergeCell ref="J21:M21"/>
    <mergeCell ref="E21:H21"/>
    <mergeCell ref="D20:M20"/>
    <mergeCell ref="B21:B62"/>
    <mergeCell ref="D22:M22"/>
    <mergeCell ref="D30:M30"/>
    <mergeCell ref="D41:M41"/>
    <mergeCell ref="D46:M46"/>
    <mergeCell ref="D57:M57"/>
    <mergeCell ref="D53:M53"/>
    <mergeCell ref="D49:M51"/>
    <mergeCell ref="D36:M37"/>
    <mergeCell ref="D31:M33"/>
    <mergeCell ref="E23:H23"/>
    <mergeCell ref="J23:M23"/>
    <mergeCell ref="O106:P106"/>
    <mergeCell ref="Q106:R106"/>
    <mergeCell ref="S106:T106"/>
    <mergeCell ref="O90:P90"/>
    <mergeCell ref="Q90:R90"/>
    <mergeCell ref="S90:T90"/>
    <mergeCell ref="O91:P91"/>
    <mergeCell ref="Q91:R91"/>
    <mergeCell ref="S91:T91"/>
    <mergeCell ref="B110:B131"/>
    <mergeCell ref="D136:E136"/>
    <mergeCell ref="G136:H136"/>
    <mergeCell ref="D63:M63"/>
    <mergeCell ref="D69:M70"/>
    <mergeCell ref="B70:B102"/>
    <mergeCell ref="F65:G65"/>
    <mergeCell ref="H65:J65"/>
    <mergeCell ref="K65:L65"/>
    <mergeCell ref="B133:B137"/>
    <mergeCell ref="D131:M132"/>
    <mergeCell ref="B167:B183"/>
    <mergeCell ref="J184:M187"/>
    <mergeCell ref="B139:B143"/>
    <mergeCell ref="G145:H145"/>
    <mergeCell ref="B145:B149"/>
    <mergeCell ref="B161:B165"/>
    <mergeCell ref="D167:H171"/>
    <mergeCell ref="J167:M171"/>
    <mergeCell ref="D139:E139"/>
    <mergeCell ref="F140:H140"/>
    <mergeCell ref="J140:L140"/>
    <mergeCell ref="D141:E141"/>
    <mergeCell ref="G142:H142"/>
    <mergeCell ref="D143:E143"/>
    <mergeCell ref="P2:S2"/>
    <mergeCell ref="U2:X2"/>
    <mergeCell ref="O9:O11"/>
    <mergeCell ref="O3:S3"/>
    <mergeCell ref="D6:M7"/>
    <mergeCell ref="F9:G9"/>
    <mergeCell ref="F10:G10"/>
    <mergeCell ref="E8:L8"/>
    <mergeCell ref="F11:G11"/>
    <mergeCell ref="O5:O7"/>
    <mergeCell ref="O78:P78"/>
    <mergeCell ref="Q78:R78"/>
    <mergeCell ref="S78:T78"/>
    <mergeCell ref="O19:T19"/>
    <mergeCell ref="O28:T28"/>
    <mergeCell ref="O37:T37"/>
    <mergeCell ref="O72:P72"/>
    <mergeCell ref="Q72:R72"/>
    <mergeCell ref="S72:T72"/>
    <mergeCell ref="O71:P71"/>
    <mergeCell ref="Q71:R71"/>
  </mergeCells>
  <phoneticPr fontId="4" type="noConversion"/>
  <dataValidations disablePrompts="1" count="3">
    <dataValidation type="list" allowBlank="1" showInputMessage="1" showErrorMessage="1" sqref="F9" xr:uid="{3BD16AEE-AE6B-4155-B589-EDDC747AF417}">
      <formula1>"BLOCO,TORRINHA,TORRE"</formula1>
    </dataValidation>
    <dataValidation type="list" allowBlank="1" showInputMessage="1" showErrorMessage="1" sqref="F10:G10" xr:uid="{3881D24D-A728-445B-876F-DDB75FB75551}">
      <formula1>"&lt;=300,301 A 350,351 A 400,401 A 450,451 A 500,501 A 550,&gt;=551"</formula1>
    </dataValidation>
    <dataValidation type="list" allowBlank="1" showInputMessage="1" showErrorMessage="1" sqref="F11:G11" xr:uid="{91249596-88AD-4B26-BE84-13893B293700}">
      <formula1>"SEM PISO,COM PISO (LAMINADO + CERÂMICO)"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E5BD-28CD-4025-81D4-02DF1942FE76}">
  <dimension ref="B1:AG130"/>
  <sheetViews>
    <sheetView showGridLines="0" zoomScaleNormal="100" workbookViewId="0">
      <selection activeCell="N25" sqref="N25"/>
    </sheetView>
  </sheetViews>
  <sheetFormatPr defaultRowHeight="14.5" outlineLevelCol="1" x14ac:dyDescent="0.35"/>
  <cols>
    <col min="1" max="1" width="4.453125" customWidth="1"/>
    <col min="2" max="4" width="13.6328125" customWidth="1"/>
    <col min="5" max="5" width="16.90625" customWidth="1"/>
    <col min="6" max="6" width="14.90625" style="32" bestFit="1" customWidth="1"/>
    <col min="7" max="7" width="13.6328125" style="32" customWidth="1"/>
    <col min="8" max="8" width="13.6328125" customWidth="1"/>
    <col min="9" max="10" width="12.90625" style="202" hidden="1" customWidth="1" outlineLevel="1"/>
    <col min="11" max="11" width="11.90625" hidden="1" customWidth="1" outlineLevel="1"/>
    <col min="12" max="12" width="13.08984375" hidden="1" customWidth="1" outlineLevel="1"/>
    <col min="13" max="13" width="12.36328125" customWidth="1" collapsed="1"/>
    <col min="14" max="16" width="12.36328125" customWidth="1"/>
    <col min="17" max="17" width="15.36328125" bestFit="1" customWidth="1"/>
    <col min="18" max="18" width="12.36328125" style="32" customWidth="1"/>
    <col min="19" max="19" width="12.36328125" customWidth="1"/>
    <col min="20" max="21" width="14" style="199" hidden="1" customWidth="1" outlineLevel="1"/>
    <col min="22" max="22" width="13.6328125" hidden="1" customWidth="1" outlineLevel="1"/>
    <col min="23" max="23" width="13.08984375" hidden="1" customWidth="1" outlineLevel="1"/>
    <col min="24" max="24" width="8.90625" collapsed="1"/>
    <col min="25" max="25" width="22.54296875" customWidth="1"/>
    <col min="26" max="26" width="22.54296875" style="32" customWidth="1"/>
    <col min="27" max="35" width="22.54296875" customWidth="1"/>
  </cols>
  <sheetData>
    <row r="1" spans="3:33" x14ac:dyDescent="0.35">
      <c r="I1" s="203"/>
      <c r="J1" s="203"/>
      <c r="Z1"/>
      <c r="AF1" s="45"/>
    </row>
    <row r="2" spans="3:33" x14ac:dyDescent="0.35">
      <c r="C2" s="399" t="s">
        <v>365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Z2"/>
    </row>
    <row r="3" spans="3:33" x14ac:dyDescent="0.35">
      <c r="I3" s="203"/>
      <c r="J3" s="203"/>
      <c r="Z3"/>
    </row>
    <row r="4" spans="3:33" x14ac:dyDescent="0.35">
      <c r="C4" s="398" t="s">
        <v>366</v>
      </c>
      <c r="D4" s="398"/>
      <c r="E4" s="398"/>
      <c r="F4" s="400"/>
      <c r="G4" s="401"/>
      <c r="H4" s="402"/>
      <c r="I4"/>
      <c r="J4"/>
      <c r="Z4"/>
    </row>
    <row r="5" spans="3:33" x14ac:dyDescent="0.35">
      <c r="C5" s="398" t="s">
        <v>367</v>
      </c>
      <c r="D5" s="398"/>
      <c r="E5" s="398"/>
      <c r="F5" s="400"/>
      <c r="G5" s="401"/>
      <c r="H5" s="402"/>
      <c r="I5"/>
      <c r="J5"/>
      <c r="Z5"/>
    </row>
    <row r="6" spans="3:33" x14ac:dyDescent="0.35">
      <c r="C6" s="398" t="s">
        <v>368</v>
      </c>
      <c r="D6" s="398"/>
      <c r="E6" s="398"/>
      <c r="F6" s="197">
        <v>336</v>
      </c>
      <c r="G6" s="281" t="s">
        <v>438</v>
      </c>
      <c r="H6" s="280">
        <v>120</v>
      </c>
      <c r="I6" s="203"/>
      <c r="J6" s="203"/>
      <c r="Z6"/>
    </row>
    <row r="7" spans="3:33" x14ac:dyDescent="0.35">
      <c r="H7" s="280">
        <v>84.07</v>
      </c>
      <c r="I7" s="203"/>
      <c r="J7" s="203"/>
      <c r="Z7"/>
    </row>
    <row r="8" spans="3:33" x14ac:dyDescent="0.35">
      <c r="C8" s="403" t="s">
        <v>369</v>
      </c>
      <c r="D8" s="403"/>
      <c r="E8" s="403"/>
      <c r="F8" s="403"/>
      <c r="G8" s="403"/>
      <c r="N8" s="403" t="s">
        <v>7</v>
      </c>
      <c r="O8" s="403"/>
      <c r="P8" s="403"/>
      <c r="Q8" s="403"/>
      <c r="R8" s="403"/>
    </row>
    <row r="9" spans="3:33" x14ac:dyDescent="0.35">
      <c r="F9" s="198" t="s">
        <v>439</v>
      </c>
      <c r="G9" s="198" t="s">
        <v>92</v>
      </c>
      <c r="I9" s="202" t="s">
        <v>370</v>
      </c>
      <c r="J9" s="202" t="s">
        <v>440</v>
      </c>
      <c r="K9" s="199" t="s">
        <v>371</v>
      </c>
      <c r="L9" s="199" t="s">
        <v>372</v>
      </c>
      <c r="Q9" s="198" t="s">
        <v>441</v>
      </c>
      <c r="R9" s="198" t="s">
        <v>92</v>
      </c>
      <c r="T9" s="199" t="s">
        <v>370</v>
      </c>
      <c r="U9" s="199" t="s">
        <v>373</v>
      </c>
      <c r="V9" s="199" t="s">
        <v>371</v>
      </c>
      <c r="W9" s="199" t="s">
        <v>372</v>
      </c>
    </row>
    <row r="10" spans="3:33" x14ac:dyDescent="0.35">
      <c r="C10" s="192" t="b">
        <v>0</v>
      </c>
      <c r="D10" s="404" t="s">
        <v>5</v>
      </c>
      <c r="E10" s="404"/>
      <c r="F10" s="206">
        <v>673.3</v>
      </c>
      <c r="G10" s="197">
        <v>1</v>
      </c>
      <c r="I10" s="202">
        <v>56603</v>
      </c>
      <c r="J10" s="279">
        <f>I10/H6</f>
        <v>471.69166666666666</v>
      </c>
      <c r="K10" s="200">
        <f>IF(C10=TRUE,F10,0)</f>
        <v>0</v>
      </c>
      <c r="L10" s="199">
        <f>IF(C10=TRUE,G10,0)</f>
        <v>0</v>
      </c>
      <c r="N10" s="192" t="b">
        <v>0</v>
      </c>
      <c r="O10" s="405" t="s">
        <v>115</v>
      </c>
      <c r="P10" s="405"/>
      <c r="Q10" s="204">
        <f>U10/H6</f>
        <v>0.574233630952381</v>
      </c>
      <c r="R10" s="197">
        <v>3</v>
      </c>
      <c r="T10" s="201">
        <v>23153.1</v>
      </c>
      <c r="U10" s="201">
        <f>T10/F$6</f>
        <v>68.908035714285717</v>
      </c>
      <c r="V10" s="200">
        <f>IF(N10=TRUE,Q10,0)</f>
        <v>0</v>
      </c>
      <c r="W10" s="199">
        <f>IF(N10=TRUE,R10,0)</f>
        <v>0</v>
      </c>
    </row>
    <row r="11" spans="3:33" x14ac:dyDescent="0.35">
      <c r="C11" s="192" t="b">
        <v>0</v>
      </c>
      <c r="D11" s="404" t="s">
        <v>10</v>
      </c>
      <c r="E11" s="404"/>
      <c r="F11" s="206">
        <v>833.8</v>
      </c>
      <c r="G11" s="197">
        <v>3</v>
      </c>
      <c r="I11" s="202">
        <v>70100</v>
      </c>
      <c r="J11" s="279">
        <f>I11/H6</f>
        <v>584.16666666666663</v>
      </c>
      <c r="K11" s="200">
        <f>IF(C11=TRUE,F11,0)</f>
        <v>0</v>
      </c>
      <c r="L11" s="199">
        <f>IF(C11=TRUE,G11,0)</f>
        <v>0</v>
      </c>
      <c r="N11" s="192" t="b">
        <v>1</v>
      </c>
      <c r="O11" s="405" t="s">
        <v>119</v>
      </c>
      <c r="P11" s="405"/>
      <c r="Q11" s="204">
        <f>U11/H6</f>
        <v>0.17227008928571427</v>
      </c>
      <c r="R11" s="197">
        <v>2</v>
      </c>
      <c r="T11" s="201">
        <v>6945.93</v>
      </c>
      <c r="U11" s="201">
        <f t="shared" ref="U11:U27" si="0">T11/F$6</f>
        <v>20.672410714285714</v>
      </c>
      <c r="V11" s="200">
        <f t="shared" ref="V11:V27" si="1">IF(N11=TRUE,Q11,0)</f>
        <v>0.17227008928571427</v>
      </c>
      <c r="W11" s="199">
        <f t="shared" ref="W11:W27" si="2">IF(N11=TRUE,R11,0)</f>
        <v>2</v>
      </c>
      <c r="Y11" s="244" t="s">
        <v>374</v>
      </c>
      <c r="Z11" s="198" t="s">
        <v>375</v>
      </c>
      <c r="AA11" s="244" t="s">
        <v>376</v>
      </c>
      <c r="AB11" s="198" t="s">
        <v>377</v>
      </c>
      <c r="AC11" s="198" t="s">
        <v>378</v>
      </c>
      <c r="AD11" s="198" t="s">
        <v>379</v>
      </c>
      <c r="AE11" s="244" t="s">
        <v>380</v>
      </c>
      <c r="AF11" s="244" t="s">
        <v>381</v>
      </c>
      <c r="AG11" s="244" t="s">
        <v>382</v>
      </c>
    </row>
    <row r="12" spans="3:33" ht="15" thickBot="1" x14ac:dyDescent="0.4">
      <c r="F12" s="257"/>
      <c r="G12" s="257"/>
      <c r="K12" s="200"/>
      <c r="L12" s="199"/>
      <c r="N12" s="192" t="b">
        <v>1</v>
      </c>
      <c r="O12" s="405" t="s">
        <v>122</v>
      </c>
      <c r="P12" s="405"/>
      <c r="Q12" s="204">
        <f>U12/H6</f>
        <v>0.1725359623015873</v>
      </c>
      <c r="R12" s="197">
        <v>1</v>
      </c>
      <c r="T12" s="201">
        <v>6956.65</v>
      </c>
      <c r="U12" s="201">
        <f t="shared" si="0"/>
        <v>20.704315476190477</v>
      </c>
      <c r="V12" s="200">
        <f t="shared" si="1"/>
        <v>0.1725359623015873</v>
      </c>
      <c r="W12" s="199">
        <f t="shared" si="2"/>
        <v>1</v>
      </c>
      <c r="Y12" s="274" t="s">
        <v>199</v>
      </c>
      <c r="Z12" s="246" t="s">
        <v>2</v>
      </c>
      <c r="AA12" s="275">
        <v>95</v>
      </c>
      <c r="AB12" s="275">
        <v>18.100000000000001</v>
      </c>
      <c r="AC12" s="275">
        <v>53.3</v>
      </c>
      <c r="AD12" s="275">
        <v>24</v>
      </c>
      <c r="AE12" s="275" t="s">
        <v>383</v>
      </c>
      <c r="AF12" s="275">
        <v>1.9</v>
      </c>
      <c r="AG12" s="275" t="s">
        <v>384</v>
      </c>
    </row>
    <row r="13" spans="3:33" x14ac:dyDescent="0.35">
      <c r="C13" s="407" t="s">
        <v>385</v>
      </c>
      <c r="D13" s="408"/>
      <c r="E13" s="408"/>
      <c r="F13" s="408"/>
      <c r="G13" s="409"/>
      <c r="K13" s="200"/>
      <c r="L13" s="199"/>
      <c r="N13" s="192" t="b">
        <v>1</v>
      </c>
      <c r="O13" s="405" t="s">
        <v>123</v>
      </c>
      <c r="P13" s="405"/>
      <c r="Q13" s="204">
        <f>U13/H6</f>
        <v>0.26767832341269843</v>
      </c>
      <c r="R13" s="197">
        <v>1</v>
      </c>
      <c r="T13" s="201">
        <v>10792.79</v>
      </c>
      <c r="U13" s="201">
        <f t="shared" si="0"/>
        <v>32.121398809523811</v>
      </c>
      <c r="V13" s="200">
        <f t="shared" si="1"/>
        <v>0.26767832341269843</v>
      </c>
      <c r="W13" s="199">
        <f t="shared" si="2"/>
        <v>1</v>
      </c>
      <c r="Y13" s="245" t="s">
        <v>211</v>
      </c>
      <c r="Z13" s="246" t="s">
        <v>2</v>
      </c>
      <c r="AA13" s="275"/>
      <c r="AB13" s="275"/>
      <c r="AC13" s="275"/>
      <c r="AD13" s="275"/>
      <c r="AE13" s="275"/>
      <c r="AF13" s="275"/>
      <c r="AG13" s="275"/>
    </row>
    <row r="14" spans="3:33" x14ac:dyDescent="0.35">
      <c r="C14" s="258"/>
      <c r="G14" s="259"/>
      <c r="K14" s="200"/>
      <c r="L14" s="199"/>
      <c r="N14" s="192" t="b">
        <v>0</v>
      </c>
      <c r="O14" s="405" t="s">
        <v>66</v>
      </c>
      <c r="P14" s="405"/>
      <c r="Q14" s="204">
        <f>U14/H6</f>
        <v>0.18745461309523809</v>
      </c>
      <c r="R14" s="197">
        <v>2</v>
      </c>
      <c r="T14" s="201">
        <v>7558.17</v>
      </c>
      <c r="U14" s="201">
        <f t="shared" si="0"/>
        <v>22.494553571428572</v>
      </c>
      <c r="V14" s="200">
        <f t="shared" si="1"/>
        <v>0</v>
      </c>
      <c r="W14" s="199">
        <f t="shared" si="2"/>
        <v>0</v>
      </c>
      <c r="Y14" s="245" t="s">
        <v>217</v>
      </c>
      <c r="Z14" s="247" t="s">
        <v>2</v>
      </c>
      <c r="AA14" s="275"/>
      <c r="AB14" s="275"/>
      <c r="AC14" s="275"/>
      <c r="AD14" s="275"/>
      <c r="AE14" s="275"/>
      <c r="AF14" s="275"/>
      <c r="AG14" s="275"/>
    </row>
    <row r="15" spans="3:33" x14ac:dyDescent="0.35">
      <c r="C15" s="260" t="b">
        <v>0</v>
      </c>
      <c r="D15" s="404" t="s">
        <v>386</v>
      </c>
      <c r="E15" s="414"/>
      <c r="F15" s="206">
        <v>14.3</v>
      </c>
      <c r="G15" s="261">
        <v>1</v>
      </c>
      <c r="I15" s="202">
        <v>1200</v>
      </c>
      <c r="J15" s="279">
        <f>I15/H6</f>
        <v>10</v>
      </c>
      <c r="K15" s="221">
        <f>IF(C15=TRUE,F15,0)</f>
        <v>0</v>
      </c>
      <c r="L15" s="199">
        <f>IF(C15=TRUE,G15,0)</f>
        <v>0</v>
      </c>
      <c r="N15" s="192" t="b">
        <v>1</v>
      </c>
      <c r="O15" s="405" t="s">
        <v>68</v>
      </c>
      <c r="P15" s="405"/>
      <c r="Q15" s="204">
        <f>U15/H6</f>
        <v>0.32031225198412699</v>
      </c>
      <c r="R15" s="197">
        <v>1</v>
      </c>
      <c r="T15" s="201">
        <v>12914.99</v>
      </c>
      <c r="U15" s="201">
        <f t="shared" si="0"/>
        <v>38.437470238095237</v>
      </c>
      <c r="V15" s="200">
        <f t="shared" si="1"/>
        <v>0.32031225198412699</v>
      </c>
      <c r="W15" s="199">
        <f t="shared" si="2"/>
        <v>1</v>
      </c>
      <c r="Y15" s="245" t="s">
        <v>222</v>
      </c>
      <c r="Z15" s="248" t="s">
        <v>3</v>
      </c>
      <c r="AA15" s="275"/>
      <c r="AB15" s="275"/>
      <c r="AC15" s="275"/>
      <c r="AD15" s="275"/>
      <c r="AE15" s="275"/>
      <c r="AF15" s="275"/>
      <c r="AG15" s="275"/>
    </row>
    <row r="16" spans="3:33" x14ac:dyDescent="0.35">
      <c r="C16" s="260" t="b">
        <v>0</v>
      </c>
      <c r="D16" s="404" t="s">
        <v>387</v>
      </c>
      <c r="E16" s="414"/>
      <c r="F16" s="206">
        <v>17.8</v>
      </c>
      <c r="G16" s="261">
        <v>2</v>
      </c>
      <c r="I16" s="202">
        <v>1500</v>
      </c>
      <c r="J16" s="279">
        <f>I16/H6</f>
        <v>12.5</v>
      </c>
      <c r="K16" s="221">
        <f>IF(C16=TRUE,F16,0)</f>
        <v>0</v>
      </c>
      <c r="L16" s="199">
        <f>IF(C16=TRUE,G16,0)</f>
        <v>0</v>
      </c>
      <c r="N16" s="192" t="b">
        <v>1</v>
      </c>
      <c r="O16" s="405" t="s">
        <v>124</v>
      </c>
      <c r="P16" s="405"/>
      <c r="Q16" s="204">
        <f>U16/H6</f>
        <v>0.12400793650793651</v>
      </c>
      <c r="R16" s="197">
        <v>2</v>
      </c>
      <c r="T16" s="201">
        <v>5000</v>
      </c>
      <c r="U16" s="201">
        <f t="shared" si="0"/>
        <v>14.880952380952381</v>
      </c>
      <c r="V16" s="200">
        <f t="shared" si="1"/>
        <v>0.12400793650793651</v>
      </c>
      <c r="W16" s="199">
        <f t="shared" si="2"/>
        <v>2</v>
      </c>
      <c r="Y16" s="273" t="s">
        <v>227</v>
      </c>
      <c r="Z16" s="248" t="s">
        <v>3</v>
      </c>
      <c r="AA16" s="275">
        <v>175</v>
      </c>
      <c r="AB16" s="275">
        <v>53.5</v>
      </c>
      <c r="AC16" s="275">
        <v>91.2</v>
      </c>
      <c r="AD16" s="275">
        <v>30</v>
      </c>
      <c r="AE16" s="275" t="s">
        <v>388</v>
      </c>
      <c r="AF16" s="275">
        <v>2.2999999999999998</v>
      </c>
      <c r="AG16" s="275" t="s">
        <v>389</v>
      </c>
    </row>
    <row r="17" spans="2:33" x14ac:dyDescent="0.35">
      <c r="C17" s="260" t="b">
        <v>0</v>
      </c>
      <c r="D17" s="404" t="s">
        <v>390</v>
      </c>
      <c r="E17" s="414"/>
      <c r="F17" s="206">
        <v>22.6</v>
      </c>
      <c r="G17" s="261">
        <v>3</v>
      </c>
      <c r="I17" s="202">
        <v>1900</v>
      </c>
      <c r="J17" s="279">
        <f>I17/H6</f>
        <v>15.833333333333334</v>
      </c>
      <c r="K17" s="221">
        <f>IF(C17=TRUE,F17,0)</f>
        <v>0</v>
      </c>
      <c r="L17" s="199">
        <f>IF(C17=TRUE,G17,0)</f>
        <v>0</v>
      </c>
      <c r="N17" s="192" t="b">
        <v>0</v>
      </c>
      <c r="O17" t="s">
        <v>126</v>
      </c>
      <c r="Q17" s="204">
        <f>U17/H6</f>
        <v>0.40196354166666665</v>
      </c>
      <c r="R17" s="197">
        <v>3</v>
      </c>
      <c r="T17" s="201">
        <v>16207.17</v>
      </c>
      <c r="U17" s="201">
        <f t="shared" si="0"/>
        <v>48.235624999999999</v>
      </c>
      <c r="V17" s="200">
        <f t="shared" si="1"/>
        <v>0</v>
      </c>
      <c r="W17" s="199">
        <f t="shared" si="2"/>
        <v>0</v>
      </c>
      <c r="Y17" s="245" t="s">
        <v>231</v>
      </c>
      <c r="Z17" s="249" t="s">
        <v>3</v>
      </c>
      <c r="AA17" s="275"/>
      <c r="AB17" s="275"/>
      <c r="AC17" s="275"/>
      <c r="AD17" s="275"/>
      <c r="AE17" s="275"/>
      <c r="AF17" s="275"/>
      <c r="AG17" s="275"/>
    </row>
    <row r="18" spans="2:33" x14ac:dyDescent="0.35">
      <c r="C18" s="258"/>
      <c r="G18" s="259"/>
      <c r="K18" s="200"/>
      <c r="L18" s="199"/>
      <c r="N18" s="192" t="b">
        <v>0</v>
      </c>
      <c r="O18" t="s">
        <v>76</v>
      </c>
      <c r="Q18" s="204">
        <f>U18/H6</f>
        <v>6.8245927579365091</v>
      </c>
      <c r="R18" s="197">
        <v>3</v>
      </c>
      <c r="T18" s="201">
        <v>275167.58</v>
      </c>
      <c r="U18" s="201">
        <f t="shared" si="0"/>
        <v>818.95113095238105</v>
      </c>
      <c r="V18" s="200">
        <f t="shared" si="1"/>
        <v>0</v>
      </c>
      <c r="W18" s="199">
        <f t="shared" si="2"/>
        <v>0</v>
      </c>
      <c r="Y18" s="245" t="s">
        <v>234</v>
      </c>
      <c r="Z18" s="249" t="s">
        <v>3</v>
      </c>
      <c r="AA18" s="275"/>
      <c r="AB18" s="275"/>
      <c r="AC18" s="275"/>
      <c r="AD18" s="275"/>
      <c r="AE18" s="275"/>
      <c r="AF18" s="275"/>
      <c r="AG18" s="275"/>
    </row>
    <row r="19" spans="2:33" x14ac:dyDescent="0.35">
      <c r="C19" s="258"/>
      <c r="D19" s="59" t="s">
        <v>391</v>
      </c>
      <c r="F19" s="277">
        <f>SUM(K15:K17)</f>
        <v>0</v>
      </c>
      <c r="G19" s="278"/>
      <c r="H19" s="32"/>
      <c r="I19"/>
      <c r="J19"/>
      <c r="K19" s="200"/>
      <c r="L19" s="199"/>
      <c r="N19" s="192" t="b">
        <v>0</v>
      </c>
      <c r="O19" t="s">
        <v>128</v>
      </c>
      <c r="Q19" s="204">
        <f>U19/H6</f>
        <v>2.4318797123015874</v>
      </c>
      <c r="R19" s="197">
        <v>2</v>
      </c>
      <c r="T19" s="201">
        <v>98053.39</v>
      </c>
      <c r="U19" s="201">
        <f t="shared" si="0"/>
        <v>291.82556547619049</v>
      </c>
      <c r="V19" s="200">
        <f t="shared" si="1"/>
        <v>0</v>
      </c>
      <c r="W19" s="199">
        <f t="shared" si="2"/>
        <v>0</v>
      </c>
      <c r="Y19" s="245" t="s">
        <v>236</v>
      </c>
      <c r="Z19" s="249" t="s">
        <v>3</v>
      </c>
      <c r="AA19" s="275"/>
      <c r="AB19" s="275"/>
      <c r="AC19" s="275"/>
      <c r="AD19" s="275"/>
      <c r="AE19" s="275"/>
      <c r="AF19" s="275"/>
      <c r="AG19" s="275"/>
    </row>
    <row r="20" spans="2:33" x14ac:dyDescent="0.35">
      <c r="C20" s="258"/>
      <c r="D20" s="406" t="s">
        <v>392</v>
      </c>
      <c r="E20" s="406"/>
      <c r="F20" s="263" t="str">
        <f>IF(F19=0,"-",IF(F19=14.3,"GUARITA 1",IF(F19=17.8,"GUARITA 2",IF(F19=22.6,"GUARITA 3"))))</f>
        <v>-</v>
      </c>
      <c r="G20" s="259"/>
      <c r="H20" s="32"/>
      <c r="I20"/>
      <c r="J20"/>
      <c r="K20" s="200"/>
      <c r="L20" s="199"/>
      <c r="N20" s="192" t="b">
        <v>1</v>
      </c>
      <c r="O20" t="s">
        <v>130</v>
      </c>
      <c r="Q20" s="204">
        <f>U20/H6</f>
        <v>3.1267023809523811</v>
      </c>
      <c r="R20" s="197">
        <v>1</v>
      </c>
      <c r="T20" s="201">
        <v>126068.64</v>
      </c>
      <c r="U20" s="201">
        <f t="shared" si="0"/>
        <v>375.20428571428573</v>
      </c>
      <c r="V20" s="200">
        <f t="shared" si="1"/>
        <v>3.1267023809523811</v>
      </c>
      <c r="W20" s="199">
        <f t="shared" si="2"/>
        <v>1</v>
      </c>
      <c r="Y20" s="245" t="s">
        <v>239</v>
      </c>
      <c r="Z20" s="250" t="s">
        <v>4</v>
      </c>
      <c r="AA20" s="275"/>
      <c r="AB20" s="275"/>
      <c r="AC20" s="275"/>
      <c r="AD20" s="275"/>
      <c r="AE20" s="275"/>
      <c r="AF20" s="275"/>
      <c r="AG20" s="275"/>
    </row>
    <row r="21" spans="2:33" x14ac:dyDescent="0.35">
      <c r="C21" s="258"/>
      <c r="G21" s="264"/>
      <c r="K21" s="200"/>
      <c r="L21" s="199"/>
      <c r="N21" s="192" t="b">
        <v>0</v>
      </c>
      <c r="O21" t="s">
        <v>393</v>
      </c>
      <c r="Q21" s="204">
        <f>U21/H6</f>
        <v>1.4114305555555555</v>
      </c>
      <c r="R21" s="197">
        <v>2</v>
      </c>
      <c r="T21" s="201">
        <v>56908.88</v>
      </c>
      <c r="U21" s="201">
        <f t="shared" si="0"/>
        <v>169.37166666666667</v>
      </c>
      <c r="V21" s="200">
        <f t="shared" si="1"/>
        <v>0</v>
      </c>
      <c r="W21" s="199">
        <f t="shared" si="2"/>
        <v>0</v>
      </c>
      <c r="Y21" s="245" t="s">
        <v>244</v>
      </c>
      <c r="Z21" s="250" t="s">
        <v>4</v>
      </c>
      <c r="AA21" s="275"/>
      <c r="AB21" s="275"/>
      <c r="AC21" s="275"/>
      <c r="AD21" s="275"/>
      <c r="AE21" s="275"/>
      <c r="AF21" s="275"/>
      <c r="AG21" s="275"/>
    </row>
    <row r="22" spans="2:33" x14ac:dyDescent="0.35">
      <c r="C22" s="258"/>
      <c r="D22" s="410" t="s">
        <v>394</v>
      </c>
      <c r="E22" s="410"/>
      <c r="F22" s="410"/>
      <c r="G22" s="264"/>
      <c r="K22" s="200"/>
      <c r="L22" s="199"/>
      <c r="N22" s="192" t="b">
        <v>0</v>
      </c>
      <c r="O22" t="s">
        <v>133</v>
      </c>
      <c r="Q22" s="204">
        <f>U22/H6</f>
        <v>2.1118333333333332</v>
      </c>
      <c r="R22" s="197">
        <v>3</v>
      </c>
      <c r="T22" s="201">
        <v>85149.119999999995</v>
      </c>
      <c r="U22" s="201">
        <f t="shared" si="0"/>
        <v>253.42</v>
      </c>
      <c r="V22" s="200">
        <f t="shared" si="1"/>
        <v>0</v>
      </c>
      <c r="W22" s="199">
        <f t="shared" si="2"/>
        <v>0</v>
      </c>
      <c r="Y22" s="274" t="s">
        <v>246</v>
      </c>
      <c r="Z22" s="250" t="s">
        <v>4</v>
      </c>
      <c r="AA22" s="275">
        <v>177</v>
      </c>
      <c r="AB22" s="275">
        <v>25.1</v>
      </c>
      <c r="AC22" s="275">
        <v>114.2</v>
      </c>
      <c r="AD22" s="275">
        <v>38</v>
      </c>
      <c r="AE22" s="275" t="s">
        <v>388</v>
      </c>
      <c r="AF22" s="275">
        <v>2.6</v>
      </c>
      <c r="AG22" s="275" t="s">
        <v>389</v>
      </c>
    </row>
    <row r="23" spans="2:33" x14ac:dyDescent="0.35">
      <c r="B23" s="233">
        <v>0</v>
      </c>
      <c r="C23" s="233">
        <v>14.3</v>
      </c>
      <c r="D23" s="233">
        <f>C23+0.1</f>
        <v>14.4</v>
      </c>
      <c r="E23" s="233">
        <v>17.8</v>
      </c>
      <c r="F23" s="233">
        <f>E23+0.1</f>
        <v>17.900000000000002</v>
      </c>
      <c r="G23" s="265">
        <v>22.6</v>
      </c>
      <c r="K23" s="200"/>
      <c r="L23" s="199"/>
      <c r="N23" s="192" t="b">
        <v>0</v>
      </c>
      <c r="O23" t="s">
        <v>77</v>
      </c>
      <c r="Q23" s="204">
        <f>U23/H6</f>
        <v>1.5415753968253969</v>
      </c>
      <c r="R23" s="197">
        <v>2</v>
      </c>
      <c r="T23" s="201">
        <v>62156.32</v>
      </c>
      <c r="U23" s="201">
        <f t="shared" si="0"/>
        <v>184.98904761904762</v>
      </c>
      <c r="V23" s="200">
        <f t="shared" si="1"/>
        <v>0</v>
      </c>
      <c r="W23" s="199">
        <f t="shared" si="2"/>
        <v>0</v>
      </c>
    </row>
    <row r="24" spans="2:33" x14ac:dyDescent="0.35">
      <c r="B24" s="417" t="s">
        <v>395</v>
      </c>
      <c r="C24" s="417"/>
      <c r="D24" s="411" t="s">
        <v>396</v>
      </c>
      <c r="E24" s="411"/>
      <c r="F24" s="418" t="s">
        <v>397</v>
      </c>
      <c r="G24" s="419"/>
      <c r="H24" s="32"/>
      <c r="K24" s="200"/>
      <c r="L24" s="199"/>
      <c r="N24" s="192" t="b">
        <v>1</v>
      </c>
      <c r="O24" t="s">
        <v>138</v>
      </c>
      <c r="Q24" s="204">
        <f>U24/H6</f>
        <v>3.0544866071428571</v>
      </c>
      <c r="R24" s="197">
        <v>1</v>
      </c>
      <c r="T24" s="201">
        <v>123156.9</v>
      </c>
      <c r="U24" s="201">
        <f t="shared" si="0"/>
        <v>366.53839285714287</v>
      </c>
      <c r="V24" s="200">
        <f t="shared" si="1"/>
        <v>3.0544866071428571</v>
      </c>
      <c r="W24" s="199">
        <f t="shared" si="2"/>
        <v>1</v>
      </c>
    </row>
    <row r="25" spans="2:33" x14ac:dyDescent="0.35">
      <c r="B25" s="32"/>
      <c r="C25" s="266"/>
      <c r="D25" s="32"/>
      <c r="E25" s="32"/>
      <c r="G25" s="259"/>
      <c r="I25" s="203"/>
      <c r="J25" s="203"/>
      <c r="K25" s="200"/>
      <c r="L25" s="199"/>
      <c r="N25" s="192" t="b">
        <v>0</v>
      </c>
      <c r="O25" t="s">
        <v>139</v>
      </c>
      <c r="Q25" s="204">
        <f>U25/H6</f>
        <v>1.9775096726190475</v>
      </c>
      <c r="R25" s="197">
        <v>2</v>
      </c>
      <c r="T25" s="201">
        <v>79733.19</v>
      </c>
      <c r="U25" s="201">
        <f t="shared" si="0"/>
        <v>237.30116071428571</v>
      </c>
      <c r="V25" s="200">
        <f t="shared" si="1"/>
        <v>0</v>
      </c>
      <c r="W25" s="199">
        <f t="shared" si="2"/>
        <v>0</v>
      </c>
    </row>
    <row r="26" spans="2:33" x14ac:dyDescent="0.35">
      <c r="B26" s="32"/>
      <c r="C26" s="258"/>
      <c r="D26" s="59" t="s">
        <v>398</v>
      </c>
      <c r="F26" s="32">
        <f>SUM(L15:L17)</f>
        <v>0</v>
      </c>
      <c r="G26" s="259"/>
      <c r="I26" s="203"/>
      <c r="J26" s="203"/>
      <c r="K26" s="200"/>
      <c r="L26" s="199"/>
      <c r="N26" s="192" t="b">
        <v>0</v>
      </c>
      <c r="O26" t="s">
        <v>140</v>
      </c>
      <c r="Q26" s="204">
        <f>U26/H6</f>
        <v>3.0544866071428571</v>
      </c>
      <c r="R26" s="197">
        <v>3</v>
      </c>
      <c r="T26" s="201">
        <f>208306.02-T22</f>
        <v>123156.9</v>
      </c>
      <c r="U26" s="201">
        <f t="shared" si="0"/>
        <v>366.53839285714287</v>
      </c>
      <c r="V26" s="200">
        <f t="shared" si="1"/>
        <v>0</v>
      </c>
      <c r="W26" s="199">
        <f t="shared" si="2"/>
        <v>0</v>
      </c>
    </row>
    <row r="27" spans="2:33" x14ac:dyDescent="0.35">
      <c r="B27" s="32"/>
      <c r="C27" s="258"/>
      <c r="D27" s="406" t="s">
        <v>399</v>
      </c>
      <c r="E27" s="406"/>
      <c r="F27" s="232" t="str">
        <f>IF(F26=0,"-",IF(F26=1,"VLC1",IF(F26=2,"VLC2",IF(F26=3,"VLC3"))))</f>
        <v>-</v>
      </c>
      <c r="G27" s="259"/>
      <c r="I27" s="203"/>
      <c r="J27" s="203"/>
      <c r="K27" s="200"/>
      <c r="L27" s="199"/>
      <c r="N27" s="192" t="b">
        <v>0</v>
      </c>
      <c r="O27" s="405" t="s">
        <v>143</v>
      </c>
      <c r="P27" s="405"/>
      <c r="Q27" s="204">
        <f>U27/H6</f>
        <v>2.0350969742063492</v>
      </c>
      <c r="R27" s="197">
        <v>2</v>
      </c>
      <c r="T27" s="201">
        <v>82055.11</v>
      </c>
      <c r="U27" s="201">
        <f t="shared" si="0"/>
        <v>244.21163690476192</v>
      </c>
      <c r="V27" s="200">
        <f t="shared" si="1"/>
        <v>0</v>
      </c>
      <c r="W27" s="199">
        <f t="shared" si="2"/>
        <v>0</v>
      </c>
    </row>
    <row r="28" spans="2:33" x14ac:dyDescent="0.35">
      <c r="B28" s="32"/>
      <c r="C28" s="258"/>
      <c r="F28"/>
      <c r="G28" s="264"/>
      <c r="I28" s="203"/>
      <c r="J28" s="203"/>
      <c r="K28" s="200"/>
      <c r="L28" s="199"/>
      <c r="R28"/>
      <c r="T28" s="201"/>
      <c r="U28" s="201"/>
      <c r="V28" s="200"/>
      <c r="W28" s="199"/>
    </row>
    <row r="29" spans="2:33" x14ac:dyDescent="0.35">
      <c r="B29" s="32"/>
      <c r="C29" s="258"/>
      <c r="D29" s="410" t="s">
        <v>400</v>
      </c>
      <c r="E29" s="410"/>
      <c r="F29" s="410"/>
      <c r="G29" s="264"/>
      <c r="I29" s="203"/>
      <c r="J29" s="203"/>
      <c r="K29" s="200"/>
      <c r="L29" s="199"/>
      <c r="R29"/>
      <c r="T29" s="201"/>
      <c r="U29" s="201"/>
      <c r="V29" s="200"/>
      <c r="W29" s="199"/>
    </row>
    <row r="30" spans="2:33" x14ac:dyDescent="0.35">
      <c r="B30" s="32"/>
      <c r="C30" s="258"/>
      <c r="D30" s="233">
        <v>1</v>
      </c>
      <c r="E30" s="233">
        <v>2</v>
      </c>
      <c r="F30" s="233">
        <v>3</v>
      </c>
      <c r="G30" s="265"/>
      <c r="I30" s="203"/>
      <c r="J30" s="203"/>
      <c r="K30" s="200"/>
      <c r="L30" s="199"/>
      <c r="O30" s="406" t="s">
        <v>391</v>
      </c>
      <c r="P30" s="406"/>
      <c r="Q30" s="218">
        <f>SUM(V10:V27)</f>
        <v>7.2379935515873015</v>
      </c>
      <c r="R30"/>
      <c r="T30" s="201"/>
      <c r="U30" s="201"/>
      <c r="V30" s="200"/>
      <c r="W30" s="199"/>
    </row>
    <row r="31" spans="2:33" x14ac:dyDescent="0.35">
      <c r="B31" s="32"/>
      <c r="C31" s="258"/>
      <c r="D31" s="229" t="s">
        <v>401</v>
      </c>
      <c r="E31" s="230" t="s">
        <v>402</v>
      </c>
      <c r="F31" s="267" t="s">
        <v>403</v>
      </c>
      <c r="G31" s="259"/>
      <c r="I31" s="203"/>
      <c r="J31" s="203"/>
      <c r="K31" s="200"/>
      <c r="L31" s="199"/>
      <c r="O31" s="406" t="s">
        <v>392</v>
      </c>
      <c r="P31" s="406"/>
      <c r="Q31" s="234" t="str">
        <f>IF(Q30&lt;=N34,"LZ 1",IF(Q30&lt;=P34,"LZ 2",IF(Q30&lt;=R34,"LZ 3",IF(Q30&gt;=S34,"LZ 4"))))</f>
        <v>LZ 1</v>
      </c>
      <c r="R31"/>
      <c r="T31" s="201"/>
      <c r="U31" s="201"/>
      <c r="V31" s="200"/>
      <c r="W31" s="199"/>
    </row>
    <row r="32" spans="2:33" x14ac:dyDescent="0.35">
      <c r="B32" s="32"/>
      <c r="C32" s="266"/>
      <c r="D32" s="32"/>
      <c r="E32" s="32"/>
      <c r="G32" s="259"/>
      <c r="I32" s="203"/>
      <c r="J32" s="203"/>
      <c r="K32" s="200"/>
      <c r="L32" s="199"/>
      <c r="R32"/>
      <c r="T32" s="201"/>
      <c r="U32" s="201"/>
      <c r="V32" s="200"/>
      <c r="W32" s="199"/>
    </row>
    <row r="33" spans="2:23" x14ac:dyDescent="0.35">
      <c r="B33" s="32"/>
      <c r="C33" s="266"/>
      <c r="D33" s="32"/>
      <c r="E33" s="32"/>
      <c r="G33" s="259"/>
      <c r="I33" s="203"/>
      <c r="J33" s="203"/>
      <c r="K33" s="200"/>
      <c r="L33" s="199"/>
      <c r="N33" s="372" t="s">
        <v>404</v>
      </c>
      <c r="O33" s="372"/>
      <c r="P33" s="372"/>
      <c r="Q33" s="372"/>
      <c r="R33" s="372"/>
      <c r="S33" s="372"/>
      <c r="T33" s="201"/>
      <c r="U33" s="201"/>
      <c r="V33" s="200"/>
      <c r="W33" s="199"/>
    </row>
    <row r="34" spans="2:23" ht="15" thickBot="1" x14ac:dyDescent="0.4">
      <c r="B34" s="32"/>
      <c r="C34" s="268"/>
      <c r="D34" s="269"/>
      <c r="E34" s="269"/>
      <c r="F34" s="269"/>
      <c r="G34" s="270"/>
      <c r="I34" s="203"/>
      <c r="J34" s="203"/>
      <c r="K34" s="200"/>
      <c r="L34" s="199"/>
      <c r="N34" s="233">
        <f>V38</f>
        <v>7.5</v>
      </c>
      <c r="O34" s="233">
        <f>N34+0.1</f>
        <v>7.6</v>
      </c>
      <c r="P34" s="233">
        <f>V39</f>
        <v>15</v>
      </c>
      <c r="Q34" s="233">
        <f>P34+0.1</f>
        <v>15.1</v>
      </c>
      <c r="R34" s="233">
        <f>V40</f>
        <v>20</v>
      </c>
      <c r="S34" s="233">
        <f>R34+0.1</f>
        <v>20.100000000000001</v>
      </c>
      <c r="T34"/>
      <c r="U34"/>
    </row>
    <row r="35" spans="2:23" x14ac:dyDescent="0.35">
      <c r="C35" s="403" t="s">
        <v>34</v>
      </c>
      <c r="D35" s="403"/>
      <c r="E35" s="403"/>
      <c r="F35" s="403"/>
      <c r="G35" s="403"/>
      <c r="K35" s="200"/>
      <c r="L35" s="199"/>
      <c r="N35" s="223" t="s">
        <v>405</v>
      </c>
      <c r="O35" s="411" t="s">
        <v>406</v>
      </c>
      <c r="P35" s="411"/>
      <c r="Q35" s="412" t="s">
        <v>407</v>
      </c>
      <c r="R35" s="412"/>
      <c r="S35" s="216" t="s">
        <v>408</v>
      </c>
    </row>
    <row r="36" spans="2:23" x14ac:dyDescent="0.35">
      <c r="K36" s="200"/>
      <c r="L36" s="199"/>
    </row>
    <row r="37" spans="2:23" x14ac:dyDescent="0.35">
      <c r="C37" s="413" t="s">
        <v>409</v>
      </c>
      <c r="D37" s="413"/>
      <c r="J37" s="282"/>
      <c r="K37" s="200"/>
      <c r="L37" s="199"/>
    </row>
    <row r="38" spans="2:23" x14ac:dyDescent="0.35">
      <c r="C38" s="192" t="b">
        <v>0</v>
      </c>
      <c r="D38" s="404" t="s">
        <v>155</v>
      </c>
      <c r="E38" s="414"/>
      <c r="F38" s="204">
        <v>6.3</v>
      </c>
      <c r="G38" s="197">
        <v>1</v>
      </c>
      <c r="I38" s="202">
        <v>531</v>
      </c>
      <c r="J38" s="283">
        <f>I38/H$6</f>
        <v>4.4249999999999998</v>
      </c>
      <c r="K38" s="200">
        <f>IF(C38=TRUE,F38,0)</f>
        <v>0</v>
      </c>
      <c r="L38" s="199">
        <f>IF(C38=TRUE,G38,0)</f>
        <v>0</v>
      </c>
      <c r="O38" s="406" t="s">
        <v>398</v>
      </c>
      <c r="P38" s="406"/>
      <c r="Q38" s="218">
        <f>SUM(W10:W27)</f>
        <v>9</v>
      </c>
      <c r="T38" s="199" t="s">
        <v>2</v>
      </c>
      <c r="U38" s="202">
        <v>900</v>
      </c>
      <c r="V38" s="221">
        <f>U38/H6</f>
        <v>7.5</v>
      </c>
    </row>
    <row r="39" spans="2:23" x14ac:dyDescent="0.35">
      <c r="C39" s="192" t="b">
        <v>1</v>
      </c>
      <c r="D39" s="404" t="s">
        <v>410</v>
      </c>
      <c r="E39" s="414"/>
      <c r="F39" s="204">
        <v>28.9</v>
      </c>
      <c r="G39" s="197">
        <v>3</v>
      </c>
      <c r="I39" s="202">
        <v>2429</v>
      </c>
      <c r="J39" s="283">
        <f>I39/H$6</f>
        <v>20.241666666666667</v>
      </c>
      <c r="K39" s="200">
        <f>IF(C39=TRUE,F39,0)</f>
        <v>28.9</v>
      </c>
      <c r="L39" s="199">
        <f>IF(C39=TRUE,G39,0)</f>
        <v>3</v>
      </c>
      <c r="O39" s="406" t="s">
        <v>411</v>
      </c>
      <c r="P39" s="406"/>
      <c r="Q39" s="1">
        <f>COUNTIF(N10:N27,TRUE)</f>
        <v>7</v>
      </c>
      <c r="T39" s="199" t="s">
        <v>3</v>
      </c>
      <c r="U39" s="202">
        <v>1800</v>
      </c>
      <c r="V39" s="221">
        <f>U39/H6</f>
        <v>15</v>
      </c>
    </row>
    <row r="40" spans="2:23" x14ac:dyDescent="0.35">
      <c r="D40" s="193"/>
      <c r="E40" s="193"/>
      <c r="F40" s="205"/>
      <c r="J40" s="283"/>
      <c r="K40" s="200"/>
      <c r="L40" s="199"/>
      <c r="O40" s="406" t="s">
        <v>412</v>
      </c>
      <c r="P40" s="406"/>
      <c r="Q40" s="217">
        <f>Q38/Q39</f>
        <v>1.2857142857142858</v>
      </c>
      <c r="T40" s="199" t="s">
        <v>4</v>
      </c>
      <c r="U40" s="202">
        <v>2400</v>
      </c>
      <c r="V40" s="221">
        <f>U40/H6</f>
        <v>20</v>
      </c>
    </row>
    <row r="41" spans="2:23" x14ac:dyDescent="0.35">
      <c r="C41" s="413" t="s">
        <v>299</v>
      </c>
      <c r="D41" s="413"/>
      <c r="E41" s="193"/>
      <c r="F41" s="205"/>
      <c r="J41" s="283"/>
      <c r="K41" s="200"/>
      <c r="L41" s="199"/>
      <c r="O41" s="406" t="s">
        <v>399</v>
      </c>
      <c r="P41" s="406"/>
      <c r="Q41" s="234" t="str">
        <f>IF(Q40&lt;=1,"VLC 1",IF(Q40&lt;=2,"VLC 2",IF(Q40&lt;=3,"VLC 3")))</f>
        <v>VLC 2</v>
      </c>
    </row>
    <row r="42" spans="2:23" x14ac:dyDescent="0.35">
      <c r="C42" s="192" t="b">
        <v>0</v>
      </c>
      <c r="D42" s="404" t="s">
        <v>155</v>
      </c>
      <c r="E42" s="404"/>
      <c r="F42" s="204">
        <v>0.8</v>
      </c>
      <c r="G42" s="197">
        <v>1</v>
      </c>
      <c r="I42" s="202">
        <v>70</v>
      </c>
      <c r="J42" s="283">
        <f>I42/H$6</f>
        <v>0.58333333333333337</v>
      </c>
      <c r="K42" s="200">
        <f>IF(C42=TRUE,F42,0)</f>
        <v>0</v>
      </c>
      <c r="L42" s="199">
        <f>IF(C42=TRUE,G42,0)</f>
        <v>0</v>
      </c>
    </row>
    <row r="43" spans="2:23" x14ac:dyDescent="0.35">
      <c r="C43" s="192" t="b">
        <v>1</v>
      </c>
      <c r="D43" s="404" t="s">
        <v>413</v>
      </c>
      <c r="E43" s="404"/>
      <c r="F43" s="204">
        <v>3.1</v>
      </c>
      <c r="G43" s="197">
        <v>3</v>
      </c>
      <c r="I43" s="202">
        <v>261</v>
      </c>
      <c r="J43" s="283">
        <f>I43/H$6</f>
        <v>2.1749999999999998</v>
      </c>
      <c r="K43" s="200">
        <f>IF(C43=TRUE,F43,0)</f>
        <v>3.1</v>
      </c>
      <c r="L43" s="199">
        <f>IF(C43=TRUE,G43,0)</f>
        <v>3</v>
      </c>
      <c r="M43" s="226"/>
      <c r="O43" s="224" t="s">
        <v>414</v>
      </c>
      <c r="P43" s="224"/>
      <c r="Q43" s="224"/>
    </row>
    <row r="44" spans="2:23" x14ac:dyDescent="0.35">
      <c r="J44" s="283"/>
      <c r="K44" s="200"/>
      <c r="L44" s="199"/>
      <c r="O44" s="233" t="s">
        <v>415</v>
      </c>
      <c r="P44" s="233" t="s">
        <v>416</v>
      </c>
      <c r="Q44" s="233" t="s">
        <v>417</v>
      </c>
    </row>
    <row r="45" spans="2:23" x14ac:dyDescent="0.35">
      <c r="C45" s="413" t="s">
        <v>418</v>
      </c>
      <c r="D45" s="413"/>
      <c r="J45" s="283"/>
      <c r="K45" s="200"/>
      <c r="L45" s="199"/>
      <c r="O45" s="229" t="s">
        <v>419</v>
      </c>
      <c r="P45" s="230" t="s">
        <v>402</v>
      </c>
      <c r="Q45" s="195" t="s">
        <v>403</v>
      </c>
      <c r="R45"/>
      <c r="S45" s="199"/>
    </row>
    <row r="46" spans="2:23" x14ac:dyDescent="0.35">
      <c r="C46" s="192" t="b">
        <v>0</v>
      </c>
      <c r="D46" s="404" t="s">
        <v>359</v>
      </c>
      <c r="E46" s="404"/>
      <c r="F46" s="204">
        <v>7.2</v>
      </c>
      <c r="G46" s="197">
        <v>2</v>
      </c>
      <c r="I46" s="202">
        <v>606</v>
      </c>
      <c r="J46" s="283">
        <f>I46/H$6</f>
        <v>5.05</v>
      </c>
      <c r="K46" s="200">
        <f>IF(C46=TRUE,F46,0)</f>
        <v>0</v>
      </c>
      <c r="L46" s="199">
        <f>IF(C46=TRUE,G46,0)</f>
        <v>0</v>
      </c>
      <c r="V46" s="200"/>
      <c r="W46" s="199"/>
    </row>
    <row r="47" spans="2:23" x14ac:dyDescent="0.35">
      <c r="C47" s="192" t="b">
        <v>1</v>
      </c>
      <c r="D47" s="404" t="s">
        <v>360</v>
      </c>
      <c r="E47" s="404"/>
      <c r="F47" s="204">
        <v>10.8</v>
      </c>
      <c r="G47" s="197">
        <v>3</v>
      </c>
      <c r="I47" s="202">
        <v>908</v>
      </c>
      <c r="J47" s="283">
        <f>I47/H$6</f>
        <v>7.5666666666666664</v>
      </c>
      <c r="K47" s="200">
        <f>IF(C47=TRUE,F47,0)</f>
        <v>10.8</v>
      </c>
      <c r="L47" s="199">
        <f>IF(C47=TRUE,G47,0)</f>
        <v>3</v>
      </c>
      <c r="V47" s="200"/>
      <c r="W47" s="199"/>
    </row>
    <row r="48" spans="2:23" x14ac:dyDescent="0.35">
      <c r="J48" s="283"/>
      <c r="K48" s="200"/>
      <c r="L48" s="199"/>
      <c r="W48" s="215"/>
    </row>
    <row r="49" spans="3:23" x14ac:dyDescent="0.35">
      <c r="C49" s="45" t="s">
        <v>158</v>
      </c>
      <c r="J49" s="283"/>
      <c r="K49" s="200"/>
      <c r="L49" s="199"/>
      <c r="W49" s="215"/>
    </row>
    <row r="50" spans="3:23" x14ac:dyDescent="0.35">
      <c r="C50" s="192" t="b">
        <v>0</v>
      </c>
      <c r="D50" s="404" t="s">
        <v>420</v>
      </c>
      <c r="E50" s="404"/>
      <c r="F50" s="204">
        <v>6</v>
      </c>
      <c r="G50" s="197">
        <v>1</v>
      </c>
      <c r="I50" s="202">
        <v>500.64</v>
      </c>
      <c r="J50" s="283">
        <f>I50/H$6</f>
        <v>4.1719999999999997</v>
      </c>
      <c r="K50" s="200">
        <f>IF(C50=TRUE,F50,0)</f>
        <v>0</v>
      </c>
      <c r="L50" s="199">
        <f>IF(C50=TRUE,G50,0)</f>
        <v>0</v>
      </c>
      <c r="W50" s="215"/>
    </row>
    <row r="51" spans="3:23" x14ac:dyDescent="0.35">
      <c r="C51" s="192" t="b">
        <v>1</v>
      </c>
      <c r="D51" s="404" t="s">
        <v>421</v>
      </c>
      <c r="E51" s="404"/>
      <c r="F51" s="204">
        <v>11.1</v>
      </c>
      <c r="G51" s="197">
        <v>2</v>
      </c>
      <c r="I51" s="202">
        <v>935.71</v>
      </c>
      <c r="J51" s="283">
        <f>I51/H$6</f>
        <v>7.7975833333333338</v>
      </c>
      <c r="K51" s="200">
        <f>IF(C51=TRUE,F51,0)</f>
        <v>11.1</v>
      </c>
      <c r="L51" s="199">
        <f>IF(C51=TRUE,G51,0)</f>
        <v>2</v>
      </c>
      <c r="V51" s="200"/>
      <c r="W51" s="199"/>
    </row>
    <row r="52" spans="3:23" x14ac:dyDescent="0.35">
      <c r="J52" s="283"/>
      <c r="K52" s="200"/>
      <c r="L52" s="199"/>
      <c r="V52" s="200"/>
      <c r="W52" s="199"/>
    </row>
    <row r="53" spans="3:23" x14ac:dyDescent="0.35">
      <c r="C53" s="45" t="s">
        <v>197</v>
      </c>
      <c r="J53" s="283"/>
      <c r="K53" s="200"/>
      <c r="L53" s="199"/>
      <c r="V53" s="200"/>
      <c r="W53" s="199"/>
    </row>
    <row r="54" spans="3:23" x14ac:dyDescent="0.35">
      <c r="C54" s="192" t="b">
        <v>0</v>
      </c>
      <c r="D54" s="404" t="s">
        <v>167</v>
      </c>
      <c r="E54" s="404"/>
      <c r="F54" s="204">
        <v>4.4000000000000004</v>
      </c>
      <c r="G54" s="196">
        <v>1</v>
      </c>
      <c r="I54" s="202">
        <v>370</v>
      </c>
      <c r="J54" s="283">
        <f>I54/H$6</f>
        <v>3.0833333333333335</v>
      </c>
      <c r="K54" s="200">
        <f>IF(C54=TRUE,F54,0)</f>
        <v>0</v>
      </c>
      <c r="L54" s="199">
        <f>IF(C54=TRUE,G54,0)</f>
        <v>0</v>
      </c>
      <c r="V54" s="200"/>
      <c r="W54" s="199"/>
    </row>
    <row r="55" spans="3:23" x14ac:dyDescent="0.35">
      <c r="C55" s="192" t="b">
        <v>1</v>
      </c>
      <c r="D55" s="404" t="s">
        <v>168</v>
      </c>
      <c r="E55" s="404"/>
      <c r="F55" s="204">
        <v>11.1</v>
      </c>
      <c r="G55" s="196">
        <v>1</v>
      </c>
      <c r="I55" s="202">
        <v>930</v>
      </c>
      <c r="J55" s="283">
        <f>I55/H$6</f>
        <v>7.75</v>
      </c>
      <c r="K55" s="200">
        <f>IF(C55=TRUE,F55,0)</f>
        <v>11.1</v>
      </c>
      <c r="L55" s="199">
        <f>IF(C55=TRUE,G55,0)</f>
        <v>1</v>
      </c>
      <c r="V55" s="200"/>
      <c r="W55" s="199"/>
    </row>
    <row r="56" spans="3:23" x14ac:dyDescent="0.35">
      <c r="J56" s="283"/>
      <c r="K56" s="200"/>
      <c r="L56" s="199"/>
      <c r="V56" s="200"/>
      <c r="W56" s="199"/>
    </row>
    <row r="57" spans="3:23" x14ac:dyDescent="0.35">
      <c r="C57" s="45" t="s">
        <v>53</v>
      </c>
      <c r="J57" s="283"/>
      <c r="K57" s="200"/>
      <c r="L57" s="199"/>
      <c r="V57" s="200"/>
      <c r="W57" s="199"/>
    </row>
    <row r="58" spans="3:23" x14ac:dyDescent="0.35">
      <c r="C58" s="192" t="b">
        <v>0</v>
      </c>
      <c r="D58" s="404" t="s">
        <v>170</v>
      </c>
      <c r="E58" s="404"/>
      <c r="F58" s="204">
        <v>1.1000000000000001</v>
      </c>
      <c r="G58" s="196">
        <v>2</v>
      </c>
      <c r="I58" s="202">
        <v>92</v>
      </c>
      <c r="J58" s="283">
        <f>I58/H$6</f>
        <v>0.76666666666666672</v>
      </c>
      <c r="K58" s="200">
        <f>IF(C58=TRUE,F58,0)</f>
        <v>0</v>
      </c>
      <c r="L58" s="199">
        <f>IF(C58=TRUE,G58,0)</f>
        <v>0</v>
      </c>
      <c r="V58" s="200"/>
      <c r="W58" s="199"/>
    </row>
    <row r="59" spans="3:23" x14ac:dyDescent="0.35">
      <c r="C59" s="192" t="b">
        <v>1</v>
      </c>
      <c r="D59" s="404" t="s">
        <v>171</v>
      </c>
      <c r="E59" s="404"/>
      <c r="F59" s="204">
        <v>2.9</v>
      </c>
      <c r="G59" s="196">
        <v>2</v>
      </c>
      <c r="I59" s="202">
        <v>244</v>
      </c>
      <c r="J59" s="283">
        <f>I59/H$6</f>
        <v>2.0333333333333332</v>
      </c>
      <c r="K59" s="200">
        <f>IF(C59=TRUE,F59,0)</f>
        <v>2.9</v>
      </c>
      <c r="L59" s="199">
        <f>IF(C59=TRUE,G59,0)</f>
        <v>2</v>
      </c>
      <c r="V59" s="200"/>
      <c r="W59" s="199"/>
    </row>
    <row r="60" spans="3:23" x14ac:dyDescent="0.35">
      <c r="J60" s="279"/>
      <c r="P60" s="373"/>
      <c r="Q60" s="373"/>
    </row>
    <row r="61" spans="3:23" x14ac:dyDescent="0.35">
      <c r="D61" s="406" t="s">
        <v>391</v>
      </c>
      <c r="E61" s="406"/>
      <c r="F61" s="218">
        <f>SUM(K38:K59)</f>
        <v>67.900000000000006</v>
      </c>
      <c r="P61" s="109"/>
      <c r="Q61" s="109"/>
    </row>
    <row r="62" spans="3:23" x14ac:dyDescent="0.35">
      <c r="D62" s="406" t="s">
        <v>422</v>
      </c>
      <c r="E62" s="406"/>
      <c r="F62" s="232" t="str">
        <f>IF(F61&lt;=C71,"ACAB 1",IF(F61&lt;=E71,"ACAB 2",IF(F61&gt;=F71,"ACAB 3")))</f>
        <v>ACAB 3</v>
      </c>
      <c r="J62" s="199"/>
      <c r="K62" s="182"/>
      <c r="Q62" s="109"/>
    </row>
    <row r="63" spans="3:23" x14ac:dyDescent="0.35">
      <c r="J63" s="199"/>
      <c r="K63" s="182"/>
    </row>
    <row r="64" spans="3:23" x14ac:dyDescent="0.35">
      <c r="C64" s="202"/>
      <c r="D64" s="415"/>
      <c r="E64" s="415"/>
      <c r="F64" s="219"/>
      <c r="G64" s="416"/>
      <c r="H64" s="416"/>
      <c r="J64" s="199"/>
    </row>
    <row r="65" spans="2:14" x14ac:dyDescent="0.35">
      <c r="C65" s="287" t="s">
        <v>2</v>
      </c>
      <c r="D65" s="289">
        <v>25.8</v>
      </c>
      <c r="E65" s="422">
        <v>40.049999999999997</v>
      </c>
      <c r="F65" s="286"/>
      <c r="G65" s="221"/>
      <c r="H65" s="215"/>
      <c r="J65" s="199"/>
    </row>
    <row r="66" spans="2:14" x14ac:dyDescent="0.35">
      <c r="C66" s="287" t="s">
        <v>3</v>
      </c>
      <c r="D66" s="289">
        <v>54.3</v>
      </c>
      <c r="E66" s="422"/>
      <c r="F66" s="423">
        <v>61.1</v>
      </c>
      <c r="G66" s="221"/>
      <c r="H66" s="222"/>
      <c r="I66" s="199"/>
      <c r="J66" s="199"/>
      <c r="K66" s="109"/>
      <c r="L66" s="109"/>
    </row>
    <row r="67" spans="2:14" x14ac:dyDescent="0.35">
      <c r="C67" s="287" t="s">
        <v>4</v>
      </c>
      <c r="D67" s="289">
        <v>67.900000000000006</v>
      </c>
      <c r="E67" s="285"/>
      <c r="F67" s="423"/>
      <c r="G67" s="221"/>
      <c r="H67" s="222"/>
      <c r="I67" s="199"/>
      <c r="J67" s="199"/>
      <c r="K67" s="109"/>
      <c r="L67" s="109"/>
    </row>
    <row r="68" spans="2:14" x14ac:dyDescent="0.35">
      <c r="C68" s="199"/>
      <c r="D68" s="220"/>
      <c r="E68" s="220"/>
      <c r="F68" s="221"/>
      <c r="G68" s="221"/>
      <c r="H68" s="222"/>
      <c r="I68" s="199"/>
      <c r="J68" s="199"/>
      <c r="K68" s="109"/>
      <c r="L68" s="109"/>
    </row>
    <row r="69" spans="2:14" x14ac:dyDescent="0.35">
      <c r="B69" s="225" t="s">
        <v>424</v>
      </c>
      <c r="C69" s="225"/>
      <c r="D69" s="225"/>
      <c r="E69" s="225"/>
      <c r="F69" s="225"/>
      <c r="G69" s="225"/>
      <c r="I69" s="199"/>
      <c r="J69" s="199"/>
      <c r="K69" s="109"/>
      <c r="L69" s="109"/>
    </row>
    <row r="70" spans="2:14" x14ac:dyDescent="0.35">
      <c r="B70" s="172"/>
      <c r="C70" s="172"/>
      <c r="D70" s="410" t="s">
        <v>394</v>
      </c>
      <c r="E70" s="410"/>
      <c r="F70" s="410"/>
      <c r="G70" s="172"/>
      <c r="I70" s="199"/>
      <c r="J70" s="199"/>
      <c r="K70" s="284"/>
      <c r="L70" s="109"/>
    </row>
    <row r="71" spans="2:14" x14ac:dyDescent="0.35">
      <c r="B71" s="233">
        <v>25.8</v>
      </c>
      <c r="C71" s="233">
        <v>40.5</v>
      </c>
      <c r="D71" s="233">
        <f>C71+0.1</f>
        <v>40.6</v>
      </c>
      <c r="E71" s="233">
        <v>61.1</v>
      </c>
      <c r="F71" s="233">
        <f>E71+0.1</f>
        <v>61.2</v>
      </c>
      <c r="G71" s="233">
        <v>67.900000000000006</v>
      </c>
      <c r="I71" s="40"/>
      <c r="J71" s="40"/>
      <c r="K71" s="199"/>
      <c r="L71" s="200"/>
      <c r="M71" s="1"/>
      <c r="N71" s="217"/>
    </row>
    <row r="72" spans="2:14" x14ac:dyDescent="0.35">
      <c r="B72" s="417" t="s">
        <v>425</v>
      </c>
      <c r="C72" s="417"/>
      <c r="D72" s="411" t="s">
        <v>426</v>
      </c>
      <c r="E72" s="411"/>
      <c r="F72" s="412" t="s">
        <v>427</v>
      </c>
      <c r="G72" s="412"/>
      <c r="H72" s="32"/>
      <c r="I72" s="199"/>
      <c r="J72" s="199"/>
      <c r="K72" s="199"/>
      <c r="L72" s="200"/>
    </row>
    <row r="75" spans="2:14" x14ac:dyDescent="0.35">
      <c r="D75" s="406" t="s">
        <v>398</v>
      </c>
      <c r="E75" s="406"/>
      <c r="F75" s="218">
        <f>SUM(L38:L59)</f>
        <v>14</v>
      </c>
    </row>
    <row r="76" spans="2:14" x14ac:dyDescent="0.35">
      <c r="D76" s="406" t="s">
        <v>412</v>
      </c>
      <c r="E76" s="406"/>
      <c r="F76" s="218">
        <f>F75/6</f>
        <v>2.3333333333333335</v>
      </c>
    </row>
    <row r="77" spans="2:14" x14ac:dyDescent="0.35">
      <c r="D77" s="406" t="s">
        <v>422</v>
      </c>
      <c r="E77" s="406"/>
      <c r="F77" s="232" t="str">
        <f>IF(F76&lt;=1,"VLC 1",IF(F76&lt;=2,"VLC 2",IF(F76&lt;=3,"VLC 3")))</f>
        <v>VLC 3</v>
      </c>
    </row>
    <row r="79" spans="2:14" x14ac:dyDescent="0.35">
      <c r="D79" s="410" t="s">
        <v>414</v>
      </c>
      <c r="E79" s="410"/>
      <c r="F79" s="410"/>
      <c r="G79" s="225"/>
      <c r="H79" s="225"/>
      <c r="I79" s="225"/>
      <c r="J79" s="225"/>
    </row>
    <row r="80" spans="2:14" x14ac:dyDescent="0.35">
      <c r="C80" s="233"/>
      <c r="D80" s="233" t="s">
        <v>415</v>
      </c>
      <c r="E80" s="233" t="s">
        <v>416</v>
      </c>
      <c r="F80" s="233" t="s">
        <v>417</v>
      </c>
      <c r="G80" s="225"/>
      <c r="H80" s="225"/>
      <c r="I80" s="225"/>
      <c r="J80" s="225"/>
    </row>
    <row r="81" spans="3:18" x14ac:dyDescent="0.35">
      <c r="D81" s="229" t="s">
        <v>419</v>
      </c>
      <c r="E81" s="230" t="s">
        <v>402</v>
      </c>
      <c r="F81" s="195" t="s">
        <v>403</v>
      </c>
    </row>
    <row r="82" spans="3:18" x14ac:dyDescent="0.35">
      <c r="D82" s="231"/>
      <c r="E82" s="231"/>
      <c r="F82" s="231"/>
    </row>
    <row r="85" spans="3:18" x14ac:dyDescent="0.35">
      <c r="C85" s="403" t="s">
        <v>323</v>
      </c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</row>
    <row r="87" spans="3:18" x14ac:dyDescent="0.35">
      <c r="C87" s="406" t="s">
        <v>428</v>
      </c>
      <c r="D87" s="406"/>
      <c r="E87" s="406"/>
      <c r="F87" s="235">
        <f>SUM(F19,F61,Q30)</f>
        <v>75.1379935515873</v>
      </c>
      <c r="G87" s="391"/>
      <c r="H87" s="391"/>
    </row>
    <row r="88" spans="3:18" x14ac:dyDescent="0.35">
      <c r="C88" s="208" t="s">
        <v>429</v>
      </c>
      <c r="D88" s="208"/>
      <c r="E88" s="208"/>
      <c r="F88" s="235" t="str">
        <f>IF(F87&lt;=E97,"CONQUISTA",IF(F87&lt;=G97,"HARMONIA",IF(F87&gt;=H97,"BEM ESTAR",IF(F87&gt;M97,"RISCO"))))</f>
        <v>HARMONIA</v>
      </c>
      <c r="H88" s="32"/>
    </row>
    <row r="90" spans="3:18" x14ac:dyDescent="0.35">
      <c r="C90" s="238"/>
      <c r="D90" s="239" t="s">
        <v>430</v>
      </c>
      <c r="E90" s="239" t="s">
        <v>431</v>
      </c>
    </row>
    <row r="91" spans="3:18" x14ac:dyDescent="0.35">
      <c r="C91" s="238" t="s">
        <v>383</v>
      </c>
      <c r="D91" s="288">
        <f>SUM(C23,B71)</f>
        <v>40.1</v>
      </c>
      <c r="E91" s="288">
        <f>SUM(C23,C71,N34)</f>
        <v>62.3</v>
      </c>
    </row>
    <row r="92" spans="3:18" x14ac:dyDescent="0.35">
      <c r="C92" s="238" t="s">
        <v>432</v>
      </c>
      <c r="D92" s="288">
        <f>SUM(D23,D71,O34)</f>
        <v>62.6</v>
      </c>
      <c r="E92" s="288">
        <f>SUM(E23,E71,P34)</f>
        <v>93.9</v>
      </c>
    </row>
    <row r="93" spans="3:18" x14ac:dyDescent="0.35">
      <c r="C93" s="238" t="s">
        <v>388</v>
      </c>
      <c r="D93" s="288">
        <f>F23+F71+Q34</f>
        <v>94.2</v>
      </c>
      <c r="E93" s="288">
        <f>SUM(G23,G71,R34)</f>
        <v>110.5</v>
      </c>
    </row>
    <row r="95" spans="3:18" x14ac:dyDescent="0.35">
      <c r="D95" s="372" t="s">
        <v>433</v>
      </c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</row>
    <row r="96" spans="3:18" x14ac:dyDescent="0.35">
      <c r="D96" s="391" t="s">
        <v>383</v>
      </c>
      <c r="E96" s="391"/>
      <c r="F96" s="391" t="s">
        <v>432</v>
      </c>
      <c r="G96" s="391"/>
      <c r="H96" s="391" t="s">
        <v>388</v>
      </c>
      <c r="I96" s="391"/>
      <c r="J96" s="391"/>
      <c r="K96" s="391"/>
      <c r="L96" s="391"/>
      <c r="M96" s="391"/>
      <c r="N96" s="391" t="s">
        <v>434</v>
      </c>
      <c r="O96" s="391"/>
    </row>
    <row r="97" spans="3:24" x14ac:dyDescent="0.35">
      <c r="D97" s="272">
        <f>D91</f>
        <v>40.1</v>
      </c>
      <c r="E97" s="272">
        <f>E91</f>
        <v>62.3</v>
      </c>
      <c r="F97" s="272">
        <f>D92+0.1</f>
        <v>62.7</v>
      </c>
      <c r="G97" s="272">
        <f>E92</f>
        <v>93.9</v>
      </c>
      <c r="H97" s="272">
        <f>D93+0.1</f>
        <v>94.3</v>
      </c>
      <c r="I97" s="272"/>
      <c r="J97" s="272"/>
      <c r="K97" s="272"/>
      <c r="L97" s="272"/>
      <c r="M97" s="272">
        <f>E93</f>
        <v>110.5</v>
      </c>
      <c r="N97" s="420">
        <v>201</v>
      </c>
      <c r="O97" s="420"/>
    </row>
    <row r="98" spans="3:24" x14ac:dyDescent="0.35">
      <c r="D98" s="236"/>
      <c r="E98" s="236"/>
      <c r="F98" s="228"/>
      <c r="G98" s="228"/>
      <c r="H98" s="227"/>
      <c r="I98" s="237"/>
      <c r="J98" s="237"/>
      <c r="K98" s="227"/>
      <c r="L98" s="227"/>
      <c r="M98" s="227"/>
      <c r="N98" s="194"/>
      <c r="O98" s="194"/>
    </row>
    <row r="101" spans="3:24" x14ac:dyDescent="0.35">
      <c r="C101" s="406" t="s">
        <v>435</v>
      </c>
      <c r="D101" s="406"/>
      <c r="E101" s="406"/>
      <c r="F101" s="218">
        <f>SUM(F26,F76,Q40)/3</f>
        <v>1.2063492063492065</v>
      </c>
    </row>
    <row r="102" spans="3:24" x14ac:dyDescent="0.35">
      <c r="C102" s="406" t="s">
        <v>399</v>
      </c>
      <c r="D102" s="406"/>
      <c r="E102" s="406"/>
      <c r="F102" s="32" t="str">
        <f>IF(F101&lt;=E106,"BRONZE",IF(F101&lt;=G106,"PRATA",IF(F101&lt;=M106,"OURO")))</f>
        <v>PRATA</v>
      </c>
    </row>
    <row r="104" spans="3:24" x14ac:dyDescent="0.35">
      <c r="D104" s="372" t="s">
        <v>436</v>
      </c>
      <c r="E104" s="372"/>
      <c r="F104" s="372"/>
      <c r="G104" s="372"/>
      <c r="H104" s="372"/>
      <c r="I104" s="372"/>
      <c r="J104" s="372"/>
      <c r="K104" s="372"/>
      <c r="L104" s="372"/>
      <c r="M104" s="372"/>
    </row>
    <row r="105" spans="3:24" x14ac:dyDescent="0.35">
      <c r="D105" s="391" t="s">
        <v>437</v>
      </c>
      <c r="E105" s="391"/>
      <c r="F105" s="391" t="s">
        <v>384</v>
      </c>
      <c r="G105" s="391"/>
      <c r="H105" s="391" t="s">
        <v>389</v>
      </c>
      <c r="I105" s="391"/>
      <c r="J105" s="391"/>
      <c r="K105" s="391"/>
      <c r="L105" s="391"/>
      <c r="M105" s="391"/>
    </row>
    <row r="106" spans="3:24" x14ac:dyDescent="0.35">
      <c r="D106" s="233">
        <v>0</v>
      </c>
      <c r="E106" s="233">
        <v>1</v>
      </c>
      <c r="F106" s="233">
        <f>E106+0.1</f>
        <v>1.1000000000000001</v>
      </c>
      <c r="G106" s="233">
        <v>2</v>
      </c>
      <c r="H106" s="233">
        <f>G106+0.1</f>
        <v>2.1</v>
      </c>
      <c r="I106" s="233"/>
      <c r="J106" s="233"/>
      <c r="K106" s="233"/>
      <c r="L106" s="233"/>
      <c r="M106" s="233">
        <v>3</v>
      </c>
    </row>
    <row r="107" spans="3:24" x14ac:dyDescent="0.35">
      <c r="D107" s="243"/>
      <c r="E107" s="243"/>
      <c r="F107" s="240"/>
      <c r="G107" s="240"/>
      <c r="H107" s="241"/>
      <c r="I107" s="242"/>
      <c r="J107" s="242"/>
      <c r="K107" s="241"/>
      <c r="L107" s="241"/>
      <c r="M107" s="241"/>
    </row>
    <row r="110" spans="3:24" x14ac:dyDescent="0.35">
      <c r="C110" s="421"/>
      <c r="D110" s="421"/>
      <c r="E110" s="421"/>
      <c r="F110" s="421"/>
      <c r="G110" s="421"/>
      <c r="H110" s="421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</row>
    <row r="111" spans="3:24" x14ac:dyDescent="0.35"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9"/>
      <c r="N111" s="210"/>
      <c r="O111" s="209"/>
      <c r="P111" s="209"/>
      <c r="Q111" s="210"/>
      <c r="R111" s="207"/>
      <c r="S111" s="207"/>
      <c r="T111" s="207"/>
      <c r="U111" s="207"/>
      <c r="V111" s="207"/>
      <c r="W111" s="207"/>
      <c r="X111" s="207"/>
    </row>
    <row r="112" spans="3:24" x14ac:dyDescent="0.35"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10"/>
      <c r="N112" s="210"/>
      <c r="O112" s="209"/>
      <c r="P112" s="209"/>
      <c r="Q112" s="210"/>
      <c r="R112" s="207"/>
      <c r="S112" s="207"/>
      <c r="T112" s="207"/>
      <c r="U112" s="207"/>
      <c r="V112" s="207"/>
      <c r="W112" s="207"/>
      <c r="X112" s="207"/>
    </row>
    <row r="113" spans="3:24" x14ac:dyDescent="0.35"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11"/>
      <c r="N113" s="210"/>
      <c r="O113" s="211"/>
      <c r="P113" s="212"/>
      <c r="Q113" s="210"/>
      <c r="R113" s="207"/>
      <c r="S113" s="207"/>
      <c r="T113" s="207"/>
      <c r="U113" s="207"/>
      <c r="V113" s="207"/>
      <c r="W113" s="207"/>
      <c r="X113" s="207"/>
    </row>
    <row r="114" spans="3:24" x14ac:dyDescent="0.35"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11"/>
      <c r="N114" s="210"/>
      <c r="O114" s="211"/>
      <c r="P114" s="212"/>
      <c r="Q114" s="210"/>
      <c r="R114" s="207"/>
      <c r="S114" s="207"/>
      <c r="T114" s="207"/>
      <c r="U114" s="207"/>
      <c r="V114" s="207"/>
      <c r="W114" s="207"/>
      <c r="X114" s="207"/>
    </row>
    <row r="115" spans="3:24" x14ac:dyDescent="0.35"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11"/>
      <c r="N115" s="210"/>
      <c r="O115" s="211"/>
      <c r="P115" s="212"/>
      <c r="Q115" s="210"/>
      <c r="R115" s="207"/>
      <c r="S115" s="207"/>
      <c r="T115" s="207"/>
      <c r="U115" s="207"/>
      <c r="V115" s="207"/>
      <c r="W115" s="207"/>
      <c r="X115" s="207"/>
    </row>
    <row r="116" spans="3:24" x14ac:dyDescent="0.35">
      <c r="C116" s="421"/>
      <c r="D116" s="421"/>
      <c r="E116" s="421"/>
      <c r="F116" s="421"/>
      <c r="G116" s="421"/>
      <c r="H116" s="421"/>
      <c r="M116" s="213"/>
      <c r="N116" s="213"/>
      <c r="O116" s="213"/>
      <c r="P116" s="213"/>
      <c r="Q116" s="213"/>
    </row>
    <row r="117" spans="3:24" x14ac:dyDescent="0.35">
      <c r="C117" s="207"/>
      <c r="D117" s="207"/>
      <c r="E117" s="207"/>
      <c r="F117" s="207"/>
      <c r="G117" s="207"/>
      <c r="H117" s="207"/>
      <c r="M117" s="211"/>
      <c r="N117" s="210"/>
      <c r="O117" s="211"/>
      <c r="P117" s="212"/>
      <c r="Q117" s="213"/>
    </row>
    <row r="118" spans="3:24" x14ac:dyDescent="0.35">
      <c r="C118" s="207"/>
      <c r="D118" s="207"/>
      <c r="E118" s="207"/>
      <c r="F118" s="207"/>
      <c r="G118" s="207"/>
      <c r="H118" s="207"/>
      <c r="M118" s="211"/>
      <c r="N118" s="210"/>
      <c r="O118" s="211"/>
      <c r="P118" s="212"/>
      <c r="Q118" s="213"/>
    </row>
    <row r="119" spans="3:24" x14ac:dyDescent="0.35">
      <c r="C119" s="207"/>
      <c r="D119" s="207"/>
      <c r="E119" s="207"/>
      <c r="F119" s="207"/>
      <c r="G119" s="207"/>
      <c r="H119" s="207"/>
      <c r="M119" s="211"/>
      <c r="N119" s="210"/>
      <c r="O119" s="211"/>
      <c r="P119" s="212"/>
      <c r="Q119" s="213"/>
    </row>
    <row r="120" spans="3:24" x14ac:dyDescent="0.35">
      <c r="C120" s="207"/>
      <c r="D120" s="207"/>
      <c r="E120" s="207"/>
      <c r="F120" s="207"/>
      <c r="G120" s="207"/>
      <c r="H120" s="207"/>
      <c r="M120" s="213"/>
      <c r="N120" s="213"/>
      <c r="O120" s="213"/>
      <c r="P120" s="212"/>
      <c r="Q120" s="213"/>
    </row>
    <row r="121" spans="3:24" x14ac:dyDescent="0.35">
      <c r="M121" s="211"/>
      <c r="N121" s="210"/>
      <c r="O121" s="211"/>
      <c r="P121" s="212"/>
      <c r="Q121" s="213"/>
    </row>
    <row r="122" spans="3:24" x14ac:dyDescent="0.35">
      <c r="C122" s="372"/>
      <c r="D122" s="372"/>
      <c r="E122" s="372"/>
      <c r="F122" s="372"/>
      <c r="G122" s="372"/>
      <c r="H122" s="372"/>
      <c r="M122" s="211"/>
      <c r="N122" s="210"/>
      <c r="O122" s="211"/>
      <c r="P122" s="212"/>
      <c r="Q122" s="213"/>
    </row>
    <row r="123" spans="3:24" x14ac:dyDescent="0.35">
      <c r="M123" s="211"/>
      <c r="N123" s="210"/>
      <c r="O123" s="211"/>
      <c r="P123" s="212"/>
      <c r="Q123" s="213"/>
    </row>
    <row r="124" spans="3:24" x14ac:dyDescent="0.35">
      <c r="P124" s="212"/>
    </row>
    <row r="125" spans="3:24" x14ac:dyDescent="0.35">
      <c r="M125" s="211"/>
      <c r="O125" s="211"/>
      <c r="P125" s="212"/>
    </row>
    <row r="126" spans="3:24" x14ac:dyDescent="0.35">
      <c r="M126" s="211"/>
      <c r="O126" s="211"/>
      <c r="P126" s="212"/>
    </row>
    <row r="129" spans="15:15" x14ac:dyDescent="0.35">
      <c r="O129" s="214"/>
    </row>
    <row r="130" spans="15:15" x14ac:dyDescent="0.35">
      <c r="O130" s="214"/>
    </row>
  </sheetData>
  <mergeCells count="87">
    <mergeCell ref="C6:E6"/>
    <mergeCell ref="C2:R2"/>
    <mergeCell ref="C4:E4"/>
    <mergeCell ref="F4:H4"/>
    <mergeCell ref="C5:E5"/>
    <mergeCell ref="F5:H5"/>
    <mergeCell ref="C8:G8"/>
    <mergeCell ref="N8:R8"/>
    <mergeCell ref="D10:E10"/>
    <mergeCell ref="O10:P10"/>
    <mergeCell ref="D11:E11"/>
    <mergeCell ref="O11:P11"/>
    <mergeCell ref="B24:C24"/>
    <mergeCell ref="D24:E24"/>
    <mergeCell ref="F24:G24"/>
    <mergeCell ref="O12:P12"/>
    <mergeCell ref="C13:G13"/>
    <mergeCell ref="O13:P13"/>
    <mergeCell ref="O14:P14"/>
    <mergeCell ref="D15:E15"/>
    <mergeCell ref="O15:P15"/>
    <mergeCell ref="N33:S33"/>
    <mergeCell ref="D16:E16"/>
    <mergeCell ref="O16:P16"/>
    <mergeCell ref="D17:E17"/>
    <mergeCell ref="D20:E20"/>
    <mergeCell ref="D22:F22"/>
    <mergeCell ref="D27:E27"/>
    <mergeCell ref="O27:P27"/>
    <mergeCell ref="D29:F29"/>
    <mergeCell ref="O30:P30"/>
    <mergeCell ref="O31:P31"/>
    <mergeCell ref="D42:E42"/>
    <mergeCell ref="C35:G35"/>
    <mergeCell ref="O35:P35"/>
    <mergeCell ref="Q35:R35"/>
    <mergeCell ref="C37:D37"/>
    <mergeCell ref="D38:E38"/>
    <mergeCell ref="O38:P38"/>
    <mergeCell ref="D39:E39"/>
    <mergeCell ref="O39:P39"/>
    <mergeCell ref="O40:P40"/>
    <mergeCell ref="C41:D41"/>
    <mergeCell ref="O41:P41"/>
    <mergeCell ref="D51:E51"/>
    <mergeCell ref="D54:E54"/>
    <mergeCell ref="D55:E55"/>
    <mergeCell ref="D58:E58"/>
    <mergeCell ref="D59:E59"/>
    <mergeCell ref="D43:E43"/>
    <mergeCell ref="C45:D45"/>
    <mergeCell ref="D46:E46"/>
    <mergeCell ref="D47:E47"/>
    <mergeCell ref="D50:E50"/>
    <mergeCell ref="P60:Q60"/>
    <mergeCell ref="D62:E62"/>
    <mergeCell ref="D64:E64"/>
    <mergeCell ref="G64:H64"/>
    <mergeCell ref="D70:F70"/>
    <mergeCell ref="D61:E61"/>
    <mergeCell ref="B72:C72"/>
    <mergeCell ref="D72:E72"/>
    <mergeCell ref="F72:G72"/>
    <mergeCell ref="N97:O97"/>
    <mergeCell ref="D75:E75"/>
    <mergeCell ref="D76:E76"/>
    <mergeCell ref="D77:E77"/>
    <mergeCell ref="D79:F79"/>
    <mergeCell ref="C85:R85"/>
    <mergeCell ref="C87:E87"/>
    <mergeCell ref="G87:H87"/>
    <mergeCell ref="C110:H110"/>
    <mergeCell ref="C116:H116"/>
    <mergeCell ref="C122:H122"/>
    <mergeCell ref="E65:E66"/>
    <mergeCell ref="F66:F67"/>
    <mergeCell ref="C101:E101"/>
    <mergeCell ref="C102:E102"/>
    <mergeCell ref="D104:M104"/>
    <mergeCell ref="D105:E105"/>
    <mergeCell ref="F105:G105"/>
    <mergeCell ref="H105:M105"/>
    <mergeCell ref="D95:O95"/>
    <mergeCell ref="D96:E96"/>
    <mergeCell ref="F96:G96"/>
    <mergeCell ref="H96:M96"/>
    <mergeCell ref="N96:O9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7519-A557-4694-8C11-76462E375EC5}">
  <dimension ref="B1:AG130"/>
  <sheetViews>
    <sheetView showGridLines="0" zoomScaleNormal="100" workbookViewId="0">
      <selection activeCell="R34" sqref="R34"/>
    </sheetView>
  </sheetViews>
  <sheetFormatPr defaultRowHeight="14.5" outlineLevelCol="1" x14ac:dyDescent="0.35"/>
  <cols>
    <col min="1" max="1" width="4.453125" customWidth="1"/>
    <col min="2" max="4" width="13.6328125" customWidth="1"/>
    <col min="5" max="5" width="16.90625" customWidth="1"/>
    <col min="6" max="6" width="14.90625" style="32" bestFit="1" customWidth="1"/>
    <col min="7" max="7" width="13.6328125" style="32" customWidth="1"/>
    <col min="8" max="8" width="13.6328125" customWidth="1"/>
    <col min="9" max="10" width="12.90625" style="202" customWidth="1" outlineLevel="1"/>
    <col min="11" max="11" width="11.90625" customWidth="1" outlineLevel="1"/>
    <col min="12" max="12" width="13.08984375" customWidth="1" outlineLevel="1"/>
    <col min="13" max="16" width="12.36328125" customWidth="1"/>
    <col min="17" max="17" width="15.36328125" bestFit="1" customWidth="1"/>
    <col min="18" max="18" width="12.36328125" style="32" customWidth="1"/>
    <col min="19" max="19" width="12.36328125" customWidth="1"/>
    <col min="20" max="21" width="14" style="199" customWidth="1" outlineLevel="1"/>
    <col min="22" max="22" width="13.6328125" customWidth="1" outlineLevel="1"/>
    <col min="23" max="23" width="13.08984375" customWidth="1" outlineLevel="1"/>
    <col min="25" max="25" width="22.54296875" customWidth="1"/>
    <col min="26" max="26" width="22.54296875" style="32" customWidth="1"/>
    <col min="27" max="35" width="22.54296875" customWidth="1"/>
  </cols>
  <sheetData>
    <row r="1" spans="3:33" x14ac:dyDescent="0.35">
      <c r="I1" s="203"/>
      <c r="J1" s="203"/>
      <c r="Z1"/>
      <c r="AF1" s="45"/>
    </row>
    <row r="2" spans="3:33" x14ac:dyDescent="0.35">
      <c r="C2" s="399" t="s">
        <v>365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Z2"/>
    </row>
    <row r="3" spans="3:33" x14ac:dyDescent="0.35">
      <c r="I3" s="203"/>
      <c r="J3" s="203"/>
      <c r="Z3"/>
    </row>
    <row r="4" spans="3:33" x14ac:dyDescent="0.35">
      <c r="C4" s="398" t="s">
        <v>366</v>
      </c>
      <c r="D4" s="398"/>
      <c r="E4" s="398"/>
      <c r="F4" s="400"/>
      <c r="G4" s="401"/>
      <c r="H4" s="402"/>
      <c r="I4"/>
      <c r="J4"/>
      <c r="Z4"/>
    </row>
    <row r="5" spans="3:33" x14ac:dyDescent="0.35">
      <c r="C5" s="398" t="s">
        <v>367</v>
      </c>
      <c r="D5" s="398"/>
      <c r="E5" s="398"/>
      <c r="F5" s="400"/>
      <c r="G5" s="401"/>
      <c r="H5" s="402"/>
      <c r="I5"/>
      <c r="J5"/>
      <c r="Z5"/>
    </row>
    <row r="6" spans="3:33" x14ac:dyDescent="0.35">
      <c r="C6" s="398" t="s">
        <v>368</v>
      </c>
      <c r="D6" s="398"/>
      <c r="E6" s="398"/>
      <c r="F6" s="197">
        <v>250</v>
      </c>
      <c r="G6" s="281" t="s">
        <v>438</v>
      </c>
      <c r="H6" s="280">
        <v>84.07</v>
      </c>
      <c r="I6" s="203"/>
      <c r="J6" s="203"/>
      <c r="Z6"/>
    </row>
    <row r="7" spans="3:33" x14ac:dyDescent="0.35">
      <c r="H7" s="280">
        <v>84.07</v>
      </c>
      <c r="I7" s="203"/>
      <c r="J7" s="203"/>
      <c r="Z7"/>
    </row>
    <row r="8" spans="3:33" x14ac:dyDescent="0.35">
      <c r="C8" s="403" t="s">
        <v>369</v>
      </c>
      <c r="D8" s="403"/>
      <c r="E8" s="403"/>
      <c r="F8" s="403"/>
      <c r="G8" s="403"/>
      <c r="N8" s="403" t="s">
        <v>7</v>
      </c>
      <c r="O8" s="403"/>
      <c r="P8" s="403"/>
      <c r="Q8" s="403"/>
      <c r="R8" s="403"/>
    </row>
    <row r="9" spans="3:33" x14ac:dyDescent="0.35">
      <c r="F9" s="198" t="s">
        <v>439</v>
      </c>
      <c r="G9" s="198" t="s">
        <v>92</v>
      </c>
      <c r="I9" s="202" t="s">
        <v>370</v>
      </c>
      <c r="J9" s="202" t="s">
        <v>440</v>
      </c>
      <c r="K9" s="199" t="s">
        <v>371</v>
      </c>
      <c r="L9" s="199" t="s">
        <v>372</v>
      </c>
      <c r="Q9" s="198" t="s">
        <v>441</v>
      </c>
      <c r="R9" s="198" t="s">
        <v>92</v>
      </c>
      <c r="T9" s="199" t="s">
        <v>370</v>
      </c>
      <c r="U9" s="199" t="s">
        <v>373</v>
      </c>
      <c r="V9" s="199" t="s">
        <v>371</v>
      </c>
      <c r="W9" s="199" t="s">
        <v>372</v>
      </c>
    </row>
    <row r="10" spans="3:33" x14ac:dyDescent="0.35">
      <c r="C10" s="192" t="b">
        <v>0</v>
      </c>
      <c r="D10" s="404" t="s">
        <v>5</v>
      </c>
      <c r="E10" s="404"/>
      <c r="F10" s="206">
        <v>673.3</v>
      </c>
      <c r="G10" s="197">
        <v>1</v>
      </c>
      <c r="I10" s="202">
        <v>56603</v>
      </c>
      <c r="J10" s="279">
        <f>I10/H6</f>
        <v>673.28416795527539</v>
      </c>
      <c r="K10" s="200">
        <f>IF(C10=TRUE,F10,0)</f>
        <v>0</v>
      </c>
      <c r="L10" s="199">
        <f>IF(C10=TRUE,G10,0)</f>
        <v>0</v>
      </c>
      <c r="N10" s="192" t="b">
        <v>1</v>
      </c>
      <c r="O10" s="405" t="s">
        <v>115</v>
      </c>
      <c r="P10" s="405"/>
      <c r="Q10" s="204">
        <f>U10/H6</f>
        <v>1.1016105626263828</v>
      </c>
      <c r="R10" s="197">
        <v>3</v>
      </c>
      <c r="T10" s="201">
        <v>23153.1</v>
      </c>
      <c r="U10" s="201">
        <f>T10/F$6</f>
        <v>92.612399999999994</v>
      </c>
      <c r="V10" s="200">
        <f>IF(N10=TRUE,Q10,0)</f>
        <v>1.1016105626263828</v>
      </c>
      <c r="W10" s="199">
        <f>IF(N10=TRUE,R10,0)</f>
        <v>3</v>
      </c>
    </row>
    <row r="11" spans="3:33" x14ac:dyDescent="0.35">
      <c r="C11" s="192" t="b">
        <v>0</v>
      </c>
      <c r="D11" s="404" t="s">
        <v>10</v>
      </c>
      <c r="E11" s="404"/>
      <c r="F11" s="206">
        <v>833.8</v>
      </c>
      <c r="G11" s="197">
        <v>3</v>
      </c>
      <c r="I11" s="202">
        <v>70100</v>
      </c>
      <c r="J11" s="279">
        <f>I11/H6</f>
        <v>833.82895206375645</v>
      </c>
      <c r="K11" s="200">
        <f>IF(C11=TRUE,F11,0)</f>
        <v>0</v>
      </c>
      <c r="L11" s="199">
        <f>IF(C11=TRUE,G11,0)</f>
        <v>0</v>
      </c>
      <c r="N11" s="192" t="b">
        <v>1</v>
      </c>
      <c r="O11" s="405" t="s">
        <v>119</v>
      </c>
      <c r="P11" s="405"/>
      <c r="Q11" s="204">
        <f>U11/H6</f>
        <v>0.33048316878791489</v>
      </c>
      <c r="R11" s="197">
        <v>2</v>
      </c>
      <c r="T11" s="201">
        <v>6945.93</v>
      </c>
      <c r="U11" s="201">
        <f t="shared" ref="U11:U27" si="0">T11/F$6</f>
        <v>27.783720000000002</v>
      </c>
      <c r="V11" s="200">
        <f t="shared" ref="V11:V27" si="1">IF(N11=TRUE,Q11,0)</f>
        <v>0.33048316878791489</v>
      </c>
      <c r="W11" s="199">
        <f t="shared" ref="W11:W27" si="2">IF(N11=TRUE,R11,0)</f>
        <v>2</v>
      </c>
      <c r="Y11" s="244" t="s">
        <v>374</v>
      </c>
      <c r="Z11" s="198" t="s">
        <v>375</v>
      </c>
      <c r="AA11" s="244" t="s">
        <v>376</v>
      </c>
      <c r="AB11" s="198" t="s">
        <v>377</v>
      </c>
      <c r="AC11" s="198" t="s">
        <v>378</v>
      </c>
      <c r="AD11" s="198" t="s">
        <v>379</v>
      </c>
      <c r="AE11" s="244" t="s">
        <v>380</v>
      </c>
      <c r="AF11" s="244" t="s">
        <v>381</v>
      </c>
      <c r="AG11" s="244" t="s">
        <v>382</v>
      </c>
    </row>
    <row r="12" spans="3:33" ht="15" thickBot="1" x14ac:dyDescent="0.4">
      <c r="F12" s="257"/>
      <c r="G12" s="257"/>
      <c r="K12" s="200"/>
      <c r="L12" s="199"/>
      <c r="N12" s="192" t="b">
        <v>1</v>
      </c>
      <c r="O12" s="405" t="s">
        <v>122</v>
      </c>
      <c r="P12" s="405"/>
      <c r="Q12" s="204">
        <f>U12/H6</f>
        <v>0.3309932199357678</v>
      </c>
      <c r="R12" s="197">
        <v>1</v>
      </c>
      <c r="T12" s="201">
        <v>6956.65</v>
      </c>
      <c r="U12" s="201">
        <f t="shared" si="0"/>
        <v>27.826599999999999</v>
      </c>
      <c r="V12" s="200">
        <f t="shared" si="1"/>
        <v>0.3309932199357678</v>
      </c>
      <c r="W12" s="199">
        <f t="shared" si="2"/>
        <v>1</v>
      </c>
      <c r="Y12" s="274" t="s">
        <v>199</v>
      </c>
      <c r="Z12" s="246" t="s">
        <v>2</v>
      </c>
      <c r="AA12" s="275">
        <v>95</v>
      </c>
      <c r="AB12" s="275">
        <v>18.100000000000001</v>
      </c>
      <c r="AC12" s="275">
        <v>53.3</v>
      </c>
      <c r="AD12" s="275">
        <v>24</v>
      </c>
      <c r="AE12" s="275" t="s">
        <v>383</v>
      </c>
      <c r="AF12" s="275">
        <v>1.9</v>
      </c>
      <c r="AG12" s="275" t="s">
        <v>384</v>
      </c>
    </row>
    <row r="13" spans="3:33" x14ac:dyDescent="0.35">
      <c r="C13" s="407" t="s">
        <v>385</v>
      </c>
      <c r="D13" s="408"/>
      <c r="E13" s="408"/>
      <c r="F13" s="408"/>
      <c r="G13" s="409"/>
      <c r="K13" s="200"/>
      <c r="L13" s="199"/>
      <c r="N13" s="192" t="b">
        <v>1</v>
      </c>
      <c r="O13" s="405" t="s">
        <v>123</v>
      </c>
      <c r="P13" s="405"/>
      <c r="Q13" s="204">
        <f>U13/H6</f>
        <v>0.51351445224217918</v>
      </c>
      <c r="R13" s="197">
        <v>1</v>
      </c>
      <c r="T13" s="201">
        <v>10792.79</v>
      </c>
      <c r="U13" s="201">
        <f t="shared" si="0"/>
        <v>43.17116</v>
      </c>
      <c r="V13" s="200">
        <f t="shared" si="1"/>
        <v>0.51351445224217918</v>
      </c>
      <c r="W13" s="199">
        <f t="shared" si="2"/>
        <v>1</v>
      </c>
      <c r="Y13" s="245" t="s">
        <v>211</v>
      </c>
      <c r="Z13" s="246" t="s">
        <v>2</v>
      </c>
      <c r="AA13" s="275"/>
      <c r="AB13" s="275"/>
      <c r="AC13" s="275"/>
      <c r="AD13" s="275"/>
      <c r="AE13" s="275"/>
      <c r="AF13" s="275"/>
      <c r="AG13" s="275"/>
    </row>
    <row r="14" spans="3:33" x14ac:dyDescent="0.35">
      <c r="C14" s="258"/>
      <c r="G14" s="259"/>
      <c r="K14" s="200"/>
      <c r="L14" s="199"/>
      <c r="N14" s="192" t="b">
        <v>1</v>
      </c>
      <c r="O14" s="405" t="s">
        <v>66</v>
      </c>
      <c r="P14" s="405"/>
      <c r="Q14" s="204">
        <f>U14/H6</f>
        <v>0.35961317949327948</v>
      </c>
      <c r="R14" s="197">
        <v>2</v>
      </c>
      <c r="T14" s="201">
        <v>7558.17</v>
      </c>
      <c r="U14" s="201">
        <f t="shared" si="0"/>
        <v>30.232680000000002</v>
      </c>
      <c r="V14" s="200">
        <f t="shared" si="1"/>
        <v>0.35961317949327948</v>
      </c>
      <c r="W14" s="199">
        <f t="shared" si="2"/>
        <v>2</v>
      </c>
      <c r="Y14" s="245" t="s">
        <v>217</v>
      </c>
      <c r="Z14" s="247" t="s">
        <v>2</v>
      </c>
      <c r="AA14" s="275"/>
      <c r="AB14" s="275"/>
      <c r="AC14" s="275"/>
      <c r="AD14" s="275"/>
      <c r="AE14" s="275"/>
      <c r="AF14" s="275"/>
      <c r="AG14" s="275"/>
    </row>
    <row r="15" spans="3:33" x14ac:dyDescent="0.35">
      <c r="C15" s="260" t="b">
        <v>0</v>
      </c>
      <c r="D15" s="404" t="s">
        <v>386</v>
      </c>
      <c r="E15" s="414"/>
      <c r="F15" s="206">
        <v>14.3</v>
      </c>
      <c r="G15" s="261">
        <v>1</v>
      </c>
      <c r="I15" s="202">
        <v>1200</v>
      </c>
      <c r="J15" s="279">
        <f>I15/H6</f>
        <v>14.273819436184134</v>
      </c>
      <c r="K15" s="221">
        <f>IF(C15=TRUE,F15,0)</f>
        <v>0</v>
      </c>
      <c r="L15" s="199">
        <f>IF(C15=TRUE,G15,0)</f>
        <v>0</v>
      </c>
      <c r="N15" s="192" t="b">
        <v>1</v>
      </c>
      <c r="O15" s="405" t="s">
        <v>68</v>
      </c>
      <c r="P15" s="405"/>
      <c r="Q15" s="204">
        <f>U15/H6</f>
        <v>0.61448745093374568</v>
      </c>
      <c r="R15" s="197">
        <v>1</v>
      </c>
      <c r="T15" s="201">
        <v>12914.99</v>
      </c>
      <c r="U15" s="201">
        <f t="shared" si="0"/>
        <v>51.659959999999998</v>
      </c>
      <c r="V15" s="200">
        <f t="shared" si="1"/>
        <v>0.61448745093374568</v>
      </c>
      <c r="W15" s="199">
        <f t="shared" si="2"/>
        <v>1</v>
      </c>
      <c r="Y15" s="245" t="s">
        <v>222</v>
      </c>
      <c r="Z15" s="248" t="s">
        <v>3</v>
      </c>
      <c r="AA15" s="275"/>
      <c r="AB15" s="275"/>
      <c r="AC15" s="275"/>
      <c r="AD15" s="275"/>
      <c r="AE15" s="275"/>
      <c r="AF15" s="275"/>
      <c r="AG15" s="275"/>
    </row>
    <row r="16" spans="3:33" x14ac:dyDescent="0.35">
      <c r="C16" s="260" t="b">
        <v>0</v>
      </c>
      <c r="D16" s="404" t="s">
        <v>387</v>
      </c>
      <c r="E16" s="414"/>
      <c r="F16" s="206">
        <v>17.8</v>
      </c>
      <c r="G16" s="261">
        <v>2</v>
      </c>
      <c r="I16" s="202">
        <v>1500</v>
      </c>
      <c r="J16" s="279">
        <f>I16/H6</f>
        <v>17.842274295230165</v>
      </c>
      <c r="K16" s="221">
        <f>IF(C16=TRUE,F16,0)</f>
        <v>0</v>
      </c>
      <c r="L16" s="199">
        <f>IF(C16=TRUE,G16,0)</f>
        <v>0</v>
      </c>
      <c r="N16" s="192" t="b">
        <v>1</v>
      </c>
      <c r="O16" s="405" t="s">
        <v>124</v>
      </c>
      <c r="P16" s="405"/>
      <c r="Q16" s="204">
        <f>U16/H6</f>
        <v>0.2378969906030689</v>
      </c>
      <c r="R16" s="197">
        <v>2</v>
      </c>
      <c r="T16" s="201">
        <v>5000</v>
      </c>
      <c r="U16" s="201">
        <f t="shared" si="0"/>
        <v>20</v>
      </c>
      <c r="V16" s="200">
        <f t="shared" si="1"/>
        <v>0.2378969906030689</v>
      </c>
      <c r="W16" s="199">
        <f t="shared" si="2"/>
        <v>2</v>
      </c>
      <c r="Y16" s="273" t="s">
        <v>227</v>
      </c>
      <c r="Z16" s="248" t="s">
        <v>3</v>
      </c>
      <c r="AA16" s="275">
        <v>175</v>
      </c>
      <c r="AB16" s="275">
        <v>53.5</v>
      </c>
      <c r="AC16" s="275">
        <v>91.2</v>
      </c>
      <c r="AD16" s="275">
        <v>30</v>
      </c>
      <c r="AE16" s="275" t="s">
        <v>388</v>
      </c>
      <c r="AF16" s="275">
        <v>2.2999999999999998</v>
      </c>
      <c r="AG16" s="275" t="s">
        <v>389</v>
      </c>
    </row>
    <row r="17" spans="2:33" x14ac:dyDescent="0.35">
      <c r="C17" s="260" t="b">
        <v>0</v>
      </c>
      <c r="D17" s="404" t="s">
        <v>390</v>
      </c>
      <c r="E17" s="414"/>
      <c r="F17" s="206">
        <v>22.6</v>
      </c>
      <c r="G17" s="261">
        <v>3</v>
      </c>
      <c r="I17" s="202">
        <v>1900</v>
      </c>
      <c r="J17" s="279">
        <f>I17/H6</f>
        <v>22.600214107291546</v>
      </c>
      <c r="K17" s="221">
        <f>IF(C17=TRUE,F17,0)</f>
        <v>0</v>
      </c>
      <c r="L17" s="199">
        <f>IF(C17=TRUE,G17,0)</f>
        <v>0</v>
      </c>
      <c r="N17" s="192" t="b">
        <v>1</v>
      </c>
      <c r="O17" t="s">
        <v>126</v>
      </c>
      <c r="Q17" s="204">
        <f>U17/H6</f>
        <v>0.77112739383846807</v>
      </c>
      <c r="R17" s="197">
        <v>3</v>
      </c>
      <c r="T17" s="201">
        <v>16207.17</v>
      </c>
      <c r="U17" s="201">
        <f t="shared" si="0"/>
        <v>64.828680000000006</v>
      </c>
      <c r="V17" s="200">
        <f t="shared" si="1"/>
        <v>0.77112739383846807</v>
      </c>
      <c r="W17" s="199">
        <f t="shared" si="2"/>
        <v>3</v>
      </c>
      <c r="Y17" s="245" t="s">
        <v>231</v>
      </c>
      <c r="Z17" s="249" t="s">
        <v>3</v>
      </c>
      <c r="AA17" s="275"/>
      <c r="AB17" s="275"/>
      <c r="AC17" s="275"/>
      <c r="AD17" s="275"/>
      <c r="AE17" s="275"/>
      <c r="AF17" s="275"/>
      <c r="AG17" s="275"/>
    </row>
    <row r="18" spans="2:33" x14ac:dyDescent="0.35">
      <c r="C18" s="258"/>
      <c r="G18" s="259"/>
      <c r="K18" s="200"/>
      <c r="L18" s="199"/>
      <c r="N18" s="192" t="b">
        <v>1</v>
      </c>
      <c r="O18" t="s">
        <v>76</v>
      </c>
      <c r="Q18" s="204">
        <f>U18/H6</f>
        <v>13.092307838705844</v>
      </c>
      <c r="R18" s="197">
        <v>3</v>
      </c>
      <c r="T18" s="201">
        <v>275167.58</v>
      </c>
      <c r="U18" s="201">
        <f t="shared" si="0"/>
        <v>1100.6703200000002</v>
      </c>
      <c r="V18" s="200">
        <f t="shared" si="1"/>
        <v>13.092307838705844</v>
      </c>
      <c r="W18" s="199">
        <f t="shared" si="2"/>
        <v>3</v>
      </c>
      <c r="Y18" s="245" t="s">
        <v>234</v>
      </c>
      <c r="Z18" s="249" t="s">
        <v>3</v>
      </c>
      <c r="AA18" s="275"/>
      <c r="AB18" s="275"/>
      <c r="AC18" s="275"/>
      <c r="AD18" s="275"/>
      <c r="AE18" s="275"/>
      <c r="AF18" s="275"/>
      <c r="AG18" s="275"/>
    </row>
    <row r="19" spans="2:33" x14ac:dyDescent="0.35">
      <c r="C19" s="258"/>
      <c r="D19" s="59" t="s">
        <v>391</v>
      </c>
      <c r="F19" s="277">
        <f>SUM(K15:K17)</f>
        <v>0</v>
      </c>
      <c r="G19" s="278"/>
      <c r="H19" s="32"/>
      <c r="I19"/>
      <c r="J19"/>
      <c r="K19" s="200"/>
      <c r="L19" s="199"/>
      <c r="N19" s="192" t="b">
        <v>1</v>
      </c>
      <c r="O19" t="s">
        <v>128</v>
      </c>
      <c r="Q19" s="204">
        <f>U19/H6</f>
        <v>4.6653212798858092</v>
      </c>
      <c r="R19" s="197">
        <v>2</v>
      </c>
      <c r="T19" s="201">
        <v>98053.39</v>
      </c>
      <c r="U19" s="201">
        <f t="shared" si="0"/>
        <v>392.21355999999997</v>
      </c>
      <c r="V19" s="200">
        <f t="shared" si="1"/>
        <v>4.6653212798858092</v>
      </c>
      <c r="W19" s="199">
        <f t="shared" si="2"/>
        <v>2</v>
      </c>
      <c r="Y19" s="245" t="s">
        <v>236</v>
      </c>
      <c r="Z19" s="249" t="s">
        <v>3</v>
      </c>
      <c r="AA19" s="275"/>
      <c r="AB19" s="275"/>
      <c r="AC19" s="275"/>
      <c r="AD19" s="275"/>
      <c r="AE19" s="275"/>
      <c r="AF19" s="275"/>
      <c r="AG19" s="275"/>
    </row>
    <row r="20" spans="2:33" x14ac:dyDescent="0.35">
      <c r="C20" s="258"/>
      <c r="D20" s="406" t="s">
        <v>392</v>
      </c>
      <c r="E20" s="406"/>
      <c r="F20" s="263" t="str">
        <f>IF(F19=0,"-",IF(F19=14.3,"GUARITA 1",IF(F19=17.8,"GUARITA 2",IF(F19=22.6,"GUARITA 3"))))</f>
        <v>-</v>
      </c>
      <c r="G20" s="259"/>
      <c r="H20" s="32"/>
      <c r="I20"/>
      <c r="J20"/>
      <c r="K20" s="200"/>
      <c r="L20" s="199"/>
      <c r="N20" s="192" t="b">
        <v>1</v>
      </c>
      <c r="O20" t="s">
        <v>130</v>
      </c>
      <c r="Q20" s="204">
        <f>U20/H6</f>
        <v>5.9982700130843352</v>
      </c>
      <c r="R20" s="197">
        <v>1</v>
      </c>
      <c r="T20" s="201">
        <v>126068.64</v>
      </c>
      <c r="U20" s="201">
        <f t="shared" si="0"/>
        <v>504.27456000000001</v>
      </c>
      <c r="V20" s="200">
        <f t="shared" si="1"/>
        <v>5.9982700130843352</v>
      </c>
      <c r="W20" s="199">
        <f t="shared" si="2"/>
        <v>1</v>
      </c>
      <c r="Y20" s="245" t="s">
        <v>239</v>
      </c>
      <c r="Z20" s="250" t="s">
        <v>4</v>
      </c>
      <c r="AA20" s="275"/>
      <c r="AB20" s="275"/>
      <c r="AC20" s="275"/>
      <c r="AD20" s="275"/>
      <c r="AE20" s="275"/>
      <c r="AF20" s="275"/>
      <c r="AG20" s="275"/>
    </row>
    <row r="21" spans="2:33" x14ac:dyDescent="0.35">
      <c r="C21" s="258"/>
      <c r="G21" s="264"/>
      <c r="K21" s="200"/>
      <c r="L21" s="199"/>
      <c r="N21" s="192" t="b">
        <v>1</v>
      </c>
      <c r="O21" t="s">
        <v>393</v>
      </c>
      <c r="Q21" s="204">
        <f>U21/H6</f>
        <v>2.7076902581182347</v>
      </c>
      <c r="R21" s="197">
        <v>2</v>
      </c>
      <c r="T21" s="201">
        <v>56908.88</v>
      </c>
      <c r="U21" s="201">
        <f t="shared" si="0"/>
        <v>227.63551999999999</v>
      </c>
      <c r="V21" s="200">
        <f t="shared" si="1"/>
        <v>2.7076902581182347</v>
      </c>
      <c r="W21" s="199">
        <f t="shared" si="2"/>
        <v>2</v>
      </c>
      <c r="Y21" s="245" t="s">
        <v>244</v>
      </c>
      <c r="Z21" s="250" t="s">
        <v>4</v>
      </c>
      <c r="AA21" s="275"/>
      <c r="AB21" s="275"/>
      <c r="AC21" s="275"/>
      <c r="AD21" s="275"/>
      <c r="AE21" s="275"/>
      <c r="AF21" s="275"/>
      <c r="AG21" s="275"/>
    </row>
    <row r="22" spans="2:33" x14ac:dyDescent="0.35">
      <c r="C22" s="258"/>
      <c r="D22" s="410" t="s">
        <v>394</v>
      </c>
      <c r="E22" s="410"/>
      <c r="F22" s="410"/>
      <c r="G22" s="264"/>
      <c r="K22" s="200"/>
      <c r="L22" s="199"/>
      <c r="N22" s="192" t="b">
        <v>1</v>
      </c>
      <c r="O22" t="s">
        <v>133</v>
      </c>
      <c r="Q22" s="204">
        <f>U22/H6</f>
        <v>4.0513438800999166</v>
      </c>
      <c r="R22" s="197">
        <v>3</v>
      </c>
      <c r="T22" s="201">
        <v>85149.119999999995</v>
      </c>
      <c r="U22" s="201">
        <f t="shared" si="0"/>
        <v>340.59647999999999</v>
      </c>
      <c r="V22" s="200">
        <f t="shared" si="1"/>
        <v>4.0513438800999166</v>
      </c>
      <c r="W22" s="199">
        <f t="shared" si="2"/>
        <v>3</v>
      </c>
      <c r="Y22" s="274" t="s">
        <v>246</v>
      </c>
      <c r="Z22" s="250" t="s">
        <v>4</v>
      </c>
      <c r="AA22" s="275">
        <v>177</v>
      </c>
      <c r="AB22" s="275">
        <v>25.1</v>
      </c>
      <c r="AC22" s="275">
        <v>114.2</v>
      </c>
      <c r="AD22" s="275">
        <v>38</v>
      </c>
      <c r="AE22" s="275" t="s">
        <v>388</v>
      </c>
      <c r="AF22" s="275">
        <v>2.6</v>
      </c>
      <c r="AG22" s="275" t="s">
        <v>389</v>
      </c>
    </row>
    <row r="23" spans="2:33" x14ac:dyDescent="0.35">
      <c r="B23" s="233">
        <v>0</v>
      </c>
      <c r="C23" s="233">
        <v>14.3</v>
      </c>
      <c r="D23" s="233">
        <f>C23+0.1</f>
        <v>14.4</v>
      </c>
      <c r="E23" s="233">
        <v>17.8</v>
      </c>
      <c r="F23" s="233">
        <f>E23+0.1</f>
        <v>17.900000000000002</v>
      </c>
      <c r="G23" s="265">
        <v>22.6</v>
      </c>
      <c r="K23" s="200"/>
      <c r="L23" s="199"/>
      <c r="N23" s="192" t="b">
        <v>1</v>
      </c>
      <c r="O23" t="s">
        <v>77</v>
      </c>
      <c r="Q23" s="204">
        <f>U23/H6</f>
        <v>2.9573602949922688</v>
      </c>
      <c r="R23" s="197">
        <v>2</v>
      </c>
      <c r="T23" s="201">
        <v>62156.32</v>
      </c>
      <c r="U23" s="201">
        <f t="shared" si="0"/>
        <v>248.62528</v>
      </c>
      <c r="V23" s="200">
        <f t="shared" si="1"/>
        <v>2.9573602949922688</v>
      </c>
      <c r="W23" s="199">
        <f t="shared" si="2"/>
        <v>2</v>
      </c>
    </row>
    <row r="24" spans="2:33" x14ac:dyDescent="0.35">
      <c r="B24" s="417" t="s">
        <v>395</v>
      </c>
      <c r="C24" s="417"/>
      <c r="D24" s="411" t="s">
        <v>396</v>
      </c>
      <c r="E24" s="411"/>
      <c r="F24" s="418" t="s">
        <v>397</v>
      </c>
      <c r="G24" s="419"/>
      <c r="H24" s="32"/>
      <c r="K24" s="200"/>
      <c r="L24" s="199"/>
      <c r="N24" s="192" t="b">
        <v>1</v>
      </c>
      <c r="O24" t="s">
        <v>138</v>
      </c>
      <c r="Q24" s="204">
        <f>U24/H6</f>
        <v>5.8597311764006186</v>
      </c>
      <c r="R24" s="197">
        <v>1</v>
      </c>
      <c r="T24" s="201">
        <v>123156.9</v>
      </c>
      <c r="U24" s="201">
        <f t="shared" si="0"/>
        <v>492.62759999999997</v>
      </c>
      <c r="V24" s="200">
        <f t="shared" si="1"/>
        <v>5.8597311764006186</v>
      </c>
      <c r="W24" s="199">
        <f t="shared" si="2"/>
        <v>1</v>
      </c>
    </row>
    <row r="25" spans="2:33" x14ac:dyDescent="0.35">
      <c r="B25" s="32"/>
      <c r="C25" s="266"/>
      <c r="D25" s="32"/>
      <c r="E25" s="32"/>
      <c r="G25" s="259"/>
      <c r="I25" s="203"/>
      <c r="J25" s="203"/>
      <c r="K25" s="200"/>
      <c r="L25" s="199"/>
      <c r="N25" s="192" t="b">
        <v>1</v>
      </c>
      <c r="O25" t="s">
        <v>139</v>
      </c>
      <c r="Q25" s="204">
        <f>U25/H6</f>
        <v>3.7936571904365417</v>
      </c>
      <c r="R25" s="197">
        <v>2</v>
      </c>
      <c r="T25" s="201">
        <v>79733.19</v>
      </c>
      <c r="U25" s="201">
        <f t="shared" si="0"/>
        <v>318.93276000000003</v>
      </c>
      <c r="V25" s="200">
        <f t="shared" si="1"/>
        <v>3.7936571904365417</v>
      </c>
      <c r="W25" s="199">
        <f t="shared" si="2"/>
        <v>2</v>
      </c>
    </row>
    <row r="26" spans="2:33" x14ac:dyDescent="0.35">
      <c r="B26" s="32"/>
      <c r="C26" s="258"/>
      <c r="D26" s="59" t="s">
        <v>398</v>
      </c>
      <c r="F26" s="32">
        <f>SUM(L15:L17)</f>
        <v>0</v>
      </c>
      <c r="G26" s="259"/>
      <c r="I26" s="203"/>
      <c r="J26" s="203"/>
      <c r="K26" s="200"/>
      <c r="L26" s="199"/>
      <c r="N26" s="192" t="b">
        <v>1</v>
      </c>
      <c r="O26" t="s">
        <v>140</v>
      </c>
      <c r="Q26" s="204">
        <f>U26/H6</f>
        <v>5.8597311764006186</v>
      </c>
      <c r="R26" s="197">
        <v>3</v>
      </c>
      <c r="T26" s="201">
        <f>208306.02-T22</f>
        <v>123156.9</v>
      </c>
      <c r="U26" s="201">
        <f t="shared" si="0"/>
        <v>492.62759999999997</v>
      </c>
      <c r="V26" s="200">
        <f t="shared" si="1"/>
        <v>5.8597311764006186</v>
      </c>
      <c r="W26" s="199">
        <f t="shared" si="2"/>
        <v>3</v>
      </c>
    </row>
    <row r="27" spans="2:33" x14ac:dyDescent="0.35">
      <c r="B27" s="32"/>
      <c r="C27" s="258"/>
      <c r="D27" s="406" t="s">
        <v>399</v>
      </c>
      <c r="E27" s="406"/>
      <c r="F27" s="232" t="str">
        <f>IF(F26=0,"-",IF(F26=1,"VLC1",IF(F26=2,"VLC2",IF(F26=3,"VLC3"))))</f>
        <v>-</v>
      </c>
      <c r="G27" s="259"/>
      <c r="I27" s="203"/>
      <c r="J27" s="203"/>
      <c r="K27" s="200"/>
      <c r="L27" s="199"/>
      <c r="N27" s="192" t="b">
        <v>1</v>
      </c>
      <c r="O27" s="405" t="s">
        <v>143</v>
      </c>
      <c r="P27" s="405"/>
      <c r="Q27" s="204">
        <f>U27/H6</f>
        <v>3.9041327465207569</v>
      </c>
      <c r="R27" s="197">
        <v>2</v>
      </c>
      <c r="T27" s="201">
        <v>82055.11</v>
      </c>
      <c r="U27" s="201">
        <f t="shared" si="0"/>
        <v>328.22044</v>
      </c>
      <c r="V27" s="200">
        <f t="shared" si="1"/>
        <v>3.9041327465207569</v>
      </c>
      <c r="W27" s="199">
        <f t="shared" si="2"/>
        <v>2</v>
      </c>
    </row>
    <row r="28" spans="2:33" x14ac:dyDescent="0.35">
      <c r="B28" s="32"/>
      <c r="C28" s="258"/>
      <c r="F28"/>
      <c r="G28" s="264"/>
      <c r="I28" s="203"/>
      <c r="J28" s="203"/>
      <c r="K28" s="200"/>
      <c r="L28" s="199"/>
      <c r="R28"/>
      <c r="T28" s="201"/>
      <c r="U28" s="201"/>
      <c r="V28" s="200"/>
      <c r="W28" s="199"/>
    </row>
    <row r="29" spans="2:33" x14ac:dyDescent="0.35">
      <c r="B29" s="32"/>
      <c r="C29" s="258"/>
      <c r="D29" s="410" t="s">
        <v>400</v>
      </c>
      <c r="E29" s="410"/>
      <c r="F29" s="410"/>
      <c r="G29" s="264"/>
      <c r="I29" s="203"/>
      <c r="J29" s="203"/>
      <c r="K29" s="200"/>
      <c r="L29" s="199"/>
      <c r="R29"/>
      <c r="T29" s="201"/>
      <c r="U29" s="201"/>
      <c r="V29" s="200"/>
      <c r="W29" s="199"/>
    </row>
    <row r="30" spans="2:33" x14ac:dyDescent="0.35">
      <c r="B30" s="32"/>
      <c r="C30" s="258"/>
      <c r="D30" s="233">
        <v>1</v>
      </c>
      <c r="E30" s="233">
        <v>2</v>
      </c>
      <c r="F30" s="233">
        <v>3</v>
      </c>
      <c r="G30" s="265"/>
      <c r="I30" s="203"/>
      <c r="J30" s="203"/>
      <c r="K30" s="200"/>
      <c r="L30" s="199"/>
      <c r="O30" s="406" t="s">
        <v>391</v>
      </c>
      <c r="P30" s="406"/>
      <c r="Q30" s="218">
        <f>SUM(V10:V27)</f>
        <v>57.149272273105751</v>
      </c>
      <c r="R30"/>
      <c r="T30" s="201"/>
      <c r="U30" s="201"/>
      <c r="V30" s="200"/>
      <c r="W30" s="199"/>
    </row>
    <row r="31" spans="2:33" x14ac:dyDescent="0.35">
      <c r="B31" s="32"/>
      <c r="C31" s="258"/>
      <c r="D31" s="229" t="s">
        <v>401</v>
      </c>
      <c r="E31" s="230" t="s">
        <v>402</v>
      </c>
      <c r="F31" s="267" t="s">
        <v>403</v>
      </c>
      <c r="G31" s="259"/>
      <c r="I31" s="203"/>
      <c r="J31" s="203"/>
      <c r="K31" s="200"/>
      <c r="L31" s="199"/>
      <c r="O31" s="406" t="s">
        <v>392</v>
      </c>
      <c r="P31" s="406"/>
      <c r="Q31" s="234" t="str">
        <f>IF(Q30&lt;=N34,"LZ 1",IF(Q30&lt;=P34,"LZ 2",IF(Q30&lt;=R34,"LZ 3",IF(Q30&gt;=S34,"LZ 4"))))</f>
        <v>LZ 4</v>
      </c>
      <c r="R31"/>
      <c r="T31" s="201"/>
      <c r="U31" s="201"/>
      <c r="V31" s="200"/>
      <c r="W31" s="199"/>
    </row>
    <row r="32" spans="2:33" x14ac:dyDescent="0.35">
      <c r="B32" s="32"/>
      <c r="C32" s="266"/>
      <c r="D32" s="32"/>
      <c r="E32" s="32"/>
      <c r="G32" s="259"/>
      <c r="I32" s="203"/>
      <c r="J32" s="203"/>
      <c r="K32" s="200"/>
      <c r="L32" s="199"/>
      <c r="R32"/>
      <c r="T32" s="201"/>
      <c r="U32" s="201"/>
      <c r="V32" s="200"/>
      <c r="W32" s="199"/>
    </row>
    <row r="33" spans="2:23" x14ac:dyDescent="0.35">
      <c r="B33" s="32"/>
      <c r="C33" s="266"/>
      <c r="D33" s="32"/>
      <c r="E33" s="32"/>
      <c r="G33" s="259"/>
      <c r="I33" s="203"/>
      <c r="J33" s="203"/>
      <c r="K33" s="200"/>
      <c r="L33" s="199"/>
      <c r="N33" s="372" t="s">
        <v>404</v>
      </c>
      <c r="O33" s="372"/>
      <c r="P33" s="372"/>
      <c r="Q33" s="372"/>
      <c r="R33" s="372"/>
      <c r="S33" s="372"/>
      <c r="T33" s="201"/>
      <c r="U33" s="201"/>
      <c r="V33" s="200"/>
      <c r="W33" s="199"/>
    </row>
    <row r="34" spans="2:23" ht="15" thickBot="1" x14ac:dyDescent="0.4">
      <c r="B34" s="32"/>
      <c r="C34" s="268"/>
      <c r="D34" s="269"/>
      <c r="E34" s="269"/>
      <c r="F34" s="269"/>
      <c r="G34" s="270"/>
      <c r="I34" s="203"/>
      <c r="J34" s="203"/>
      <c r="K34" s="200"/>
      <c r="L34" s="199"/>
      <c r="N34" s="233">
        <f>V38</f>
        <v>10.7053645771381</v>
      </c>
      <c r="O34" s="233">
        <f>N34+0.1</f>
        <v>10.8053645771381</v>
      </c>
      <c r="P34" s="233">
        <f>V39</f>
        <v>21.410729154276201</v>
      </c>
      <c r="Q34" s="233">
        <f>P34+0.1</f>
        <v>21.510729154276202</v>
      </c>
      <c r="R34" s="233">
        <f>V40</f>
        <v>28.547638872368267</v>
      </c>
      <c r="S34" s="233">
        <f>R34+0.1</f>
        <v>28.647638872368269</v>
      </c>
      <c r="T34"/>
      <c r="U34"/>
    </row>
    <row r="35" spans="2:23" x14ac:dyDescent="0.35">
      <c r="C35" s="403" t="s">
        <v>34</v>
      </c>
      <c r="D35" s="403"/>
      <c r="E35" s="403"/>
      <c r="F35" s="403"/>
      <c r="G35" s="403"/>
      <c r="K35" s="200"/>
      <c r="L35" s="199"/>
      <c r="N35" s="223" t="s">
        <v>405</v>
      </c>
      <c r="O35" s="411" t="s">
        <v>406</v>
      </c>
      <c r="P35" s="411"/>
      <c r="Q35" s="412" t="s">
        <v>407</v>
      </c>
      <c r="R35" s="412"/>
      <c r="S35" s="216" t="s">
        <v>408</v>
      </c>
    </row>
    <row r="36" spans="2:23" x14ac:dyDescent="0.35">
      <c r="K36" s="200"/>
      <c r="L36" s="199"/>
    </row>
    <row r="37" spans="2:23" x14ac:dyDescent="0.35">
      <c r="C37" s="413" t="s">
        <v>409</v>
      </c>
      <c r="D37" s="413"/>
      <c r="J37" s="282"/>
      <c r="K37" s="200"/>
      <c r="L37" s="199"/>
    </row>
    <row r="38" spans="2:23" x14ac:dyDescent="0.35">
      <c r="C38" s="192" t="b">
        <v>0</v>
      </c>
      <c r="D38" s="404" t="s">
        <v>155</v>
      </c>
      <c r="E38" s="414"/>
      <c r="F38" s="204">
        <f>J38</f>
        <v>6.3161651005114789</v>
      </c>
      <c r="G38" s="197">
        <v>1</v>
      </c>
      <c r="I38" s="202">
        <v>531</v>
      </c>
      <c r="J38" s="283">
        <f>I38/H$6</f>
        <v>6.3161651005114789</v>
      </c>
      <c r="K38" s="200">
        <f>IF(C38=TRUE,F38,0)</f>
        <v>0</v>
      </c>
      <c r="L38" s="199">
        <f>IF(C38=TRUE,G38,0)</f>
        <v>0</v>
      </c>
      <c r="O38" s="406" t="s">
        <v>398</v>
      </c>
      <c r="P38" s="406"/>
      <c r="Q38" s="218">
        <f>SUM(W10:W27)</f>
        <v>36</v>
      </c>
      <c r="T38" s="199" t="s">
        <v>2</v>
      </c>
      <c r="U38" s="202">
        <v>900</v>
      </c>
      <c r="V38" s="221">
        <f>U38/H6</f>
        <v>10.7053645771381</v>
      </c>
    </row>
    <row r="39" spans="2:23" x14ac:dyDescent="0.35">
      <c r="C39" s="192" t="b">
        <v>1</v>
      </c>
      <c r="D39" s="404" t="s">
        <v>410</v>
      </c>
      <c r="E39" s="414"/>
      <c r="F39" s="204">
        <f>J39</f>
        <v>28.892589508742716</v>
      </c>
      <c r="G39" s="197">
        <v>3</v>
      </c>
      <c r="I39" s="202">
        <v>2429</v>
      </c>
      <c r="J39" s="283">
        <f>I39/H$6</f>
        <v>28.892589508742716</v>
      </c>
      <c r="K39" s="221">
        <f>IF(C39=TRUE,F39,0)</f>
        <v>28.892589508742716</v>
      </c>
      <c r="L39" s="199">
        <f>IF(C39=TRUE,G39,0)</f>
        <v>3</v>
      </c>
      <c r="O39" s="406" t="s">
        <v>411</v>
      </c>
      <c r="P39" s="406"/>
      <c r="Q39" s="1">
        <f>COUNTIF(N10:N27,TRUE)</f>
        <v>18</v>
      </c>
      <c r="T39" s="199" t="s">
        <v>3</v>
      </c>
      <c r="U39" s="202">
        <v>1800</v>
      </c>
      <c r="V39" s="221">
        <f>U39/H6</f>
        <v>21.410729154276201</v>
      </c>
    </row>
    <row r="40" spans="2:23" x14ac:dyDescent="0.35">
      <c r="D40" s="193"/>
      <c r="E40" s="193"/>
      <c r="F40" s="205"/>
      <c r="J40" s="283"/>
      <c r="K40" s="200"/>
      <c r="L40" s="199"/>
      <c r="O40" s="406" t="s">
        <v>412</v>
      </c>
      <c r="P40" s="406"/>
      <c r="Q40" s="217">
        <f>Q38/Q39</f>
        <v>2</v>
      </c>
      <c r="T40" s="199" t="s">
        <v>4</v>
      </c>
      <c r="U40" s="202">
        <v>2400</v>
      </c>
      <c r="V40" s="221">
        <f>U40/H6</f>
        <v>28.547638872368267</v>
      </c>
    </row>
    <row r="41" spans="2:23" x14ac:dyDescent="0.35">
      <c r="C41" s="413" t="s">
        <v>299</v>
      </c>
      <c r="D41" s="413"/>
      <c r="E41" s="193"/>
      <c r="F41" s="205"/>
      <c r="J41" s="283"/>
      <c r="K41" s="200"/>
      <c r="L41" s="199"/>
      <c r="O41" s="406" t="s">
        <v>399</v>
      </c>
      <c r="P41" s="406"/>
      <c r="Q41" s="234" t="str">
        <f>IF(Q40&lt;=1,"VLC 1",IF(Q40&lt;=2,"VLC 2",IF(Q40&lt;=3,"VLC 3")))</f>
        <v>VLC 2</v>
      </c>
    </row>
    <row r="42" spans="2:23" x14ac:dyDescent="0.35">
      <c r="C42" s="192" t="b">
        <v>0</v>
      </c>
      <c r="D42" s="404" t="s">
        <v>155</v>
      </c>
      <c r="E42" s="404"/>
      <c r="F42" s="204">
        <f>J42</f>
        <v>0.8326394671107411</v>
      </c>
      <c r="G42" s="197">
        <v>1</v>
      </c>
      <c r="I42" s="202">
        <v>70</v>
      </c>
      <c r="J42" s="283">
        <f>I42/H$6</f>
        <v>0.8326394671107411</v>
      </c>
      <c r="K42" s="200">
        <f>IF(C42=TRUE,F42,0)</f>
        <v>0</v>
      </c>
      <c r="L42" s="199">
        <f>IF(C42=TRUE,G42,0)</f>
        <v>0</v>
      </c>
    </row>
    <row r="43" spans="2:23" x14ac:dyDescent="0.35">
      <c r="C43" s="192" t="b">
        <v>1</v>
      </c>
      <c r="D43" s="404" t="s">
        <v>413</v>
      </c>
      <c r="E43" s="404"/>
      <c r="F43" s="204">
        <f>J43</f>
        <v>3.104555727370049</v>
      </c>
      <c r="G43" s="197">
        <v>3</v>
      </c>
      <c r="I43" s="202">
        <v>261</v>
      </c>
      <c r="J43" s="283">
        <f>I43/H$6</f>
        <v>3.104555727370049</v>
      </c>
      <c r="K43" s="221">
        <f>IF(C43=TRUE,F43,0)</f>
        <v>3.104555727370049</v>
      </c>
      <c r="L43" s="199">
        <f>IF(C43=TRUE,G43,0)</f>
        <v>3</v>
      </c>
      <c r="M43" s="226"/>
      <c r="O43" s="224" t="s">
        <v>414</v>
      </c>
      <c r="P43" s="224"/>
      <c r="Q43" s="224"/>
    </row>
    <row r="44" spans="2:23" x14ac:dyDescent="0.35">
      <c r="J44" s="283"/>
      <c r="K44" s="200"/>
      <c r="L44" s="199"/>
      <c r="O44" s="233" t="s">
        <v>415</v>
      </c>
      <c r="P44" s="233" t="s">
        <v>416</v>
      </c>
      <c r="Q44" s="233" t="s">
        <v>417</v>
      </c>
    </row>
    <row r="45" spans="2:23" x14ac:dyDescent="0.35">
      <c r="C45" s="413" t="s">
        <v>418</v>
      </c>
      <c r="D45" s="413"/>
      <c r="J45" s="283"/>
      <c r="K45" s="200"/>
      <c r="L45" s="199"/>
      <c r="O45" s="229" t="s">
        <v>419</v>
      </c>
      <c r="P45" s="230" t="s">
        <v>402</v>
      </c>
      <c r="Q45" s="195" t="s">
        <v>403</v>
      </c>
      <c r="R45"/>
      <c r="S45" s="199"/>
    </row>
    <row r="46" spans="2:23" x14ac:dyDescent="0.35">
      <c r="C46" s="192" t="b">
        <v>0</v>
      </c>
      <c r="D46" s="404" t="s">
        <v>359</v>
      </c>
      <c r="E46" s="404"/>
      <c r="F46" s="204">
        <f>J46</f>
        <v>7.2082788152729877</v>
      </c>
      <c r="G46" s="197">
        <v>2</v>
      </c>
      <c r="I46" s="202">
        <v>606</v>
      </c>
      <c r="J46" s="283">
        <f>I46/H$6</f>
        <v>7.2082788152729877</v>
      </c>
      <c r="K46" s="200">
        <f>IF(C46=TRUE,F46,0)</f>
        <v>0</v>
      </c>
      <c r="L46" s="199">
        <f>IF(C46=TRUE,G46,0)</f>
        <v>0</v>
      </c>
      <c r="V46" s="200"/>
      <c r="W46" s="199"/>
    </row>
    <row r="47" spans="2:23" x14ac:dyDescent="0.35">
      <c r="C47" s="192" t="b">
        <v>1</v>
      </c>
      <c r="D47" s="404" t="s">
        <v>360</v>
      </c>
      <c r="E47" s="404"/>
      <c r="F47" s="204">
        <f>J47</f>
        <v>10.800523373379328</v>
      </c>
      <c r="G47" s="197">
        <v>3</v>
      </c>
      <c r="I47" s="202">
        <v>908</v>
      </c>
      <c r="J47" s="283">
        <f>I47/H$6</f>
        <v>10.800523373379328</v>
      </c>
      <c r="K47" s="221">
        <f>IF(C47=TRUE,F47,0)</f>
        <v>10.800523373379328</v>
      </c>
      <c r="L47" s="199">
        <f>IF(C47=TRUE,G47,0)</f>
        <v>3</v>
      </c>
      <c r="V47" s="200"/>
      <c r="W47" s="199"/>
    </row>
    <row r="48" spans="2:23" x14ac:dyDescent="0.35">
      <c r="J48" s="283"/>
      <c r="K48" s="200"/>
      <c r="L48" s="199"/>
      <c r="W48" s="215"/>
    </row>
    <row r="49" spans="3:23" x14ac:dyDescent="0.35">
      <c r="C49" s="45" t="s">
        <v>158</v>
      </c>
      <c r="J49" s="283"/>
      <c r="K49" s="200"/>
      <c r="L49" s="199"/>
      <c r="W49" s="215"/>
    </row>
    <row r="50" spans="3:23" x14ac:dyDescent="0.35">
      <c r="C50" s="192" t="b">
        <v>0</v>
      </c>
      <c r="D50" s="404" t="s">
        <v>420</v>
      </c>
      <c r="E50" s="404"/>
      <c r="F50" s="204">
        <f>J50</f>
        <v>5.9550374687760206</v>
      </c>
      <c r="G50" s="197">
        <v>1</v>
      </c>
      <c r="I50" s="202">
        <v>500.64</v>
      </c>
      <c r="J50" s="283">
        <f>I50/H$6</f>
        <v>5.9550374687760206</v>
      </c>
      <c r="K50" s="200">
        <f>IF(C50=TRUE,F50,0)</f>
        <v>0</v>
      </c>
      <c r="L50" s="199">
        <f>IF(C50=TRUE,G50,0)</f>
        <v>0</v>
      </c>
      <c r="W50" s="215"/>
    </row>
    <row r="51" spans="3:23" x14ac:dyDescent="0.35">
      <c r="C51" s="192" t="b">
        <v>1</v>
      </c>
      <c r="D51" s="404" t="s">
        <v>421</v>
      </c>
      <c r="E51" s="404"/>
      <c r="F51" s="204">
        <f>J51</f>
        <v>11.13012965385988</v>
      </c>
      <c r="G51" s="197">
        <v>2</v>
      </c>
      <c r="I51" s="202">
        <v>935.71</v>
      </c>
      <c r="J51" s="283">
        <f>I51/H$6</f>
        <v>11.13012965385988</v>
      </c>
      <c r="K51" s="221">
        <f>IF(C51=TRUE,F51,0)</f>
        <v>11.13012965385988</v>
      </c>
      <c r="L51" s="199">
        <f>IF(C51=TRUE,G51,0)</f>
        <v>2</v>
      </c>
      <c r="V51" s="200"/>
      <c r="W51" s="199"/>
    </row>
    <row r="52" spans="3:23" x14ac:dyDescent="0.35">
      <c r="J52" s="283"/>
      <c r="K52" s="200"/>
      <c r="L52" s="199"/>
      <c r="V52" s="200"/>
      <c r="W52" s="199"/>
    </row>
    <row r="53" spans="3:23" x14ac:dyDescent="0.35">
      <c r="C53" s="45" t="s">
        <v>197</v>
      </c>
      <c r="J53" s="283"/>
      <c r="K53" s="200"/>
      <c r="L53" s="199"/>
      <c r="V53" s="200"/>
      <c r="W53" s="199"/>
    </row>
    <row r="54" spans="3:23" x14ac:dyDescent="0.35">
      <c r="C54" s="192" t="b">
        <v>0</v>
      </c>
      <c r="D54" s="404" t="s">
        <v>167</v>
      </c>
      <c r="E54" s="404"/>
      <c r="F54" s="204">
        <f>J54</f>
        <v>4.4010943261567741</v>
      </c>
      <c r="G54" s="196">
        <v>1</v>
      </c>
      <c r="I54" s="202">
        <v>370</v>
      </c>
      <c r="J54" s="283">
        <f>I54/H$6</f>
        <v>4.4010943261567741</v>
      </c>
      <c r="K54" s="200">
        <f>IF(C54=TRUE,F54,0)</f>
        <v>0</v>
      </c>
      <c r="L54" s="199">
        <f>IF(C54=TRUE,G54,0)</f>
        <v>0</v>
      </c>
      <c r="V54" s="200"/>
      <c r="W54" s="199"/>
    </row>
    <row r="55" spans="3:23" x14ac:dyDescent="0.35">
      <c r="C55" s="192" t="b">
        <v>1</v>
      </c>
      <c r="D55" s="404" t="s">
        <v>168</v>
      </c>
      <c r="E55" s="404"/>
      <c r="F55" s="204">
        <f>J55</f>
        <v>11.062210063042704</v>
      </c>
      <c r="G55" s="196">
        <v>1</v>
      </c>
      <c r="I55" s="202">
        <v>930</v>
      </c>
      <c r="J55" s="283">
        <f>I55/H$6</f>
        <v>11.062210063042704</v>
      </c>
      <c r="K55" s="221">
        <f>IF(C55=TRUE,F55,0)</f>
        <v>11.062210063042704</v>
      </c>
      <c r="L55" s="199">
        <f>IF(C55=TRUE,G55,0)</f>
        <v>1</v>
      </c>
      <c r="V55" s="200"/>
      <c r="W55" s="199"/>
    </row>
    <row r="56" spans="3:23" x14ac:dyDescent="0.35">
      <c r="J56" s="283"/>
      <c r="K56" s="200"/>
      <c r="L56" s="199"/>
      <c r="V56" s="200"/>
      <c r="W56" s="199"/>
    </row>
    <row r="57" spans="3:23" x14ac:dyDescent="0.35">
      <c r="C57" s="45" t="s">
        <v>53</v>
      </c>
      <c r="J57" s="283"/>
      <c r="K57" s="200"/>
      <c r="L57" s="199"/>
      <c r="V57" s="200"/>
      <c r="W57" s="199"/>
    </row>
    <row r="58" spans="3:23" x14ac:dyDescent="0.35">
      <c r="C58" s="192" t="b">
        <v>0</v>
      </c>
      <c r="D58" s="404" t="s">
        <v>170</v>
      </c>
      <c r="E58" s="404"/>
      <c r="F58" s="204">
        <f>J58</f>
        <v>1.0943261567741169</v>
      </c>
      <c r="G58" s="196">
        <v>2</v>
      </c>
      <c r="I58" s="202">
        <v>92</v>
      </c>
      <c r="J58" s="283">
        <f>I58/H$6</f>
        <v>1.0943261567741169</v>
      </c>
      <c r="K58" s="200">
        <f>IF(C58=TRUE,F58,0)</f>
        <v>0</v>
      </c>
      <c r="L58" s="199">
        <f>IF(C58=TRUE,G58,0)</f>
        <v>0</v>
      </c>
      <c r="V58" s="200"/>
      <c r="W58" s="199"/>
    </row>
    <row r="59" spans="3:23" x14ac:dyDescent="0.35">
      <c r="C59" s="192" t="b">
        <v>1</v>
      </c>
      <c r="D59" s="404" t="s">
        <v>171</v>
      </c>
      <c r="E59" s="404"/>
      <c r="F59" s="204">
        <f>J59</f>
        <v>2.9023432853574405</v>
      </c>
      <c r="G59" s="196">
        <v>2</v>
      </c>
      <c r="I59" s="202">
        <v>244</v>
      </c>
      <c r="J59" s="283">
        <f>I59/H$6</f>
        <v>2.9023432853574405</v>
      </c>
      <c r="K59" s="221">
        <f>IF(C59=TRUE,F59,0)</f>
        <v>2.9023432853574405</v>
      </c>
      <c r="L59" s="199">
        <f>IF(C59=TRUE,G59,0)</f>
        <v>2</v>
      </c>
      <c r="V59" s="200"/>
      <c r="W59" s="199"/>
    </row>
    <row r="60" spans="3:23" x14ac:dyDescent="0.35">
      <c r="J60" s="279"/>
      <c r="P60" s="373"/>
      <c r="Q60" s="373"/>
    </row>
    <row r="61" spans="3:23" x14ac:dyDescent="0.35">
      <c r="D61" s="406" t="s">
        <v>391</v>
      </c>
      <c r="E61" s="406"/>
      <c r="F61" s="218">
        <f>SUM(K38:K59)</f>
        <v>67.892351611752119</v>
      </c>
      <c r="P61" s="109"/>
      <c r="Q61" s="109"/>
    </row>
    <row r="62" spans="3:23" x14ac:dyDescent="0.35">
      <c r="D62" s="406" t="s">
        <v>422</v>
      </c>
      <c r="E62" s="406"/>
      <c r="F62" s="232" t="str">
        <f>IF(F61&lt;=C71,"ACAB 1",IF(F61&lt;=E71,"ACAB 2",IF(F61&gt;=F71,"ACAB 3")))</f>
        <v>ACAB 3</v>
      </c>
      <c r="J62" s="199"/>
      <c r="K62" s="182"/>
      <c r="Q62" s="109"/>
    </row>
    <row r="63" spans="3:23" x14ac:dyDescent="0.35">
      <c r="J63" s="199"/>
      <c r="K63" s="182"/>
    </row>
    <row r="64" spans="3:23" x14ac:dyDescent="0.35">
      <c r="C64" s="202"/>
      <c r="D64" s="415"/>
      <c r="E64" s="415"/>
      <c r="F64" s="219"/>
      <c r="G64" s="416"/>
      <c r="H64" s="416"/>
      <c r="J64" s="199"/>
    </row>
    <row r="65" spans="2:14" x14ac:dyDescent="0.35">
      <c r="C65" s="287" t="s">
        <v>2</v>
      </c>
      <c r="D65" s="290">
        <f>SUM(F38,F42,F46,F50,F54,F58)</f>
        <v>25.807541334602117</v>
      </c>
      <c r="E65" s="422">
        <v>40.049999999999997</v>
      </c>
      <c r="F65" s="286"/>
      <c r="G65" s="221"/>
      <c r="H65" s="215"/>
      <c r="J65" s="199"/>
    </row>
    <row r="66" spans="2:14" x14ac:dyDescent="0.35">
      <c r="C66" s="287" t="s">
        <v>3</v>
      </c>
      <c r="D66" s="290">
        <f>SUM(F39,F43,F47,F50,F54,F58)</f>
        <v>54.248126561199001</v>
      </c>
      <c r="E66" s="422"/>
      <c r="F66" s="423">
        <v>61.1</v>
      </c>
      <c r="G66" s="221"/>
      <c r="H66" s="222"/>
      <c r="I66" s="199"/>
      <c r="J66" s="199"/>
      <c r="K66" s="109"/>
      <c r="L66" s="109"/>
    </row>
    <row r="67" spans="2:14" x14ac:dyDescent="0.35">
      <c r="C67" s="287" t="s">
        <v>4</v>
      </c>
      <c r="D67" s="290">
        <f>SUM(F59,F55,F51,F47,F43,F39)</f>
        <v>67.892351611752119</v>
      </c>
      <c r="E67" s="285"/>
      <c r="F67" s="423"/>
      <c r="G67" s="221"/>
      <c r="H67" s="222"/>
      <c r="I67" s="199"/>
      <c r="J67" s="199"/>
      <c r="K67" s="109"/>
      <c r="L67" s="109"/>
    </row>
    <row r="68" spans="2:14" x14ac:dyDescent="0.35">
      <c r="C68" s="199"/>
      <c r="D68" s="220"/>
      <c r="E68" s="220"/>
      <c r="F68" s="221"/>
      <c r="G68" s="221"/>
      <c r="H68" s="222"/>
      <c r="I68" s="199"/>
      <c r="J68" s="199"/>
      <c r="K68" s="109"/>
      <c r="L68" s="109"/>
    </row>
    <row r="69" spans="2:14" x14ac:dyDescent="0.35">
      <c r="B69" s="225" t="s">
        <v>424</v>
      </c>
      <c r="C69" s="225"/>
      <c r="D69" s="225"/>
      <c r="E69" s="225"/>
      <c r="F69" s="225"/>
      <c r="G69" s="225"/>
      <c r="I69" s="199"/>
      <c r="J69" s="199"/>
      <c r="K69" s="109"/>
      <c r="L69" s="109"/>
    </row>
    <row r="70" spans="2:14" x14ac:dyDescent="0.35">
      <c r="B70" s="172"/>
      <c r="C70" s="172"/>
      <c r="D70" s="410" t="s">
        <v>394</v>
      </c>
      <c r="E70" s="410"/>
      <c r="F70" s="410"/>
      <c r="G70" s="172"/>
      <c r="I70" s="199"/>
      <c r="J70" s="199"/>
      <c r="K70" s="284"/>
      <c r="L70" s="109"/>
    </row>
    <row r="71" spans="2:14" x14ac:dyDescent="0.35">
      <c r="B71" s="233">
        <v>25.8</v>
      </c>
      <c r="C71" s="233">
        <v>40.5</v>
      </c>
      <c r="D71" s="233">
        <f>C71+0.1</f>
        <v>40.6</v>
      </c>
      <c r="E71" s="233">
        <v>61.1</v>
      </c>
      <c r="F71" s="233">
        <f>E71+0.1</f>
        <v>61.2</v>
      </c>
      <c r="G71" s="233">
        <v>67.900000000000006</v>
      </c>
      <c r="I71" s="40"/>
      <c r="J71" s="40"/>
      <c r="K71" s="199"/>
      <c r="L71" s="200"/>
      <c r="M71" s="1"/>
      <c r="N71" s="217"/>
    </row>
    <row r="72" spans="2:14" x14ac:dyDescent="0.35">
      <c r="B72" s="417" t="s">
        <v>425</v>
      </c>
      <c r="C72" s="417"/>
      <c r="D72" s="411" t="s">
        <v>426</v>
      </c>
      <c r="E72" s="411"/>
      <c r="F72" s="412" t="s">
        <v>427</v>
      </c>
      <c r="G72" s="412"/>
      <c r="H72" s="32"/>
      <c r="I72" s="199"/>
      <c r="J72" s="199"/>
      <c r="K72" s="199"/>
      <c r="L72" s="200"/>
    </row>
    <row r="75" spans="2:14" x14ac:dyDescent="0.35">
      <c r="D75" s="406" t="s">
        <v>398</v>
      </c>
      <c r="E75" s="406"/>
      <c r="F75" s="218">
        <f>SUM(L38:L59)</f>
        <v>14</v>
      </c>
    </row>
    <row r="76" spans="2:14" x14ac:dyDescent="0.35">
      <c r="D76" s="406" t="s">
        <v>412</v>
      </c>
      <c r="E76" s="406"/>
      <c r="F76" s="218">
        <f>F75/6</f>
        <v>2.3333333333333335</v>
      </c>
    </row>
    <row r="77" spans="2:14" x14ac:dyDescent="0.35">
      <c r="D77" s="406" t="s">
        <v>422</v>
      </c>
      <c r="E77" s="406"/>
      <c r="F77" s="232" t="str">
        <f>IF(F76&lt;=1,"VLC 1",IF(F76&lt;=2,"VLC 2",IF(F76&lt;=3,"VLC 3")))</f>
        <v>VLC 3</v>
      </c>
    </row>
    <row r="79" spans="2:14" x14ac:dyDescent="0.35">
      <c r="D79" s="410" t="s">
        <v>414</v>
      </c>
      <c r="E79" s="410"/>
      <c r="F79" s="410"/>
      <c r="G79" s="225"/>
      <c r="H79" s="225"/>
      <c r="I79" s="225"/>
      <c r="J79" s="225"/>
    </row>
    <row r="80" spans="2:14" x14ac:dyDescent="0.35">
      <c r="C80" s="233"/>
      <c r="D80" s="233" t="s">
        <v>415</v>
      </c>
      <c r="E80" s="233" t="s">
        <v>416</v>
      </c>
      <c r="F80" s="233" t="s">
        <v>417</v>
      </c>
      <c r="G80" s="225"/>
      <c r="H80" s="225"/>
      <c r="I80" s="225"/>
      <c r="J80" s="225"/>
    </row>
    <row r="81" spans="3:18" x14ac:dyDescent="0.35">
      <c r="D81" s="229" t="s">
        <v>419</v>
      </c>
      <c r="E81" s="230" t="s">
        <v>402</v>
      </c>
      <c r="F81" s="195" t="s">
        <v>403</v>
      </c>
    </row>
    <row r="82" spans="3:18" x14ac:dyDescent="0.35">
      <c r="D82" s="231"/>
      <c r="E82" s="231"/>
      <c r="F82" s="231"/>
    </row>
    <row r="85" spans="3:18" x14ac:dyDescent="0.35">
      <c r="C85" s="403" t="s">
        <v>323</v>
      </c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</row>
    <row r="87" spans="3:18" x14ac:dyDescent="0.35">
      <c r="C87" s="406" t="s">
        <v>428</v>
      </c>
      <c r="D87" s="406"/>
      <c r="E87" s="406"/>
      <c r="F87" s="235">
        <f>SUM(F19,F61,Q30)</f>
        <v>125.04162388485787</v>
      </c>
      <c r="G87" s="391"/>
      <c r="H87" s="391"/>
    </row>
    <row r="88" spans="3:18" x14ac:dyDescent="0.35">
      <c r="C88" s="208" t="s">
        <v>429</v>
      </c>
      <c r="D88" s="208"/>
      <c r="E88" s="208"/>
      <c r="F88" s="235" t="str">
        <f>IF(F87&lt;=E97,"CONQUISTA",IF(F87&lt;=G97,"HARMONIA",IF(F87&gt;=H97,"BEM ESTAR",IF(F87&gt;M97,"RISCO"))))</f>
        <v>BEM ESTAR</v>
      </c>
      <c r="H88" s="32"/>
    </row>
    <row r="90" spans="3:18" x14ac:dyDescent="0.35">
      <c r="C90" s="238"/>
      <c r="D90" s="239" t="s">
        <v>430</v>
      </c>
      <c r="E90" s="239" t="s">
        <v>431</v>
      </c>
    </row>
    <row r="91" spans="3:18" x14ac:dyDescent="0.35">
      <c r="C91" s="238" t="s">
        <v>383</v>
      </c>
      <c r="D91" s="288">
        <f>SUM(C23,B71)</f>
        <v>40.1</v>
      </c>
      <c r="E91" s="288">
        <f>SUM(C23,C71,N34)</f>
        <v>65.505364577138096</v>
      </c>
    </row>
    <row r="92" spans="3:18" x14ac:dyDescent="0.35">
      <c r="C92" s="238" t="s">
        <v>432</v>
      </c>
      <c r="D92" s="288">
        <f>SUM(D23,D71,O34)</f>
        <v>65.805364577138107</v>
      </c>
      <c r="E92" s="288">
        <f>SUM(E23,E71,P34)</f>
        <v>100.3107291542762</v>
      </c>
    </row>
    <row r="93" spans="3:18" x14ac:dyDescent="0.35">
      <c r="C93" s="238" t="s">
        <v>388</v>
      </c>
      <c r="D93" s="288">
        <f>F23+F71+Q34</f>
        <v>100.61072915427621</v>
      </c>
      <c r="E93" s="288">
        <f>SUM(G23,G71,R34)</f>
        <v>119.04763887236827</v>
      </c>
    </row>
    <row r="95" spans="3:18" x14ac:dyDescent="0.35">
      <c r="D95" s="372" t="s">
        <v>433</v>
      </c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</row>
    <row r="96" spans="3:18" x14ac:dyDescent="0.35">
      <c r="D96" s="391" t="s">
        <v>383</v>
      </c>
      <c r="E96" s="391"/>
      <c r="F96" s="391" t="s">
        <v>432</v>
      </c>
      <c r="G96" s="391"/>
      <c r="H96" s="391" t="s">
        <v>388</v>
      </c>
      <c r="I96" s="391"/>
      <c r="J96" s="391"/>
      <c r="K96" s="391"/>
      <c r="L96" s="391"/>
      <c r="M96" s="391"/>
      <c r="N96" s="391" t="s">
        <v>434</v>
      </c>
      <c r="O96" s="391"/>
    </row>
    <row r="97" spans="3:24" x14ac:dyDescent="0.35">
      <c r="D97" s="272">
        <f>D91</f>
        <v>40.1</v>
      </c>
      <c r="E97" s="272">
        <f>E91</f>
        <v>65.505364577138096</v>
      </c>
      <c r="F97" s="272">
        <f>D92+0.1</f>
        <v>65.905364577138101</v>
      </c>
      <c r="G97" s="272">
        <f>E92</f>
        <v>100.3107291542762</v>
      </c>
      <c r="H97" s="272">
        <f>D93+0.1</f>
        <v>100.71072915427621</v>
      </c>
      <c r="I97" s="272"/>
      <c r="J97" s="272"/>
      <c r="K97" s="272"/>
      <c r="L97" s="272"/>
      <c r="M97" s="272">
        <f>E93</f>
        <v>119.04763887236827</v>
      </c>
      <c r="N97" s="420">
        <v>201</v>
      </c>
      <c r="O97" s="420"/>
    </row>
    <row r="98" spans="3:24" x14ac:dyDescent="0.35">
      <c r="D98" s="236"/>
      <c r="E98" s="236"/>
      <c r="F98" s="228"/>
      <c r="G98" s="228"/>
      <c r="H98" s="227"/>
      <c r="I98" s="237"/>
      <c r="J98" s="237"/>
      <c r="K98" s="227"/>
      <c r="L98" s="227"/>
      <c r="M98" s="227"/>
      <c r="N98" s="194"/>
      <c r="O98" s="194"/>
    </row>
    <row r="101" spans="3:24" x14ac:dyDescent="0.35">
      <c r="C101" s="406" t="s">
        <v>435</v>
      </c>
      <c r="D101" s="406"/>
      <c r="E101" s="406"/>
      <c r="F101" s="218">
        <f>SUM(F26,F76,Q40)/3</f>
        <v>1.4444444444444446</v>
      </c>
    </row>
    <row r="102" spans="3:24" x14ac:dyDescent="0.35">
      <c r="C102" s="406" t="s">
        <v>399</v>
      </c>
      <c r="D102" s="406"/>
      <c r="E102" s="406"/>
      <c r="F102" s="32" t="str">
        <f>IF(F101&lt;=E106,"BRONZE",IF(F101&lt;=G106,"PRATA",IF(F101&lt;=M106,"OURO")))</f>
        <v>PRATA</v>
      </c>
    </row>
    <row r="104" spans="3:24" x14ac:dyDescent="0.35">
      <c r="D104" s="372" t="s">
        <v>436</v>
      </c>
      <c r="E104" s="372"/>
      <c r="F104" s="372"/>
      <c r="G104" s="372"/>
      <c r="H104" s="372"/>
      <c r="I104" s="372"/>
      <c r="J104" s="372"/>
      <c r="K104" s="372"/>
      <c r="L104" s="372"/>
      <c r="M104" s="372"/>
    </row>
    <row r="105" spans="3:24" x14ac:dyDescent="0.35">
      <c r="D105" s="391" t="s">
        <v>437</v>
      </c>
      <c r="E105" s="391"/>
      <c r="F105" s="391" t="s">
        <v>384</v>
      </c>
      <c r="G105" s="391"/>
      <c r="H105" s="391" t="s">
        <v>389</v>
      </c>
      <c r="I105" s="391"/>
      <c r="J105" s="391"/>
      <c r="K105" s="391"/>
      <c r="L105" s="391"/>
      <c r="M105" s="391"/>
    </row>
    <row r="106" spans="3:24" x14ac:dyDescent="0.35">
      <c r="D106" s="233">
        <v>0</v>
      </c>
      <c r="E106" s="233">
        <v>1</v>
      </c>
      <c r="F106" s="233">
        <f>E106+0.1</f>
        <v>1.1000000000000001</v>
      </c>
      <c r="G106" s="233">
        <v>2</v>
      </c>
      <c r="H106" s="233">
        <f>G106+0.1</f>
        <v>2.1</v>
      </c>
      <c r="I106" s="233"/>
      <c r="J106" s="233"/>
      <c r="K106" s="233"/>
      <c r="L106" s="233"/>
      <c r="M106" s="233">
        <v>3</v>
      </c>
    </row>
    <row r="107" spans="3:24" x14ac:dyDescent="0.35">
      <c r="D107" s="243"/>
      <c r="E107" s="243"/>
      <c r="F107" s="240"/>
      <c r="G107" s="240"/>
      <c r="H107" s="241"/>
      <c r="I107" s="242"/>
      <c r="J107" s="242"/>
      <c r="K107" s="241"/>
      <c r="L107" s="241"/>
      <c r="M107" s="241"/>
    </row>
    <row r="110" spans="3:24" x14ac:dyDescent="0.35">
      <c r="C110" s="421"/>
      <c r="D110" s="421"/>
      <c r="E110" s="421"/>
      <c r="F110" s="421"/>
      <c r="G110" s="421"/>
      <c r="H110" s="421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</row>
    <row r="111" spans="3:24" x14ac:dyDescent="0.35"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9"/>
      <c r="N111" s="210"/>
      <c r="O111" s="209"/>
      <c r="P111" s="209"/>
      <c r="Q111" s="210"/>
      <c r="R111" s="207"/>
      <c r="S111" s="207"/>
      <c r="T111" s="207"/>
      <c r="U111" s="207"/>
      <c r="V111" s="207"/>
      <c r="W111" s="207"/>
      <c r="X111" s="207"/>
    </row>
    <row r="112" spans="3:24" x14ac:dyDescent="0.35"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10"/>
      <c r="N112" s="210"/>
      <c r="O112" s="209"/>
      <c r="P112" s="209"/>
      <c r="Q112" s="210"/>
      <c r="R112" s="207"/>
      <c r="S112" s="207"/>
      <c r="T112" s="207"/>
      <c r="U112" s="207"/>
      <c r="V112" s="207"/>
      <c r="W112" s="207"/>
      <c r="X112" s="207"/>
    </row>
    <row r="113" spans="3:24" x14ac:dyDescent="0.35"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11"/>
      <c r="N113" s="210"/>
      <c r="O113" s="211"/>
      <c r="P113" s="212"/>
      <c r="Q113" s="210"/>
      <c r="R113" s="207"/>
      <c r="S113" s="207"/>
      <c r="T113" s="207"/>
      <c r="U113" s="207"/>
      <c r="V113" s="207"/>
      <c r="W113" s="207"/>
      <c r="X113" s="207"/>
    </row>
    <row r="114" spans="3:24" x14ac:dyDescent="0.35"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11"/>
      <c r="N114" s="210"/>
      <c r="O114" s="211"/>
      <c r="P114" s="212"/>
      <c r="Q114" s="210"/>
      <c r="R114" s="207"/>
      <c r="S114" s="207"/>
      <c r="T114" s="207"/>
      <c r="U114" s="207"/>
      <c r="V114" s="207"/>
      <c r="W114" s="207"/>
      <c r="X114" s="207"/>
    </row>
    <row r="115" spans="3:24" x14ac:dyDescent="0.35"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11"/>
      <c r="N115" s="210"/>
      <c r="O115" s="211"/>
      <c r="P115" s="212"/>
      <c r="Q115" s="210"/>
      <c r="R115" s="207"/>
      <c r="S115" s="207"/>
      <c r="T115" s="207"/>
      <c r="U115" s="207"/>
      <c r="V115" s="207"/>
      <c r="W115" s="207"/>
      <c r="X115" s="207"/>
    </row>
    <row r="116" spans="3:24" x14ac:dyDescent="0.35">
      <c r="C116" s="421"/>
      <c r="D116" s="421"/>
      <c r="E116" s="421"/>
      <c r="F116" s="421"/>
      <c r="G116" s="421"/>
      <c r="H116" s="421"/>
      <c r="M116" s="213"/>
      <c r="N116" s="213"/>
      <c r="O116" s="213"/>
      <c r="P116" s="213"/>
      <c r="Q116" s="213"/>
    </row>
    <row r="117" spans="3:24" x14ac:dyDescent="0.35">
      <c r="C117" s="207"/>
      <c r="D117" s="207"/>
      <c r="E117" s="207"/>
      <c r="F117" s="207"/>
      <c r="G117" s="207"/>
      <c r="H117" s="207"/>
      <c r="M117" s="211"/>
      <c r="N117" s="210"/>
      <c r="O117" s="211"/>
      <c r="P117" s="212"/>
      <c r="Q117" s="213"/>
    </row>
    <row r="118" spans="3:24" x14ac:dyDescent="0.35">
      <c r="C118" s="207"/>
      <c r="D118" s="207"/>
      <c r="E118" s="207"/>
      <c r="F118" s="207"/>
      <c r="G118" s="207"/>
      <c r="H118" s="207"/>
      <c r="M118" s="211"/>
      <c r="N118" s="210"/>
      <c r="O118" s="211"/>
      <c r="P118" s="212"/>
      <c r="Q118" s="213"/>
    </row>
    <row r="119" spans="3:24" x14ac:dyDescent="0.35">
      <c r="C119" s="207"/>
      <c r="D119" s="207"/>
      <c r="E119" s="207"/>
      <c r="F119" s="207"/>
      <c r="G119" s="207"/>
      <c r="H119" s="207"/>
      <c r="M119" s="211"/>
      <c r="N119" s="210"/>
      <c r="O119" s="211"/>
      <c r="P119" s="212"/>
      <c r="Q119" s="213"/>
    </row>
    <row r="120" spans="3:24" x14ac:dyDescent="0.35">
      <c r="C120" s="207"/>
      <c r="D120" s="207"/>
      <c r="E120" s="207"/>
      <c r="F120" s="207"/>
      <c r="G120" s="207"/>
      <c r="H120" s="207"/>
      <c r="M120" s="213"/>
      <c r="N120" s="213"/>
      <c r="O120" s="213"/>
      <c r="P120" s="212"/>
      <c r="Q120" s="213"/>
    </row>
    <row r="121" spans="3:24" x14ac:dyDescent="0.35">
      <c r="M121" s="211"/>
      <c r="N121" s="210"/>
      <c r="O121" s="211"/>
      <c r="P121" s="212"/>
      <c r="Q121" s="213"/>
    </row>
    <row r="122" spans="3:24" x14ac:dyDescent="0.35">
      <c r="C122" s="372"/>
      <c r="D122" s="372"/>
      <c r="E122" s="372"/>
      <c r="F122" s="372"/>
      <c r="G122" s="372"/>
      <c r="H122" s="372"/>
      <c r="M122" s="211"/>
      <c r="N122" s="210"/>
      <c r="O122" s="211"/>
      <c r="P122" s="212"/>
      <c r="Q122" s="213"/>
    </row>
    <row r="123" spans="3:24" x14ac:dyDescent="0.35">
      <c r="M123" s="211"/>
      <c r="N123" s="210"/>
      <c r="O123" s="211"/>
      <c r="P123" s="212"/>
      <c r="Q123" s="213"/>
    </row>
    <row r="124" spans="3:24" x14ac:dyDescent="0.35">
      <c r="P124" s="212"/>
    </row>
    <row r="125" spans="3:24" x14ac:dyDescent="0.35">
      <c r="M125" s="211"/>
      <c r="O125" s="211"/>
      <c r="P125" s="212"/>
    </row>
    <row r="126" spans="3:24" x14ac:dyDescent="0.35">
      <c r="M126" s="211"/>
      <c r="O126" s="211"/>
      <c r="P126" s="212"/>
    </row>
    <row r="129" spans="15:15" x14ac:dyDescent="0.35">
      <c r="O129" s="214"/>
    </row>
    <row r="130" spans="15:15" x14ac:dyDescent="0.35">
      <c r="O130" s="214"/>
    </row>
  </sheetData>
  <mergeCells count="87">
    <mergeCell ref="C6:E6"/>
    <mergeCell ref="C2:R2"/>
    <mergeCell ref="C4:E4"/>
    <mergeCell ref="F4:H4"/>
    <mergeCell ref="C5:E5"/>
    <mergeCell ref="F5:H5"/>
    <mergeCell ref="C8:G8"/>
    <mergeCell ref="N8:R8"/>
    <mergeCell ref="D10:E10"/>
    <mergeCell ref="O10:P10"/>
    <mergeCell ref="D11:E11"/>
    <mergeCell ref="O11:P11"/>
    <mergeCell ref="B24:C24"/>
    <mergeCell ref="D24:E24"/>
    <mergeCell ref="F24:G24"/>
    <mergeCell ref="O12:P12"/>
    <mergeCell ref="C13:G13"/>
    <mergeCell ref="O13:P13"/>
    <mergeCell ref="O14:P14"/>
    <mergeCell ref="D15:E15"/>
    <mergeCell ref="O15:P15"/>
    <mergeCell ref="N33:S33"/>
    <mergeCell ref="D16:E16"/>
    <mergeCell ref="O16:P16"/>
    <mergeCell ref="D17:E17"/>
    <mergeCell ref="D20:E20"/>
    <mergeCell ref="D22:F22"/>
    <mergeCell ref="D27:E27"/>
    <mergeCell ref="O27:P27"/>
    <mergeCell ref="D29:F29"/>
    <mergeCell ref="O30:P30"/>
    <mergeCell ref="O31:P31"/>
    <mergeCell ref="D42:E42"/>
    <mergeCell ref="C35:G35"/>
    <mergeCell ref="O35:P35"/>
    <mergeCell ref="Q35:R35"/>
    <mergeCell ref="C37:D37"/>
    <mergeCell ref="D38:E38"/>
    <mergeCell ref="O38:P38"/>
    <mergeCell ref="D39:E39"/>
    <mergeCell ref="O39:P39"/>
    <mergeCell ref="O40:P40"/>
    <mergeCell ref="C41:D41"/>
    <mergeCell ref="O41:P41"/>
    <mergeCell ref="P60:Q60"/>
    <mergeCell ref="D61:E61"/>
    <mergeCell ref="D43:E43"/>
    <mergeCell ref="C45:D45"/>
    <mergeCell ref="D46:E46"/>
    <mergeCell ref="D47:E47"/>
    <mergeCell ref="D50:E50"/>
    <mergeCell ref="D51:E51"/>
    <mergeCell ref="D54:E54"/>
    <mergeCell ref="D55:E55"/>
    <mergeCell ref="D58:E58"/>
    <mergeCell ref="D59:E59"/>
    <mergeCell ref="D62:E62"/>
    <mergeCell ref="G64:H64"/>
    <mergeCell ref="E65:E66"/>
    <mergeCell ref="F66:F67"/>
    <mergeCell ref="D96:E96"/>
    <mergeCell ref="F96:G96"/>
    <mergeCell ref="H96:M96"/>
    <mergeCell ref="D70:F70"/>
    <mergeCell ref="D64:E64"/>
    <mergeCell ref="N96:O96"/>
    <mergeCell ref="B72:C72"/>
    <mergeCell ref="D72:E72"/>
    <mergeCell ref="F72:G72"/>
    <mergeCell ref="D75:E75"/>
    <mergeCell ref="D76:E76"/>
    <mergeCell ref="D77:E77"/>
    <mergeCell ref="D79:F79"/>
    <mergeCell ref="C85:R85"/>
    <mergeCell ref="C87:E87"/>
    <mergeCell ref="G87:H87"/>
    <mergeCell ref="D95:O95"/>
    <mergeCell ref="C110:H110"/>
    <mergeCell ref="C116:H116"/>
    <mergeCell ref="C122:H122"/>
    <mergeCell ref="N97:O97"/>
    <mergeCell ref="C101:E101"/>
    <mergeCell ref="C102:E102"/>
    <mergeCell ref="D104:M104"/>
    <mergeCell ref="D105:E105"/>
    <mergeCell ref="F105:G105"/>
    <mergeCell ref="H105:M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DAB6-7C26-4C13-9827-8051A792FFEA}">
  <dimension ref="B1:AH130"/>
  <sheetViews>
    <sheetView showGridLines="0" topLeftCell="A73" zoomScale="85" zoomScaleNormal="85" workbookViewId="0">
      <selection activeCell="M92" sqref="M92"/>
    </sheetView>
  </sheetViews>
  <sheetFormatPr defaultRowHeight="14.5" outlineLevelCol="1" x14ac:dyDescent="0.35"/>
  <cols>
    <col min="1" max="1" width="4.453125" customWidth="1"/>
    <col min="2" max="4" width="13.6328125" customWidth="1"/>
    <col min="5" max="5" width="16.90625" customWidth="1"/>
    <col min="6" max="6" width="14.90625" style="32" bestFit="1" customWidth="1"/>
    <col min="7" max="7" width="13.6328125" style="32" customWidth="1"/>
    <col min="8" max="8" width="13.6328125" customWidth="1"/>
    <col min="9" max="10" width="12.90625" style="202" hidden="1" customWidth="1" outlineLevel="1"/>
    <col min="11" max="11" width="11.90625" hidden="1" customWidth="1" outlineLevel="1"/>
    <col min="12" max="12" width="13.08984375" hidden="1" customWidth="1" outlineLevel="1"/>
    <col min="13" max="13" width="12.36328125" customWidth="1" collapsed="1"/>
    <col min="14" max="16" width="12.36328125" customWidth="1"/>
    <col min="17" max="17" width="15.36328125" bestFit="1" customWidth="1"/>
    <col min="18" max="18" width="12.36328125" style="32" customWidth="1"/>
    <col min="19" max="19" width="12.36328125" customWidth="1"/>
    <col min="20" max="21" width="14" style="199" customWidth="1" outlineLevel="1"/>
    <col min="22" max="22" width="13.6328125" customWidth="1" outlineLevel="1"/>
    <col min="23" max="23" width="13.08984375" customWidth="1" outlineLevel="1"/>
    <col min="25" max="26" width="22.54296875" customWidth="1"/>
    <col min="27" max="27" width="22.54296875" style="32" customWidth="1"/>
    <col min="28" max="36" width="22.54296875" customWidth="1"/>
  </cols>
  <sheetData>
    <row r="1" spans="3:34" x14ac:dyDescent="0.35">
      <c r="I1" s="203"/>
      <c r="J1" s="203"/>
      <c r="AA1"/>
      <c r="AG1" s="45"/>
    </row>
    <row r="2" spans="3:34" x14ac:dyDescent="0.35">
      <c r="C2" s="399" t="s">
        <v>365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AA2"/>
    </row>
    <row r="3" spans="3:34" x14ac:dyDescent="0.35">
      <c r="I3" s="203"/>
      <c r="J3" s="203"/>
      <c r="AA3"/>
    </row>
    <row r="4" spans="3:34" x14ac:dyDescent="0.35">
      <c r="C4" s="398" t="s">
        <v>366</v>
      </c>
      <c r="D4" s="398"/>
      <c r="E4" s="398"/>
      <c r="F4" s="400"/>
      <c r="G4" s="401"/>
      <c r="H4" s="402"/>
      <c r="I4"/>
      <c r="J4"/>
      <c r="AA4"/>
    </row>
    <row r="5" spans="3:34" x14ac:dyDescent="0.35">
      <c r="C5" s="398" t="s">
        <v>367</v>
      </c>
      <c r="D5" s="398"/>
      <c r="E5" s="398"/>
      <c r="F5" s="400"/>
      <c r="G5" s="401"/>
      <c r="H5" s="402"/>
      <c r="I5"/>
      <c r="J5"/>
      <c r="AA5"/>
    </row>
    <row r="6" spans="3:34" x14ac:dyDescent="0.35">
      <c r="C6" s="398" t="s">
        <v>368</v>
      </c>
      <c r="D6" s="398"/>
      <c r="E6" s="398"/>
      <c r="F6" s="197">
        <v>200</v>
      </c>
      <c r="G6" s="281" t="s">
        <v>438</v>
      </c>
      <c r="H6" s="280">
        <v>84.07</v>
      </c>
      <c r="I6" s="203"/>
      <c r="J6" s="203"/>
      <c r="AA6"/>
    </row>
    <row r="7" spans="3:34" x14ac:dyDescent="0.35">
      <c r="H7" s="280">
        <v>84.07</v>
      </c>
      <c r="I7" s="203"/>
      <c r="J7" s="203"/>
      <c r="AA7"/>
    </row>
    <row r="8" spans="3:34" x14ac:dyDescent="0.35">
      <c r="C8" s="403" t="s">
        <v>369</v>
      </c>
      <c r="D8" s="403"/>
      <c r="E8" s="403"/>
      <c r="F8" s="403"/>
      <c r="G8" s="403"/>
      <c r="N8" s="403" t="s">
        <v>7</v>
      </c>
      <c r="O8" s="403"/>
      <c r="P8" s="403"/>
      <c r="Q8" s="403"/>
      <c r="R8" s="403"/>
    </row>
    <row r="9" spans="3:34" x14ac:dyDescent="0.35">
      <c r="F9" s="198" t="s">
        <v>439</v>
      </c>
      <c r="G9" s="198" t="s">
        <v>92</v>
      </c>
      <c r="I9" s="202" t="s">
        <v>370</v>
      </c>
      <c r="J9" s="202" t="s">
        <v>440</v>
      </c>
      <c r="K9" s="199" t="s">
        <v>371</v>
      </c>
      <c r="L9" s="199" t="s">
        <v>372</v>
      </c>
      <c r="Q9" s="198" t="s">
        <v>441</v>
      </c>
      <c r="R9" s="198" t="s">
        <v>92</v>
      </c>
      <c r="T9" s="199" t="s">
        <v>370</v>
      </c>
      <c r="U9" s="199" t="s">
        <v>373</v>
      </c>
      <c r="V9" s="199" t="s">
        <v>371</v>
      </c>
      <c r="W9" s="199" t="s">
        <v>372</v>
      </c>
    </row>
    <row r="10" spans="3:34" x14ac:dyDescent="0.35">
      <c r="C10" s="192" t="b">
        <v>0</v>
      </c>
      <c r="D10" s="404" t="s">
        <v>5</v>
      </c>
      <c r="E10" s="404"/>
      <c r="F10" s="206">
        <v>673.3</v>
      </c>
      <c r="G10" s="197">
        <v>1</v>
      </c>
      <c r="I10" s="202">
        <v>56603</v>
      </c>
      <c r="J10" s="279">
        <f>I10/H6</f>
        <v>673.28416795527539</v>
      </c>
      <c r="K10" s="200">
        <f>IF(C10=TRUE,F10,0)</f>
        <v>0</v>
      </c>
      <c r="L10" s="199">
        <f>IF(C10=TRUE,G10,0)</f>
        <v>0</v>
      </c>
      <c r="N10" s="192" t="b">
        <v>0</v>
      </c>
      <c r="O10" s="405" t="s">
        <v>115</v>
      </c>
      <c r="P10" s="405"/>
      <c r="Q10" s="310">
        <f>U10/H6</f>
        <v>1.3770132032829785</v>
      </c>
      <c r="R10" s="197">
        <v>3</v>
      </c>
      <c r="T10" s="201">
        <v>23153.1</v>
      </c>
      <c r="U10" s="201">
        <f>T10/F$6</f>
        <v>115.76549999999999</v>
      </c>
      <c r="V10" s="200">
        <f>IF(N10=TRUE,Q10,0)</f>
        <v>0</v>
      </c>
      <c r="W10" s="199">
        <f>IF(N10=TRUE,R10,0)</f>
        <v>0</v>
      </c>
    </row>
    <row r="11" spans="3:34" x14ac:dyDescent="0.35">
      <c r="C11" s="192" t="b">
        <v>0</v>
      </c>
      <c r="D11" s="404" t="s">
        <v>10</v>
      </c>
      <c r="E11" s="404"/>
      <c r="F11" s="206">
        <v>833.8</v>
      </c>
      <c r="G11" s="197">
        <v>3</v>
      </c>
      <c r="I11" s="202">
        <v>70100</v>
      </c>
      <c r="J11" s="279">
        <f>I11/H6</f>
        <v>833.82895206375645</v>
      </c>
      <c r="K11" s="200">
        <f>IF(C11=TRUE,F11,0)</f>
        <v>0</v>
      </c>
      <c r="L11" s="199">
        <f>IF(C11=TRUE,G11,0)</f>
        <v>0</v>
      </c>
      <c r="N11" s="192" t="b">
        <v>0</v>
      </c>
      <c r="O11" s="405" t="s">
        <v>119</v>
      </c>
      <c r="P11" s="405"/>
      <c r="Q11" s="310">
        <f>U11/H6</f>
        <v>0.41310396098489355</v>
      </c>
      <c r="R11" s="197">
        <v>2</v>
      </c>
      <c r="T11" s="201">
        <v>6945.93</v>
      </c>
      <c r="U11" s="201">
        <f t="shared" ref="U11:U27" si="0">T11/F$6</f>
        <v>34.729649999999999</v>
      </c>
      <c r="V11" s="200">
        <f t="shared" ref="V11:V27" si="1">IF(N11=TRUE,Q11,0)</f>
        <v>0</v>
      </c>
      <c r="W11" s="199">
        <f t="shared" ref="W11:W27" si="2">IF(N11=TRUE,R11,0)</f>
        <v>0</v>
      </c>
      <c r="Y11" s="244" t="s">
        <v>374</v>
      </c>
      <c r="Z11" s="244" t="s">
        <v>367</v>
      </c>
      <c r="AA11" s="198" t="s">
        <v>375</v>
      </c>
      <c r="AB11" s="244" t="s">
        <v>376</v>
      </c>
      <c r="AC11" s="198" t="s">
        <v>377</v>
      </c>
      <c r="AD11" s="198" t="s">
        <v>378</v>
      </c>
      <c r="AE11" s="198" t="s">
        <v>379</v>
      </c>
      <c r="AF11" s="244" t="s">
        <v>380</v>
      </c>
      <c r="AG11" s="244" t="s">
        <v>381</v>
      </c>
      <c r="AH11" s="244" t="s">
        <v>382</v>
      </c>
    </row>
    <row r="12" spans="3:34" ht="15" thickBot="1" x14ac:dyDescent="0.4">
      <c r="F12" s="257"/>
      <c r="G12" s="257"/>
      <c r="K12" s="200"/>
      <c r="L12" s="199"/>
      <c r="N12" s="192" t="b">
        <v>0</v>
      </c>
      <c r="O12" s="405" t="s">
        <v>122</v>
      </c>
      <c r="P12" s="405"/>
      <c r="Q12" s="310">
        <f>U12/H6</f>
        <v>0.41374152491970972</v>
      </c>
      <c r="R12" s="197">
        <v>1</v>
      </c>
      <c r="T12" s="201">
        <v>6956.65</v>
      </c>
      <c r="U12" s="201">
        <f t="shared" si="0"/>
        <v>34.783249999999995</v>
      </c>
      <c r="V12" s="200">
        <f t="shared" si="1"/>
        <v>0</v>
      </c>
      <c r="W12" s="199">
        <f t="shared" si="2"/>
        <v>0</v>
      </c>
      <c r="Y12" s="274" t="s">
        <v>442</v>
      </c>
      <c r="Z12" s="274"/>
      <c r="AA12" s="246" t="s">
        <v>2</v>
      </c>
      <c r="AB12" s="275"/>
      <c r="AC12" s="275"/>
      <c r="AD12" s="275"/>
      <c r="AE12" s="275"/>
      <c r="AF12" s="275"/>
      <c r="AG12" s="275"/>
      <c r="AH12" s="275"/>
    </row>
    <row r="13" spans="3:34" x14ac:dyDescent="0.35">
      <c r="C13" s="407" t="s">
        <v>385</v>
      </c>
      <c r="D13" s="408"/>
      <c r="E13" s="408"/>
      <c r="F13" s="408"/>
      <c r="G13" s="409"/>
      <c r="K13" s="200"/>
      <c r="L13" s="199"/>
      <c r="N13" s="192" t="b">
        <v>0</v>
      </c>
      <c r="O13" s="405" t="s">
        <v>123</v>
      </c>
      <c r="P13" s="405"/>
      <c r="Q13" s="310">
        <f>U13/H6</f>
        <v>0.64189306530272405</v>
      </c>
      <c r="R13" s="197">
        <v>1</v>
      </c>
      <c r="T13" s="201">
        <v>10792.79</v>
      </c>
      <c r="U13" s="201">
        <f t="shared" si="0"/>
        <v>53.963950000000004</v>
      </c>
      <c r="V13" s="200">
        <f t="shared" si="1"/>
        <v>0</v>
      </c>
      <c r="W13" s="199">
        <f t="shared" si="2"/>
        <v>0</v>
      </c>
      <c r="Y13" s="245" t="s">
        <v>443</v>
      </c>
      <c r="Z13" s="245"/>
      <c r="AA13" s="246" t="s">
        <v>2</v>
      </c>
      <c r="AB13" s="275"/>
      <c r="AC13" s="275"/>
      <c r="AD13" s="275"/>
      <c r="AE13" s="275"/>
      <c r="AF13" s="275"/>
      <c r="AG13" s="275"/>
      <c r="AH13" s="275"/>
    </row>
    <row r="14" spans="3:34" x14ac:dyDescent="0.35">
      <c r="C14" s="258"/>
      <c r="G14" s="259"/>
      <c r="K14" s="200"/>
      <c r="L14" s="199"/>
      <c r="N14" s="192" t="b">
        <v>0</v>
      </c>
      <c r="O14" s="405" t="s">
        <v>66</v>
      </c>
      <c r="P14" s="405"/>
      <c r="Q14" s="310">
        <f>U14/H6</f>
        <v>0.44951647436659931</v>
      </c>
      <c r="R14" s="197">
        <v>2</v>
      </c>
      <c r="T14" s="201">
        <v>7558.17</v>
      </c>
      <c r="U14" s="201">
        <f t="shared" si="0"/>
        <v>37.790849999999999</v>
      </c>
      <c r="V14" s="200">
        <f t="shared" si="1"/>
        <v>0</v>
      </c>
      <c r="W14" s="199">
        <f t="shared" si="2"/>
        <v>0</v>
      </c>
      <c r="Y14" s="245" t="s">
        <v>444</v>
      </c>
      <c r="Z14" s="245"/>
      <c r="AA14" s="247" t="s">
        <v>2</v>
      </c>
      <c r="AB14" s="275"/>
      <c r="AC14" s="275"/>
      <c r="AD14" s="275"/>
      <c r="AE14" s="275"/>
      <c r="AF14" s="275"/>
      <c r="AG14" s="275"/>
      <c r="AH14" s="275"/>
    </row>
    <row r="15" spans="3:34" x14ac:dyDescent="0.35">
      <c r="C15" s="260" t="b">
        <v>0</v>
      </c>
      <c r="D15" s="404" t="s">
        <v>386</v>
      </c>
      <c r="E15" s="414"/>
      <c r="F15" s="206">
        <v>14.3</v>
      </c>
      <c r="G15" s="261">
        <v>1</v>
      </c>
      <c r="I15" s="202">
        <v>1200</v>
      </c>
      <c r="J15" s="279">
        <f>I15/H6</f>
        <v>14.273819436184134</v>
      </c>
      <c r="K15" s="221">
        <f>IF(C15=TRUE,F15,0)</f>
        <v>0</v>
      </c>
      <c r="L15" s="199">
        <f>IF(C15=TRUE,G15,0)</f>
        <v>0</v>
      </c>
      <c r="N15" s="192" t="b">
        <v>0</v>
      </c>
      <c r="O15" s="405" t="s">
        <v>68</v>
      </c>
      <c r="P15" s="405"/>
      <c r="Q15" s="310">
        <f>U15/H6</f>
        <v>0.76810931366718216</v>
      </c>
      <c r="R15" s="197">
        <v>1</v>
      </c>
      <c r="T15" s="201">
        <v>12914.99</v>
      </c>
      <c r="U15" s="201">
        <f t="shared" si="0"/>
        <v>64.574950000000001</v>
      </c>
      <c r="V15" s="200">
        <f t="shared" si="1"/>
        <v>0</v>
      </c>
      <c r="W15" s="199">
        <f t="shared" si="2"/>
        <v>0</v>
      </c>
      <c r="Y15" s="245" t="s">
        <v>445</v>
      </c>
      <c r="Z15" s="245"/>
      <c r="AA15" s="248" t="s">
        <v>3</v>
      </c>
      <c r="AB15" s="275"/>
      <c r="AC15" s="275"/>
      <c r="AD15" s="275"/>
      <c r="AE15" s="275"/>
      <c r="AF15" s="275"/>
      <c r="AG15" s="275"/>
      <c r="AH15" s="275"/>
    </row>
    <row r="16" spans="3:34" x14ac:dyDescent="0.35">
      <c r="C16" s="260" t="b">
        <v>0</v>
      </c>
      <c r="D16" s="404" t="s">
        <v>387</v>
      </c>
      <c r="E16" s="414"/>
      <c r="F16" s="206">
        <v>17.8</v>
      </c>
      <c r="G16" s="261">
        <v>2</v>
      </c>
      <c r="I16" s="202">
        <v>1500</v>
      </c>
      <c r="J16" s="279">
        <f>I16/H6</f>
        <v>17.842274295230165</v>
      </c>
      <c r="K16" s="221">
        <f>IF(C16=TRUE,F16,0)</f>
        <v>0</v>
      </c>
      <c r="L16" s="199">
        <f>IF(C16=TRUE,G16,0)</f>
        <v>0</v>
      </c>
      <c r="N16" s="192" t="b">
        <v>0</v>
      </c>
      <c r="O16" s="405" t="s">
        <v>124</v>
      </c>
      <c r="P16" s="405"/>
      <c r="Q16" s="310">
        <f>U16/H6</f>
        <v>0.2973712382538361</v>
      </c>
      <c r="R16" s="197">
        <v>2</v>
      </c>
      <c r="T16" s="201">
        <v>5000</v>
      </c>
      <c r="U16" s="201">
        <f t="shared" si="0"/>
        <v>25</v>
      </c>
      <c r="V16" s="200">
        <f t="shared" si="1"/>
        <v>0</v>
      </c>
      <c r="W16" s="199">
        <f t="shared" si="2"/>
        <v>0</v>
      </c>
      <c r="Y16" s="273" t="s">
        <v>446</v>
      </c>
      <c r="Z16" s="273"/>
      <c r="AA16" s="248" t="s">
        <v>3</v>
      </c>
      <c r="AB16" s="275"/>
      <c r="AC16" s="275"/>
      <c r="AD16" s="275"/>
      <c r="AE16" s="275"/>
      <c r="AF16" s="275"/>
      <c r="AG16" s="275"/>
      <c r="AH16" s="275"/>
    </row>
    <row r="17" spans="2:34" x14ac:dyDescent="0.35">
      <c r="C17" s="260" t="b">
        <v>0</v>
      </c>
      <c r="D17" s="404" t="s">
        <v>390</v>
      </c>
      <c r="E17" s="414"/>
      <c r="F17" s="206">
        <v>22.6</v>
      </c>
      <c r="G17" s="261">
        <v>3</v>
      </c>
      <c r="I17" s="202">
        <v>1900</v>
      </c>
      <c r="J17" s="279">
        <f>I17/H6</f>
        <v>22.600214107291546</v>
      </c>
      <c r="K17" s="221">
        <f>IF(C17=TRUE,F17,0)</f>
        <v>0</v>
      </c>
      <c r="L17" s="199">
        <f>IF(C17=TRUE,G17,0)</f>
        <v>0</v>
      </c>
      <c r="N17" s="192" t="b">
        <v>0</v>
      </c>
      <c r="O17" t="s">
        <v>126</v>
      </c>
      <c r="Q17" s="310">
        <f>U17/H6</f>
        <v>0.96390924229808495</v>
      </c>
      <c r="R17" s="197">
        <v>3</v>
      </c>
      <c r="T17" s="201">
        <v>16207.17</v>
      </c>
      <c r="U17" s="201">
        <f t="shared" si="0"/>
        <v>81.035849999999996</v>
      </c>
      <c r="V17" s="200">
        <f t="shared" si="1"/>
        <v>0</v>
      </c>
      <c r="W17" s="199">
        <f t="shared" si="2"/>
        <v>0</v>
      </c>
      <c r="Y17" s="245"/>
      <c r="Z17" s="245"/>
      <c r="AA17" s="249"/>
      <c r="AB17" s="275"/>
      <c r="AC17" s="275"/>
      <c r="AD17" s="275"/>
      <c r="AE17" s="275"/>
      <c r="AF17" s="275"/>
      <c r="AG17" s="275"/>
      <c r="AH17" s="275"/>
    </row>
    <row r="18" spans="2:34" x14ac:dyDescent="0.35">
      <c r="C18" s="258"/>
      <c r="G18" s="259"/>
      <c r="K18" s="200"/>
      <c r="L18" s="199"/>
      <c r="N18" s="192" t="b">
        <v>1</v>
      </c>
      <c r="O18" t="s">
        <v>76</v>
      </c>
      <c r="Q18" s="310">
        <f>U18/H6</f>
        <v>16.365384798382301</v>
      </c>
      <c r="R18" s="197">
        <v>3</v>
      </c>
      <c r="T18" s="201">
        <v>275167.58</v>
      </c>
      <c r="U18" s="201">
        <f t="shared" si="0"/>
        <v>1375.8379</v>
      </c>
      <c r="V18" s="200">
        <f t="shared" si="1"/>
        <v>16.365384798382301</v>
      </c>
      <c r="W18" s="199">
        <f t="shared" si="2"/>
        <v>3</v>
      </c>
      <c r="Y18" s="245"/>
      <c r="Z18" s="245"/>
      <c r="AA18" s="249"/>
      <c r="AB18" s="275"/>
      <c r="AC18" s="275"/>
      <c r="AD18" s="275"/>
      <c r="AE18" s="275"/>
      <c r="AF18" s="275"/>
      <c r="AG18" s="275"/>
      <c r="AH18" s="275"/>
    </row>
    <row r="19" spans="2:34" x14ac:dyDescent="0.35">
      <c r="C19" s="258"/>
      <c r="D19" s="59" t="s">
        <v>391</v>
      </c>
      <c r="F19" s="277">
        <f>SUM(K15:K17)</f>
        <v>0</v>
      </c>
      <c r="G19" s="278"/>
      <c r="H19" s="32"/>
      <c r="I19"/>
      <c r="J19"/>
      <c r="K19" s="200"/>
      <c r="L19" s="199"/>
      <c r="N19" s="192" t="b">
        <v>0</v>
      </c>
      <c r="O19" t="s">
        <v>128</v>
      </c>
      <c r="Q19" s="310">
        <f>U19/H6</f>
        <v>5.8316515998572624</v>
      </c>
      <c r="R19" s="197">
        <v>2</v>
      </c>
      <c r="T19" s="201">
        <v>98053.39</v>
      </c>
      <c r="U19" s="201">
        <f t="shared" si="0"/>
        <v>490.26695000000001</v>
      </c>
      <c r="V19" s="200">
        <f t="shared" si="1"/>
        <v>0</v>
      </c>
      <c r="W19" s="199">
        <f t="shared" si="2"/>
        <v>0</v>
      </c>
      <c r="Y19" s="245"/>
      <c r="Z19" s="245"/>
      <c r="AA19" s="249"/>
      <c r="AB19" s="275"/>
      <c r="AC19" s="275"/>
      <c r="AD19" s="275"/>
      <c r="AE19" s="275"/>
      <c r="AF19" s="275"/>
      <c r="AG19" s="275"/>
      <c r="AH19" s="275"/>
    </row>
    <row r="20" spans="2:34" x14ac:dyDescent="0.35">
      <c r="C20" s="258"/>
      <c r="D20" s="406" t="s">
        <v>392</v>
      </c>
      <c r="E20" s="406"/>
      <c r="F20" s="263" t="str">
        <f>IF(F19=0,"-",IF(F19=14.3,"GUARITA 1",IF(F19=17.8,"GUARITA 2",IF(F19=22.6,"GUARITA 3"))))</f>
        <v>-</v>
      </c>
      <c r="G20" s="259"/>
      <c r="H20" s="32"/>
      <c r="I20"/>
      <c r="J20"/>
      <c r="K20" s="200"/>
      <c r="L20" s="199"/>
      <c r="N20" s="192" t="b">
        <v>0</v>
      </c>
      <c r="O20" t="s">
        <v>130</v>
      </c>
      <c r="Q20" s="310">
        <f>U20/H6</f>
        <v>7.4978375163554194</v>
      </c>
      <c r="R20" s="197">
        <v>1</v>
      </c>
      <c r="T20" s="201">
        <v>126068.64</v>
      </c>
      <c r="U20" s="201">
        <f t="shared" si="0"/>
        <v>630.34320000000002</v>
      </c>
      <c r="V20" s="200">
        <f t="shared" si="1"/>
        <v>0</v>
      </c>
      <c r="W20" s="199">
        <f t="shared" si="2"/>
        <v>0</v>
      </c>
      <c r="Y20" s="245"/>
      <c r="Z20" s="245"/>
      <c r="AA20" s="250"/>
      <c r="AB20" s="275"/>
      <c r="AC20" s="275"/>
      <c r="AD20" s="275"/>
      <c r="AE20" s="275"/>
      <c r="AF20" s="275"/>
      <c r="AG20" s="275"/>
      <c r="AH20" s="275"/>
    </row>
    <row r="21" spans="2:34" x14ac:dyDescent="0.35">
      <c r="C21" s="258"/>
      <c r="G21" s="264"/>
      <c r="K21" s="200"/>
      <c r="L21" s="199"/>
      <c r="N21" s="192" t="b">
        <v>0</v>
      </c>
      <c r="O21" t="s">
        <v>393</v>
      </c>
      <c r="Q21" s="310">
        <f>U21/H6</f>
        <v>3.3846128226477936</v>
      </c>
      <c r="R21" s="197">
        <v>2</v>
      </c>
      <c r="T21" s="201">
        <v>56908.88</v>
      </c>
      <c r="U21" s="201">
        <f t="shared" si="0"/>
        <v>284.5444</v>
      </c>
      <c r="V21" s="200">
        <f t="shared" si="1"/>
        <v>0</v>
      </c>
      <c r="W21" s="199">
        <f t="shared" si="2"/>
        <v>0</v>
      </c>
      <c r="Y21" s="245"/>
      <c r="Z21" s="245"/>
      <c r="AA21" s="250"/>
      <c r="AB21" s="275"/>
      <c r="AC21" s="275"/>
      <c r="AD21" s="275"/>
      <c r="AE21" s="275"/>
      <c r="AF21" s="275"/>
      <c r="AG21" s="275"/>
      <c r="AH21" s="275"/>
    </row>
    <row r="22" spans="2:34" x14ac:dyDescent="0.35">
      <c r="C22" s="258"/>
      <c r="D22" s="410" t="s">
        <v>394</v>
      </c>
      <c r="E22" s="410"/>
      <c r="F22" s="410"/>
      <c r="G22" s="264"/>
      <c r="K22" s="200"/>
      <c r="L22" s="199"/>
      <c r="N22" s="192" t="b">
        <v>0</v>
      </c>
      <c r="O22" t="s">
        <v>133</v>
      </c>
      <c r="Q22" s="310">
        <f>U22/H6</f>
        <v>5.064179850124896</v>
      </c>
      <c r="R22" s="197">
        <v>3</v>
      </c>
      <c r="T22" s="201">
        <v>85149.119999999995</v>
      </c>
      <c r="U22" s="201">
        <f t="shared" si="0"/>
        <v>425.74559999999997</v>
      </c>
      <c r="V22" s="200">
        <f t="shared" si="1"/>
        <v>0</v>
      </c>
      <c r="W22" s="199">
        <f t="shared" si="2"/>
        <v>0</v>
      </c>
      <c r="Y22" s="274"/>
      <c r="Z22" s="274"/>
      <c r="AA22" s="250"/>
      <c r="AB22" s="275"/>
      <c r="AC22" s="275"/>
      <c r="AD22" s="275"/>
      <c r="AE22" s="275"/>
      <c r="AF22" s="275"/>
      <c r="AG22" s="275"/>
      <c r="AH22" s="275"/>
    </row>
    <row r="23" spans="2:34" x14ac:dyDescent="0.35">
      <c r="B23" s="233">
        <v>0</v>
      </c>
      <c r="C23" s="233">
        <v>14.3</v>
      </c>
      <c r="D23" s="233">
        <f>C23+0.1</f>
        <v>14.4</v>
      </c>
      <c r="E23" s="233">
        <v>17.8</v>
      </c>
      <c r="F23" s="233">
        <f>E23+0.1</f>
        <v>17.900000000000002</v>
      </c>
      <c r="G23" s="265">
        <v>22.6</v>
      </c>
      <c r="K23" s="200"/>
      <c r="L23" s="199"/>
      <c r="N23" s="192" t="b">
        <v>0</v>
      </c>
      <c r="O23" t="s">
        <v>77</v>
      </c>
      <c r="Q23" s="310">
        <f>U23/H6</f>
        <v>3.6967003687403359</v>
      </c>
      <c r="R23" s="197">
        <v>2</v>
      </c>
      <c r="T23" s="201">
        <v>62156.32</v>
      </c>
      <c r="U23" s="201">
        <f t="shared" si="0"/>
        <v>310.78160000000003</v>
      </c>
      <c r="V23" s="200">
        <f t="shared" si="1"/>
        <v>0</v>
      </c>
      <c r="W23" s="199">
        <f t="shared" si="2"/>
        <v>0</v>
      </c>
    </row>
    <row r="24" spans="2:34" x14ac:dyDescent="0.35">
      <c r="B24" s="417" t="s">
        <v>395</v>
      </c>
      <c r="C24" s="417"/>
      <c r="D24" s="411" t="s">
        <v>396</v>
      </c>
      <c r="E24" s="411"/>
      <c r="F24" s="418" t="s">
        <v>397</v>
      </c>
      <c r="G24" s="419"/>
      <c r="H24" s="32"/>
      <c r="K24" s="200"/>
      <c r="L24" s="199"/>
      <c r="N24" s="192" t="b">
        <v>0</v>
      </c>
      <c r="O24" t="s">
        <v>138</v>
      </c>
      <c r="Q24" s="310">
        <f>U24/H6</f>
        <v>7.3246639705007732</v>
      </c>
      <c r="R24" s="197">
        <v>1</v>
      </c>
      <c r="T24" s="201">
        <v>123156.9</v>
      </c>
      <c r="U24" s="201">
        <f t="shared" si="0"/>
        <v>615.78449999999998</v>
      </c>
      <c r="V24" s="200">
        <f t="shared" si="1"/>
        <v>0</v>
      </c>
      <c r="W24" s="199">
        <f t="shared" si="2"/>
        <v>0</v>
      </c>
    </row>
    <row r="25" spans="2:34" x14ac:dyDescent="0.35">
      <c r="B25" s="32"/>
      <c r="C25" s="266"/>
      <c r="D25" s="32"/>
      <c r="E25" s="32"/>
      <c r="G25" s="259"/>
      <c r="I25" s="203"/>
      <c r="J25" s="203"/>
      <c r="K25" s="200"/>
      <c r="L25" s="199"/>
      <c r="N25" s="192" t="b">
        <v>0</v>
      </c>
      <c r="O25" t="s">
        <v>139</v>
      </c>
      <c r="Q25" s="310">
        <f>U25/H6</f>
        <v>4.7420714880456769</v>
      </c>
      <c r="R25" s="197">
        <v>2</v>
      </c>
      <c r="T25" s="201">
        <v>79733.19</v>
      </c>
      <c r="U25" s="201">
        <f t="shared" si="0"/>
        <v>398.66595000000001</v>
      </c>
      <c r="V25" s="200">
        <f t="shared" si="1"/>
        <v>0</v>
      </c>
      <c r="W25" s="199">
        <f t="shared" si="2"/>
        <v>0</v>
      </c>
    </row>
    <row r="26" spans="2:34" x14ac:dyDescent="0.35">
      <c r="B26" s="32"/>
      <c r="C26" s="258"/>
      <c r="D26" s="59" t="s">
        <v>398</v>
      </c>
      <c r="F26" s="32">
        <f>SUM(L15:L17)</f>
        <v>0</v>
      </c>
      <c r="G26" s="259"/>
      <c r="I26" s="203"/>
      <c r="J26" s="203"/>
      <c r="K26" s="200"/>
      <c r="L26" s="199"/>
      <c r="N26" s="192" t="b">
        <v>0</v>
      </c>
      <c r="O26" t="s">
        <v>140</v>
      </c>
      <c r="Q26" s="310">
        <f>U26/H6</f>
        <v>7.3246639705007732</v>
      </c>
      <c r="R26" s="197">
        <v>3</v>
      </c>
      <c r="T26" s="201">
        <f>208306.02-T22</f>
        <v>123156.9</v>
      </c>
      <c r="U26" s="201">
        <f t="shared" si="0"/>
        <v>615.78449999999998</v>
      </c>
      <c r="V26" s="200">
        <f t="shared" si="1"/>
        <v>0</v>
      </c>
      <c r="W26" s="199">
        <f t="shared" si="2"/>
        <v>0</v>
      </c>
    </row>
    <row r="27" spans="2:34" x14ac:dyDescent="0.35">
      <c r="B27" s="32"/>
      <c r="C27" s="258"/>
      <c r="D27" s="406" t="s">
        <v>399</v>
      </c>
      <c r="E27" s="406"/>
      <c r="F27" s="232" t="str">
        <f>IF(F26=0,"-",IF(F26=1,"VLC1",IF(F26=2,"VLC2",IF(F26=3,"VLC3"))))</f>
        <v>-</v>
      </c>
      <c r="G27" s="259"/>
      <c r="I27" s="203"/>
      <c r="J27" s="203"/>
      <c r="K27" s="200"/>
      <c r="L27" s="199"/>
      <c r="N27" s="192" t="b">
        <v>0</v>
      </c>
      <c r="O27" s="405" t="s">
        <v>143</v>
      </c>
      <c r="P27" s="405"/>
      <c r="Q27" s="310">
        <f>U27/H6</f>
        <v>4.8801659331509457</v>
      </c>
      <c r="R27" s="197">
        <v>2</v>
      </c>
      <c r="T27" s="201">
        <v>82055.11</v>
      </c>
      <c r="U27" s="201">
        <f t="shared" si="0"/>
        <v>410.27555000000001</v>
      </c>
      <c r="V27" s="200">
        <f t="shared" si="1"/>
        <v>0</v>
      </c>
      <c r="W27" s="199">
        <f t="shared" si="2"/>
        <v>0</v>
      </c>
    </row>
    <row r="28" spans="2:34" x14ac:dyDescent="0.35">
      <c r="B28" s="32"/>
      <c r="C28" s="258"/>
      <c r="F28"/>
      <c r="G28" s="264"/>
      <c r="I28" s="203"/>
      <c r="J28" s="203"/>
      <c r="K28" s="200"/>
      <c r="L28" s="199"/>
      <c r="R28"/>
      <c r="T28" s="201"/>
      <c r="U28" s="201"/>
      <c r="V28" s="200"/>
      <c r="W28" s="199"/>
    </row>
    <row r="29" spans="2:34" x14ac:dyDescent="0.35">
      <c r="B29" s="32"/>
      <c r="C29" s="258"/>
      <c r="D29" s="410" t="s">
        <v>400</v>
      </c>
      <c r="E29" s="410"/>
      <c r="F29" s="410"/>
      <c r="G29" s="264"/>
      <c r="I29" s="203"/>
      <c r="J29" s="203"/>
      <c r="K29" s="200"/>
      <c r="L29" s="199"/>
      <c r="R29"/>
      <c r="T29" s="201"/>
      <c r="U29" s="201"/>
      <c r="V29" s="200"/>
      <c r="W29" s="199"/>
    </row>
    <row r="30" spans="2:34" x14ac:dyDescent="0.35">
      <c r="B30" s="32"/>
      <c r="C30" s="258"/>
      <c r="D30" s="233">
        <v>1</v>
      </c>
      <c r="E30" s="233">
        <v>2</v>
      </c>
      <c r="F30" s="233">
        <v>3</v>
      </c>
      <c r="G30" s="265"/>
      <c r="I30" s="203"/>
      <c r="J30" s="203"/>
      <c r="K30" s="200"/>
      <c r="L30" s="199"/>
      <c r="O30" s="406" t="s">
        <v>391</v>
      </c>
      <c r="P30" s="406"/>
      <c r="Q30" s="218">
        <f>SUM(V10:V27)</f>
        <v>16.365384798382301</v>
      </c>
      <c r="R30"/>
      <c r="T30" s="201"/>
      <c r="U30" s="201"/>
      <c r="V30" s="200"/>
      <c r="W30" s="199"/>
    </row>
    <row r="31" spans="2:34" x14ac:dyDescent="0.35">
      <c r="B31" s="32"/>
      <c r="C31" s="258"/>
      <c r="D31" s="229" t="s">
        <v>401</v>
      </c>
      <c r="E31" s="230" t="s">
        <v>402</v>
      </c>
      <c r="F31" s="267" t="s">
        <v>403</v>
      </c>
      <c r="G31" s="259"/>
      <c r="I31" s="203"/>
      <c r="J31" s="203"/>
      <c r="K31" s="200"/>
      <c r="L31" s="199"/>
      <c r="O31" s="406" t="s">
        <v>392</v>
      </c>
      <c r="P31" s="406"/>
      <c r="Q31" s="234" t="str">
        <f>IF(Q30&lt;=N34,"LZ 1",IF(Q30&lt;=P34,"LZ 2",IF(Q30&lt;=R34,"LZ 3",IF(Q30&gt;=S34,"LZ 4"))))</f>
        <v>LZ 2</v>
      </c>
      <c r="R31"/>
      <c r="T31" s="201"/>
      <c r="U31" s="201"/>
      <c r="V31" s="200"/>
      <c r="W31" s="199"/>
    </row>
    <row r="32" spans="2:34" x14ac:dyDescent="0.35">
      <c r="B32" s="32"/>
      <c r="C32" s="266"/>
      <c r="D32" s="32"/>
      <c r="E32" s="32"/>
      <c r="G32" s="259"/>
      <c r="I32" s="203"/>
      <c r="J32" s="203"/>
      <c r="K32" s="200"/>
      <c r="L32" s="199"/>
      <c r="R32"/>
      <c r="T32" s="201"/>
      <c r="U32" s="201"/>
      <c r="V32" s="200"/>
      <c r="W32" s="199"/>
    </row>
    <row r="33" spans="2:23" x14ac:dyDescent="0.35">
      <c r="B33" s="32"/>
      <c r="C33" s="266"/>
      <c r="D33" s="32"/>
      <c r="E33" s="32"/>
      <c r="G33" s="259"/>
      <c r="I33" s="203"/>
      <c r="J33" s="203"/>
      <c r="K33" s="200"/>
      <c r="L33" s="199"/>
      <c r="N33" s="372" t="s">
        <v>404</v>
      </c>
      <c r="O33" s="372"/>
      <c r="P33" s="372"/>
      <c r="Q33" s="372"/>
      <c r="R33" s="372"/>
      <c r="S33" s="372"/>
      <c r="T33" s="201"/>
      <c r="U33" s="201"/>
      <c r="V33" s="200"/>
      <c r="W33" s="199"/>
    </row>
    <row r="34" spans="2:23" ht="15" thickBot="1" x14ac:dyDescent="0.4">
      <c r="B34" s="32"/>
      <c r="C34" s="268"/>
      <c r="D34" s="269"/>
      <c r="E34" s="269"/>
      <c r="F34" s="269"/>
      <c r="G34" s="270"/>
      <c r="I34" s="203"/>
      <c r="J34" s="203"/>
      <c r="K34" s="200"/>
      <c r="L34" s="199"/>
      <c r="N34" s="233">
        <f>V38</f>
        <v>10.7053645771381</v>
      </c>
      <c r="O34" s="233">
        <f>N34+0.1</f>
        <v>10.8053645771381</v>
      </c>
      <c r="P34" s="233">
        <f>V39</f>
        <v>21.410729154276201</v>
      </c>
      <c r="Q34" s="233">
        <f>P34+0.1</f>
        <v>21.510729154276202</v>
      </c>
      <c r="R34" s="233">
        <f>V40</f>
        <v>28.547638872368267</v>
      </c>
      <c r="S34" s="233">
        <f>R34+0.1</f>
        <v>28.647638872368269</v>
      </c>
      <c r="T34"/>
      <c r="U34"/>
    </row>
    <row r="35" spans="2:23" x14ac:dyDescent="0.35">
      <c r="C35" s="403" t="s">
        <v>34</v>
      </c>
      <c r="D35" s="403"/>
      <c r="E35" s="403"/>
      <c r="F35" s="403"/>
      <c r="G35" s="403"/>
      <c r="K35" s="200"/>
      <c r="L35" s="199"/>
      <c r="N35" s="223" t="s">
        <v>405</v>
      </c>
      <c r="O35" s="411" t="s">
        <v>406</v>
      </c>
      <c r="P35" s="411"/>
      <c r="Q35" s="412" t="s">
        <v>407</v>
      </c>
      <c r="R35" s="412"/>
      <c r="S35" s="216" t="s">
        <v>408</v>
      </c>
    </row>
    <row r="36" spans="2:23" x14ac:dyDescent="0.35">
      <c r="K36" s="200"/>
      <c r="L36" s="199"/>
    </row>
    <row r="37" spans="2:23" x14ac:dyDescent="0.35">
      <c r="C37" s="413" t="s">
        <v>409</v>
      </c>
      <c r="D37" s="413"/>
      <c r="J37" s="282"/>
      <c r="K37" s="200"/>
      <c r="L37" s="199"/>
    </row>
    <row r="38" spans="2:23" x14ac:dyDescent="0.35">
      <c r="C38" s="192" t="b">
        <v>0</v>
      </c>
      <c r="D38" s="404" t="s">
        <v>155</v>
      </c>
      <c r="E38" s="414"/>
      <c r="F38" s="204">
        <f>J38</f>
        <v>6.3161651005114789</v>
      </c>
      <c r="G38" s="197">
        <v>1</v>
      </c>
      <c r="I38" s="202">
        <v>531</v>
      </c>
      <c r="J38" s="283">
        <f>I38/H$6</f>
        <v>6.3161651005114789</v>
      </c>
      <c r="K38" s="200">
        <f>IF(C38=TRUE,F38,0)</f>
        <v>0</v>
      </c>
      <c r="L38" s="199">
        <f>IF(C38=TRUE,G38,0)</f>
        <v>0</v>
      </c>
      <c r="O38" s="406" t="s">
        <v>398</v>
      </c>
      <c r="P38" s="406"/>
      <c r="Q38" s="218">
        <f>SUM(W10:W27)</f>
        <v>3</v>
      </c>
      <c r="T38" s="199" t="s">
        <v>2</v>
      </c>
      <c r="U38" s="202">
        <v>900</v>
      </c>
      <c r="V38" s="221">
        <f>U38/H6</f>
        <v>10.7053645771381</v>
      </c>
    </row>
    <row r="39" spans="2:23" x14ac:dyDescent="0.35">
      <c r="C39" s="192" t="b">
        <v>1</v>
      </c>
      <c r="D39" s="404" t="s">
        <v>410</v>
      </c>
      <c r="E39" s="414"/>
      <c r="F39" s="204">
        <f>J39</f>
        <v>28.892589508742716</v>
      </c>
      <c r="G39" s="197">
        <v>3</v>
      </c>
      <c r="I39" s="202">
        <v>2429</v>
      </c>
      <c r="J39" s="283">
        <f>I39/H$6</f>
        <v>28.892589508742716</v>
      </c>
      <c r="K39" s="221">
        <f>IF(C39=TRUE,F39,0)</f>
        <v>28.892589508742716</v>
      </c>
      <c r="L39" s="199">
        <f>IF(C39=TRUE,G39,0)</f>
        <v>3</v>
      </c>
      <c r="O39" s="406" t="s">
        <v>411</v>
      </c>
      <c r="P39" s="406"/>
      <c r="Q39" s="1">
        <f>COUNTIF(N10:N27,TRUE)</f>
        <v>1</v>
      </c>
      <c r="T39" s="199" t="s">
        <v>3</v>
      </c>
      <c r="U39" s="202">
        <v>1800</v>
      </c>
      <c r="V39" s="221">
        <f>U39/H6</f>
        <v>21.410729154276201</v>
      </c>
    </row>
    <row r="40" spans="2:23" x14ac:dyDescent="0.35">
      <c r="D40" s="193"/>
      <c r="E40" s="193"/>
      <c r="F40" s="205"/>
      <c r="J40" s="283"/>
      <c r="K40" s="200"/>
      <c r="L40" s="199"/>
      <c r="O40" s="406" t="s">
        <v>412</v>
      </c>
      <c r="P40" s="406"/>
      <c r="Q40" s="217">
        <f>Q38/Q39</f>
        <v>3</v>
      </c>
      <c r="T40" s="199" t="s">
        <v>4</v>
      </c>
      <c r="U40" s="202">
        <v>2400</v>
      </c>
      <c r="V40" s="221">
        <f>U40/H6</f>
        <v>28.547638872368267</v>
      </c>
    </row>
    <row r="41" spans="2:23" x14ac:dyDescent="0.35">
      <c r="C41" s="413" t="s">
        <v>299</v>
      </c>
      <c r="D41" s="413"/>
      <c r="E41" s="193"/>
      <c r="F41" s="205"/>
      <c r="J41" s="283"/>
      <c r="K41" s="200"/>
      <c r="L41" s="199"/>
      <c r="O41" s="406" t="s">
        <v>399</v>
      </c>
      <c r="P41" s="406"/>
      <c r="Q41" s="234" t="str">
        <f>IF(Q40&lt;=1,"VLC 1",IF(Q40&lt;=2,"VLC 2",IF(Q40&lt;=3,"VLC 3")))</f>
        <v>VLC 3</v>
      </c>
    </row>
    <row r="42" spans="2:23" x14ac:dyDescent="0.35">
      <c r="C42" s="192" t="b">
        <v>0</v>
      </c>
      <c r="D42" s="404" t="s">
        <v>155</v>
      </c>
      <c r="E42" s="404"/>
      <c r="F42" s="204">
        <f>J42</f>
        <v>0.8326394671107411</v>
      </c>
      <c r="G42" s="197">
        <v>1</v>
      </c>
      <c r="I42" s="202">
        <v>70</v>
      </c>
      <c r="J42" s="283">
        <f>I42/H$6</f>
        <v>0.8326394671107411</v>
      </c>
      <c r="K42" s="200">
        <f>IF(C42=TRUE,F42,0)</f>
        <v>0</v>
      </c>
      <c r="L42" s="199">
        <f>IF(C42=TRUE,G42,0)</f>
        <v>0</v>
      </c>
    </row>
    <row r="43" spans="2:23" x14ac:dyDescent="0.35">
      <c r="C43" s="192" t="b">
        <v>1</v>
      </c>
      <c r="D43" s="404" t="s">
        <v>413</v>
      </c>
      <c r="E43" s="404"/>
      <c r="F43" s="204">
        <f>J43</f>
        <v>3.104555727370049</v>
      </c>
      <c r="G43" s="197">
        <v>3</v>
      </c>
      <c r="I43" s="202">
        <v>261</v>
      </c>
      <c r="J43" s="283">
        <f>I43/H$6</f>
        <v>3.104555727370049</v>
      </c>
      <c r="K43" s="221">
        <f>IF(C43=TRUE,F43,0)</f>
        <v>3.104555727370049</v>
      </c>
      <c r="L43" s="199">
        <f>IF(C43=TRUE,G43,0)</f>
        <v>3</v>
      </c>
      <c r="M43" s="226"/>
      <c r="O43" s="224" t="s">
        <v>414</v>
      </c>
      <c r="P43" s="224"/>
      <c r="Q43" s="224"/>
    </row>
    <row r="44" spans="2:23" x14ac:dyDescent="0.35">
      <c r="J44" s="283"/>
      <c r="K44" s="200"/>
      <c r="L44" s="199"/>
      <c r="O44" s="233" t="s">
        <v>415</v>
      </c>
      <c r="P44" s="233" t="s">
        <v>416</v>
      </c>
      <c r="Q44" s="233" t="s">
        <v>417</v>
      </c>
    </row>
    <row r="45" spans="2:23" x14ac:dyDescent="0.35">
      <c r="C45" s="413" t="s">
        <v>418</v>
      </c>
      <c r="D45" s="413"/>
      <c r="J45" s="283"/>
      <c r="K45" s="200"/>
      <c r="L45" s="199"/>
      <c r="O45" s="229" t="s">
        <v>419</v>
      </c>
      <c r="P45" s="230" t="s">
        <v>402</v>
      </c>
      <c r="Q45" s="195" t="s">
        <v>403</v>
      </c>
      <c r="R45"/>
      <c r="S45" s="199"/>
    </row>
    <row r="46" spans="2:23" x14ac:dyDescent="0.35">
      <c r="C46" s="192" t="b">
        <v>0</v>
      </c>
      <c r="D46" s="404" t="s">
        <v>359</v>
      </c>
      <c r="E46" s="404"/>
      <c r="F46" s="204">
        <f>J46</f>
        <v>7.2082788152729877</v>
      </c>
      <c r="G46" s="197">
        <v>2</v>
      </c>
      <c r="I46" s="202">
        <v>606</v>
      </c>
      <c r="J46" s="283">
        <f>I46/H$6</f>
        <v>7.2082788152729877</v>
      </c>
      <c r="K46" s="200">
        <f>IF(C46=TRUE,F46,0)</f>
        <v>0</v>
      </c>
      <c r="L46" s="199">
        <f>IF(C46=TRUE,G46,0)</f>
        <v>0</v>
      </c>
      <c r="V46" s="200"/>
      <c r="W46" s="199"/>
    </row>
    <row r="47" spans="2:23" x14ac:dyDescent="0.35">
      <c r="C47" s="192" t="b">
        <v>1</v>
      </c>
      <c r="D47" s="404" t="s">
        <v>360</v>
      </c>
      <c r="E47" s="404"/>
      <c r="F47" s="204">
        <f>J47</f>
        <v>10.800523373379328</v>
      </c>
      <c r="G47" s="197">
        <v>3</v>
      </c>
      <c r="I47" s="202">
        <v>908</v>
      </c>
      <c r="J47" s="283">
        <f>I47/H$6</f>
        <v>10.800523373379328</v>
      </c>
      <c r="K47" s="221">
        <f>IF(C47=TRUE,F47,0)</f>
        <v>10.800523373379328</v>
      </c>
      <c r="L47" s="199">
        <f>IF(C47=TRUE,G47,0)</f>
        <v>3</v>
      </c>
      <c r="V47" s="200"/>
      <c r="W47" s="199"/>
    </row>
    <row r="48" spans="2:23" x14ac:dyDescent="0.35">
      <c r="J48" s="283"/>
      <c r="K48" s="200"/>
      <c r="L48" s="199"/>
      <c r="W48" s="215"/>
    </row>
    <row r="49" spans="3:23" x14ac:dyDescent="0.35">
      <c r="C49" s="45" t="s">
        <v>158</v>
      </c>
      <c r="J49" s="283"/>
      <c r="K49" s="200"/>
      <c r="L49" s="199"/>
      <c r="W49" s="215"/>
    </row>
    <row r="50" spans="3:23" x14ac:dyDescent="0.35">
      <c r="C50" s="192" t="b">
        <v>0</v>
      </c>
      <c r="D50" s="404" t="s">
        <v>420</v>
      </c>
      <c r="E50" s="404"/>
      <c r="F50" s="204">
        <f>J50</f>
        <v>5.9550374687760206</v>
      </c>
      <c r="G50" s="197">
        <v>1</v>
      </c>
      <c r="I50" s="202">
        <v>500.64</v>
      </c>
      <c r="J50" s="283">
        <f>I50/H$6</f>
        <v>5.9550374687760206</v>
      </c>
      <c r="K50" s="200">
        <f>IF(C50=TRUE,F50,0)</f>
        <v>0</v>
      </c>
      <c r="L50" s="199">
        <f>IF(C50=TRUE,G50,0)</f>
        <v>0</v>
      </c>
      <c r="W50" s="215"/>
    </row>
    <row r="51" spans="3:23" x14ac:dyDescent="0.35">
      <c r="C51" s="192" t="b">
        <v>1</v>
      </c>
      <c r="D51" s="404" t="s">
        <v>421</v>
      </c>
      <c r="E51" s="404"/>
      <c r="F51" s="204">
        <f>J51</f>
        <v>11.13012965385988</v>
      </c>
      <c r="G51" s="197">
        <v>2</v>
      </c>
      <c r="I51" s="202">
        <v>935.71</v>
      </c>
      <c r="J51" s="283">
        <f>I51/H$6</f>
        <v>11.13012965385988</v>
      </c>
      <c r="K51" s="221">
        <f>IF(C51=TRUE,F51,0)</f>
        <v>11.13012965385988</v>
      </c>
      <c r="L51" s="199">
        <f>IF(C51=TRUE,G51,0)</f>
        <v>2</v>
      </c>
      <c r="V51" s="200"/>
      <c r="W51" s="199"/>
    </row>
    <row r="52" spans="3:23" x14ac:dyDescent="0.35">
      <c r="J52" s="283"/>
      <c r="K52" s="200"/>
      <c r="L52" s="199"/>
      <c r="V52" s="200"/>
      <c r="W52" s="199"/>
    </row>
    <row r="53" spans="3:23" x14ac:dyDescent="0.35">
      <c r="C53" s="45" t="s">
        <v>197</v>
      </c>
      <c r="J53" s="283"/>
      <c r="K53" s="200"/>
      <c r="L53" s="199"/>
      <c r="V53" s="200"/>
      <c r="W53" s="199"/>
    </row>
    <row r="54" spans="3:23" x14ac:dyDescent="0.35">
      <c r="C54" s="192" t="b">
        <v>0</v>
      </c>
      <c r="D54" s="404" t="s">
        <v>167</v>
      </c>
      <c r="E54" s="404"/>
      <c r="F54" s="204">
        <f>J54</f>
        <v>4.4010943261567741</v>
      </c>
      <c r="G54" s="196">
        <v>1</v>
      </c>
      <c r="I54" s="202">
        <v>370</v>
      </c>
      <c r="J54" s="283">
        <f>I54/H$6</f>
        <v>4.4010943261567741</v>
      </c>
      <c r="K54" s="200">
        <f>IF(C54=TRUE,F54,0)</f>
        <v>0</v>
      </c>
      <c r="L54" s="199">
        <f>IF(C54=TRUE,G54,0)</f>
        <v>0</v>
      </c>
      <c r="V54" s="200"/>
      <c r="W54" s="199"/>
    </row>
    <row r="55" spans="3:23" x14ac:dyDescent="0.35">
      <c r="C55" s="192" t="b">
        <v>1</v>
      </c>
      <c r="D55" s="404" t="s">
        <v>168</v>
      </c>
      <c r="E55" s="404"/>
      <c r="F55" s="204">
        <f>J55</f>
        <v>11.062210063042704</v>
      </c>
      <c r="G55" s="196">
        <v>1</v>
      </c>
      <c r="I55" s="202">
        <v>930</v>
      </c>
      <c r="J55" s="283">
        <f>I55/H$6</f>
        <v>11.062210063042704</v>
      </c>
      <c r="K55" s="221">
        <f>IF(C55=TRUE,F55,0)</f>
        <v>11.062210063042704</v>
      </c>
      <c r="L55" s="199">
        <f>IF(C55=TRUE,G55,0)</f>
        <v>1</v>
      </c>
      <c r="V55" s="200"/>
      <c r="W55" s="199"/>
    </row>
    <row r="56" spans="3:23" x14ac:dyDescent="0.35">
      <c r="J56" s="283"/>
      <c r="K56" s="200"/>
      <c r="L56" s="199"/>
      <c r="V56" s="200"/>
      <c r="W56" s="199"/>
    </row>
    <row r="57" spans="3:23" x14ac:dyDescent="0.35">
      <c r="C57" s="45" t="s">
        <v>53</v>
      </c>
      <c r="J57" s="283"/>
      <c r="K57" s="200"/>
      <c r="L57" s="199"/>
      <c r="V57" s="200"/>
      <c r="W57" s="199"/>
    </row>
    <row r="58" spans="3:23" x14ac:dyDescent="0.35">
      <c r="C58" s="192" t="b">
        <v>0</v>
      </c>
      <c r="D58" s="404" t="s">
        <v>170</v>
      </c>
      <c r="E58" s="404"/>
      <c r="F58" s="204">
        <f>J58</f>
        <v>1.0943261567741169</v>
      </c>
      <c r="G58" s="196">
        <v>2</v>
      </c>
      <c r="I58" s="202">
        <v>92</v>
      </c>
      <c r="J58" s="283">
        <f>I58/H$6</f>
        <v>1.0943261567741169</v>
      </c>
      <c r="K58" s="200">
        <f>IF(C58=TRUE,F58,0)</f>
        <v>0</v>
      </c>
      <c r="L58" s="199">
        <f>IF(C58=TRUE,G58,0)</f>
        <v>0</v>
      </c>
      <c r="V58" s="200"/>
      <c r="W58" s="199"/>
    </row>
    <row r="59" spans="3:23" x14ac:dyDescent="0.35">
      <c r="C59" s="192" t="b">
        <v>1</v>
      </c>
      <c r="D59" s="404" t="s">
        <v>171</v>
      </c>
      <c r="E59" s="404"/>
      <c r="F59" s="204">
        <f>J59</f>
        <v>2.9023432853574405</v>
      </c>
      <c r="G59" s="196">
        <v>2</v>
      </c>
      <c r="I59" s="202">
        <v>244</v>
      </c>
      <c r="J59" s="283">
        <f>I59/H$6</f>
        <v>2.9023432853574405</v>
      </c>
      <c r="K59" s="221">
        <f>IF(C59=TRUE,F59,0)</f>
        <v>2.9023432853574405</v>
      </c>
      <c r="L59" s="199">
        <f>IF(C59=TRUE,G59,0)</f>
        <v>2</v>
      </c>
      <c r="V59" s="200"/>
      <c r="W59" s="199"/>
    </row>
    <row r="60" spans="3:23" x14ac:dyDescent="0.35">
      <c r="J60" s="279"/>
      <c r="P60" s="373"/>
      <c r="Q60" s="373"/>
    </row>
    <row r="61" spans="3:23" x14ac:dyDescent="0.35">
      <c r="D61" s="406" t="s">
        <v>391</v>
      </c>
      <c r="E61" s="406"/>
      <c r="F61" s="218">
        <f>SUM(K38:K59)</f>
        <v>67.892351611752119</v>
      </c>
      <c r="P61" s="109"/>
      <c r="Q61" s="109"/>
    </row>
    <row r="62" spans="3:23" x14ac:dyDescent="0.35">
      <c r="D62" s="406" t="s">
        <v>422</v>
      </c>
      <c r="E62" s="406"/>
      <c r="F62" s="232" t="str">
        <f>IF(F61&lt;=C71,"ACAB 1",IF(F61&lt;=E71,"ACAB 2",IF(F61&gt;=F71,"ACAB 3")))</f>
        <v>ACAB 3</v>
      </c>
      <c r="J62" s="199"/>
      <c r="K62" s="182"/>
      <c r="Q62" s="109"/>
    </row>
    <row r="63" spans="3:23" x14ac:dyDescent="0.35">
      <c r="J63" s="199"/>
      <c r="K63" s="182"/>
    </row>
    <row r="64" spans="3:23" x14ac:dyDescent="0.35">
      <c r="C64" s="202"/>
      <c r="D64" s="415"/>
      <c r="E64" s="415"/>
      <c r="F64" s="219"/>
      <c r="G64" s="416"/>
      <c r="H64" s="416"/>
      <c r="J64" s="199"/>
    </row>
    <row r="65" spans="2:14" x14ac:dyDescent="0.35">
      <c r="C65" s="287" t="s">
        <v>2</v>
      </c>
      <c r="D65" s="290">
        <f>SUM(F38,F42,F46,F50,F54,F58)</f>
        <v>25.807541334602117</v>
      </c>
      <c r="E65" s="422">
        <v>40.049999999999997</v>
      </c>
      <c r="F65" s="286"/>
      <c r="G65" s="221"/>
      <c r="H65" s="215"/>
      <c r="J65" s="199"/>
    </row>
    <row r="66" spans="2:14" x14ac:dyDescent="0.35">
      <c r="C66" s="287" t="s">
        <v>3</v>
      </c>
      <c r="D66" s="290">
        <f>SUM(F39,F43,F47,F50,F54,F58)</f>
        <v>54.248126561199001</v>
      </c>
      <c r="E66" s="422"/>
      <c r="F66" s="423">
        <v>61.1</v>
      </c>
      <c r="G66" s="221"/>
      <c r="H66" s="222"/>
      <c r="I66" s="199"/>
      <c r="J66" s="199"/>
      <c r="K66" s="109"/>
      <c r="L66" s="109"/>
    </row>
    <row r="67" spans="2:14" x14ac:dyDescent="0.35">
      <c r="C67" s="287" t="s">
        <v>4</v>
      </c>
      <c r="D67" s="290">
        <f>SUM(F59,F55,F51,F47,F43,F39)</f>
        <v>67.892351611752119</v>
      </c>
      <c r="E67" s="285"/>
      <c r="F67" s="423"/>
      <c r="G67" s="221"/>
      <c r="H67" s="222"/>
      <c r="I67" s="199"/>
      <c r="J67" s="199"/>
      <c r="K67" s="109"/>
      <c r="L67" s="109"/>
    </row>
    <row r="68" spans="2:14" x14ac:dyDescent="0.35">
      <c r="C68" s="199"/>
      <c r="D68" s="220"/>
      <c r="E68" s="220"/>
      <c r="F68" s="221"/>
      <c r="G68" s="221"/>
      <c r="H68" s="222"/>
      <c r="I68" s="199"/>
      <c r="J68" s="199"/>
      <c r="K68" s="109"/>
      <c r="L68" s="109"/>
    </row>
    <row r="69" spans="2:14" x14ac:dyDescent="0.35">
      <c r="B69" s="225" t="s">
        <v>424</v>
      </c>
      <c r="C69" s="225"/>
      <c r="D69" s="225"/>
      <c r="E69" s="225"/>
      <c r="F69" s="225"/>
      <c r="G69" s="225"/>
      <c r="I69" s="199"/>
      <c r="J69" s="199"/>
      <c r="K69" s="109"/>
      <c r="L69" s="109"/>
    </row>
    <row r="70" spans="2:14" x14ac:dyDescent="0.35">
      <c r="B70" s="172"/>
      <c r="C70" s="172"/>
      <c r="D70" s="410" t="s">
        <v>394</v>
      </c>
      <c r="E70" s="410"/>
      <c r="F70" s="410"/>
      <c r="G70" s="172"/>
      <c r="I70" s="199"/>
      <c r="J70" s="199"/>
      <c r="K70" s="284"/>
      <c r="L70" s="109"/>
    </row>
    <row r="71" spans="2:14" x14ac:dyDescent="0.35">
      <c r="B71" s="233">
        <v>25.8</v>
      </c>
      <c r="C71" s="233">
        <v>40.5</v>
      </c>
      <c r="D71" s="233">
        <f>C71+0.1</f>
        <v>40.6</v>
      </c>
      <c r="E71" s="233">
        <v>61.1</v>
      </c>
      <c r="F71" s="233">
        <f>E71+0.1</f>
        <v>61.2</v>
      </c>
      <c r="G71" s="233">
        <v>67.900000000000006</v>
      </c>
      <c r="I71" s="40"/>
      <c r="J71" s="40"/>
      <c r="K71" s="199"/>
      <c r="L71" s="200"/>
      <c r="M71" s="1"/>
      <c r="N71" s="217"/>
    </row>
    <row r="72" spans="2:14" x14ac:dyDescent="0.35">
      <c r="B72" s="417" t="s">
        <v>425</v>
      </c>
      <c r="C72" s="417"/>
      <c r="D72" s="411" t="s">
        <v>426</v>
      </c>
      <c r="E72" s="411"/>
      <c r="F72" s="412" t="s">
        <v>427</v>
      </c>
      <c r="G72" s="412"/>
      <c r="H72" s="32"/>
      <c r="I72" s="199"/>
      <c r="J72" s="199"/>
      <c r="K72" s="199"/>
      <c r="L72" s="200"/>
    </row>
    <row r="75" spans="2:14" x14ac:dyDescent="0.35">
      <c r="D75" s="406" t="s">
        <v>398</v>
      </c>
      <c r="E75" s="406"/>
      <c r="F75" s="218">
        <f>SUM(L38:L59)</f>
        <v>14</v>
      </c>
    </row>
    <row r="76" spans="2:14" x14ac:dyDescent="0.35">
      <c r="D76" s="406" t="s">
        <v>412</v>
      </c>
      <c r="E76" s="406"/>
      <c r="F76" s="218">
        <f>F75/6</f>
        <v>2.3333333333333335</v>
      </c>
    </row>
    <row r="77" spans="2:14" x14ac:dyDescent="0.35">
      <c r="D77" s="406" t="s">
        <v>422</v>
      </c>
      <c r="E77" s="406"/>
      <c r="F77" s="232" t="str">
        <f>IF(F76&lt;=1,"VLC 1",IF(F76&lt;=2,"VLC 2",IF(F76&lt;=3,"VLC 3")))</f>
        <v>VLC 3</v>
      </c>
    </row>
    <row r="79" spans="2:14" x14ac:dyDescent="0.35">
      <c r="D79" s="410" t="s">
        <v>414</v>
      </c>
      <c r="E79" s="410"/>
      <c r="F79" s="410"/>
      <c r="G79" s="225"/>
      <c r="H79" s="225"/>
      <c r="I79" s="225"/>
      <c r="J79" s="225"/>
    </row>
    <row r="80" spans="2:14" x14ac:dyDescent="0.35">
      <c r="C80" s="233"/>
      <c r="D80" s="233" t="s">
        <v>415</v>
      </c>
      <c r="E80" s="233" t="s">
        <v>416</v>
      </c>
      <c r="F80" s="233" t="s">
        <v>417</v>
      </c>
      <c r="G80" s="225"/>
      <c r="H80" s="225"/>
      <c r="I80" s="225"/>
      <c r="J80" s="225"/>
    </row>
    <row r="81" spans="3:18" x14ac:dyDescent="0.35">
      <c r="D81" s="229" t="s">
        <v>419</v>
      </c>
      <c r="E81" s="230" t="s">
        <v>402</v>
      </c>
      <c r="F81" s="195" t="s">
        <v>403</v>
      </c>
    </row>
    <row r="82" spans="3:18" x14ac:dyDescent="0.35">
      <c r="D82" s="231"/>
      <c r="E82" s="231"/>
      <c r="F82" s="231"/>
    </row>
    <row r="85" spans="3:18" x14ac:dyDescent="0.35">
      <c r="C85" s="403" t="s">
        <v>323</v>
      </c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</row>
    <row r="87" spans="3:18" x14ac:dyDescent="0.35">
      <c r="C87" s="406" t="s">
        <v>428</v>
      </c>
      <c r="D87" s="406"/>
      <c r="E87" s="406"/>
      <c r="F87" s="235">
        <f>SUM(F19,F61,Q30)</f>
        <v>84.257736410134413</v>
      </c>
      <c r="G87" s="391"/>
      <c r="H87" s="391"/>
    </row>
    <row r="88" spans="3:18" x14ac:dyDescent="0.35">
      <c r="C88" s="208" t="s">
        <v>429</v>
      </c>
      <c r="D88" s="208"/>
      <c r="E88" s="208"/>
      <c r="F88" s="235" t="str">
        <f>IF(F87&lt;=E97,"CONQUISTA",IF(F87&lt;=G97,"HARMONIA",IF(F87&gt;=H97,"BEM ESTAR",IF(F87&gt;M97,"RISCO"))))</f>
        <v>HARMONIA</v>
      </c>
      <c r="H88" s="32"/>
    </row>
    <row r="90" spans="3:18" x14ac:dyDescent="0.35">
      <c r="C90" s="238"/>
      <c r="D90" s="239" t="s">
        <v>430</v>
      </c>
      <c r="E90" s="239" t="s">
        <v>431</v>
      </c>
    </row>
    <row r="91" spans="3:18" x14ac:dyDescent="0.35">
      <c r="C91" s="238" t="s">
        <v>383</v>
      </c>
      <c r="D91" s="288">
        <f>SUM(C23,B71)</f>
        <v>40.1</v>
      </c>
      <c r="E91" s="288">
        <f>SUM(C23,C71,N34)</f>
        <v>65.505364577138096</v>
      </c>
    </row>
    <row r="92" spans="3:18" x14ac:dyDescent="0.35">
      <c r="C92" s="238" t="s">
        <v>432</v>
      </c>
      <c r="D92" s="288">
        <f>SUM(D23,D71,O34)</f>
        <v>65.805364577138107</v>
      </c>
      <c r="E92" s="288">
        <f>SUM(E23,E71,P34)</f>
        <v>100.3107291542762</v>
      </c>
    </row>
    <row r="93" spans="3:18" x14ac:dyDescent="0.35">
      <c r="C93" s="238" t="s">
        <v>388</v>
      </c>
      <c r="D93" s="288">
        <f>F23+F71+Q34</f>
        <v>100.61072915427621</v>
      </c>
      <c r="E93" s="288">
        <f>SUM(G23,G71,R34)</f>
        <v>119.04763887236827</v>
      </c>
    </row>
    <row r="95" spans="3:18" x14ac:dyDescent="0.35">
      <c r="D95" s="372" t="s">
        <v>433</v>
      </c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72"/>
    </row>
    <row r="96" spans="3:18" x14ac:dyDescent="0.35">
      <c r="D96" s="391" t="s">
        <v>383</v>
      </c>
      <c r="E96" s="391"/>
      <c r="F96" s="391" t="s">
        <v>432</v>
      </c>
      <c r="G96" s="391"/>
      <c r="H96" s="391" t="s">
        <v>388</v>
      </c>
      <c r="I96" s="391"/>
      <c r="J96" s="391"/>
      <c r="K96" s="391"/>
      <c r="L96" s="391"/>
      <c r="M96" s="391"/>
      <c r="N96" s="391" t="s">
        <v>434</v>
      </c>
      <c r="O96" s="391"/>
    </row>
    <row r="97" spans="3:24" x14ac:dyDescent="0.35">
      <c r="D97" s="272">
        <f>D91</f>
        <v>40.1</v>
      </c>
      <c r="E97" s="272">
        <f>E91</f>
        <v>65.505364577138096</v>
      </c>
      <c r="F97" s="272">
        <f>D92+0.1</f>
        <v>65.905364577138101</v>
      </c>
      <c r="G97" s="272">
        <f>E92</f>
        <v>100.3107291542762</v>
      </c>
      <c r="H97" s="272">
        <f>D93+0.1</f>
        <v>100.71072915427621</v>
      </c>
      <c r="I97" s="272"/>
      <c r="J97" s="272"/>
      <c r="K97" s="272"/>
      <c r="L97" s="272"/>
      <c r="M97" s="272">
        <f>E93</f>
        <v>119.04763887236827</v>
      </c>
      <c r="N97" s="420">
        <v>201</v>
      </c>
      <c r="O97" s="420"/>
    </row>
    <row r="98" spans="3:24" x14ac:dyDescent="0.35">
      <c r="D98" s="236"/>
      <c r="E98" s="236"/>
      <c r="F98" s="228"/>
      <c r="G98" s="228"/>
      <c r="H98" s="227"/>
      <c r="I98" s="237"/>
      <c r="J98" s="237"/>
      <c r="K98" s="227"/>
      <c r="L98" s="227"/>
      <c r="M98" s="227"/>
      <c r="N98" s="194"/>
      <c r="O98" s="194"/>
    </row>
    <row r="101" spans="3:24" x14ac:dyDescent="0.35">
      <c r="C101" s="406" t="s">
        <v>435</v>
      </c>
      <c r="D101" s="406"/>
      <c r="E101" s="406"/>
      <c r="F101" s="218">
        <f>SUM(F26,F76,Q40)/3</f>
        <v>1.7777777777777779</v>
      </c>
    </row>
    <row r="102" spans="3:24" x14ac:dyDescent="0.35">
      <c r="C102" s="406" t="s">
        <v>399</v>
      </c>
      <c r="D102" s="406"/>
      <c r="E102" s="406"/>
      <c r="F102" s="32" t="str">
        <f>IF(F101&lt;=E106,"BRONZE",IF(F101&lt;=G106,"PRATA",IF(F101&lt;=M106,"OURO")))</f>
        <v>PRATA</v>
      </c>
    </row>
    <row r="104" spans="3:24" x14ac:dyDescent="0.35">
      <c r="D104" s="372" t="s">
        <v>436</v>
      </c>
      <c r="E104" s="372"/>
      <c r="F104" s="372"/>
      <c r="G104" s="372"/>
      <c r="H104" s="372"/>
      <c r="I104" s="372"/>
      <c r="J104" s="372"/>
      <c r="K104" s="372"/>
      <c r="L104" s="372"/>
      <c r="M104" s="372"/>
    </row>
    <row r="105" spans="3:24" x14ac:dyDescent="0.35">
      <c r="D105" s="391" t="s">
        <v>437</v>
      </c>
      <c r="E105" s="391"/>
      <c r="F105" s="391" t="s">
        <v>384</v>
      </c>
      <c r="G105" s="391"/>
      <c r="H105" s="391" t="s">
        <v>389</v>
      </c>
      <c r="I105" s="391"/>
      <c r="J105" s="391"/>
      <c r="K105" s="391"/>
      <c r="L105" s="391"/>
      <c r="M105" s="391"/>
    </row>
    <row r="106" spans="3:24" x14ac:dyDescent="0.35">
      <c r="D106" s="233">
        <v>0</v>
      </c>
      <c r="E106" s="233">
        <v>1</v>
      </c>
      <c r="F106" s="233">
        <f>E106+0.1</f>
        <v>1.1000000000000001</v>
      </c>
      <c r="G106" s="233">
        <v>2</v>
      </c>
      <c r="H106" s="233">
        <f>G106+0.1</f>
        <v>2.1</v>
      </c>
      <c r="I106" s="233"/>
      <c r="J106" s="233"/>
      <c r="K106" s="233"/>
      <c r="L106" s="233"/>
      <c r="M106" s="233">
        <v>3</v>
      </c>
    </row>
    <row r="107" spans="3:24" x14ac:dyDescent="0.35">
      <c r="D107" s="243"/>
      <c r="E107" s="243"/>
      <c r="F107" s="240"/>
      <c r="G107" s="240"/>
      <c r="H107" s="241"/>
      <c r="I107" s="242"/>
      <c r="J107" s="242"/>
      <c r="K107" s="241"/>
      <c r="L107" s="241"/>
      <c r="M107" s="241"/>
    </row>
    <row r="110" spans="3:24" x14ac:dyDescent="0.35">
      <c r="C110" s="421"/>
      <c r="D110" s="421"/>
      <c r="E110" s="421"/>
      <c r="F110" s="421"/>
      <c r="G110" s="421"/>
      <c r="H110" s="421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</row>
    <row r="111" spans="3:24" x14ac:dyDescent="0.35"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9"/>
      <c r="N111" s="210"/>
      <c r="O111" s="209"/>
      <c r="P111" s="209"/>
      <c r="Q111" s="210"/>
      <c r="R111" s="207"/>
      <c r="S111" s="207"/>
      <c r="T111" s="207"/>
      <c r="U111" s="207"/>
      <c r="V111" s="207"/>
      <c r="W111" s="207"/>
      <c r="X111" s="207"/>
    </row>
    <row r="112" spans="3:24" x14ac:dyDescent="0.35"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10"/>
      <c r="N112" s="210"/>
      <c r="O112" s="209"/>
      <c r="P112" s="209"/>
      <c r="Q112" s="210"/>
      <c r="R112" s="207"/>
      <c r="S112" s="207"/>
      <c r="T112" s="207"/>
      <c r="U112" s="207"/>
      <c r="V112" s="207"/>
      <c r="W112" s="207"/>
      <c r="X112" s="207"/>
    </row>
    <row r="113" spans="3:24" x14ac:dyDescent="0.35"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11"/>
      <c r="N113" s="210"/>
      <c r="O113" s="211"/>
      <c r="P113" s="212"/>
      <c r="Q113" s="210"/>
      <c r="R113" s="207"/>
      <c r="S113" s="207"/>
      <c r="T113" s="207"/>
      <c r="U113" s="207"/>
      <c r="V113" s="207"/>
      <c r="W113" s="207"/>
      <c r="X113" s="207"/>
    </row>
    <row r="114" spans="3:24" x14ac:dyDescent="0.35"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11"/>
      <c r="N114" s="210"/>
      <c r="O114" s="211"/>
      <c r="P114" s="212"/>
      <c r="Q114" s="210"/>
      <c r="R114" s="207"/>
      <c r="S114" s="207"/>
      <c r="T114" s="207"/>
      <c r="U114" s="207"/>
      <c r="V114" s="207"/>
      <c r="W114" s="207"/>
      <c r="X114" s="207"/>
    </row>
    <row r="115" spans="3:24" x14ac:dyDescent="0.35"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11"/>
      <c r="N115" s="210"/>
      <c r="O115" s="211"/>
      <c r="P115" s="212"/>
      <c r="Q115" s="210"/>
      <c r="R115" s="207"/>
      <c r="S115" s="207"/>
      <c r="T115" s="207"/>
      <c r="U115" s="207"/>
      <c r="V115" s="207"/>
      <c r="W115" s="207"/>
      <c r="X115" s="207"/>
    </row>
    <row r="116" spans="3:24" x14ac:dyDescent="0.35">
      <c r="C116" s="421"/>
      <c r="D116" s="421"/>
      <c r="E116" s="421"/>
      <c r="F116" s="421"/>
      <c r="G116" s="421"/>
      <c r="H116" s="421"/>
      <c r="M116" s="213"/>
      <c r="N116" s="213"/>
      <c r="O116" s="213"/>
      <c r="P116" s="213"/>
      <c r="Q116" s="213"/>
    </row>
    <row r="117" spans="3:24" x14ac:dyDescent="0.35">
      <c r="C117" s="207"/>
      <c r="D117" s="207"/>
      <c r="E117" s="207"/>
      <c r="F117" s="207"/>
      <c r="G117" s="207"/>
      <c r="H117" s="207"/>
      <c r="M117" s="211"/>
      <c r="N117" s="210"/>
      <c r="O117" s="211"/>
      <c r="P117" s="212"/>
      <c r="Q117" s="213"/>
    </row>
    <row r="118" spans="3:24" x14ac:dyDescent="0.35">
      <c r="C118" s="207"/>
      <c r="D118" s="207"/>
      <c r="E118" s="207"/>
      <c r="F118" s="207"/>
      <c r="G118" s="207"/>
      <c r="H118" s="207"/>
      <c r="M118" s="211"/>
      <c r="N118" s="210"/>
      <c r="O118" s="211"/>
      <c r="P118" s="212"/>
      <c r="Q118" s="213"/>
    </row>
    <row r="119" spans="3:24" x14ac:dyDescent="0.35">
      <c r="C119" s="207"/>
      <c r="D119" s="207"/>
      <c r="E119" s="207"/>
      <c r="F119" s="207"/>
      <c r="G119" s="207"/>
      <c r="H119" s="207"/>
      <c r="M119" s="211"/>
      <c r="N119" s="210"/>
      <c r="O119" s="211"/>
      <c r="P119" s="212"/>
      <c r="Q119" s="213"/>
    </row>
    <row r="120" spans="3:24" x14ac:dyDescent="0.35">
      <c r="C120" s="207"/>
      <c r="D120" s="207"/>
      <c r="E120" s="207"/>
      <c r="F120" s="207"/>
      <c r="G120" s="207"/>
      <c r="H120" s="207"/>
      <c r="M120" s="213"/>
      <c r="N120" s="213"/>
      <c r="O120" s="213"/>
      <c r="P120" s="212"/>
      <c r="Q120" s="213"/>
    </row>
    <row r="121" spans="3:24" x14ac:dyDescent="0.35">
      <c r="M121" s="211"/>
      <c r="N121" s="210"/>
      <c r="O121" s="211"/>
      <c r="P121" s="212"/>
      <c r="Q121" s="213"/>
    </row>
    <row r="122" spans="3:24" x14ac:dyDescent="0.35">
      <c r="C122" s="372"/>
      <c r="D122" s="372"/>
      <c r="E122" s="372"/>
      <c r="F122" s="372"/>
      <c r="G122" s="372"/>
      <c r="H122" s="372"/>
      <c r="M122" s="211"/>
      <c r="N122" s="210"/>
      <c r="O122" s="211"/>
      <c r="P122" s="212"/>
      <c r="Q122" s="213"/>
    </row>
    <row r="123" spans="3:24" x14ac:dyDescent="0.35">
      <c r="M123" s="211"/>
      <c r="N123" s="210"/>
      <c r="O123" s="211"/>
      <c r="P123" s="212"/>
      <c r="Q123" s="213"/>
    </row>
    <row r="124" spans="3:24" x14ac:dyDescent="0.35">
      <c r="P124" s="212"/>
    </row>
    <row r="125" spans="3:24" x14ac:dyDescent="0.35">
      <c r="M125" s="211"/>
      <c r="O125" s="211"/>
      <c r="P125" s="212"/>
    </row>
    <row r="126" spans="3:24" x14ac:dyDescent="0.35">
      <c r="M126" s="211"/>
      <c r="O126" s="211"/>
      <c r="P126" s="212"/>
    </row>
    <row r="129" spans="15:15" x14ac:dyDescent="0.35">
      <c r="O129" s="214"/>
    </row>
    <row r="130" spans="15:15" x14ac:dyDescent="0.35">
      <c r="O130" s="214"/>
    </row>
  </sheetData>
  <mergeCells count="87">
    <mergeCell ref="C6:E6"/>
    <mergeCell ref="C2:R2"/>
    <mergeCell ref="C4:E4"/>
    <mergeCell ref="F4:H4"/>
    <mergeCell ref="C5:E5"/>
    <mergeCell ref="F5:H5"/>
    <mergeCell ref="C8:G8"/>
    <mergeCell ref="N8:R8"/>
    <mergeCell ref="D10:E10"/>
    <mergeCell ref="O10:P10"/>
    <mergeCell ref="D11:E11"/>
    <mergeCell ref="O11:P11"/>
    <mergeCell ref="B24:C24"/>
    <mergeCell ref="D24:E24"/>
    <mergeCell ref="F24:G24"/>
    <mergeCell ref="O12:P12"/>
    <mergeCell ref="C13:G13"/>
    <mergeCell ref="O13:P13"/>
    <mergeCell ref="O14:P14"/>
    <mergeCell ref="D15:E15"/>
    <mergeCell ref="O15:P15"/>
    <mergeCell ref="N33:S33"/>
    <mergeCell ref="D16:E16"/>
    <mergeCell ref="O16:P16"/>
    <mergeCell ref="D17:E17"/>
    <mergeCell ref="D20:E20"/>
    <mergeCell ref="D22:F22"/>
    <mergeCell ref="D27:E27"/>
    <mergeCell ref="O27:P27"/>
    <mergeCell ref="D29:F29"/>
    <mergeCell ref="O30:P30"/>
    <mergeCell ref="O31:P31"/>
    <mergeCell ref="D42:E42"/>
    <mergeCell ref="C35:G35"/>
    <mergeCell ref="O35:P35"/>
    <mergeCell ref="Q35:R35"/>
    <mergeCell ref="C37:D37"/>
    <mergeCell ref="D38:E38"/>
    <mergeCell ref="O38:P38"/>
    <mergeCell ref="D39:E39"/>
    <mergeCell ref="O39:P39"/>
    <mergeCell ref="O40:P40"/>
    <mergeCell ref="C41:D41"/>
    <mergeCell ref="O41:P41"/>
    <mergeCell ref="P60:Q60"/>
    <mergeCell ref="D61:E61"/>
    <mergeCell ref="D43:E43"/>
    <mergeCell ref="C45:D45"/>
    <mergeCell ref="D46:E46"/>
    <mergeCell ref="D47:E47"/>
    <mergeCell ref="D50:E50"/>
    <mergeCell ref="D51:E51"/>
    <mergeCell ref="D54:E54"/>
    <mergeCell ref="D55:E55"/>
    <mergeCell ref="D58:E58"/>
    <mergeCell ref="D59:E59"/>
    <mergeCell ref="D62:E62"/>
    <mergeCell ref="G64:H64"/>
    <mergeCell ref="E65:E66"/>
    <mergeCell ref="F66:F67"/>
    <mergeCell ref="D96:E96"/>
    <mergeCell ref="F96:G96"/>
    <mergeCell ref="H96:M96"/>
    <mergeCell ref="D70:F70"/>
    <mergeCell ref="D64:E64"/>
    <mergeCell ref="N96:O96"/>
    <mergeCell ref="B72:C72"/>
    <mergeCell ref="D72:E72"/>
    <mergeCell ref="F72:G72"/>
    <mergeCell ref="D75:E75"/>
    <mergeCell ref="D76:E76"/>
    <mergeCell ref="D77:E77"/>
    <mergeCell ref="D79:F79"/>
    <mergeCell ref="C85:R85"/>
    <mergeCell ref="C87:E87"/>
    <mergeCell ref="G87:H87"/>
    <mergeCell ref="D95:O95"/>
    <mergeCell ref="C110:H110"/>
    <mergeCell ref="C116:H116"/>
    <mergeCell ref="C122:H122"/>
    <mergeCell ref="N97:O97"/>
    <mergeCell ref="C101:E101"/>
    <mergeCell ref="C102:E102"/>
    <mergeCell ref="D104:M104"/>
    <mergeCell ref="D105:E105"/>
    <mergeCell ref="F105:G105"/>
    <mergeCell ref="H105:M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225B-A372-4E38-ACE8-5B03F543101A}">
  <dimension ref="A2:I23"/>
  <sheetViews>
    <sheetView workbookViewId="0">
      <selection activeCell="E29" sqref="D29:E29"/>
    </sheetView>
  </sheetViews>
  <sheetFormatPr defaultRowHeight="14.5" x14ac:dyDescent="0.35"/>
  <cols>
    <col min="1" max="1" width="11.6328125" customWidth="1"/>
    <col min="2" max="2" width="16.54296875" customWidth="1"/>
    <col min="3" max="4" width="13.36328125" style="297" customWidth="1"/>
    <col min="6" max="6" width="23.36328125" customWidth="1"/>
    <col min="7" max="7" width="17.6328125" customWidth="1"/>
    <col min="8" max="8" width="15.6328125" customWidth="1"/>
  </cols>
  <sheetData>
    <row r="2" spans="1:9" x14ac:dyDescent="0.35">
      <c r="B2" s="429" t="s">
        <v>34</v>
      </c>
      <c r="C2" s="430"/>
      <c r="D2" s="431"/>
      <c r="F2" s="292"/>
      <c r="G2" s="293" t="s">
        <v>430</v>
      </c>
      <c r="H2" s="293" t="s">
        <v>431</v>
      </c>
    </row>
    <row r="3" spans="1:9" x14ac:dyDescent="0.35">
      <c r="B3" s="293"/>
      <c r="C3" s="295" t="s">
        <v>447</v>
      </c>
      <c r="D3" s="296" t="s">
        <v>448</v>
      </c>
      <c r="F3" s="292" t="s">
        <v>383</v>
      </c>
      <c r="G3" s="294">
        <f>C4+C10</f>
        <v>28.483882478886642</v>
      </c>
      <c r="H3" s="294">
        <f>D4+D10</f>
        <v>50.733198525038659</v>
      </c>
    </row>
    <row r="4" spans="1:9" x14ac:dyDescent="0.35">
      <c r="A4" s="32" t="s">
        <v>449</v>
      </c>
      <c r="B4" s="298" t="s">
        <v>2</v>
      </c>
      <c r="C4" s="299">
        <v>25.807541334602117</v>
      </c>
      <c r="D4" s="300">
        <f>(A5-C4)/2+C4</f>
        <v>40.027833947900561</v>
      </c>
      <c r="F4" s="292" t="s">
        <v>432</v>
      </c>
      <c r="G4" s="294">
        <f>H3+0.1</f>
        <v>50.833198525038661</v>
      </c>
      <c r="H4" s="294">
        <f>D5+D11</f>
        <v>82.480968240751764</v>
      </c>
    </row>
    <row r="5" spans="1:9" x14ac:dyDescent="0.35">
      <c r="A5" s="291">
        <v>54.248126561199001</v>
      </c>
      <c r="B5" s="298" t="s">
        <v>3</v>
      </c>
      <c r="C5" s="299">
        <f>D4+0.1</f>
        <v>40.127833947900562</v>
      </c>
      <c r="D5" s="299">
        <f>(D6-A5)/2+A5</f>
        <v>61.07023908647556</v>
      </c>
      <c r="F5" s="292" t="s">
        <v>388</v>
      </c>
      <c r="G5" s="294">
        <f>H4+0.1</f>
        <v>82.580968240751758</v>
      </c>
      <c r="H5" s="294">
        <f>D6+D12</f>
        <v>96.439990484120386</v>
      </c>
    </row>
    <row r="6" spans="1:9" x14ac:dyDescent="0.35">
      <c r="B6" s="298" t="s">
        <v>4</v>
      </c>
      <c r="C6" s="299">
        <f>D5+0.1</f>
        <v>61.170239086475561</v>
      </c>
      <c r="D6" s="299">
        <v>67.892351611752119</v>
      </c>
    </row>
    <row r="7" spans="1:9" x14ac:dyDescent="0.35">
      <c r="B7" s="301"/>
      <c r="C7" s="302"/>
      <c r="D7" s="302"/>
      <c r="F7" s="424" t="s">
        <v>450</v>
      </c>
      <c r="G7" s="424"/>
      <c r="H7" s="424"/>
      <c r="I7" s="424"/>
    </row>
    <row r="8" spans="1:9" x14ac:dyDescent="0.35">
      <c r="B8" s="426" t="s">
        <v>7</v>
      </c>
      <c r="C8" s="427"/>
      <c r="D8" s="428"/>
      <c r="F8" t="s">
        <v>451</v>
      </c>
      <c r="G8" s="305">
        <f>G4-G3</f>
        <v>22.349316046152019</v>
      </c>
    </row>
    <row r="9" spans="1:9" x14ac:dyDescent="0.35">
      <c r="B9" s="303"/>
      <c r="C9" s="300" t="s">
        <v>447</v>
      </c>
      <c r="D9" s="300" t="s">
        <v>448</v>
      </c>
      <c r="F9" t="s">
        <v>452</v>
      </c>
      <c r="G9">
        <v>0</v>
      </c>
    </row>
    <row r="10" spans="1:9" x14ac:dyDescent="0.35">
      <c r="B10" s="304" t="s">
        <v>2</v>
      </c>
      <c r="C10" s="300">
        <f>D10/4</f>
        <v>2.6763411442845251</v>
      </c>
      <c r="D10" s="300">
        <v>10.7053645771381</v>
      </c>
      <c r="F10" t="s">
        <v>453</v>
      </c>
      <c r="G10" s="305">
        <f>H4-D12-D6</f>
        <v>-13.959022243368622</v>
      </c>
    </row>
    <row r="11" spans="1:9" x14ac:dyDescent="0.35">
      <c r="B11" s="304" t="s">
        <v>3</v>
      </c>
      <c r="C11" s="300">
        <f>D10+0.1</f>
        <v>10.8053645771381</v>
      </c>
      <c r="D11" s="300">
        <v>21.410729154276201</v>
      </c>
      <c r="F11" s="1" t="s">
        <v>454</v>
      </c>
      <c r="G11" s="1" t="s">
        <v>455</v>
      </c>
      <c r="H11" s="1" t="s">
        <v>456</v>
      </c>
      <c r="I11" s="1" t="s">
        <v>157</v>
      </c>
    </row>
    <row r="12" spans="1:9" x14ac:dyDescent="0.35">
      <c r="B12" s="304" t="s">
        <v>4</v>
      </c>
      <c r="C12" s="300">
        <f>D11+0.1</f>
        <v>21.510729154276202</v>
      </c>
      <c r="D12" s="300">
        <v>28.547638872368267</v>
      </c>
      <c r="F12" s="309">
        <f>G8</f>
        <v>22.349316046152019</v>
      </c>
      <c r="G12" s="307">
        <f>C4</f>
        <v>25.807541334602117</v>
      </c>
      <c r="H12" s="307">
        <f>C10</f>
        <v>2.6763411442845251</v>
      </c>
      <c r="I12" s="309">
        <f>F12+G12+H12</f>
        <v>50.833198525038661</v>
      </c>
    </row>
    <row r="13" spans="1:9" x14ac:dyDescent="0.35">
      <c r="D13" s="297">
        <v>40</v>
      </c>
      <c r="F13" s="1" t="s">
        <v>457</v>
      </c>
      <c r="G13" s="1" t="s">
        <v>458</v>
      </c>
      <c r="H13" s="1" t="s">
        <v>459</v>
      </c>
      <c r="I13" s="1" t="s">
        <v>157</v>
      </c>
    </row>
    <row r="14" spans="1:9" x14ac:dyDescent="0.35">
      <c r="F14" s="309">
        <f>G10</f>
        <v>-13.959022243368622</v>
      </c>
      <c r="G14" s="307">
        <f>D6</f>
        <v>67.892351611752119</v>
      </c>
      <c r="H14" s="307">
        <f>D12</f>
        <v>28.547638872368267</v>
      </c>
      <c r="I14" s="309">
        <f>H14+G14+F14</f>
        <v>82.480968240751764</v>
      </c>
    </row>
    <row r="18" spans="6:9" x14ac:dyDescent="0.35">
      <c r="F18" s="425" t="s">
        <v>460</v>
      </c>
      <c r="G18" s="425"/>
      <c r="H18" s="425"/>
      <c r="I18" s="425"/>
    </row>
    <row r="19" spans="6:9" x14ac:dyDescent="0.35">
      <c r="F19" s="32" t="s">
        <v>152</v>
      </c>
      <c r="G19" s="32" t="s">
        <v>455</v>
      </c>
      <c r="H19" s="32" t="s">
        <v>456</v>
      </c>
      <c r="I19" s="32" t="s">
        <v>157</v>
      </c>
    </row>
    <row r="20" spans="6:9" x14ac:dyDescent="0.35">
      <c r="F20" s="32" t="s">
        <v>451</v>
      </c>
      <c r="G20" s="307">
        <f>C5</f>
        <v>40.127833947900562</v>
      </c>
      <c r="H20" s="306">
        <f>C11</f>
        <v>10.8053645771381</v>
      </c>
      <c r="I20" s="305">
        <f>G20+H20</f>
        <v>50.933198525038662</v>
      </c>
    </row>
    <row r="21" spans="6:9" x14ac:dyDescent="0.35">
      <c r="F21" s="32"/>
    </row>
    <row r="22" spans="6:9" x14ac:dyDescent="0.35">
      <c r="F22" s="32" t="s">
        <v>152</v>
      </c>
      <c r="G22" s="32" t="s">
        <v>458</v>
      </c>
      <c r="H22" s="32" t="s">
        <v>459</v>
      </c>
      <c r="I22" s="32" t="s">
        <v>157</v>
      </c>
    </row>
    <row r="23" spans="6:9" x14ac:dyDescent="0.35">
      <c r="F23" s="32" t="s">
        <v>453</v>
      </c>
      <c r="G23" s="306">
        <f>D5</f>
        <v>61.07023908647556</v>
      </c>
      <c r="H23" s="306">
        <f>D11</f>
        <v>21.410729154276201</v>
      </c>
      <c r="I23" s="308">
        <f>G23+H23</f>
        <v>82.480968240751764</v>
      </c>
    </row>
  </sheetData>
  <mergeCells count="4">
    <mergeCell ref="F7:I7"/>
    <mergeCell ref="F18:I18"/>
    <mergeCell ref="B8:D8"/>
    <mergeCell ref="B2:D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06CF-7100-48A9-9429-0F63696689E0}">
  <sheetPr filterMode="1"/>
  <dimension ref="B1:H45"/>
  <sheetViews>
    <sheetView workbookViewId="0">
      <selection activeCell="B49" sqref="B49"/>
    </sheetView>
  </sheetViews>
  <sheetFormatPr defaultRowHeight="14.5" x14ac:dyDescent="0.35"/>
  <cols>
    <col min="2" max="2" width="44.54296875" customWidth="1"/>
    <col min="3" max="3" width="20.6328125" style="32" customWidth="1"/>
    <col min="4" max="4" width="17.36328125" style="2" bestFit="1" customWidth="1"/>
    <col min="5" max="5" width="11.6328125" style="32" customWidth="1"/>
    <col min="7" max="7" width="9.90625" customWidth="1"/>
    <col min="8" max="8" width="9.90625" style="32" customWidth="1"/>
  </cols>
  <sheetData>
    <row r="1" spans="2:8" ht="23.4" customHeight="1" x14ac:dyDescent="0.35">
      <c r="B1" s="311" t="s">
        <v>461</v>
      </c>
      <c r="C1" s="311" t="s">
        <v>152</v>
      </c>
      <c r="D1" s="312" t="s">
        <v>462</v>
      </c>
      <c r="E1" s="311" t="s">
        <v>463</v>
      </c>
    </row>
    <row r="2" spans="2:8" hidden="1" x14ac:dyDescent="0.35">
      <c r="B2" t="s">
        <v>464</v>
      </c>
      <c r="C2" s="32" t="s">
        <v>465</v>
      </c>
      <c r="D2" s="2">
        <v>91203.17</v>
      </c>
      <c r="E2" s="32" t="s">
        <v>466</v>
      </c>
      <c r="G2" s="313" t="s">
        <v>466</v>
      </c>
      <c r="H2" s="293" t="s">
        <v>467</v>
      </c>
    </row>
    <row r="3" spans="2:8" hidden="1" x14ac:dyDescent="0.35">
      <c r="B3" t="s">
        <v>468</v>
      </c>
      <c r="C3" s="32" t="s">
        <v>465</v>
      </c>
      <c r="D3" s="2">
        <v>94644</v>
      </c>
      <c r="E3" s="32" t="s">
        <v>466</v>
      </c>
      <c r="G3" s="313" t="s">
        <v>469</v>
      </c>
      <c r="H3" s="293" t="s">
        <v>470</v>
      </c>
    </row>
    <row r="4" spans="2:8" hidden="1" x14ac:dyDescent="0.35">
      <c r="B4" t="s">
        <v>471</v>
      </c>
      <c r="C4" s="32" t="s">
        <v>465</v>
      </c>
      <c r="D4" s="2">
        <v>96981.75</v>
      </c>
      <c r="E4" s="32" t="s">
        <v>466</v>
      </c>
      <c r="G4" s="313" t="s">
        <v>472</v>
      </c>
      <c r="H4" s="293" t="s">
        <v>473</v>
      </c>
    </row>
    <row r="5" spans="2:8" x14ac:dyDescent="0.35">
      <c r="B5" t="s">
        <v>474</v>
      </c>
      <c r="C5" s="32" t="s">
        <v>465</v>
      </c>
      <c r="D5" s="2">
        <v>97764.73</v>
      </c>
      <c r="E5" s="32" t="s">
        <v>466</v>
      </c>
    </row>
    <row r="6" spans="2:8" hidden="1" x14ac:dyDescent="0.35">
      <c r="B6" t="s">
        <v>475</v>
      </c>
      <c r="C6" s="32" t="s">
        <v>465</v>
      </c>
      <c r="D6" s="2">
        <v>97898.22</v>
      </c>
      <c r="E6" s="32" t="s">
        <v>466</v>
      </c>
    </row>
    <row r="7" spans="2:8" hidden="1" x14ac:dyDescent="0.35">
      <c r="B7" t="s">
        <v>476</v>
      </c>
      <c r="C7" s="32" t="s">
        <v>465</v>
      </c>
      <c r="D7" s="2">
        <v>98454.85</v>
      </c>
      <c r="E7" s="32" t="s">
        <v>466</v>
      </c>
    </row>
    <row r="8" spans="2:8" hidden="1" x14ac:dyDescent="0.35">
      <c r="B8" t="s">
        <v>477</v>
      </c>
      <c r="C8" s="32" t="s">
        <v>465</v>
      </c>
      <c r="D8" s="2">
        <v>98524.46</v>
      </c>
      <c r="E8" s="32" t="s">
        <v>466</v>
      </c>
    </row>
    <row r="9" spans="2:8" hidden="1" x14ac:dyDescent="0.35">
      <c r="B9" t="s">
        <v>478</v>
      </c>
      <c r="C9" s="32" t="s">
        <v>479</v>
      </c>
      <c r="D9" s="2">
        <v>97153.68</v>
      </c>
      <c r="E9" s="32" t="s">
        <v>466</v>
      </c>
    </row>
    <row r="10" spans="2:8" hidden="1" x14ac:dyDescent="0.35">
      <c r="B10" t="s">
        <v>480</v>
      </c>
      <c r="C10" s="32" t="s">
        <v>481</v>
      </c>
      <c r="D10" s="2">
        <v>98270.31</v>
      </c>
      <c r="E10" s="32" t="s">
        <v>466</v>
      </c>
    </row>
    <row r="11" spans="2:8" hidden="1" x14ac:dyDescent="0.35">
      <c r="B11" t="s">
        <v>482</v>
      </c>
      <c r="C11" s="32" t="s">
        <v>481</v>
      </c>
      <c r="D11" s="2">
        <v>98324.57</v>
      </c>
      <c r="E11" s="32" t="s">
        <v>466</v>
      </c>
    </row>
    <row r="12" spans="2:8" hidden="1" x14ac:dyDescent="0.35">
      <c r="B12" t="s">
        <v>483</v>
      </c>
      <c r="C12" s="32" t="s">
        <v>481</v>
      </c>
      <c r="D12" s="2">
        <v>99234.34</v>
      </c>
      <c r="E12" s="32" t="s">
        <v>466</v>
      </c>
    </row>
    <row r="13" spans="2:8" x14ac:dyDescent="0.35">
      <c r="B13" t="s">
        <v>484</v>
      </c>
      <c r="C13" s="32" t="s">
        <v>481</v>
      </c>
      <c r="D13" s="2">
        <v>99242.46</v>
      </c>
      <c r="E13" s="32" t="s">
        <v>466</v>
      </c>
    </row>
    <row r="14" spans="2:8" x14ac:dyDescent="0.35">
      <c r="B14" t="s">
        <v>485</v>
      </c>
      <c r="C14" s="32" t="s">
        <v>481</v>
      </c>
      <c r="D14" s="2">
        <v>99296.18</v>
      </c>
      <c r="E14" s="32" t="s">
        <v>466</v>
      </c>
    </row>
    <row r="15" spans="2:8" hidden="1" x14ac:dyDescent="0.35">
      <c r="B15" t="s">
        <v>486</v>
      </c>
      <c r="C15" s="32" t="s">
        <v>481</v>
      </c>
      <c r="D15" s="2">
        <v>99311.2</v>
      </c>
      <c r="E15" s="32" t="s">
        <v>466</v>
      </c>
    </row>
    <row r="16" spans="2:8" hidden="1" x14ac:dyDescent="0.35">
      <c r="B16" t="s">
        <v>487</v>
      </c>
      <c r="C16" s="32" t="s">
        <v>481</v>
      </c>
      <c r="D16" s="2">
        <v>99771.88</v>
      </c>
      <c r="E16" s="32" t="s">
        <v>466</v>
      </c>
    </row>
    <row r="17" spans="2:5" hidden="1" x14ac:dyDescent="0.35">
      <c r="B17" t="s">
        <v>488</v>
      </c>
      <c r="C17" s="32" t="s">
        <v>481</v>
      </c>
      <c r="D17" s="2">
        <v>99835.41</v>
      </c>
      <c r="E17" s="32" t="s">
        <v>466</v>
      </c>
    </row>
    <row r="18" spans="2:5" hidden="1" x14ac:dyDescent="0.35">
      <c r="B18" t="s">
        <v>489</v>
      </c>
      <c r="C18" s="32" t="s">
        <v>479</v>
      </c>
      <c r="D18" s="2">
        <v>102036.51</v>
      </c>
      <c r="E18" s="32" t="s">
        <v>469</v>
      </c>
    </row>
    <row r="19" spans="2:5" hidden="1" x14ac:dyDescent="0.35">
      <c r="B19" t="s">
        <v>490</v>
      </c>
      <c r="C19" s="32" t="s">
        <v>479</v>
      </c>
      <c r="D19" s="2">
        <v>102140.56</v>
      </c>
      <c r="E19" s="32" t="s">
        <v>469</v>
      </c>
    </row>
    <row r="20" spans="2:5" hidden="1" x14ac:dyDescent="0.35">
      <c r="B20" t="s">
        <v>491</v>
      </c>
      <c r="C20" s="32" t="s">
        <v>479</v>
      </c>
      <c r="D20" s="2">
        <v>103047.58</v>
      </c>
      <c r="E20" s="32" t="s">
        <v>469</v>
      </c>
    </row>
    <row r="21" spans="2:5" hidden="1" x14ac:dyDescent="0.35">
      <c r="B21" t="s">
        <v>492</v>
      </c>
      <c r="C21" s="32" t="s">
        <v>479</v>
      </c>
      <c r="D21" s="2">
        <v>103092.89</v>
      </c>
      <c r="E21" s="32" t="s">
        <v>469</v>
      </c>
    </row>
    <row r="22" spans="2:5" x14ac:dyDescent="0.35">
      <c r="B22" t="s">
        <v>493</v>
      </c>
      <c r="C22" s="32" t="s">
        <v>481</v>
      </c>
      <c r="D22" s="2">
        <v>101725.91</v>
      </c>
      <c r="E22" s="32" t="s">
        <v>469</v>
      </c>
    </row>
    <row r="23" spans="2:5" hidden="1" x14ac:dyDescent="0.35">
      <c r="B23" t="s">
        <v>494</v>
      </c>
      <c r="C23" s="32" t="s">
        <v>479</v>
      </c>
      <c r="D23" s="2">
        <v>103359.21</v>
      </c>
      <c r="E23" s="32" t="s">
        <v>469</v>
      </c>
    </row>
    <row r="24" spans="2:5" hidden="1" x14ac:dyDescent="0.35">
      <c r="B24" t="s">
        <v>495</v>
      </c>
      <c r="C24" s="32" t="s">
        <v>479</v>
      </c>
      <c r="D24" s="2">
        <v>103619.31</v>
      </c>
      <c r="E24" s="32" t="s">
        <v>469</v>
      </c>
    </row>
    <row r="25" spans="2:5" hidden="1" x14ac:dyDescent="0.35">
      <c r="B25" t="s">
        <v>496</v>
      </c>
      <c r="C25" s="32" t="s">
        <v>479</v>
      </c>
      <c r="D25" s="2">
        <v>104041.17</v>
      </c>
      <c r="E25" s="32" t="s">
        <v>469</v>
      </c>
    </row>
    <row r="26" spans="2:5" hidden="1" x14ac:dyDescent="0.35">
      <c r="B26" t="s">
        <v>497</v>
      </c>
      <c r="C26" s="32" t="s">
        <v>479</v>
      </c>
      <c r="D26" s="2">
        <v>104310.45</v>
      </c>
      <c r="E26" s="32" t="s">
        <v>469</v>
      </c>
    </row>
    <row r="27" spans="2:5" x14ac:dyDescent="0.35">
      <c r="B27" t="s">
        <v>498</v>
      </c>
      <c r="C27" s="32" t="s">
        <v>481</v>
      </c>
      <c r="D27" s="2">
        <v>101857.73</v>
      </c>
      <c r="E27" s="32" t="s">
        <v>469</v>
      </c>
    </row>
    <row r="28" spans="2:5" hidden="1" x14ac:dyDescent="0.35">
      <c r="B28" t="s">
        <v>499</v>
      </c>
      <c r="C28" s="32" t="s">
        <v>479</v>
      </c>
      <c r="D28" s="2">
        <v>104843.15</v>
      </c>
      <c r="E28" s="32" t="s">
        <v>469</v>
      </c>
    </row>
    <row r="29" spans="2:5" hidden="1" x14ac:dyDescent="0.35">
      <c r="B29" t="s">
        <v>500</v>
      </c>
      <c r="C29" s="32" t="s">
        <v>479</v>
      </c>
      <c r="D29" s="2">
        <v>105182.25</v>
      </c>
      <c r="E29" s="32" t="s">
        <v>469</v>
      </c>
    </row>
    <row r="30" spans="2:5" x14ac:dyDescent="0.35">
      <c r="B30" t="s">
        <v>501</v>
      </c>
      <c r="C30" s="32" t="s">
        <v>479</v>
      </c>
      <c r="D30" s="2">
        <v>103123.26</v>
      </c>
      <c r="E30" s="32" t="s">
        <v>469</v>
      </c>
    </row>
    <row r="31" spans="2:5" hidden="1" x14ac:dyDescent="0.35">
      <c r="B31" t="s">
        <v>502</v>
      </c>
      <c r="C31" s="32" t="s">
        <v>479</v>
      </c>
      <c r="D31" s="2">
        <v>105725.59</v>
      </c>
      <c r="E31" s="32" t="s">
        <v>469</v>
      </c>
    </row>
    <row r="32" spans="2:5" hidden="1" x14ac:dyDescent="0.35">
      <c r="B32" t="s">
        <v>503</v>
      </c>
      <c r="C32" s="32" t="s">
        <v>479</v>
      </c>
      <c r="D32" s="2">
        <v>105905.25</v>
      </c>
      <c r="E32" s="32" t="s">
        <v>469</v>
      </c>
    </row>
    <row r="33" spans="2:5" hidden="1" x14ac:dyDescent="0.35">
      <c r="B33" t="s">
        <v>504</v>
      </c>
      <c r="C33" s="32" t="s">
        <v>481</v>
      </c>
      <c r="D33" s="2">
        <v>100550.39</v>
      </c>
      <c r="E33" s="32" t="s">
        <v>469</v>
      </c>
    </row>
    <row r="34" spans="2:5" hidden="1" x14ac:dyDescent="0.35">
      <c r="B34" t="s">
        <v>505</v>
      </c>
      <c r="C34" s="32" t="s">
        <v>481</v>
      </c>
      <c r="D34" s="2">
        <v>100580.49</v>
      </c>
      <c r="E34" s="32" t="s">
        <v>469</v>
      </c>
    </row>
    <row r="35" spans="2:5" x14ac:dyDescent="0.35">
      <c r="B35" t="s">
        <v>506</v>
      </c>
      <c r="C35" s="32" t="s">
        <v>479</v>
      </c>
      <c r="D35" s="2">
        <v>104343.69</v>
      </c>
      <c r="E35" s="32" t="s">
        <v>469</v>
      </c>
    </row>
    <row r="36" spans="2:5" hidden="1" x14ac:dyDescent="0.35">
      <c r="B36" t="s">
        <v>507</v>
      </c>
      <c r="C36" s="32" t="s">
        <v>481</v>
      </c>
      <c r="D36" s="2">
        <v>101734.23</v>
      </c>
      <c r="E36" s="32" t="s">
        <v>469</v>
      </c>
    </row>
    <row r="37" spans="2:5" hidden="1" x14ac:dyDescent="0.35">
      <c r="B37" t="s">
        <v>508</v>
      </c>
      <c r="C37" s="32" t="s">
        <v>481</v>
      </c>
      <c r="D37" s="2">
        <v>101825.63</v>
      </c>
      <c r="E37" s="32" t="s">
        <v>469</v>
      </c>
    </row>
    <row r="38" spans="2:5" x14ac:dyDescent="0.35">
      <c r="B38" t="s">
        <v>509</v>
      </c>
      <c r="C38" s="32" t="s">
        <v>479</v>
      </c>
      <c r="D38" s="2">
        <v>105232.05</v>
      </c>
      <c r="E38" s="32" t="s">
        <v>469</v>
      </c>
    </row>
    <row r="39" spans="2:5" hidden="1" x14ac:dyDescent="0.35">
      <c r="B39" t="s">
        <v>510</v>
      </c>
      <c r="C39" s="32" t="s">
        <v>481</v>
      </c>
      <c r="D39" s="2">
        <v>102268.9</v>
      </c>
      <c r="E39" s="32" t="s">
        <v>469</v>
      </c>
    </row>
    <row r="40" spans="2:5" hidden="1" x14ac:dyDescent="0.35">
      <c r="B40" t="s">
        <v>511</v>
      </c>
      <c r="C40" s="32" t="s">
        <v>481</v>
      </c>
      <c r="D40" s="2">
        <v>102391.79</v>
      </c>
      <c r="E40" s="32" t="s">
        <v>469</v>
      </c>
    </row>
    <row r="41" spans="2:5" hidden="1" x14ac:dyDescent="0.35">
      <c r="B41" t="s">
        <v>512</v>
      </c>
      <c r="C41" s="32" t="s">
        <v>479</v>
      </c>
      <c r="D41" s="2">
        <v>106445.1</v>
      </c>
      <c r="E41" s="32" t="s">
        <v>472</v>
      </c>
    </row>
    <row r="42" spans="2:5" hidden="1" x14ac:dyDescent="0.35">
      <c r="B42" t="s">
        <v>513</v>
      </c>
      <c r="C42" s="32" t="s">
        <v>479</v>
      </c>
      <c r="D42" s="2">
        <v>107136.64</v>
      </c>
      <c r="E42" s="32" t="s">
        <v>472</v>
      </c>
    </row>
    <row r="43" spans="2:5" x14ac:dyDescent="0.35">
      <c r="B43" t="s">
        <v>514</v>
      </c>
      <c r="C43" s="32" t="s">
        <v>479</v>
      </c>
      <c r="D43" s="2">
        <v>107195.1</v>
      </c>
      <c r="E43" s="32" t="s">
        <v>472</v>
      </c>
    </row>
    <row r="44" spans="2:5" hidden="1" x14ac:dyDescent="0.35">
      <c r="B44" t="s">
        <v>515</v>
      </c>
      <c r="C44" s="32" t="s">
        <v>479</v>
      </c>
      <c r="D44" s="2">
        <v>107698.75</v>
      </c>
      <c r="E44" s="32" t="s">
        <v>472</v>
      </c>
    </row>
    <row r="45" spans="2:5" hidden="1" x14ac:dyDescent="0.35">
      <c r="B45" t="s">
        <v>516</v>
      </c>
      <c r="C45" s="32" t="s">
        <v>479</v>
      </c>
      <c r="D45" s="2">
        <v>113190.6</v>
      </c>
      <c r="E45" s="32" t="s">
        <v>472</v>
      </c>
    </row>
  </sheetData>
  <autoFilter ref="B1:E45" xr:uid="{20C806CF-7100-48A9-9429-0F63696689E0}">
    <filterColumn colId="0">
      <filters>
        <filter val="Standard Block 09 - 2QV - Rio de Janeiro"/>
        <filter val="Standard Fit 20 - 2QV - Rio de Janeiro"/>
        <filter val="Standard Fit 21 - 2QV - Rio de Janeiro"/>
        <filter val="Standard Fit 22 - 2QSV + 2QV - Rio de Janeiro"/>
        <filter val="Standard Fit 23 - 2QSV + 2QV - Rio de Janeiro"/>
        <filter val="Standard Fit 24 Light - 2QV - Rio de Janeiro"/>
        <filter val="Standard Fit 25 Light - 2QV - Rio de Janeiro"/>
        <filter val="Standard Fit 26 Light - 2QSV + 2QV - Rio de Janeiro"/>
        <filter val="Standard Fit 27 Light - 2QSV + 2QV - Rio de Janeiro"/>
      </filters>
    </filterColumn>
    <sortState xmlns:xlrd2="http://schemas.microsoft.com/office/spreadsheetml/2017/richdata2" ref="B5:E43">
      <sortCondition ref="D1:D45"/>
    </sortState>
  </autoFilter>
  <phoneticPr fontId="4" type="noConversion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EED6-C68B-4198-9994-E0EFE0E31AB8}">
  <dimension ref="B2:W82"/>
  <sheetViews>
    <sheetView topLeftCell="A64" workbookViewId="0">
      <selection activeCell="M74" sqref="M74"/>
    </sheetView>
  </sheetViews>
  <sheetFormatPr defaultRowHeight="14.5" x14ac:dyDescent="0.35"/>
  <cols>
    <col min="3" max="4" width="15.54296875" customWidth="1"/>
    <col min="5" max="5" width="19.6328125" customWidth="1"/>
    <col min="6" max="6" width="12.54296875" customWidth="1"/>
    <col min="7" max="7" width="13.90625" customWidth="1"/>
    <col min="8" max="8" width="14.1796875" customWidth="1"/>
    <col min="9" max="9" width="20.6328125" customWidth="1"/>
    <col min="10" max="10" width="12" customWidth="1"/>
    <col min="12" max="12" width="19.90625" customWidth="1"/>
    <col min="16" max="16" width="14.54296875" customWidth="1"/>
    <col min="17" max="17" width="15.6328125" customWidth="1"/>
    <col min="20" max="20" width="14" bestFit="1" customWidth="1"/>
    <col min="21" max="21" width="12.54296875" bestFit="1" customWidth="1"/>
    <col min="22" max="22" width="12" bestFit="1" customWidth="1"/>
  </cols>
  <sheetData>
    <row r="2" spans="3:23" x14ac:dyDescent="0.35">
      <c r="C2" s="399" t="s">
        <v>365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</row>
    <row r="3" spans="3:23" x14ac:dyDescent="0.35">
      <c r="F3" s="32"/>
      <c r="G3" s="32"/>
      <c r="I3" s="203"/>
      <c r="J3" s="203"/>
      <c r="R3" s="32"/>
    </row>
    <row r="4" spans="3:23" x14ac:dyDescent="0.35">
      <c r="C4" s="398" t="s">
        <v>366</v>
      </c>
      <c r="D4" s="398"/>
      <c r="E4" s="398"/>
      <c r="F4" s="400"/>
      <c r="G4" s="401"/>
      <c r="H4" s="402"/>
      <c r="J4" s="398" t="s">
        <v>152</v>
      </c>
      <c r="K4" s="398"/>
      <c r="L4" s="398"/>
      <c r="M4" s="400" t="s">
        <v>521</v>
      </c>
      <c r="N4" s="401"/>
      <c r="O4" s="402"/>
      <c r="R4" s="32"/>
    </row>
    <row r="5" spans="3:23" x14ac:dyDescent="0.35">
      <c r="C5" s="398" t="s">
        <v>367</v>
      </c>
      <c r="D5" s="398"/>
      <c r="E5" s="398"/>
      <c r="F5" s="400"/>
      <c r="G5" s="401"/>
      <c r="H5" s="402"/>
      <c r="L5" s="45" t="s">
        <v>517</v>
      </c>
      <c r="M5" s="400" t="s">
        <v>452</v>
      </c>
      <c r="N5" s="401"/>
      <c r="O5" s="402"/>
      <c r="R5" s="32"/>
    </row>
    <row r="6" spans="3:23" x14ac:dyDescent="0.35">
      <c r="C6" s="398" t="s">
        <v>368</v>
      </c>
      <c r="D6" s="398"/>
      <c r="E6" s="398"/>
      <c r="F6" s="197">
        <v>336</v>
      </c>
      <c r="G6" s="281" t="s">
        <v>438</v>
      </c>
      <c r="H6" s="280">
        <v>86.07</v>
      </c>
      <c r="I6" s="203"/>
      <c r="J6" s="203"/>
      <c r="R6" s="32"/>
    </row>
    <row r="7" spans="3:23" x14ac:dyDescent="0.35">
      <c r="F7" s="32"/>
      <c r="G7" s="32"/>
      <c r="I7" s="203"/>
      <c r="J7" s="203"/>
      <c r="R7" s="32"/>
    </row>
    <row r="10" spans="3:23" x14ac:dyDescent="0.35">
      <c r="C10" s="403" t="s">
        <v>34</v>
      </c>
      <c r="D10" s="403"/>
      <c r="E10" s="403"/>
      <c r="F10" s="403"/>
      <c r="G10" s="403"/>
      <c r="I10" s="202"/>
      <c r="J10" s="202"/>
      <c r="K10" s="200"/>
      <c r="L10" s="199"/>
      <c r="N10" s="403" t="s">
        <v>7</v>
      </c>
      <c r="O10" s="403"/>
      <c r="P10" s="403"/>
      <c r="Q10" s="403"/>
      <c r="R10" s="403"/>
      <c r="T10" s="199"/>
      <c r="U10" s="199"/>
    </row>
    <row r="11" spans="3:23" x14ac:dyDescent="0.35">
      <c r="F11" s="32"/>
      <c r="G11" s="32"/>
      <c r="I11" s="202"/>
      <c r="J11" s="202"/>
      <c r="K11" s="200"/>
      <c r="L11" s="199"/>
      <c r="Q11" s="198" t="s">
        <v>441</v>
      </c>
      <c r="R11" s="198" t="s">
        <v>92</v>
      </c>
      <c r="T11" s="199" t="s">
        <v>370</v>
      </c>
      <c r="U11" s="199" t="s">
        <v>373</v>
      </c>
      <c r="V11" s="199" t="s">
        <v>371</v>
      </c>
      <c r="W11" s="199" t="s">
        <v>372</v>
      </c>
    </row>
    <row r="12" spans="3:23" x14ac:dyDescent="0.35">
      <c r="C12" s="413" t="s">
        <v>409</v>
      </c>
      <c r="D12" s="413"/>
      <c r="F12" s="32"/>
      <c r="G12" s="32"/>
      <c r="I12" s="202"/>
      <c r="J12" s="282"/>
      <c r="K12" s="200"/>
      <c r="L12" s="199"/>
      <c r="N12" s="192" t="b">
        <v>0</v>
      </c>
      <c r="O12" s="405" t="s">
        <v>115</v>
      </c>
      <c r="P12" s="405"/>
      <c r="Q12" s="310">
        <f>U12/H6</f>
        <v>0.80060457434978183</v>
      </c>
      <c r="R12" s="197">
        <v>3</v>
      </c>
      <c r="T12" s="201">
        <v>23153.1</v>
      </c>
      <c r="U12" s="201">
        <f>T12/F$6</f>
        <v>68.908035714285717</v>
      </c>
      <c r="V12" s="200">
        <f>IF(N12=TRUE,Q12,0)</f>
        <v>0</v>
      </c>
      <c r="W12" s="199">
        <f>IF(N12=TRUE,R12,0)</f>
        <v>0</v>
      </c>
    </row>
    <row r="13" spans="3:23" x14ac:dyDescent="0.35">
      <c r="C13" s="192" t="b">
        <v>0</v>
      </c>
      <c r="D13" s="404" t="s">
        <v>155</v>
      </c>
      <c r="E13" s="414"/>
      <c r="F13" s="204">
        <f>J13</f>
        <v>6.169397002439875</v>
      </c>
      <c r="G13" s="197">
        <v>1</v>
      </c>
      <c r="I13" s="202">
        <v>531</v>
      </c>
      <c r="J13" s="283">
        <f>I13/H$6</f>
        <v>6.169397002439875</v>
      </c>
      <c r="K13" s="200">
        <f>IF(C13=TRUE,F13,0)</f>
        <v>0</v>
      </c>
      <c r="L13" s="199">
        <f>IF(C13=TRUE,G13,0)</f>
        <v>0</v>
      </c>
      <c r="N13" s="192" t="b">
        <v>1</v>
      </c>
      <c r="O13" s="405" t="s">
        <v>119</v>
      </c>
      <c r="P13" s="405"/>
      <c r="Q13" s="310">
        <f>U13/H6</f>
        <v>0.24018137230493455</v>
      </c>
      <c r="R13" s="197">
        <v>2</v>
      </c>
      <c r="T13" s="201">
        <v>6945.93</v>
      </c>
      <c r="U13" s="201">
        <f t="shared" ref="U13:U29" si="0">T13/F$6</f>
        <v>20.672410714285714</v>
      </c>
      <c r="V13" s="200">
        <f t="shared" ref="V13:V29" si="1">IF(N13=TRUE,Q13,0)</f>
        <v>0.24018137230493455</v>
      </c>
      <c r="W13" s="199">
        <f t="shared" ref="W13:W29" si="2">IF(N13=TRUE,R13,0)</f>
        <v>2</v>
      </c>
    </row>
    <row r="14" spans="3:23" x14ac:dyDescent="0.35">
      <c r="C14" s="192" t="b">
        <v>1</v>
      </c>
      <c r="D14" s="404" t="s">
        <v>410</v>
      </c>
      <c r="E14" s="414"/>
      <c r="F14" s="204">
        <f>J14</f>
        <v>28.221215289880334</v>
      </c>
      <c r="G14" s="197">
        <v>3</v>
      </c>
      <c r="I14" s="202">
        <v>2429</v>
      </c>
      <c r="J14" s="283">
        <f>I14/H$6</f>
        <v>28.221215289880334</v>
      </c>
      <c r="K14" s="221">
        <f>IF(C14=TRUE,F14,0)</f>
        <v>28.221215289880334</v>
      </c>
      <c r="L14" s="199">
        <f>IF(C14=TRUE,G14,0)</f>
        <v>3</v>
      </c>
      <c r="N14" s="192" t="b">
        <v>1</v>
      </c>
      <c r="O14" s="405" t="s">
        <v>122</v>
      </c>
      <c r="P14" s="405"/>
      <c r="Q14" s="310">
        <f>U14/H6</f>
        <v>0.24055205618903774</v>
      </c>
      <c r="R14" s="197">
        <v>1</v>
      </c>
      <c r="T14" s="201">
        <v>6956.65</v>
      </c>
      <c r="U14" s="201">
        <f t="shared" si="0"/>
        <v>20.704315476190477</v>
      </c>
      <c r="V14" s="200">
        <f t="shared" si="1"/>
        <v>0.24055205618903774</v>
      </c>
      <c r="W14" s="199">
        <f t="shared" si="2"/>
        <v>1</v>
      </c>
    </row>
    <row r="15" spans="3:23" x14ac:dyDescent="0.35">
      <c r="D15" s="193"/>
      <c r="E15" s="193"/>
      <c r="F15" s="205"/>
      <c r="G15" s="32"/>
      <c r="I15" s="202"/>
      <c r="J15" s="283"/>
      <c r="K15" s="200"/>
      <c r="L15" s="199"/>
      <c r="N15" s="192" t="b">
        <v>1</v>
      </c>
      <c r="O15" s="405" t="s">
        <v>123</v>
      </c>
      <c r="P15" s="405"/>
      <c r="Q15" s="310">
        <f>U15/H6</f>
        <v>0.37320086917071932</v>
      </c>
      <c r="R15" s="197">
        <v>1</v>
      </c>
      <c r="T15" s="201">
        <v>10792.79</v>
      </c>
      <c r="U15" s="201">
        <f t="shared" si="0"/>
        <v>32.121398809523811</v>
      </c>
      <c r="V15" s="200">
        <f t="shared" si="1"/>
        <v>0.37320086917071932</v>
      </c>
      <c r="W15" s="199">
        <f t="shared" si="2"/>
        <v>1</v>
      </c>
    </row>
    <row r="16" spans="3:23" x14ac:dyDescent="0.35">
      <c r="C16" s="413" t="s">
        <v>299</v>
      </c>
      <c r="D16" s="413"/>
      <c r="E16" s="193"/>
      <c r="F16" s="205"/>
      <c r="G16" s="32"/>
      <c r="I16" s="202"/>
      <c r="J16" s="283"/>
      <c r="K16" s="200"/>
      <c r="L16" s="199"/>
      <c r="N16" s="192" t="b">
        <v>0</v>
      </c>
      <c r="O16" s="405" t="s">
        <v>66</v>
      </c>
      <c r="P16" s="405"/>
      <c r="Q16" s="310">
        <f>U16/H6</f>
        <v>0.26135184816345503</v>
      </c>
      <c r="R16" s="197">
        <v>2</v>
      </c>
      <c r="T16" s="201">
        <v>7558.17</v>
      </c>
      <c r="U16" s="201">
        <f t="shared" si="0"/>
        <v>22.494553571428572</v>
      </c>
      <c r="V16" s="200">
        <f t="shared" si="1"/>
        <v>0</v>
      </c>
      <c r="W16" s="199">
        <f t="shared" si="2"/>
        <v>0</v>
      </c>
    </row>
    <row r="17" spans="3:23" x14ac:dyDescent="0.35">
      <c r="C17" s="192" t="b">
        <v>0</v>
      </c>
      <c r="D17" s="404" t="s">
        <v>155</v>
      </c>
      <c r="E17" s="404"/>
      <c r="F17" s="204">
        <f>J17</f>
        <v>0.81329150691297791</v>
      </c>
      <c r="G17" s="197">
        <v>1</v>
      </c>
      <c r="I17" s="202">
        <v>70</v>
      </c>
      <c r="J17" s="283">
        <f>I17/H$6</f>
        <v>0.81329150691297791</v>
      </c>
      <c r="K17" s="200">
        <f>IF(C17=TRUE,F17,0)</f>
        <v>0</v>
      </c>
      <c r="L17" s="199">
        <f>IF(C17=TRUE,G17,0)</f>
        <v>0</v>
      </c>
      <c r="N17" s="192" t="b">
        <v>1</v>
      </c>
      <c r="O17" s="405" t="s">
        <v>68</v>
      </c>
      <c r="P17" s="405"/>
      <c r="Q17" s="310">
        <f>U17/H6</f>
        <v>0.44658382988376022</v>
      </c>
      <c r="R17" s="197">
        <v>1</v>
      </c>
      <c r="T17" s="201">
        <v>12914.99</v>
      </c>
      <c r="U17" s="201">
        <f t="shared" si="0"/>
        <v>38.437470238095237</v>
      </c>
      <c r="V17" s="200">
        <f t="shared" si="1"/>
        <v>0.44658382988376022</v>
      </c>
      <c r="W17" s="199">
        <f t="shared" si="2"/>
        <v>1</v>
      </c>
    </row>
    <row r="18" spans="3:23" x14ac:dyDescent="0.35">
      <c r="C18" s="192" t="b">
        <v>1</v>
      </c>
      <c r="D18" s="404" t="s">
        <v>413</v>
      </c>
      <c r="E18" s="404"/>
      <c r="F18" s="204">
        <f>J18</f>
        <v>3.0324154757755317</v>
      </c>
      <c r="G18" s="197">
        <v>3</v>
      </c>
      <c r="I18" s="202">
        <v>261</v>
      </c>
      <c r="J18" s="283">
        <f>I18/H$6</f>
        <v>3.0324154757755317</v>
      </c>
      <c r="K18" s="221">
        <f>IF(C18=TRUE,F18,0)</f>
        <v>3.0324154757755317</v>
      </c>
      <c r="L18" s="199">
        <f>IF(C18=TRUE,G18,0)</f>
        <v>3</v>
      </c>
      <c r="N18" s="192" t="b">
        <v>1</v>
      </c>
      <c r="O18" s="405" t="s">
        <v>124</v>
      </c>
      <c r="P18" s="405"/>
      <c r="Q18" s="310">
        <f>U18/H6</f>
        <v>0.17289360266007184</v>
      </c>
      <c r="R18" s="197">
        <v>2</v>
      </c>
      <c r="T18" s="201">
        <v>5000</v>
      </c>
      <c r="U18" s="201">
        <f t="shared" si="0"/>
        <v>14.880952380952381</v>
      </c>
      <c r="V18" s="200">
        <f t="shared" si="1"/>
        <v>0.17289360266007184</v>
      </c>
      <c r="W18" s="199">
        <f t="shared" si="2"/>
        <v>2</v>
      </c>
    </row>
    <row r="19" spans="3:23" x14ac:dyDescent="0.35">
      <c r="F19" s="32"/>
      <c r="G19" s="32"/>
      <c r="I19" s="202"/>
      <c r="J19" s="283"/>
      <c r="K19" s="200"/>
      <c r="L19" s="199"/>
      <c r="N19" s="192" t="b">
        <v>0</v>
      </c>
      <c r="O19" t="s">
        <v>126</v>
      </c>
      <c r="Q19" s="310">
        <f>U19/H6</f>
        <v>0.5604232020448473</v>
      </c>
      <c r="R19" s="197">
        <v>3</v>
      </c>
      <c r="T19" s="201">
        <v>16207.17</v>
      </c>
      <c r="U19" s="201">
        <f t="shared" si="0"/>
        <v>48.235624999999999</v>
      </c>
      <c r="V19" s="200">
        <f t="shared" si="1"/>
        <v>0</v>
      </c>
      <c r="W19" s="199">
        <f t="shared" si="2"/>
        <v>0</v>
      </c>
    </row>
    <row r="20" spans="3:23" x14ac:dyDescent="0.35">
      <c r="C20" s="413" t="s">
        <v>418</v>
      </c>
      <c r="D20" s="413"/>
      <c r="F20" s="32"/>
      <c r="G20" s="32"/>
      <c r="I20" s="202"/>
      <c r="J20" s="283"/>
      <c r="K20" s="200"/>
      <c r="L20" s="199"/>
      <c r="N20" s="192" t="b">
        <v>1</v>
      </c>
      <c r="O20" t="s">
        <v>76</v>
      </c>
      <c r="Q20" s="310">
        <f>U20/H6</f>
        <v>9.5149428482907066</v>
      </c>
      <c r="R20" s="197">
        <v>3</v>
      </c>
      <c r="T20" s="201">
        <v>275167.58</v>
      </c>
      <c r="U20" s="201">
        <f t="shared" si="0"/>
        <v>818.95113095238105</v>
      </c>
      <c r="V20" s="200">
        <f t="shared" si="1"/>
        <v>9.5149428482907066</v>
      </c>
      <c r="W20" s="199">
        <f t="shared" si="2"/>
        <v>3</v>
      </c>
    </row>
    <row r="21" spans="3:23" x14ac:dyDescent="0.35">
      <c r="C21" s="192" t="b">
        <v>0</v>
      </c>
      <c r="D21" s="404" t="s">
        <v>359</v>
      </c>
      <c r="E21" s="404"/>
      <c r="F21" s="204">
        <f>J21</f>
        <v>7.040780759846637</v>
      </c>
      <c r="G21" s="197">
        <v>2</v>
      </c>
      <c r="I21" s="202">
        <v>606</v>
      </c>
      <c r="J21" s="283">
        <f>I21/H$6</f>
        <v>7.040780759846637</v>
      </c>
      <c r="K21" s="200">
        <f>IF(C21=TRUE,F21,0)</f>
        <v>0</v>
      </c>
      <c r="L21" s="199">
        <f>IF(C21=TRUE,G21,0)</f>
        <v>0</v>
      </c>
      <c r="N21" s="192" t="b">
        <v>0</v>
      </c>
      <c r="O21" t="s">
        <v>128</v>
      </c>
      <c r="Q21" s="310">
        <f>U21/H6</f>
        <v>3.390560770026612</v>
      </c>
      <c r="R21" s="197">
        <v>2</v>
      </c>
      <c r="T21" s="201">
        <v>98053.39</v>
      </c>
      <c r="U21" s="201">
        <f t="shared" si="0"/>
        <v>291.82556547619049</v>
      </c>
      <c r="V21" s="200">
        <f t="shared" si="1"/>
        <v>0</v>
      </c>
      <c r="W21" s="199">
        <f t="shared" si="2"/>
        <v>0</v>
      </c>
    </row>
    <row r="22" spans="3:23" x14ac:dyDescent="0.35">
      <c r="C22" s="192" t="b">
        <v>1</v>
      </c>
      <c r="D22" s="404" t="s">
        <v>360</v>
      </c>
      <c r="E22" s="404"/>
      <c r="F22" s="204">
        <f>J22</f>
        <v>10.549552689671199</v>
      </c>
      <c r="G22" s="197">
        <v>3</v>
      </c>
      <c r="I22" s="202">
        <v>908</v>
      </c>
      <c r="J22" s="283">
        <f>I22/H$6</f>
        <v>10.549552689671199</v>
      </c>
      <c r="K22" s="221">
        <f>IF(C22=TRUE,F22,0)</f>
        <v>10.549552689671199</v>
      </c>
      <c r="L22" s="199">
        <f>IF(C22=TRUE,G22,0)</f>
        <v>3</v>
      </c>
      <c r="N22" s="192" t="b">
        <v>1</v>
      </c>
      <c r="O22" t="s">
        <v>130</v>
      </c>
      <c r="Q22" s="310">
        <f>U22/H6</f>
        <v>4.3592922704111281</v>
      </c>
      <c r="R22" s="197">
        <v>1</v>
      </c>
      <c r="T22" s="201">
        <v>126068.64</v>
      </c>
      <c r="U22" s="201">
        <f t="shared" si="0"/>
        <v>375.20428571428573</v>
      </c>
      <c r="V22" s="200">
        <f t="shared" si="1"/>
        <v>4.3592922704111281</v>
      </c>
      <c r="W22" s="199">
        <f t="shared" si="2"/>
        <v>1</v>
      </c>
    </row>
    <row r="23" spans="3:23" x14ac:dyDescent="0.35">
      <c r="F23" s="32"/>
      <c r="G23" s="32"/>
      <c r="I23" s="202"/>
      <c r="J23" s="283"/>
      <c r="K23" s="200"/>
      <c r="L23" s="199"/>
      <c r="N23" s="192" t="b">
        <v>0</v>
      </c>
      <c r="O23" t="s">
        <v>393</v>
      </c>
      <c r="Q23" s="310">
        <f>U23/H6</f>
        <v>1.9678362573099417</v>
      </c>
      <c r="R23" s="197">
        <v>2</v>
      </c>
      <c r="T23" s="201">
        <v>56908.88</v>
      </c>
      <c r="U23" s="201">
        <f t="shared" si="0"/>
        <v>169.37166666666667</v>
      </c>
      <c r="V23" s="200">
        <f t="shared" si="1"/>
        <v>0</v>
      </c>
      <c r="W23" s="199">
        <f t="shared" si="2"/>
        <v>0</v>
      </c>
    </row>
    <row r="24" spans="3:23" x14ac:dyDescent="0.35">
      <c r="C24" s="45" t="s">
        <v>158</v>
      </c>
      <c r="F24" s="32"/>
      <c r="G24" s="32"/>
      <c r="I24" s="202"/>
      <c r="J24" s="283"/>
      <c r="K24" s="200"/>
      <c r="L24" s="199"/>
      <c r="N24" s="192" t="b">
        <v>1</v>
      </c>
      <c r="O24" t="s">
        <v>133</v>
      </c>
      <c r="Q24" s="310">
        <f>U24/H6</f>
        <v>2.944347624026955</v>
      </c>
      <c r="R24" s="197">
        <v>3</v>
      </c>
      <c r="T24" s="201">
        <v>85149.119999999995</v>
      </c>
      <c r="U24" s="201">
        <f t="shared" si="0"/>
        <v>253.42</v>
      </c>
      <c r="V24" s="200">
        <f t="shared" si="1"/>
        <v>2.944347624026955</v>
      </c>
      <c r="W24" s="199">
        <f t="shared" si="2"/>
        <v>3</v>
      </c>
    </row>
    <row r="25" spans="3:23" x14ac:dyDescent="0.35">
      <c r="C25" s="192" t="b">
        <v>1</v>
      </c>
      <c r="D25" s="404" t="s">
        <v>420</v>
      </c>
      <c r="E25" s="404"/>
      <c r="F25" s="204">
        <f>J25</f>
        <v>5.8166608574416179</v>
      </c>
      <c r="G25" s="197">
        <v>1</v>
      </c>
      <c r="I25" s="202">
        <v>500.64</v>
      </c>
      <c r="J25" s="283">
        <f>I25/H$6</f>
        <v>5.8166608574416179</v>
      </c>
      <c r="K25" s="200">
        <f>IF(C25=TRUE,F25,0)</f>
        <v>5.8166608574416179</v>
      </c>
      <c r="L25" s="199">
        <f>IF(C25=TRUE,G25,0)</f>
        <v>1</v>
      </c>
      <c r="N25" s="192" t="b">
        <v>0</v>
      </c>
      <c r="O25" t="s">
        <v>77</v>
      </c>
      <c r="Q25" s="310">
        <f>U25/H6</f>
        <v>2.1492860185784552</v>
      </c>
      <c r="R25" s="197">
        <v>2</v>
      </c>
      <c r="T25" s="201">
        <v>62156.32</v>
      </c>
      <c r="U25" s="201">
        <f t="shared" si="0"/>
        <v>184.98904761904762</v>
      </c>
      <c r="V25" s="200">
        <f t="shared" si="1"/>
        <v>0</v>
      </c>
      <c r="W25" s="199">
        <f t="shared" si="2"/>
        <v>0</v>
      </c>
    </row>
    <row r="26" spans="3:23" x14ac:dyDescent="0.35">
      <c r="C26" s="192" t="b">
        <v>0</v>
      </c>
      <c r="D26" s="404" t="s">
        <v>421</v>
      </c>
      <c r="E26" s="404"/>
      <c r="F26" s="204">
        <f>J26</f>
        <v>10.87149994190775</v>
      </c>
      <c r="G26" s="197">
        <v>2</v>
      </c>
      <c r="I26" s="202">
        <v>935.71</v>
      </c>
      <c r="J26" s="283">
        <f>I26/H$6</f>
        <v>10.87149994190775</v>
      </c>
      <c r="K26" s="221">
        <f>IF(C26=TRUE,F26,0)</f>
        <v>0</v>
      </c>
      <c r="L26" s="199">
        <f>IF(C26=TRUE,G26,0)</f>
        <v>0</v>
      </c>
      <c r="N26" s="192" t="b">
        <v>1</v>
      </c>
      <c r="O26" t="s">
        <v>138</v>
      </c>
      <c r="Q26" s="310">
        <f>U26/H6</f>
        <v>4.2586080266892399</v>
      </c>
      <c r="R26" s="197">
        <v>1</v>
      </c>
      <c r="T26" s="201">
        <v>123156.9</v>
      </c>
      <c r="U26" s="201">
        <f t="shared" si="0"/>
        <v>366.53839285714287</v>
      </c>
      <c r="V26" s="200">
        <f t="shared" si="1"/>
        <v>4.2586080266892399</v>
      </c>
      <c r="W26" s="199">
        <f t="shared" si="2"/>
        <v>1</v>
      </c>
    </row>
    <row r="27" spans="3:23" x14ac:dyDescent="0.35">
      <c r="F27" s="32"/>
      <c r="G27" s="32"/>
      <c r="I27" s="202"/>
      <c r="J27" s="283"/>
      <c r="K27" s="200"/>
      <c r="L27" s="199"/>
      <c r="N27" s="192" t="b">
        <v>0</v>
      </c>
      <c r="O27" t="s">
        <v>139</v>
      </c>
      <c r="Q27" s="310">
        <f>U27/H6</f>
        <v>2.7570716941360023</v>
      </c>
      <c r="R27" s="197">
        <v>2</v>
      </c>
      <c r="T27" s="201">
        <v>79733.19</v>
      </c>
      <c r="U27" s="201">
        <f t="shared" si="0"/>
        <v>237.30116071428571</v>
      </c>
      <c r="V27" s="200">
        <f t="shared" si="1"/>
        <v>0</v>
      </c>
      <c r="W27" s="199">
        <f t="shared" si="2"/>
        <v>0</v>
      </c>
    </row>
    <row r="28" spans="3:23" x14ac:dyDescent="0.35">
      <c r="C28" s="45" t="s">
        <v>197</v>
      </c>
      <c r="F28" s="32"/>
      <c r="G28" s="32"/>
      <c r="I28" s="202"/>
      <c r="J28" s="283"/>
      <c r="K28" s="200"/>
      <c r="L28" s="199"/>
      <c r="N28" s="192" t="b">
        <v>0</v>
      </c>
      <c r="O28" t="s">
        <v>140</v>
      </c>
      <c r="Q28" s="310">
        <f>U28/H6</f>
        <v>4.2586080266892399</v>
      </c>
      <c r="R28" s="197">
        <v>3</v>
      </c>
      <c r="T28" s="201">
        <f>208306.02-T24</f>
        <v>123156.9</v>
      </c>
      <c r="U28" s="201">
        <f t="shared" si="0"/>
        <v>366.53839285714287</v>
      </c>
      <c r="V28" s="200">
        <f t="shared" si="1"/>
        <v>0</v>
      </c>
      <c r="W28" s="199">
        <f t="shared" si="2"/>
        <v>0</v>
      </c>
    </row>
    <row r="29" spans="3:23" x14ac:dyDescent="0.35">
      <c r="C29" s="192" t="b">
        <v>0</v>
      </c>
      <c r="D29" s="404" t="s">
        <v>167</v>
      </c>
      <c r="E29" s="404"/>
      <c r="F29" s="204">
        <f>J29</f>
        <v>4.2988265365400258</v>
      </c>
      <c r="G29" s="196">
        <v>1</v>
      </c>
      <c r="I29" s="202">
        <v>370</v>
      </c>
      <c r="J29" s="283">
        <f>I29/H$6</f>
        <v>4.2988265365400258</v>
      </c>
      <c r="K29" s="200">
        <f>IF(C29=TRUE,F29,0)</f>
        <v>0</v>
      </c>
      <c r="L29" s="199">
        <f>IF(C29=TRUE,G29,0)</f>
        <v>0</v>
      </c>
      <c r="N29" s="192" t="b">
        <v>0</v>
      </c>
      <c r="O29" s="405" t="s">
        <v>143</v>
      </c>
      <c r="P29" s="405"/>
      <c r="Q29" s="310">
        <f>U29/H6</f>
        <v>2.8373607169136976</v>
      </c>
      <c r="R29" s="197">
        <v>2</v>
      </c>
      <c r="T29" s="201">
        <v>82055.11</v>
      </c>
      <c r="U29" s="201">
        <f t="shared" si="0"/>
        <v>244.21163690476192</v>
      </c>
      <c r="V29" s="200">
        <f t="shared" si="1"/>
        <v>0</v>
      </c>
      <c r="W29" s="199">
        <f t="shared" si="2"/>
        <v>0</v>
      </c>
    </row>
    <row r="30" spans="3:23" x14ac:dyDescent="0.35">
      <c r="C30" s="192" t="b">
        <v>1</v>
      </c>
      <c r="D30" s="404" t="s">
        <v>168</v>
      </c>
      <c r="E30" s="404"/>
      <c r="F30" s="204">
        <f>J30</f>
        <v>10.805158591843849</v>
      </c>
      <c r="G30" s="196">
        <v>1</v>
      </c>
      <c r="I30" s="202">
        <v>930</v>
      </c>
      <c r="J30" s="283">
        <f>I30/H$6</f>
        <v>10.805158591843849</v>
      </c>
      <c r="K30" s="221">
        <f>IF(C30=TRUE,F30,0)</f>
        <v>10.805158591843849</v>
      </c>
      <c r="L30" s="199">
        <f>IF(C30=TRUE,G30,0)</f>
        <v>1</v>
      </c>
      <c r="T30" s="201"/>
      <c r="U30" s="201"/>
      <c r="V30" s="200"/>
      <c r="W30" s="199"/>
    </row>
    <row r="31" spans="3:23" x14ac:dyDescent="0.35">
      <c r="F31" s="32"/>
      <c r="G31" s="32"/>
      <c r="I31" s="202"/>
      <c r="J31" s="283"/>
      <c r="K31" s="200"/>
      <c r="L31" s="199"/>
      <c r="T31" s="201"/>
      <c r="U31" s="201"/>
      <c r="V31" s="200"/>
      <c r="W31" s="199"/>
    </row>
    <row r="32" spans="3:23" x14ac:dyDescent="0.35">
      <c r="C32" s="45" t="s">
        <v>53</v>
      </c>
      <c r="F32" s="32"/>
      <c r="G32" s="32"/>
      <c r="I32" s="202"/>
      <c r="J32" s="283"/>
      <c r="K32" s="200"/>
      <c r="L32" s="199"/>
      <c r="O32" s="406" t="s">
        <v>391</v>
      </c>
      <c r="P32" s="406"/>
      <c r="Q32" s="218">
        <f>SUM(V12:V29)</f>
        <v>22.55060249962655</v>
      </c>
      <c r="T32" s="201"/>
      <c r="U32" s="199" t="s">
        <v>2</v>
      </c>
      <c r="V32" s="202">
        <v>900</v>
      </c>
      <c r="W32" s="221">
        <f>V32/H6</f>
        <v>10.456605088881144</v>
      </c>
    </row>
    <row r="33" spans="2:23" x14ac:dyDescent="0.35">
      <c r="C33" s="192" t="b">
        <v>0</v>
      </c>
      <c r="D33" s="404" t="s">
        <v>170</v>
      </c>
      <c r="E33" s="404"/>
      <c r="F33" s="204">
        <f>J33</f>
        <v>1.068897409085628</v>
      </c>
      <c r="G33" s="196">
        <v>2</v>
      </c>
      <c r="I33" s="202">
        <v>92</v>
      </c>
      <c r="J33" s="283">
        <f>I33/H$6</f>
        <v>1.068897409085628</v>
      </c>
      <c r="K33" s="200">
        <f>IF(C33=TRUE,F33,0)</f>
        <v>0</v>
      </c>
      <c r="L33" s="199">
        <f>IF(C33=TRUE,G33,0)</f>
        <v>0</v>
      </c>
      <c r="O33" s="406" t="s">
        <v>522</v>
      </c>
      <c r="P33" s="406"/>
      <c r="Q33" s="234" t="str">
        <f>IF(Q32&lt;=O36,"LZ 1",IF(Q32&lt;=Q36,"LZ 2",IF(Q32&lt;=S36,"LZ 3",IF(Q32&gt;=T36,"LZ 4"))))</f>
        <v>LZ 3</v>
      </c>
      <c r="T33" s="201"/>
      <c r="U33" s="199" t="s">
        <v>3</v>
      </c>
      <c r="V33" s="202">
        <v>1800</v>
      </c>
      <c r="W33" s="221">
        <f>V33/H6</f>
        <v>20.913210177762288</v>
      </c>
    </row>
    <row r="34" spans="2:23" x14ac:dyDescent="0.35">
      <c r="C34" s="192" t="b">
        <v>1</v>
      </c>
      <c r="D34" s="404" t="s">
        <v>171</v>
      </c>
      <c r="E34" s="404"/>
      <c r="F34" s="204">
        <f>J34</f>
        <v>2.8349018240966659</v>
      </c>
      <c r="G34" s="196">
        <v>2</v>
      </c>
      <c r="I34" s="202">
        <v>244</v>
      </c>
      <c r="J34" s="283">
        <f>I34/H$6</f>
        <v>2.8349018240966659</v>
      </c>
      <c r="K34" s="221">
        <f>IF(C34=TRUE,F34,0)</f>
        <v>2.8349018240966659</v>
      </c>
      <c r="L34" s="199">
        <f>IF(C34=TRUE,G34,0)</f>
        <v>2</v>
      </c>
      <c r="T34" s="201"/>
      <c r="U34" s="199" t="s">
        <v>4</v>
      </c>
      <c r="V34" s="202">
        <v>2400</v>
      </c>
      <c r="W34" s="221">
        <f>V34/H6</f>
        <v>27.884280237016384</v>
      </c>
    </row>
    <row r="35" spans="2:23" x14ac:dyDescent="0.35">
      <c r="F35" s="32"/>
      <c r="G35" s="32"/>
      <c r="I35" s="202"/>
      <c r="J35" s="279"/>
      <c r="N35" s="372" t="s">
        <v>404</v>
      </c>
      <c r="O35" s="372"/>
      <c r="P35" s="372"/>
      <c r="Q35" s="372"/>
      <c r="R35" s="372"/>
      <c r="S35" s="372"/>
      <c r="T35" s="201"/>
      <c r="U35" s="201"/>
      <c r="V35" s="200"/>
      <c r="W35" s="199"/>
    </row>
    <row r="36" spans="2:23" x14ac:dyDescent="0.35">
      <c r="D36" s="406" t="s">
        <v>391</v>
      </c>
      <c r="E36" s="406"/>
      <c r="F36" s="218">
        <f>SUM(K13:K34)</f>
        <v>61.259904728709202</v>
      </c>
      <c r="G36" s="32"/>
      <c r="I36" s="202"/>
      <c r="J36" s="202"/>
      <c r="N36" s="233">
        <v>0</v>
      </c>
      <c r="O36" s="233">
        <f>W32</f>
        <v>10.456605088881144</v>
      </c>
      <c r="P36" s="233">
        <f>O36+0.1</f>
        <v>10.556605088881144</v>
      </c>
      <c r="Q36" s="233">
        <f>W33</f>
        <v>20.913210177762288</v>
      </c>
      <c r="R36" s="233">
        <f>Q36+0.1</f>
        <v>21.013210177762289</v>
      </c>
      <c r="S36" s="233">
        <f>W34</f>
        <v>27.884280237016384</v>
      </c>
      <c r="T36" s="233">
        <f>S36+0.1</f>
        <v>27.984280237016385</v>
      </c>
    </row>
    <row r="37" spans="2:23" x14ac:dyDescent="0.35">
      <c r="D37" s="406" t="s">
        <v>422</v>
      </c>
      <c r="E37" s="406"/>
      <c r="F37" s="232" t="str">
        <f>IF(F36&lt;=C46,"ACAB 1",IF(F36&lt;=E46,"ACAB 2",IF(F36&gt;=F46,"ACAB 3")))</f>
        <v>ACAB 3</v>
      </c>
      <c r="G37" s="32"/>
      <c r="I37" s="202"/>
      <c r="J37" s="199"/>
      <c r="K37" s="182"/>
      <c r="N37" s="432" t="s">
        <v>405</v>
      </c>
      <c r="O37" s="432"/>
      <c r="P37" s="433" t="s">
        <v>406</v>
      </c>
      <c r="Q37" s="433"/>
      <c r="R37" s="434" t="s">
        <v>407</v>
      </c>
      <c r="S37" s="434"/>
      <c r="T37" s="216" t="s">
        <v>408</v>
      </c>
      <c r="U37" s="199"/>
    </row>
    <row r="38" spans="2:23" x14ac:dyDescent="0.35">
      <c r="F38" s="32"/>
      <c r="G38" s="32"/>
      <c r="I38" s="202"/>
      <c r="J38" s="199"/>
      <c r="K38" s="182"/>
      <c r="R38" s="32"/>
      <c r="T38" s="199"/>
      <c r="U38" s="199"/>
    </row>
    <row r="39" spans="2:23" x14ac:dyDescent="0.35">
      <c r="C39" s="202"/>
      <c r="D39" s="415"/>
      <c r="E39" s="415"/>
      <c r="F39" s="219"/>
      <c r="G39" s="416"/>
      <c r="H39" s="416"/>
      <c r="I39" s="202"/>
      <c r="J39" s="199"/>
      <c r="R39" s="32"/>
      <c r="T39" s="199"/>
      <c r="U39" s="199"/>
    </row>
    <row r="40" spans="2:23" x14ac:dyDescent="0.35">
      <c r="C40" s="287" t="s">
        <v>2</v>
      </c>
      <c r="D40" s="290">
        <f>J40</f>
        <v>25.207854072266763</v>
      </c>
      <c r="E40" s="289"/>
      <c r="F40" s="286">
        <f>D41-0.1</f>
        <v>38.99771116533055</v>
      </c>
      <c r="G40" s="221"/>
      <c r="H40" s="215"/>
      <c r="I40" s="200" t="s">
        <v>518</v>
      </c>
      <c r="J40" s="315">
        <f>F13+F17+F21+F25+F29+F33</f>
        <v>25.207854072266763</v>
      </c>
      <c r="K40" s="316"/>
      <c r="O40" s="406" t="s">
        <v>398</v>
      </c>
      <c r="P40" s="406"/>
      <c r="Q40" s="218">
        <f>SUM(W12:W29)</f>
        <v>15</v>
      </c>
      <c r="R40" s="32"/>
    </row>
    <row r="41" spans="2:23" x14ac:dyDescent="0.35">
      <c r="C41" s="287" t="s">
        <v>3</v>
      </c>
      <c r="D41" s="290">
        <f>((E41-D40)/2)+D40</f>
        <v>39.097711165330551</v>
      </c>
      <c r="E41" s="314">
        <f>J41</f>
        <v>52.98756825839434</v>
      </c>
      <c r="F41" s="286">
        <f>((F42-E41)/2)+E41</f>
        <v>59.651156035784837</v>
      </c>
      <c r="G41" s="221"/>
      <c r="H41" s="222"/>
      <c r="I41" s="200" t="s">
        <v>519</v>
      </c>
      <c r="J41" s="315">
        <f>F14+F18+F22+F25+F29+F33</f>
        <v>52.98756825839434</v>
      </c>
      <c r="K41" s="317"/>
      <c r="O41" s="406" t="s">
        <v>411</v>
      </c>
      <c r="P41" s="406"/>
      <c r="Q41" s="1">
        <f>COUNTIF(N12:N29,TRUE)</f>
        <v>9</v>
      </c>
      <c r="R41" s="32"/>
    </row>
    <row r="42" spans="2:23" x14ac:dyDescent="0.35">
      <c r="C42" s="287" t="s">
        <v>4</v>
      </c>
      <c r="D42" s="290">
        <f>F41+0.1</f>
        <v>59.751156035784838</v>
      </c>
      <c r="E42" s="289"/>
      <c r="F42" s="286">
        <f>J42</f>
        <v>66.314743813175326</v>
      </c>
      <c r="G42" s="221"/>
      <c r="H42" s="222"/>
      <c r="I42" s="200" t="s">
        <v>520</v>
      </c>
      <c r="J42" s="315">
        <f>F14+F18+F22+F26+F30+F34</f>
        <v>66.314743813175326</v>
      </c>
      <c r="K42" s="318"/>
      <c r="O42" s="406" t="s">
        <v>412</v>
      </c>
      <c r="P42" s="406"/>
      <c r="Q42" s="217">
        <f>Q40/Q41</f>
        <v>1.6666666666666667</v>
      </c>
      <c r="R42" s="32"/>
    </row>
    <row r="43" spans="2:23" x14ac:dyDescent="0.35">
      <c r="O43" s="406" t="s">
        <v>399</v>
      </c>
      <c r="P43" s="406"/>
      <c r="Q43" s="234" t="str">
        <f>IF(Q42&lt;=1,"VLC 1",IF(Q42&lt;=2,"VLC 2",IF(Q42&lt;=3,"VLC 3")))</f>
        <v>VLC 2</v>
      </c>
      <c r="R43" s="32"/>
      <c r="T43" s="199"/>
      <c r="U43" s="199"/>
    </row>
    <row r="44" spans="2:23" x14ac:dyDescent="0.35">
      <c r="B44" s="225" t="s">
        <v>424</v>
      </c>
      <c r="C44" s="225"/>
      <c r="D44" s="225"/>
      <c r="E44" s="225"/>
      <c r="F44" s="225"/>
      <c r="G44" s="225"/>
      <c r="R44" s="32"/>
      <c r="T44" s="199"/>
      <c r="U44" s="199"/>
    </row>
    <row r="45" spans="2:23" x14ac:dyDescent="0.35">
      <c r="B45" s="172"/>
      <c r="C45" s="172"/>
      <c r="D45" s="410" t="s">
        <v>394</v>
      </c>
      <c r="E45" s="410"/>
      <c r="F45" s="410"/>
      <c r="G45" s="172"/>
      <c r="O45" s="224" t="s">
        <v>414</v>
      </c>
      <c r="P45" s="224"/>
      <c r="Q45" s="224"/>
      <c r="R45" s="32"/>
      <c r="T45" s="199"/>
      <c r="U45" s="199"/>
    </row>
    <row r="46" spans="2:23" x14ac:dyDescent="0.35">
      <c r="B46" s="233">
        <f>D40</f>
        <v>25.207854072266763</v>
      </c>
      <c r="C46" s="233">
        <f>F40</f>
        <v>38.99771116533055</v>
      </c>
      <c r="D46" s="233">
        <f>D41</f>
        <v>39.097711165330551</v>
      </c>
      <c r="E46" s="233">
        <f>F41</f>
        <v>59.651156035784837</v>
      </c>
      <c r="F46" s="233">
        <f>D42</f>
        <v>59.751156035784838</v>
      </c>
      <c r="G46" s="233">
        <f>F42</f>
        <v>66.314743813175326</v>
      </c>
      <c r="N46" s="233">
        <v>0</v>
      </c>
      <c r="O46" s="233">
        <v>1</v>
      </c>
      <c r="P46" s="233">
        <v>1.1000000000000001</v>
      </c>
      <c r="Q46" s="233">
        <v>2</v>
      </c>
      <c r="R46" s="233">
        <v>2.1</v>
      </c>
      <c r="S46" s="233">
        <v>3</v>
      </c>
      <c r="T46" s="199"/>
      <c r="U46" s="199"/>
    </row>
    <row r="47" spans="2:23" ht="18" x14ac:dyDescent="0.4">
      <c r="B47" s="432" t="s">
        <v>425</v>
      </c>
      <c r="C47" s="432"/>
      <c r="D47" s="433" t="s">
        <v>426</v>
      </c>
      <c r="E47" s="433"/>
      <c r="F47" s="434" t="s">
        <v>427</v>
      </c>
      <c r="G47" s="434"/>
      <c r="I47" s="319"/>
      <c r="N47" s="436" t="s">
        <v>401</v>
      </c>
      <c r="O47" s="436"/>
      <c r="P47" s="437" t="s">
        <v>402</v>
      </c>
      <c r="Q47" s="437"/>
      <c r="R47" s="435" t="s">
        <v>403</v>
      </c>
      <c r="S47" s="435"/>
      <c r="T47" s="199"/>
      <c r="U47" s="199"/>
    </row>
    <row r="48" spans="2:23" x14ac:dyDescent="0.35">
      <c r="F48" s="32"/>
      <c r="G48" s="32"/>
      <c r="R48" s="32"/>
      <c r="T48" s="199"/>
      <c r="U48" s="199"/>
      <c r="V48" s="200"/>
      <c r="W48" s="199"/>
    </row>
    <row r="49" spans="2:18" ht="18" x14ac:dyDescent="0.4">
      <c r="F49" s="32"/>
      <c r="G49" s="32"/>
      <c r="K49" s="319"/>
    </row>
    <row r="50" spans="2:18" x14ac:dyDescent="0.35">
      <c r="D50" s="406" t="s">
        <v>398</v>
      </c>
      <c r="E50" s="406"/>
      <c r="F50" s="218">
        <f>SUM(L13:L34)</f>
        <v>13</v>
      </c>
      <c r="G50" s="32"/>
    </row>
    <row r="51" spans="2:18" x14ac:dyDescent="0.35">
      <c r="D51" s="406" t="s">
        <v>412</v>
      </c>
      <c r="E51" s="406"/>
      <c r="F51" s="218">
        <f>F50/6</f>
        <v>2.1666666666666665</v>
      </c>
      <c r="G51" s="32"/>
    </row>
    <row r="52" spans="2:18" x14ac:dyDescent="0.35">
      <c r="D52" s="406" t="s">
        <v>422</v>
      </c>
      <c r="E52" s="406"/>
      <c r="F52" s="232" t="str">
        <f>IF(F51&lt;=1,"VLC 1",IF(F51&lt;=2,"VLC 2",IF(F51&lt;=3,"VLC 3")))</f>
        <v>VLC 3</v>
      </c>
      <c r="G52" s="32"/>
    </row>
    <row r="53" spans="2:18" x14ac:dyDescent="0.35">
      <c r="F53" s="32"/>
      <c r="G53" s="32"/>
    </row>
    <row r="54" spans="2:18" x14ac:dyDescent="0.35">
      <c r="D54" s="410" t="s">
        <v>414</v>
      </c>
      <c r="E54" s="410"/>
      <c r="F54" s="410"/>
      <c r="G54" s="225"/>
    </row>
    <row r="55" spans="2:18" x14ac:dyDescent="0.35">
      <c r="B55" s="233">
        <v>0</v>
      </c>
      <c r="C55" s="233">
        <v>1</v>
      </c>
      <c r="D55" s="233">
        <v>1.1000000000000001</v>
      </c>
      <c r="E55" s="233">
        <v>2</v>
      </c>
      <c r="F55" s="233">
        <v>2.1</v>
      </c>
      <c r="G55" s="233">
        <v>3</v>
      </c>
    </row>
    <row r="56" spans="2:18" x14ac:dyDescent="0.35">
      <c r="B56" s="436" t="s">
        <v>401</v>
      </c>
      <c r="C56" s="436"/>
      <c r="D56" s="437" t="s">
        <v>402</v>
      </c>
      <c r="E56" s="437"/>
      <c r="F56" s="435" t="s">
        <v>403</v>
      </c>
      <c r="G56" s="435"/>
    </row>
    <row r="57" spans="2:18" x14ac:dyDescent="0.35">
      <c r="D57" s="231"/>
      <c r="E57" s="231"/>
      <c r="F57" s="231"/>
      <c r="G57" s="32"/>
    </row>
    <row r="58" spans="2:18" x14ac:dyDescent="0.35">
      <c r="F58" s="32"/>
      <c r="G58" s="32"/>
    </row>
    <row r="59" spans="2:18" x14ac:dyDescent="0.35">
      <c r="C59" s="403" t="s">
        <v>323</v>
      </c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</row>
    <row r="60" spans="2:18" x14ac:dyDescent="0.35">
      <c r="F60" s="32"/>
      <c r="G60" s="32"/>
      <c r="I60" s="202"/>
      <c r="J60" s="202"/>
      <c r="R60" s="32"/>
    </row>
    <row r="61" spans="2:18" x14ac:dyDescent="0.35">
      <c r="C61" s="406" t="s">
        <v>428</v>
      </c>
      <c r="D61" s="406"/>
      <c r="E61" s="406"/>
      <c r="F61" s="218">
        <f>SUM(F36,Q32)</f>
        <v>83.810507228335752</v>
      </c>
      <c r="G61" s="391"/>
      <c r="H61" s="391"/>
      <c r="I61" s="238"/>
      <c r="J61" s="239" t="s">
        <v>430</v>
      </c>
      <c r="K61" s="239" t="s">
        <v>431</v>
      </c>
      <c r="R61" s="32"/>
    </row>
    <row r="62" spans="2:18" x14ac:dyDescent="0.35">
      <c r="C62" s="208" t="s">
        <v>429</v>
      </c>
      <c r="D62" s="208"/>
      <c r="E62" s="208"/>
      <c r="F62" s="322" t="b">
        <f>IF(F61&lt;=E71,"PRODUTO 01",IF(F61&lt;=G71,"PRODUTO 02",IF(F61&gt;=I71,"PRODUTO 03",IF(F61&gt;=J71,"RISCO"))))</f>
        <v>0</v>
      </c>
      <c r="G62" s="32"/>
      <c r="H62" s="32"/>
      <c r="I62" s="238" t="s">
        <v>523</v>
      </c>
      <c r="J62" s="288">
        <f>SUM(D40+N36)</f>
        <v>25.207854072266763</v>
      </c>
      <c r="K62" s="288">
        <f>SUM(F40,O36)</f>
        <v>49.45431625421169</v>
      </c>
      <c r="R62" s="32"/>
    </row>
    <row r="63" spans="2:18" x14ac:dyDescent="0.35">
      <c r="F63" s="32"/>
      <c r="G63" s="32"/>
      <c r="I63" s="238" t="s">
        <v>524</v>
      </c>
      <c r="J63" s="321">
        <f>SUM(D41,P36)</f>
        <v>49.654316254211693</v>
      </c>
      <c r="K63" s="288">
        <f>SUM(F41,Q36)</f>
        <v>80.564366213547117</v>
      </c>
      <c r="R63" s="32"/>
    </row>
    <row r="64" spans="2:18" x14ac:dyDescent="0.35">
      <c r="F64" s="32"/>
      <c r="G64" s="32"/>
      <c r="I64" s="238" t="s">
        <v>525</v>
      </c>
      <c r="J64" s="321">
        <f>D42+R36</f>
        <v>80.764366213547135</v>
      </c>
      <c r="K64" s="288">
        <f>F42+S36</f>
        <v>94.19902405019171</v>
      </c>
      <c r="R64" s="32"/>
    </row>
    <row r="65" spans="3:18" x14ac:dyDescent="0.35">
      <c r="F65" s="32"/>
      <c r="G65" s="32"/>
      <c r="I65" s="202"/>
      <c r="J65" s="202"/>
      <c r="R65" s="32"/>
    </row>
    <row r="66" spans="3:18" x14ac:dyDescent="0.35">
      <c r="F66" s="32"/>
      <c r="G66" s="32"/>
      <c r="I66" s="202"/>
      <c r="J66" s="202"/>
      <c r="R66" s="32"/>
    </row>
    <row r="67" spans="3:18" x14ac:dyDescent="0.35">
      <c r="F67" s="32"/>
      <c r="G67" s="32"/>
      <c r="I67" s="202"/>
      <c r="J67" s="202"/>
      <c r="R67" s="32"/>
    </row>
    <row r="68" spans="3:18" x14ac:dyDescent="0.35">
      <c r="F68" s="32"/>
      <c r="G68" s="32"/>
      <c r="I68" s="202"/>
      <c r="J68" s="202"/>
      <c r="R68" s="32"/>
    </row>
    <row r="69" spans="3:18" x14ac:dyDescent="0.35">
      <c r="D69" s="372" t="s">
        <v>433</v>
      </c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2"/>
      <c r="R69" s="32"/>
    </row>
    <row r="70" spans="3:18" x14ac:dyDescent="0.35"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R70" s="32"/>
    </row>
    <row r="71" spans="3:18" x14ac:dyDescent="0.35">
      <c r="D71" s="233">
        <f>J62</f>
        <v>25.207854072266763</v>
      </c>
      <c r="E71" s="233">
        <f>K62</f>
        <v>49.45431625421169</v>
      </c>
      <c r="F71" s="320">
        <f>J63</f>
        <v>49.654316254211693</v>
      </c>
      <c r="G71" s="233">
        <f>K63</f>
        <v>80.564366213547117</v>
      </c>
      <c r="H71" s="320">
        <f>J64</f>
        <v>80.764366213547135</v>
      </c>
      <c r="I71" s="233">
        <f>K64</f>
        <v>94.19902405019171</v>
      </c>
      <c r="J71" s="233">
        <f>I71+0.1</f>
        <v>94.299024050191704</v>
      </c>
      <c r="K71" s="272"/>
      <c r="L71" s="272"/>
      <c r="M71" s="272"/>
      <c r="N71" s="420"/>
      <c r="O71" s="420"/>
      <c r="R71" s="32"/>
    </row>
    <row r="72" spans="3:18" x14ac:dyDescent="0.35">
      <c r="D72" s="438" t="s">
        <v>523</v>
      </c>
      <c r="E72" s="438"/>
      <c r="F72" s="439" t="s">
        <v>524</v>
      </c>
      <c r="G72" s="439"/>
      <c r="H72" s="440" t="s">
        <v>525</v>
      </c>
      <c r="I72" s="440"/>
      <c r="J72" s="441" t="s">
        <v>434</v>
      </c>
      <c r="K72" s="441"/>
      <c r="R72" s="32"/>
    </row>
    <row r="73" spans="3:18" x14ac:dyDescent="0.35">
      <c r="F73" s="32"/>
      <c r="G73" s="32"/>
      <c r="I73" s="202"/>
      <c r="J73" s="202"/>
      <c r="R73" s="32"/>
    </row>
    <row r="74" spans="3:18" x14ac:dyDescent="0.35">
      <c r="F74" s="32"/>
      <c r="G74" s="32"/>
      <c r="I74" s="202"/>
      <c r="J74" s="202"/>
      <c r="R74" s="32"/>
    </row>
    <row r="75" spans="3:18" x14ac:dyDescent="0.35">
      <c r="C75" s="406" t="s">
        <v>435</v>
      </c>
      <c r="D75" s="406"/>
      <c r="E75" s="406"/>
      <c r="F75" s="218">
        <f>SUM(F51,Q42)/2</f>
        <v>1.9166666666666665</v>
      </c>
      <c r="G75" s="32"/>
      <c r="I75" s="202"/>
      <c r="J75" s="202"/>
      <c r="R75" s="32"/>
    </row>
    <row r="76" spans="3:18" x14ac:dyDescent="0.35">
      <c r="C76" s="406" t="s">
        <v>399</v>
      </c>
      <c r="D76" s="406"/>
      <c r="E76" s="406"/>
      <c r="F76" s="32" t="str">
        <f>IF(F75&lt;=E80,"VLC 03",IF(F75&lt;=G80,"VLC 02",IF(F75&lt;=M80,"VLC 01")))</f>
        <v>VLC 02</v>
      </c>
      <c r="G76" s="32"/>
      <c r="I76" s="202"/>
      <c r="J76" s="202"/>
      <c r="R76" s="32"/>
    </row>
    <row r="77" spans="3:18" x14ac:dyDescent="0.35">
      <c r="F77" s="32"/>
      <c r="G77" s="32"/>
      <c r="I77" s="202"/>
      <c r="J77" s="202"/>
      <c r="R77" s="32"/>
    </row>
    <row r="78" spans="3:18" x14ac:dyDescent="0.35">
      <c r="D78" s="372" t="s">
        <v>436</v>
      </c>
      <c r="E78" s="372"/>
      <c r="F78" s="372"/>
      <c r="G78" s="372"/>
      <c r="H78" s="372"/>
      <c r="I78" s="372"/>
      <c r="J78" s="372"/>
      <c r="K78" s="372"/>
      <c r="L78" s="372"/>
      <c r="M78" s="372"/>
      <c r="R78" s="32"/>
    </row>
    <row r="79" spans="3:18" x14ac:dyDescent="0.35"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R79" s="32"/>
    </row>
    <row r="80" spans="3:18" x14ac:dyDescent="0.35">
      <c r="D80" s="233">
        <v>0</v>
      </c>
      <c r="E80" s="233">
        <v>1</v>
      </c>
      <c r="F80" s="233">
        <f>E80+0.1</f>
        <v>1.1000000000000001</v>
      </c>
      <c r="G80" s="233">
        <v>2</v>
      </c>
      <c r="H80" s="233">
        <f>G80+0.1</f>
        <v>2.1</v>
      </c>
      <c r="I80" s="233">
        <v>3</v>
      </c>
      <c r="J80" s="233"/>
      <c r="K80" s="233"/>
      <c r="L80" s="233"/>
      <c r="M80" s="233"/>
      <c r="R80" s="32"/>
    </row>
    <row r="81" spans="4:18" x14ac:dyDescent="0.35">
      <c r="D81" s="438" t="s">
        <v>526</v>
      </c>
      <c r="E81" s="438"/>
      <c r="F81" s="439" t="s">
        <v>527</v>
      </c>
      <c r="G81" s="439"/>
      <c r="H81" s="440" t="s">
        <v>528</v>
      </c>
      <c r="I81" s="440"/>
      <c r="J81" s="233"/>
      <c r="K81" s="233"/>
      <c r="L81" s="233"/>
      <c r="M81" s="233"/>
      <c r="R81" s="32"/>
    </row>
    <row r="82" spans="4:18" x14ac:dyDescent="0.35">
      <c r="F82" s="32"/>
      <c r="G82" s="32"/>
      <c r="I82" s="202"/>
      <c r="J82" s="202"/>
      <c r="R82" s="32"/>
    </row>
  </sheetData>
  <mergeCells count="84">
    <mergeCell ref="D72:E72"/>
    <mergeCell ref="F72:G72"/>
    <mergeCell ref="H72:I72"/>
    <mergeCell ref="J72:K72"/>
    <mergeCell ref="D81:E81"/>
    <mergeCell ref="F81:G81"/>
    <mergeCell ref="H81:I81"/>
    <mergeCell ref="C75:E75"/>
    <mergeCell ref="C76:E76"/>
    <mergeCell ref="D78:M78"/>
    <mergeCell ref="D79:E79"/>
    <mergeCell ref="F79:G79"/>
    <mergeCell ref="H79:M79"/>
    <mergeCell ref="D70:E70"/>
    <mergeCell ref="F70:G70"/>
    <mergeCell ref="H70:M70"/>
    <mergeCell ref="N70:O70"/>
    <mergeCell ref="N71:O71"/>
    <mergeCell ref="C59:R59"/>
    <mergeCell ref="C61:E61"/>
    <mergeCell ref="G61:H61"/>
    <mergeCell ref="D69:O69"/>
    <mergeCell ref="B56:C56"/>
    <mergeCell ref="D56:E56"/>
    <mergeCell ref="F56:G56"/>
    <mergeCell ref="D50:E50"/>
    <mergeCell ref="D51:E51"/>
    <mergeCell ref="D52:E52"/>
    <mergeCell ref="D54:F54"/>
    <mergeCell ref="O40:P40"/>
    <mergeCell ref="O41:P41"/>
    <mergeCell ref="O42:P42"/>
    <mergeCell ref="O43:P43"/>
    <mergeCell ref="N47:O47"/>
    <mergeCell ref="P47:Q47"/>
    <mergeCell ref="N10:R10"/>
    <mergeCell ref="O12:P12"/>
    <mergeCell ref="O13:P13"/>
    <mergeCell ref="O14:P14"/>
    <mergeCell ref="O15:P15"/>
    <mergeCell ref="O16:P16"/>
    <mergeCell ref="O17:P17"/>
    <mergeCell ref="O18:P18"/>
    <mergeCell ref="O29:P29"/>
    <mergeCell ref="O32:P32"/>
    <mergeCell ref="O33:P33"/>
    <mergeCell ref="N35:S35"/>
    <mergeCell ref="G39:H39"/>
    <mergeCell ref="B47:C47"/>
    <mergeCell ref="D47:E47"/>
    <mergeCell ref="F47:G47"/>
    <mergeCell ref="D45:F45"/>
    <mergeCell ref="D36:E36"/>
    <mergeCell ref="D37:E37"/>
    <mergeCell ref="D39:E39"/>
    <mergeCell ref="R37:S37"/>
    <mergeCell ref="N37:O37"/>
    <mergeCell ref="P37:Q37"/>
    <mergeCell ref="R47:S47"/>
    <mergeCell ref="D26:E26"/>
    <mergeCell ref="D29:E29"/>
    <mergeCell ref="D30:E30"/>
    <mergeCell ref="D33:E33"/>
    <mergeCell ref="D34:E34"/>
    <mergeCell ref="D25:E25"/>
    <mergeCell ref="C10:G10"/>
    <mergeCell ref="C12:D12"/>
    <mergeCell ref="D13:E13"/>
    <mergeCell ref="D14:E14"/>
    <mergeCell ref="C16:D16"/>
    <mergeCell ref="D17:E17"/>
    <mergeCell ref="D18:E18"/>
    <mergeCell ref="C20:D20"/>
    <mergeCell ref="D21:E21"/>
    <mergeCell ref="D22:E22"/>
    <mergeCell ref="C6:E6"/>
    <mergeCell ref="J4:L4"/>
    <mergeCell ref="M4:O4"/>
    <mergeCell ref="M5:O5"/>
    <mergeCell ref="C2:R2"/>
    <mergeCell ref="C4:E4"/>
    <mergeCell ref="F4:H4"/>
    <mergeCell ref="C5:E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64C3-7D44-4289-A38E-CAF473FBD931}">
  <dimension ref="A1:J36"/>
  <sheetViews>
    <sheetView workbookViewId="0">
      <selection activeCell="C4" sqref="C4:C22"/>
    </sheetView>
  </sheetViews>
  <sheetFormatPr defaultRowHeight="14.5" x14ac:dyDescent="0.35"/>
  <cols>
    <col min="2" max="2" width="26.6328125" customWidth="1"/>
    <col min="3" max="3" width="30.6328125" style="32" bestFit="1" customWidth="1"/>
    <col min="4" max="7" width="18.08984375" style="32" customWidth="1"/>
    <col min="8" max="8" width="25.6328125" customWidth="1"/>
    <col min="9" max="9" width="14.36328125" style="32" customWidth="1"/>
  </cols>
  <sheetData>
    <row r="1" spans="2:9" x14ac:dyDescent="0.35">
      <c r="D1" s="372" t="s">
        <v>104</v>
      </c>
      <c r="E1" s="372"/>
      <c r="F1" s="372"/>
      <c r="G1" s="372"/>
    </row>
    <row r="2" spans="2:9" x14ac:dyDescent="0.35">
      <c r="B2" s="172" t="s">
        <v>105</v>
      </c>
      <c r="C2" s="172" t="s">
        <v>106</v>
      </c>
      <c r="D2" s="32" t="s">
        <v>107</v>
      </c>
      <c r="E2" s="32" t="s">
        <v>108</v>
      </c>
      <c r="F2" s="32" t="s">
        <v>109</v>
      </c>
      <c r="G2" s="32" t="s">
        <v>110</v>
      </c>
      <c r="H2" s="172" t="s">
        <v>111</v>
      </c>
    </row>
    <row r="3" spans="2:9" ht="51.65" customHeight="1" x14ac:dyDescent="0.35">
      <c r="B3" s="172"/>
      <c r="C3" s="172"/>
      <c r="D3" s="373" t="s">
        <v>112</v>
      </c>
      <c r="E3" s="373"/>
      <c r="F3" s="373"/>
      <c r="G3" s="373"/>
      <c r="H3" s="44" t="s">
        <v>113</v>
      </c>
      <c r="I3" s="181" t="s">
        <v>114</v>
      </c>
    </row>
    <row r="4" spans="2:9" x14ac:dyDescent="0.35">
      <c r="B4" t="s">
        <v>115</v>
      </c>
      <c r="C4" s="32">
        <v>0.4</v>
      </c>
      <c r="D4" s="174" t="s">
        <v>116</v>
      </c>
      <c r="E4" s="174" t="s">
        <v>117</v>
      </c>
      <c r="F4" s="174" t="s">
        <v>117</v>
      </c>
      <c r="G4" s="174" t="s">
        <v>117</v>
      </c>
      <c r="H4" s="32">
        <v>1</v>
      </c>
      <c r="I4" s="174" t="s">
        <v>118</v>
      </c>
    </row>
    <row r="5" spans="2:9" x14ac:dyDescent="0.35">
      <c r="B5" t="s">
        <v>119</v>
      </c>
      <c r="C5" s="32">
        <v>0.5</v>
      </c>
      <c r="D5" s="174" t="s">
        <v>116</v>
      </c>
      <c r="E5" s="174" t="s">
        <v>117</v>
      </c>
      <c r="F5" s="173" t="s">
        <v>120</v>
      </c>
      <c r="G5" s="173" t="s">
        <v>121</v>
      </c>
      <c r="H5" s="32">
        <v>1</v>
      </c>
      <c r="I5" s="32" t="s">
        <v>118</v>
      </c>
    </row>
    <row r="6" spans="2:9" x14ac:dyDescent="0.35">
      <c r="B6" t="s">
        <v>122</v>
      </c>
      <c r="C6" s="32">
        <v>0.5</v>
      </c>
      <c r="D6" s="174" t="s">
        <v>116</v>
      </c>
      <c r="E6" s="174" t="s">
        <v>117</v>
      </c>
      <c r="F6" s="174" t="s">
        <v>117</v>
      </c>
      <c r="G6" s="174" t="s">
        <v>117</v>
      </c>
      <c r="H6" s="32">
        <v>0</v>
      </c>
      <c r="I6" s="174" t="s">
        <v>118</v>
      </c>
    </row>
    <row r="7" spans="2:9" x14ac:dyDescent="0.35">
      <c r="B7" t="s">
        <v>123</v>
      </c>
      <c r="C7" s="32">
        <v>0.6</v>
      </c>
      <c r="D7" s="174" t="s">
        <v>116</v>
      </c>
      <c r="E7" s="174" t="s">
        <v>117</v>
      </c>
      <c r="F7" s="174" t="s">
        <v>117</v>
      </c>
      <c r="G7" s="174" t="s">
        <v>117</v>
      </c>
      <c r="H7" s="32">
        <v>2</v>
      </c>
      <c r="I7" s="174" t="s">
        <v>118</v>
      </c>
    </row>
    <row r="8" spans="2:9" x14ac:dyDescent="0.35">
      <c r="B8" t="s">
        <v>66</v>
      </c>
      <c r="C8" s="32">
        <v>0.8</v>
      </c>
      <c r="D8" s="174" t="s">
        <v>116</v>
      </c>
      <c r="E8" s="174" t="s">
        <v>117</v>
      </c>
      <c r="F8" s="174" t="s">
        <v>117</v>
      </c>
      <c r="G8" s="174" t="s">
        <v>117</v>
      </c>
      <c r="H8" s="32">
        <v>2</v>
      </c>
      <c r="I8" s="174" t="s">
        <v>118</v>
      </c>
    </row>
    <row r="9" spans="2:9" x14ac:dyDescent="0.35">
      <c r="B9" t="s">
        <v>68</v>
      </c>
      <c r="C9" s="32">
        <v>1</v>
      </c>
      <c r="D9" s="174" t="s">
        <v>116</v>
      </c>
      <c r="E9" s="174" t="s">
        <v>117</v>
      </c>
      <c r="F9" s="174" t="s">
        <v>117</v>
      </c>
      <c r="G9" s="174" t="s">
        <v>117</v>
      </c>
      <c r="H9" s="32">
        <v>2</v>
      </c>
      <c r="I9" s="174" t="s">
        <v>118</v>
      </c>
    </row>
    <row r="10" spans="2:9" x14ac:dyDescent="0.35">
      <c r="B10" t="s">
        <v>124</v>
      </c>
      <c r="C10" s="32">
        <v>1.8</v>
      </c>
      <c r="D10" s="174" t="s">
        <v>116</v>
      </c>
      <c r="E10" s="173" t="s">
        <v>120</v>
      </c>
      <c r="F10" s="173" t="s">
        <v>120</v>
      </c>
      <c r="G10" s="173" t="s">
        <v>125</v>
      </c>
      <c r="H10" s="32">
        <v>1</v>
      </c>
      <c r="I10" s="174" t="s">
        <v>118</v>
      </c>
    </row>
    <row r="11" spans="2:9" x14ac:dyDescent="0.35">
      <c r="B11" t="s">
        <v>126</v>
      </c>
      <c r="C11" s="32">
        <v>1.2</v>
      </c>
      <c r="D11" s="175" t="s">
        <v>116</v>
      </c>
      <c r="E11" s="174" t="s">
        <v>117</v>
      </c>
      <c r="F11" s="174" t="s">
        <v>117</v>
      </c>
      <c r="G11" s="174" t="s">
        <v>117</v>
      </c>
      <c r="H11" s="32">
        <v>2</v>
      </c>
      <c r="I11" s="174" t="s">
        <v>118</v>
      </c>
    </row>
    <row r="12" spans="2:9" x14ac:dyDescent="0.35">
      <c r="B12" t="s">
        <v>76</v>
      </c>
      <c r="C12" s="32">
        <v>9.5</v>
      </c>
      <c r="D12" s="175" t="s">
        <v>116</v>
      </c>
      <c r="E12" s="174" t="s">
        <v>117</v>
      </c>
      <c r="F12" s="174" t="s">
        <v>117</v>
      </c>
      <c r="G12" s="174" t="s">
        <v>117</v>
      </c>
      <c r="H12" s="32">
        <v>5</v>
      </c>
      <c r="I12" s="174" t="s">
        <v>127</v>
      </c>
    </row>
    <row r="13" spans="2:9" x14ac:dyDescent="0.35">
      <c r="B13" t="s">
        <v>128</v>
      </c>
      <c r="C13" s="32">
        <v>21.2</v>
      </c>
      <c r="D13" s="175" t="s">
        <v>116</v>
      </c>
      <c r="E13" s="174" t="s">
        <v>117</v>
      </c>
      <c r="F13" s="174" t="s">
        <v>117</v>
      </c>
      <c r="G13" s="178" t="s">
        <v>120</v>
      </c>
      <c r="H13" s="32">
        <v>3</v>
      </c>
      <c r="I13" s="174" t="s">
        <v>129</v>
      </c>
    </row>
    <row r="14" spans="2:9" x14ac:dyDescent="0.35">
      <c r="B14" t="s">
        <v>130</v>
      </c>
      <c r="C14" s="32">
        <v>4.4000000000000004</v>
      </c>
      <c r="D14" s="175" t="s">
        <v>116</v>
      </c>
      <c r="E14" s="174" t="s">
        <v>117</v>
      </c>
      <c r="F14" s="174" t="s">
        <v>117</v>
      </c>
      <c r="G14" s="178" t="s">
        <v>120</v>
      </c>
      <c r="H14" s="32">
        <v>3</v>
      </c>
      <c r="I14" s="174" t="s">
        <v>129</v>
      </c>
    </row>
    <row r="15" spans="2:9" x14ac:dyDescent="0.35">
      <c r="B15" t="s">
        <v>131</v>
      </c>
      <c r="C15" s="32">
        <v>4.8</v>
      </c>
      <c r="D15" s="174" t="s">
        <v>116</v>
      </c>
      <c r="E15" s="174" t="s">
        <v>117</v>
      </c>
      <c r="F15" s="174" t="s">
        <v>117</v>
      </c>
      <c r="G15" s="178" t="s">
        <v>120</v>
      </c>
      <c r="H15" s="32">
        <v>3</v>
      </c>
      <c r="I15" s="174" t="s">
        <v>129</v>
      </c>
    </row>
    <row r="16" spans="2:9" x14ac:dyDescent="0.35">
      <c r="B16" t="s">
        <v>132</v>
      </c>
      <c r="C16" s="32">
        <v>6.6</v>
      </c>
      <c r="D16" s="174" t="s">
        <v>116</v>
      </c>
      <c r="E16" s="174" t="s">
        <v>117</v>
      </c>
      <c r="F16" s="174" t="s">
        <v>117</v>
      </c>
      <c r="G16" s="178" t="s">
        <v>120</v>
      </c>
      <c r="H16" s="32">
        <v>3</v>
      </c>
      <c r="I16" s="174" t="s">
        <v>129</v>
      </c>
    </row>
    <row r="17" spans="1:10" x14ac:dyDescent="0.35">
      <c r="B17" t="s">
        <v>133</v>
      </c>
      <c r="C17" s="32">
        <v>6.1</v>
      </c>
      <c r="D17" s="173" t="s">
        <v>134</v>
      </c>
      <c r="E17" s="173" t="s">
        <v>135</v>
      </c>
      <c r="F17" s="173" t="s">
        <v>136</v>
      </c>
      <c r="G17" s="173" t="s">
        <v>135</v>
      </c>
      <c r="H17" s="32">
        <v>4</v>
      </c>
      <c r="I17" s="174" t="s">
        <v>127</v>
      </c>
    </row>
    <row r="18" spans="1:10" x14ac:dyDescent="0.35">
      <c r="B18" t="s">
        <v>77</v>
      </c>
      <c r="C18" s="32">
        <v>6.3</v>
      </c>
      <c r="D18" s="174" t="s">
        <v>116</v>
      </c>
      <c r="E18" s="174" t="s">
        <v>117</v>
      </c>
      <c r="F18" s="173" t="s">
        <v>137</v>
      </c>
      <c r="G18" s="173" t="s">
        <v>121</v>
      </c>
      <c r="H18" s="32">
        <v>3</v>
      </c>
      <c r="I18" s="174" t="s">
        <v>129</v>
      </c>
    </row>
    <row r="19" spans="1:10" x14ac:dyDescent="0.35">
      <c r="B19" t="s">
        <v>138</v>
      </c>
      <c r="C19" s="32">
        <v>7.5</v>
      </c>
      <c r="D19" s="174" t="s">
        <v>116</v>
      </c>
      <c r="E19" s="174" t="s">
        <v>117</v>
      </c>
      <c r="F19" s="174" t="s">
        <v>117</v>
      </c>
      <c r="G19" s="174" t="s">
        <v>117</v>
      </c>
      <c r="H19" s="32">
        <v>1</v>
      </c>
      <c r="I19" s="174" t="s">
        <v>118</v>
      </c>
    </row>
    <row r="20" spans="1:10" x14ac:dyDescent="0.35">
      <c r="B20" t="s">
        <v>139</v>
      </c>
      <c r="C20" s="32">
        <v>7.5</v>
      </c>
      <c r="D20" s="173" t="s">
        <v>134</v>
      </c>
      <c r="E20" s="174" t="s">
        <v>120</v>
      </c>
      <c r="F20" s="173" t="s">
        <v>121</v>
      </c>
      <c r="G20" s="173" t="s">
        <v>121</v>
      </c>
      <c r="H20" s="32">
        <v>3</v>
      </c>
      <c r="I20" s="174" t="s">
        <v>129</v>
      </c>
    </row>
    <row r="21" spans="1:10" x14ac:dyDescent="0.35">
      <c r="B21" t="s">
        <v>140</v>
      </c>
      <c r="C21" s="32">
        <v>9.6999999999999993</v>
      </c>
      <c r="D21" s="173" t="s">
        <v>141</v>
      </c>
      <c r="E21" s="173" t="s">
        <v>136</v>
      </c>
      <c r="F21" s="173" t="s">
        <v>142</v>
      </c>
      <c r="G21" s="173" t="s">
        <v>142</v>
      </c>
      <c r="H21" s="32">
        <v>4</v>
      </c>
      <c r="I21" s="174" t="s">
        <v>127</v>
      </c>
    </row>
    <row r="22" spans="1:10" x14ac:dyDescent="0.35">
      <c r="B22" t="s">
        <v>143</v>
      </c>
      <c r="C22" s="32">
        <v>9.5</v>
      </c>
      <c r="D22" s="174" t="s">
        <v>116</v>
      </c>
      <c r="E22" s="174" t="s">
        <v>120</v>
      </c>
      <c r="F22" s="174" t="s">
        <v>117</v>
      </c>
      <c r="G22" s="173" t="s">
        <v>144</v>
      </c>
      <c r="H22" s="32">
        <v>2</v>
      </c>
      <c r="I22" s="174" t="s">
        <v>118</v>
      </c>
    </row>
    <row r="23" spans="1:10" x14ac:dyDescent="0.35">
      <c r="B23" s="39" t="s">
        <v>145</v>
      </c>
      <c r="C23" s="40"/>
      <c r="D23" s="176" t="s">
        <v>120</v>
      </c>
      <c r="E23" s="177" t="s">
        <v>121</v>
      </c>
      <c r="F23" s="177" t="s">
        <v>144</v>
      </c>
      <c r="G23" s="177" t="s">
        <v>120</v>
      </c>
      <c r="H23" s="32">
        <v>5</v>
      </c>
      <c r="I23" s="174" t="s">
        <v>127</v>
      </c>
    </row>
    <row r="24" spans="1:10" x14ac:dyDescent="0.35">
      <c r="B24" s="39" t="s">
        <v>146</v>
      </c>
      <c r="C24" s="40"/>
      <c r="D24" s="177"/>
      <c r="E24" s="177" t="s">
        <v>120</v>
      </c>
      <c r="F24" s="177"/>
      <c r="G24" s="177"/>
      <c r="H24" s="32">
        <v>2</v>
      </c>
      <c r="I24" s="174" t="s">
        <v>118</v>
      </c>
    </row>
    <row r="25" spans="1:10" x14ac:dyDescent="0.35">
      <c r="B25" s="39" t="s">
        <v>147</v>
      </c>
      <c r="C25" s="40"/>
      <c r="D25" s="177"/>
      <c r="E25" s="177"/>
      <c r="F25" s="177"/>
      <c r="G25" s="177" t="s">
        <v>120</v>
      </c>
      <c r="H25" s="32">
        <v>2</v>
      </c>
      <c r="I25" s="174" t="s">
        <v>118</v>
      </c>
    </row>
    <row r="26" spans="1:10" x14ac:dyDescent="0.35">
      <c r="B26" s="179" t="s">
        <v>148</v>
      </c>
      <c r="C26" s="180">
        <v>100</v>
      </c>
      <c r="F26" s="32">
        <v>2.41</v>
      </c>
      <c r="H26" s="32"/>
    </row>
    <row r="27" spans="1:10" x14ac:dyDescent="0.35">
      <c r="D27" s="174"/>
      <c r="H27">
        <f>4.83/193</f>
        <v>2.5025906735751297E-2</v>
      </c>
      <c r="I27" s="32">
        <v>0.03</v>
      </c>
      <c r="J27">
        <v>100</v>
      </c>
    </row>
    <row r="28" spans="1:10" x14ac:dyDescent="0.35">
      <c r="B28" s="372" t="s">
        <v>149</v>
      </c>
      <c r="C28" s="372"/>
      <c r="D28" s="372"/>
      <c r="I28" s="32">
        <v>10</v>
      </c>
      <c r="J28">
        <v>0.03</v>
      </c>
    </row>
    <row r="29" spans="1:10" x14ac:dyDescent="0.35">
      <c r="B29" s="172" t="s">
        <v>2</v>
      </c>
      <c r="C29" s="172" t="s">
        <v>3</v>
      </c>
      <c r="D29" s="172" t="s">
        <v>4</v>
      </c>
      <c r="G29" s="32">
        <v>6.9</v>
      </c>
      <c r="H29">
        <v>50</v>
      </c>
      <c r="I29" s="32">
        <v>8</v>
      </c>
      <c r="J29">
        <f>I29*J28/I28</f>
        <v>2.4E-2</v>
      </c>
    </row>
    <row r="30" spans="1:10" x14ac:dyDescent="0.35">
      <c r="A30" s="44">
        <v>100</v>
      </c>
      <c r="B30" s="1">
        <v>6.9</v>
      </c>
      <c r="C30" s="1">
        <v>13.9</v>
      </c>
      <c r="D30" s="1">
        <v>18.5</v>
      </c>
      <c r="G30" s="32">
        <f>H30*G29/H29</f>
        <v>13.8</v>
      </c>
      <c r="H30">
        <v>100</v>
      </c>
    </row>
    <row r="31" spans="1:10" x14ac:dyDescent="0.35">
      <c r="A31" s="44">
        <v>200</v>
      </c>
      <c r="B31" s="1">
        <v>13.9</v>
      </c>
      <c r="C31" s="1">
        <v>27.7</v>
      </c>
      <c r="D31" s="1">
        <v>36.9</v>
      </c>
    </row>
    <row r="32" spans="1:10" x14ac:dyDescent="0.35">
      <c r="A32" s="44">
        <v>300</v>
      </c>
      <c r="B32" s="1">
        <v>20.8</v>
      </c>
      <c r="C32" s="1">
        <v>41.6</v>
      </c>
      <c r="D32" s="1">
        <v>55.4</v>
      </c>
      <c r="G32" s="32">
        <f>4.83/45</f>
        <v>0.10733333333333334</v>
      </c>
    </row>
    <row r="33" spans="1:4" x14ac:dyDescent="0.35">
      <c r="A33" s="44">
        <v>400</v>
      </c>
      <c r="B33" s="1">
        <v>27.7</v>
      </c>
      <c r="C33" s="1">
        <v>55.4</v>
      </c>
      <c r="D33" s="1">
        <v>73.900000000000006</v>
      </c>
    </row>
    <row r="34" spans="1:4" x14ac:dyDescent="0.35">
      <c r="A34" s="44">
        <v>500</v>
      </c>
      <c r="B34" s="1">
        <v>34.6</v>
      </c>
      <c r="C34" s="1">
        <v>69.3</v>
      </c>
      <c r="D34" s="1">
        <v>92.4</v>
      </c>
    </row>
    <row r="36" spans="1:4" x14ac:dyDescent="0.35">
      <c r="B36" s="372" t="s">
        <v>150</v>
      </c>
      <c r="C36" s="372"/>
      <c r="D36" s="372"/>
    </row>
  </sheetData>
  <mergeCells count="4">
    <mergeCell ref="D1:G1"/>
    <mergeCell ref="B28:D28"/>
    <mergeCell ref="B36:D36"/>
    <mergeCell ref="D3:G3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E3B6-7D0A-49EA-84B5-B3531B6AC8EC}">
  <dimension ref="B4:P76"/>
  <sheetViews>
    <sheetView showGridLines="0" workbookViewId="0">
      <selection activeCell="G66" sqref="G66"/>
    </sheetView>
  </sheetViews>
  <sheetFormatPr defaultRowHeight="14.5" x14ac:dyDescent="0.35"/>
  <cols>
    <col min="3" max="3" width="20.36328125" bestFit="1" customWidth="1"/>
    <col min="4" max="4" width="21" style="1" customWidth="1"/>
    <col min="5" max="5" width="15.54296875" style="1" bestFit="1" customWidth="1"/>
    <col min="6" max="6" width="10.90625" style="1" customWidth="1"/>
    <col min="7" max="7" width="14.08984375" style="1" customWidth="1"/>
    <col min="8" max="9" width="18.54296875" style="1" customWidth="1"/>
    <col min="10" max="10" width="18.54296875" style="49" customWidth="1"/>
    <col min="12" max="12" width="12.90625" bestFit="1" customWidth="1"/>
    <col min="13" max="13" width="10.36328125" bestFit="1" customWidth="1"/>
    <col min="15" max="15" width="26.08984375" customWidth="1"/>
    <col min="16" max="16" width="11.90625" bestFit="1" customWidth="1"/>
  </cols>
  <sheetData>
    <row r="4" spans="2:13" x14ac:dyDescent="0.35">
      <c r="E4" s="44" t="s">
        <v>70</v>
      </c>
      <c r="F4" s="44" t="s">
        <v>151</v>
      </c>
      <c r="I4" s="44" t="s">
        <v>70</v>
      </c>
      <c r="J4" s="48" t="s">
        <v>151</v>
      </c>
    </row>
    <row r="5" spans="2:13" x14ac:dyDescent="0.35">
      <c r="E5" s="44"/>
      <c r="F5" s="44"/>
      <c r="I5" s="44"/>
      <c r="J5" s="48"/>
    </row>
    <row r="6" spans="2:13" x14ac:dyDescent="0.35">
      <c r="B6" s="374" t="s">
        <v>152</v>
      </c>
      <c r="E6" s="44"/>
      <c r="F6" s="44"/>
      <c r="I6" s="44"/>
      <c r="J6" s="48"/>
    </row>
    <row r="7" spans="2:13" x14ac:dyDescent="0.35">
      <c r="B7" s="374"/>
      <c r="E7" s="44"/>
      <c r="F7" s="44"/>
      <c r="I7" s="44"/>
      <c r="J7" s="48"/>
    </row>
    <row r="8" spans="2:13" x14ac:dyDescent="0.35">
      <c r="B8" s="374"/>
      <c r="E8" s="44"/>
      <c r="F8" s="44"/>
      <c r="I8" s="44"/>
      <c r="J8" s="48"/>
    </row>
    <row r="9" spans="2:13" x14ac:dyDescent="0.35">
      <c r="B9" s="374"/>
      <c r="E9" s="44"/>
      <c r="F9" s="44"/>
      <c r="I9" s="44"/>
      <c r="J9" s="48"/>
    </row>
    <row r="10" spans="2:13" x14ac:dyDescent="0.35">
      <c r="B10" s="374"/>
      <c r="E10" s="44"/>
      <c r="F10" s="44"/>
      <c r="I10" s="44"/>
      <c r="J10" s="48"/>
    </row>
    <row r="11" spans="2:13" x14ac:dyDescent="0.35">
      <c r="B11" s="374"/>
      <c r="E11" s="44"/>
      <c r="F11" s="44"/>
      <c r="I11" s="44"/>
      <c r="J11" s="48"/>
    </row>
    <row r="12" spans="2:13" x14ac:dyDescent="0.35">
      <c r="B12" s="374"/>
      <c r="E12" s="44"/>
      <c r="F12" s="44"/>
      <c r="I12" s="44"/>
      <c r="J12" s="48"/>
    </row>
    <row r="13" spans="2:13" x14ac:dyDescent="0.35">
      <c r="E13" s="44"/>
      <c r="F13" s="44"/>
      <c r="I13" s="44"/>
      <c r="J13" s="48"/>
    </row>
    <row r="14" spans="2:13" ht="14.4" customHeight="1" x14ac:dyDescent="0.35">
      <c r="B14" s="374" t="s">
        <v>12</v>
      </c>
      <c r="E14" s="44"/>
      <c r="F14" s="44"/>
      <c r="I14" s="44"/>
      <c r="J14" s="48"/>
      <c r="M14" s="32"/>
    </row>
    <row r="15" spans="2:13" x14ac:dyDescent="0.35">
      <c r="B15" s="374"/>
      <c r="E15" s="44"/>
      <c r="F15" s="44"/>
      <c r="I15" s="44"/>
      <c r="J15" s="48"/>
      <c r="M15" s="32"/>
    </row>
    <row r="16" spans="2:13" x14ac:dyDescent="0.35">
      <c r="B16" s="374"/>
      <c r="E16" s="44"/>
      <c r="F16" s="44"/>
      <c r="I16" s="44"/>
      <c r="J16" s="48"/>
      <c r="M16" s="32"/>
    </row>
    <row r="17" spans="2:16" x14ac:dyDescent="0.35">
      <c r="B17" s="374"/>
      <c r="E17" s="44"/>
      <c r="F17" s="44"/>
      <c r="I17" s="44"/>
      <c r="J17" s="48"/>
      <c r="M17" s="32"/>
    </row>
    <row r="18" spans="2:16" x14ac:dyDescent="0.35">
      <c r="B18" s="374"/>
      <c r="E18" s="44"/>
      <c r="F18" s="44"/>
      <c r="I18" s="44"/>
      <c r="J18" s="48"/>
      <c r="M18" s="32"/>
    </row>
    <row r="19" spans="2:16" x14ac:dyDescent="0.35">
      <c r="B19" s="374"/>
      <c r="E19" s="44"/>
      <c r="F19" s="44"/>
      <c r="I19" s="44"/>
      <c r="J19" s="48"/>
    </row>
    <row r="20" spans="2:16" x14ac:dyDescent="0.35">
      <c r="B20" s="374"/>
      <c r="E20" s="44"/>
      <c r="F20" s="44"/>
      <c r="I20" s="44"/>
      <c r="J20" s="48"/>
    </row>
    <row r="21" spans="2:16" x14ac:dyDescent="0.35">
      <c r="E21" s="44"/>
      <c r="F21" s="44"/>
      <c r="G21" t="s">
        <v>153</v>
      </c>
      <c r="I21" s="44"/>
      <c r="J21" s="48"/>
    </row>
    <row r="22" spans="2:16" ht="14.4" customHeight="1" x14ac:dyDescent="0.35">
      <c r="B22" s="374" t="s">
        <v>34</v>
      </c>
      <c r="C22" s="1" t="s">
        <v>154</v>
      </c>
      <c r="D22" s="1" t="s">
        <v>155</v>
      </c>
      <c r="E22" s="36">
        <f>'CUSTO DE PRODUTOS'!G3</f>
        <v>531.30220000000008</v>
      </c>
      <c r="F22" s="106">
        <v>7.0000000000000007E-2</v>
      </c>
      <c r="H22" s="1" t="s">
        <v>156</v>
      </c>
      <c r="I22" s="36">
        <f>'CUSTO DE PRODUTOS'!G4</f>
        <v>2429.3000000000002</v>
      </c>
      <c r="J22" s="106">
        <v>0.31</v>
      </c>
      <c r="L22" t="s">
        <v>157</v>
      </c>
    </row>
    <row r="23" spans="2:16" x14ac:dyDescent="0.35">
      <c r="B23" s="374"/>
      <c r="C23" s="1" t="s">
        <v>158</v>
      </c>
      <c r="D23" s="1" t="s">
        <v>159</v>
      </c>
      <c r="E23" s="36">
        <f>'CUSTO DE PRODUTOS'!K4</f>
        <v>500.63900000000001</v>
      </c>
      <c r="F23" s="106">
        <v>0.06</v>
      </c>
      <c r="H23" s="1" t="s">
        <v>160</v>
      </c>
      <c r="I23" s="36">
        <f>'CUSTO DE PRODUTOS'!K8</f>
        <v>935.70999999999992</v>
      </c>
      <c r="J23" s="107">
        <v>0.12</v>
      </c>
      <c r="L23" s="35">
        <f>SUM(I22:I27,E22:E27)</f>
        <v>7861.3263999999999</v>
      </c>
      <c r="M23" s="50"/>
      <c r="O23" s="45"/>
      <c r="P23" s="35"/>
    </row>
    <row r="24" spans="2:16" x14ac:dyDescent="0.35">
      <c r="B24" s="374"/>
      <c r="C24" s="1" t="s">
        <v>161</v>
      </c>
      <c r="D24" s="1" t="s">
        <v>155</v>
      </c>
      <c r="E24" s="36">
        <f>'CUSTO DE PRODUTOS'!G8</f>
        <v>70.270200000000003</v>
      </c>
      <c r="F24" s="106">
        <v>0.01</v>
      </c>
      <c r="H24" s="1" t="s">
        <v>162</v>
      </c>
      <c r="I24" s="36">
        <f>'CUSTO DE PRODUTOS'!G9</f>
        <v>261.76499999999999</v>
      </c>
      <c r="J24" s="107">
        <v>0.03</v>
      </c>
      <c r="L24" s="50"/>
      <c r="M24" s="50"/>
      <c r="P24" s="35"/>
    </row>
    <row r="25" spans="2:16" x14ac:dyDescent="0.35">
      <c r="B25" s="374"/>
      <c r="C25" s="1" t="s">
        <v>163</v>
      </c>
      <c r="D25" s="1" t="s">
        <v>164</v>
      </c>
      <c r="E25" s="36">
        <f>'CUSTO DE PRODUTOS'!I12</f>
        <v>606.63</v>
      </c>
      <c r="F25" s="106">
        <v>0.08</v>
      </c>
      <c r="H25" s="1" t="s">
        <v>165</v>
      </c>
      <c r="I25" s="36">
        <f>'CUSTO DE PRODUTOS'!I16</f>
        <v>908.27</v>
      </c>
      <c r="J25" s="107">
        <v>0.11</v>
      </c>
      <c r="L25" s="375" t="s">
        <v>166</v>
      </c>
      <c r="M25" s="375"/>
    </row>
    <row r="26" spans="2:16" x14ac:dyDescent="0.35">
      <c r="B26" s="374"/>
      <c r="C26" s="1" t="s">
        <v>52</v>
      </c>
      <c r="D26" s="1" t="s">
        <v>167</v>
      </c>
      <c r="E26" s="36">
        <f>'CUSTO DE PRODUTOS'!I20</f>
        <v>370.15999999999997</v>
      </c>
      <c r="F26" s="106">
        <v>0.05</v>
      </c>
      <c r="H26" s="1" t="s">
        <v>168</v>
      </c>
      <c r="I26" s="36">
        <f>'CUSTO DE PRODUTOS'!I24</f>
        <v>930.45</v>
      </c>
      <c r="J26" s="107">
        <v>0.12</v>
      </c>
      <c r="L26" s="375"/>
      <c r="M26" s="375"/>
    </row>
    <row r="27" spans="2:16" x14ac:dyDescent="0.35">
      <c r="B27" s="374"/>
      <c r="C27" s="1" t="s">
        <v>169</v>
      </c>
      <c r="D27" s="1" t="s">
        <v>170</v>
      </c>
      <c r="E27" s="36">
        <f>'CUSTO DE PRODUTOS'!E38</f>
        <v>92.39</v>
      </c>
      <c r="F27" s="106">
        <v>0.01</v>
      </c>
      <c r="H27" s="1" t="s">
        <v>171</v>
      </c>
      <c r="I27" s="36">
        <f>'CUSTO DE PRODUTOS'!E39</f>
        <v>224.44</v>
      </c>
      <c r="J27" s="107">
        <v>0.03</v>
      </c>
      <c r="L27" s="110">
        <v>7861.33</v>
      </c>
      <c r="M27" s="108">
        <v>1</v>
      </c>
      <c r="P27" s="109"/>
    </row>
    <row r="28" spans="2:16" x14ac:dyDescent="0.35">
      <c r="C28" s="1"/>
      <c r="L28" s="110">
        <v>92.39</v>
      </c>
      <c r="M28" s="108">
        <f>L28*M27/L27</f>
        <v>1.1752464277673116E-2</v>
      </c>
    </row>
    <row r="29" spans="2:16" x14ac:dyDescent="0.35">
      <c r="B29" s="374" t="s">
        <v>7</v>
      </c>
      <c r="C29" s="1"/>
      <c r="L29" s="375"/>
      <c r="M29" s="375"/>
    </row>
    <row r="30" spans="2:16" x14ac:dyDescent="0.35">
      <c r="B30" s="374"/>
      <c r="C30" s="1" t="s">
        <v>172</v>
      </c>
      <c r="G30" s="1" t="s">
        <v>173</v>
      </c>
      <c r="L30" s="375"/>
      <c r="M30" s="375"/>
    </row>
    <row r="31" spans="2:16" x14ac:dyDescent="0.35">
      <c r="B31" s="374"/>
      <c r="C31" t="s">
        <v>115</v>
      </c>
      <c r="E31" s="2">
        <v>23153.1</v>
      </c>
      <c r="F31" s="112">
        <v>0.26</v>
      </c>
      <c r="G31" t="s">
        <v>76</v>
      </c>
      <c r="I31" s="2">
        <v>275167.58</v>
      </c>
      <c r="J31" s="49">
        <v>0.23</v>
      </c>
      <c r="L31" s="110"/>
      <c r="M31" s="108"/>
    </row>
    <row r="32" spans="2:16" x14ac:dyDescent="0.35">
      <c r="B32" s="374"/>
      <c r="C32" t="s">
        <v>119</v>
      </c>
      <c r="E32" s="2">
        <v>6945.93</v>
      </c>
      <c r="F32" s="112">
        <v>0.08</v>
      </c>
      <c r="G32" t="s">
        <v>128</v>
      </c>
      <c r="I32" s="2">
        <v>98053.39</v>
      </c>
      <c r="J32" s="49">
        <v>0.08</v>
      </c>
      <c r="L32" s="110"/>
      <c r="M32" s="108"/>
    </row>
    <row r="33" spans="2:10" x14ac:dyDescent="0.35">
      <c r="B33" s="374"/>
      <c r="C33" t="s">
        <v>122</v>
      </c>
      <c r="E33" s="2">
        <v>6956.65</v>
      </c>
      <c r="F33" s="112">
        <v>0.08</v>
      </c>
      <c r="G33" t="s">
        <v>130</v>
      </c>
      <c r="I33" s="2">
        <v>126068.64</v>
      </c>
      <c r="J33" s="49">
        <v>0.1</v>
      </c>
    </row>
    <row r="34" spans="2:10" x14ac:dyDescent="0.35">
      <c r="B34" s="374"/>
      <c r="C34" t="s">
        <v>123</v>
      </c>
      <c r="E34" s="2">
        <v>10792.79</v>
      </c>
      <c r="F34" s="112">
        <v>0.12</v>
      </c>
      <c r="G34" t="s">
        <v>131</v>
      </c>
      <c r="I34" s="2">
        <v>98053.39</v>
      </c>
      <c r="J34" s="49">
        <v>0.08</v>
      </c>
    </row>
    <row r="35" spans="2:10" x14ac:dyDescent="0.35">
      <c r="C35" t="s">
        <v>66</v>
      </c>
      <c r="E35" s="2">
        <v>7558.17</v>
      </c>
      <c r="F35" s="112">
        <v>0.08</v>
      </c>
      <c r="G35" t="s">
        <v>132</v>
      </c>
      <c r="I35" s="2">
        <v>56908.88</v>
      </c>
      <c r="J35" s="49">
        <v>0.05</v>
      </c>
    </row>
    <row r="36" spans="2:10" x14ac:dyDescent="0.35">
      <c r="C36" t="s">
        <v>68</v>
      </c>
      <c r="E36" s="2">
        <v>12914.99</v>
      </c>
      <c r="F36" s="112">
        <v>0.14000000000000001</v>
      </c>
      <c r="G36" t="s">
        <v>133</v>
      </c>
      <c r="I36" s="2">
        <v>85149.119999999995</v>
      </c>
      <c r="J36" s="49">
        <v>7.0000000000000007E-2</v>
      </c>
    </row>
    <row r="37" spans="2:10" x14ac:dyDescent="0.35">
      <c r="C37" t="s">
        <v>124</v>
      </c>
      <c r="E37" s="2">
        <v>5000</v>
      </c>
      <c r="F37" s="112">
        <v>0.06</v>
      </c>
      <c r="G37" t="s">
        <v>77</v>
      </c>
      <c r="I37" s="2">
        <v>62156.32</v>
      </c>
      <c r="J37" s="49">
        <v>0.05</v>
      </c>
    </row>
    <row r="38" spans="2:10" x14ac:dyDescent="0.35">
      <c r="C38" t="s">
        <v>126</v>
      </c>
      <c r="E38" s="2">
        <v>16207.17</v>
      </c>
      <c r="F38" s="112">
        <v>0.18</v>
      </c>
      <c r="G38" t="s">
        <v>138</v>
      </c>
      <c r="I38" s="2">
        <v>123156.9</v>
      </c>
      <c r="J38" s="49">
        <v>0.1</v>
      </c>
    </row>
    <row r="39" spans="2:10" x14ac:dyDescent="0.35">
      <c r="G39" t="s">
        <v>139</v>
      </c>
      <c r="I39" s="2">
        <v>79733.19</v>
      </c>
      <c r="J39" s="49">
        <v>7.0000000000000007E-2</v>
      </c>
    </row>
    <row r="40" spans="2:10" x14ac:dyDescent="0.35">
      <c r="G40" t="s">
        <v>140</v>
      </c>
      <c r="I40" s="2">
        <f>208306.02-I36</f>
        <v>123156.9</v>
      </c>
      <c r="J40" s="49">
        <v>0.1</v>
      </c>
    </row>
    <row r="41" spans="2:10" x14ac:dyDescent="0.35">
      <c r="C41" s="35">
        <f>SUM(E31:E38)</f>
        <v>89528.8</v>
      </c>
      <c r="D41" s="113">
        <v>1</v>
      </c>
      <c r="G41" t="s">
        <v>143</v>
      </c>
      <c r="I41" s="2">
        <v>82055.11</v>
      </c>
      <c r="J41" s="49">
        <v>7.0000000000000007E-2</v>
      </c>
    </row>
    <row r="42" spans="2:10" x14ac:dyDescent="0.35">
      <c r="C42" s="35">
        <f>E38</f>
        <v>16207.17</v>
      </c>
      <c r="D42" s="113">
        <f>C42*D41/C41</f>
        <v>0.18102744591684464</v>
      </c>
    </row>
    <row r="44" spans="2:10" x14ac:dyDescent="0.35">
      <c r="G44" s="36">
        <f>SUM(I31:I41)</f>
        <v>1209659.42</v>
      </c>
      <c r="H44" s="113">
        <v>1</v>
      </c>
    </row>
    <row r="45" spans="2:10" x14ac:dyDescent="0.35">
      <c r="G45" s="36">
        <f>I41</f>
        <v>82055.11</v>
      </c>
      <c r="H45" s="113">
        <f>G45*H44/G44</f>
        <v>6.7833233589004754E-2</v>
      </c>
    </row>
    <row r="52" spans="3:13" x14ac:dyDescent="0.35">
      <c r="H52" s="1" t="s">
        <v>174</v>
      </c>
      <c r="I52" s="1" t="s">
        <v>175</v>
      </c>
      <c r="J52" s="49" t="s">
        <v>176</v>
      </c>
    </row>
    <row r="53" spans="3:13" x14ac:dyDescent="0.35">
      <c r="C53" t="s">
        <v>115</v>
      </c>
      <c r="E53" s="2">
        <v>23153.1</v>
      </c>
      <c r="F53" s="163">
        <v>1.7999999999999999E-2</v>
      </c>
      <c r="G53" s="168" t="s">
        <v>177</v>
      </c>
      <c r="H53" s="164">
        <v>900</v>
      </c>
      <c r="I53" s="164">
        <v>1800</v>
      </c>
      <c r="J53" s="165">
        <v>2400</v>
      </c>
    </row>
    <row r="54" spans="3:13" x14ac:dyDescent="0.35">
      <c r="C54" t="s">
        <v>119</v>
      </c>
      <c r="E54" s="2">
        <v>6945.93</v>
      </c>
      <c r="F54" s="163">
        <v>5.0000000000000001E-3</v>
      </c>
      <c r="G54" s="17">
        <v>100</v>
      </c>
      <c r="H54" s="10">
        <f>H53*G54</f>
        <v>90000</v>
      </c>
      <c r="I54" s="166">
        <f>I53*G54</f>
        <v>180000</v>
      </c>
      <c r="J54" s="167">
        <f>J53*G54</f>
        <v>240000</v>
      </c>
      <c r="L54" s="109">
        <v>21000</v>
      </c>
    </row>
    <row r="55" spans="3:13" x14ac:dyDescent="0.35">
      <c r="C55" t="s">
        <v>122</v>
      </c>
      <c r="E55" s="2">
        <v>6956.65</v>
      </c>
      <c r="F55" s="163">
        <v>5.0000000000000001E-3</v>
      </c>
      <c r="G55" s="17">
        <v>200</v>
      </c>
      <c r="H55" s="10">
        <f>H53*G55</f>
        <v>180000</v>
      </c>
      <c r="I55" s="166">
        <f>I53*G55</f>
        <v>360000</v>
      </c>
      <c r="J55" s="167">
        <f>J53*G55</f>
        <v>480000</v>
      </c>
    </row>
    <row r="56" spans="3:13" x14ac:dyDescent="0.35">
      <c r="C56" t="s">
        <v>123</v>
      </c>
      <c r="E56" s="2">
        <v>10792.79</v>
      </c>
      <c r="F56" s="163">
        <v>8.0000000000000002E-3</v>
      </c>
      <c r="G56" s="17">
        <v>300</v>
      </c>
      <c r="H56" s="10">
        <f>G56*H53</f>
        <v>270000</v>
      </c>
      <c r="I56" s="166">
        <f>I53*G56</f>
        <v>540000</v>
      </c>
      <c r="J56" s="167">
        <f>J53*G56</f>
        <v>720000</v>
      </c>
      <c r="L56">
        <v>100</v>
      </c>
      <c r="M56" s="35">
        <f>L54/L56</f>
        <v>210</v>
      </c>
    </row>
    <row r="57" spans="3:13" x14ac:dyDescent="0.35">
      <c r="C57" t="s">
        <v>66</v>
      </c>
      <c r="E57" s="2">
        <v>7558.17</v>
      </c>
      <c r="F57" s="163">
        <v>6.0000000000000001E-3</v>
      </c>
      <c r="G57" s="17">
        <v>400</v>
      </c>
      <c r="H57" s="10">
        <f>G57*H53</f>
        <v>360000</v>
      </c>
      <c r="I57" s="166">
        <f>I53*G57</f>
        <v>720000</v>
      </c>
      <c r="J57" s="167">
        <f>J53*G57</f>
        <v>960000</v>
      </c>
      <c r="L57">
        <v>200</v>
      </c>
      <c r="M57" s="35">
        <f>L54/L57</f>
        <v>105</v>
      </c>
    </row>
    <row r="58" spans="3:13" x14ac:dyDescent="0.35">
      <c r="C58" t="s">
        <v>68</v>
      </c>
      <c r="E58" s="2">
        <v>12914.99</v>
      </c>
      <c r="F58" s="163">
        <v>0.01</v>
      </c>
      <c r="G58" s="17">
        <v>500</v>
      </c>
      <c r="H58" s="10">
        <f>G58*H53</f>
        <v>450000</v>
      </c>
      <c r="I58" s="166">
        <f>I53*G58</f>
        <v>900000</v>
      </c>
      <c r="J58" s="167">
        <f>J53*G58</f>
        <v>1200000</v>
      </c>
      <c r="L58">
        <v>300</v>
      </c>
      <c r="M58" s="35">
        <f>L54/L58</f>
        <v>70</v>
      </c>
    </row>
    <row r="59" spans="3:13" x14ac:dyDescent="0.35">
      <c r="C59" t="s">
        <v>124</v>
      </c>
      <c r="E59" s="2">
        <v>5000</v>
      </c>
      <c r="F59" s="163">
        <v>4.0000000000000001E-3</v>
      </c>
      <c r="L59">
        <v>400</v>
      </c>
      <c r="M59" s="35">
        <f>L54/L59</f>
        <v>52.5</v>
      </c>
    </row>
    <row r="60" spans="3:13" x14ac:dyDescent="0.35">
      <c r="C60" t="s">
        <v>126</v>
      </c>
      <c r="E60" s="2">
        <v>16207.17</v>
      </c>
      <c r="F60" s="163">
        <v>1.2E-2</v>
      </c>
      <c r="L60">
        <v>500</v>
      </c>
      <c r="M60" s="35">
        <f>L54/L60</f>
        <v>42</v>
      </c>
    </row>
    <row r="61" spans="3:13" x14ac:dyDescent="0.35">
      <c r="C61" t="s">
        <v>76</v>
      </c>
      <c r="E61" s="2">
        <v>275167.58</v>
      </c>
      <c r="F61" s="163">
        <v>0.21199999999999999</v>
      </c>
      <c r="G61" s="168" t="s">
        <v>177</v>
      </c>
      <c r="H61" s="164">
        <v>900</v>
      </c>
      <c r="I61" s="164">
        <v>1800</v>
      </c>
      <c r="J61" s="165">
        <v>2400</v>
      </c>
    </row>
    <row r="62" spans="3:13" x14ac:dyDescent="0.35">
      <c r="C62" t="s">
        <v>128</v>
      </c>
      <c r="E62" s="2">
        <v>98053.39</v>
      </c>
      <c r="F62" s="163">
        <v>7.4999999999999997E-2</v>
      </c>
      <c r="G62" s="17">
        <v>100</v>
      </c>
      <c r="H62" s="169">
        <v>6.9000000000000006E-2</v>
      </c>
      <c r="I62" s="170">
        <v>0.13900000000000001</v>
      </c>
      <c r="J62" s="171">
        <v>0.185</v>
      </c>
    </row>
    <row r="63" spans="3:13" x14ac:dyDescent="0.35">
      <c r="C63" t="s">
        <v>130</v>
      </c>
      <c r="E63" s="2">
        <v>126068.64</v>
      </c>
      <c r="F63" s="163">
        <v>9.7000000000000003E-2</v>
      </c>
      <c r="G63" s="17">
        <v>200</v>
      </c>
      <c r="H63" s="169">
        <v>0.13900000000000001</v>
      </c>
      <c r="I63" s="170">
        <v>0.27700000000000002</v>
      </c>
      <c r="J63" s="171">
        <v>0.36899999999999999</v>
      </c>
    </row>
    <row r="64" spans="3:13" x14ac:dyDescent="0.35">
      <c r="C64" t="s">
        <v>131</v>
      </c>
      <c r="E64" s="2">
        <v>98053.39</v>
      </c>
      <c r="F64" s="163">
        <v>7.4999999999999997E-2</v>
      </c>
      <c r="G64" s="17">
        <v>300</v>
      </c>
      <c r="H64" s="170">
        <v>0.20799999999999999</v>
      </c>
      <c r="I64" s="170">
        <v>0.41599999999999998</v>
      </c>
      <c r="J64" s="171">
        <v>0.55400000000000005</v>
      </c>
    </row>
    <row r="65" spans="3:10" x14ac:dyDescent="0.35">
      <c r="C65" t="s">
        <v>132</v>
      </c>
      <c r="E65" s="2">
        <v>56908.88</v>
      </c>
      <c r="F65" s="163">
        <v>4.3999999999999997E-2</v>
      </c>
      <c r="G65" s="17">
        <v>400</v>
      </c>
      <c r="H65" s="169">
        <v>0.27700000000000002</v>
      </c>
      <c r="I65" s="170">
        <v>0.55400000000000005</v>
      </c>
      <c r="J65" s="171">
        <v>0.73899999999999999</v>
      </c>
    </row>
    <row r="66" spans="3:10" x14ac:dyDescent="0.35">
      <c r="C66" t="s">
        <v>133</v>
      </c>
      <c r="E66" s="2">
        <v>85149.119999999995</v>
      </c>
      <c r="F66" s="163">
        <v>6.6000000000000003E-2</v>
      </c>
      <c r="G66" s="17">
        <v>500</v>
      </c>
      <c r="H66" s="169">
        <v>0.34599999999999997</v>
      </c>
      <c r="I66" s="170">
        <v>0.69299999999999995</v>
      </c>
      <c r="J66" s="171">
        <v>0.92400000000000004</v>
      </c>
    </row>
    <row r="67" spans="3:10" x14ac:dyDescent="0.35">
      <c r="C67" t="s">
        <v>77</v>
      </c>
      <c r="E67" s="2">
        <v>62156.32</v>
      </c>
      <c r="F67" s="163">
        <v>4.8000000000000001E-2</v>
      </c>
    </row>
    <row r="68" spans="3:10" x14ac:dyDescent="0.35">
      <c r="C68" t="s">
        <v>138</v>
      </c>
      <c r="E68" s="2">
        <v>123156.9</v>
      </c>
      <c r="F68" s="163">
        <v>9.5000000000000001E-2</v>
      </c>
    </row>
    <row r="69" spans="3:10" x14ac:dyDescent="0.35">
      <c r="C69" t="s">
        <v>139</v>
      </c>
      <c r="E69" s="2">
        <v>79733.19</v>
      </c>
      <c r="F69" s="163">
        <v>6.0999999999999999E-2</v>
      </c>
    </row>
    <row r="70" spans="3:10" x14ac:dyDescent="0.35">
      <c r="C70" t="s">
        <v>140</v>
      </c>
      <c r="E70" s="2">
        <f>208306.02-E66</f>
        <v>123156.9</v>
      </c>
      <c r="F70" s="163">
        <v>9.5000000000000001E-2</v>
      </c>
    </row>
    <row r="71" spans="3:10" x14ac:dyDescent="0.35">
      <c r="C71" t="s">
        <v>143</v>
      </c>
      <c r="E71" s="2">
        <v>82055.11</v>
      </c>
      <c r="F71" s="163">
        <v>6.3E-2</v>
      </c>
    </row>
    <row r="74" spans="3:10" x14ac:dyDescent="0.35">
      <c r="E74" s="36">
        <f>SUM(E53:E71)</f>
        <v>1299188.22</v>
      </c>
      <c r="F74" s="112">
        <v>1</v>
      </c>
    </row>
    <row r="75" spans="3:10" x14ac:dyDescent="0.35">
      <c r="E75" s="36">
        <f>J58</f>
        <v>1200000</v>
      </c>
      <c r="F75" s="163">
        <f>E75*F74/E74</f>
        <v>0.92365369507429806</v>
      </c>
    </row>
    <row r="76" spans="3:10" x14ac:dyDescent="0.35">
      <c r="E76" s="36"/>
    </row>
  </sheetData>
  <mergeCells count="6">
    <mergeCell ref="B6:B12"/>
    <mergeCell ref="L29:M30"/>
    <mergeCell ref="B22:B27"/>
    <mergeCell ref="B29:B34"/>
    <mergeCell ref="B14:B20"/>
    <mergeCell ref="L25:M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C6DC-4055-48E5-9363-5BB0BEA3BAF1}">
  <dimension ref="B1:AV71"/>
  <sheetViews>
    <sheetView showGridLines="0" zoomScaleNormal="100" workbookViewId="0">
      <selection activeCell="A13" sqref="A13:XFD13"/>
    </sheetView>
  </sheetViews>
  <sheetFormatPr defaultRowHeight="14.5" x14ac:dyDescent="0.35"/>
  <cols>
    <col min="2" max="2" width="30.36328125" style="1" customWidth="1"/>
    <col min="3" max="3" width="18" style="1" customWidth="1"/>
    <col min="4" max="4" width="16.36328125" style="1" customWidth="1"/>
    <col min="5" max="5" width="10.36328125" style="1" bestFit="1" customWidth="1"/>
    <col min="6" max="6" width="16.36328125" style="1" customWidth="1"/>
    <col min="7" max="7" width="10.54296875" style="1" customWidth="1"/>
    <col min="8" max="8" width="16.36328125" style="1" customWidth="1"/>
    <col min="9" max="11" width="16.36328125" style="2" customWidth="1"/>
    <col min="12" max="13" width="16.36328125" style="1" customWidth="1"/>
    <col min="14" max="14" width="16.36328125" style="2" customWidth="1"/>
    <col min="15" max="15" width="16.36328125" style="1" customWidth="1"/>
    <col min="16" max="16" width="16.36328125" customWidth="1"/>
    <col min="17" max="17" width="16.36328125" style="1" customWidth="1"/>
    <col min="18" max="18" width="4.90625" customWidth="1"/>
    <col min="19" max="20" width="39.08984375" style="1" hidden="1" customWidth="1"/>
    <col min="21" max="21" width="61.08984375" style="1" hidden="1" customWidth="1"/>
    <col min="22" max="22" width="0" hidden="1" customWidth="1"/>
    <col min="24" max="24" width="11.36328125" style="1" bestFit="1" customWidth="1"/>
    <col min="25" max="32" width="23.36328125" style="1" customWidth="1"/>
    <col min="33" max="43" width="23" style="1" customWidth="1"/>
    <col min="44" max="46" width="0" style="1" hidden="1" customWidth="1"/>
    <col min="47" max="47" width="10" customWidth="1"/>
  </cols>
  <sheetData>
    <row r="1" spans="2:46" x14ac:dyDescent="0.35">
      <c r="J1" s="19"/>
    </row>
    <row r="2" spans="2:46" s="4" customFormat="1" ht="45" customHeight="1" x14ac:dyDescent="0.35">
      <c r="B2" s="3" t="s">
        <v>178</v>
      </c>
      <c r="C2" s="3" t="s">
        <v>179</v>
      </c>
      <c r="D2" s="3" t="s">
        <v>180</v>
      </c>
      <c r="E2" s="3" t="s">
        <v>181</v>
      </c>
      <c r="F2" s="3" t="s">
        <v>182</v>
      </c>
      <c r="G2" s="3" t="s">
        <v>183</v>
      </c>
      <c r="H2" s="3" t="s">
        <v>12</v>
      </c>
      <c r="I2" s="7" t="s">
        <v>184</v>
      </c>
      <c r="J2" s="7" t="s">
        <v>185</v>
      </c>
      <c r="K2" s="7" t="s">
        <v>186</v>
      </c>
      <c r="L2" s="3" t="s">
        <v>187</v>
      </c>
      <c r="M2" s="3" t="s">
        <v>188</v>
      </c>
      <c r="N2" s="7" t="s">
        <v>189</v>
      </c>
      <c r="O2" s="3" t="s">
        <v>190</v>
      </c>
      <c r="P2" s="3" t="s">
        <v>191</v>
      </c>
      <c r="Q2" s="3" t="s">
        <v>192</v>
      </c>
      <c r="S2" s="3" t="s">
        <v>193</v>
      </c>
      <c r="T2" s="3"/>
      <c r="U2" s="3" t="s">
        <v>194</v>
      </c>
      <c r="X2" s="152" t="s">
        <v>195</v>
      </c>
      <c r="Y2" s="152" t="s">
        <v>161</v>
      </c>
      <c r="Z2" s="152" t="s">
        <v>196</v>
      </c>
      <c r="AA2" s="152" t="s">
        <v>158</v>
      </c>
      <c r="AB2" s="152" t="s">
        <v>197</v>
      </c>
      <c r="AC2" s="152" t="s">
        <v>198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2:46" x14ac:dyDescent="0.35">
      <c r="B3" s="1" t="s">
        <v>199</v>
      </c>
      <c r="C3" s="1" t="s">
        <v>5</v>
      </c>
      <c r="D3" s="24" t="s">
        <v>2</v>
      </c>
      <c r="E3" s="20">
        <v>45069</v>
      </c>
      <c r="F3" s="1">
        <v>256</v>
      </c>
      <c r="G3" s="1" t="s">
        <v>200</v>
      </c>
      <c r="H3" s="1">
        <v>326.88</v>
      </c>
      <c r="I3" s="21">
        <v>21665</v>
      </c>
      <c r="J3" s="28" t="s">
        <v>201</v>
      </c>
      <c r="K3" s="22">
        <v>94213.39</v>
      </c>
      <c r="L3" s="23">
        <v>23.26</v>
      </c>
      <c r="M3" s="30" t="s">
        <v>202</v>
      </c>
      <c r="N3" s="21">
        <v>204214</v>
      </c>
      <c r="O3" s="29" t="s">
        <v>203</v>
      </c>
      <c r="P3" s="1" t="s">
        <v>204</v>
      </c>
      <c r="Q3" s="21"/>
      <c r="S3" s="1">
        <v>2</v>
      </c>
      <c r="T3" s="1">
        <f>12*2</f>
        <v>24</v>
      </c>
      <c r="U3" s="1">
        <v>2</v>
      </c>
      <c r="V3" s="32">
        <v>220</v>
      </c>
      <c r="X3" s="1" t="s">
        <v>47</v>
      </c>
      <c r="Y3" s="1" t="s">
        <v>46</v>
      </c>
      <c r="Z3" s="1" t="s">
        <v>205</v>
      </c>
      <c r="AA3" s="1" t="s">
        <v>206</v>
      </c>
      <c r="AB3" s="1" t="s">
        <v>207</v>
      </c>
      <c r="AC3" s="1" t="s">
        <v>170</v>
      </c>
      <c r="AF3" s="152" t="s">
        <v>208</v>
      </c>
      <c r="AG3" s="152" t="s">
        <v>209</v>
      </c>
      <c r="AH3" s="152" t="s">
        <v>210</v>
      </c>
    </row>
    <row r="4" spans="2:46" x14ac:dyDescent="0.35">
      <c r="B4" s="1" t="s">
        <v>211</v>
      </c>
      <c r="C4" s="1" t="s">
        <v>5</v>
      </c>
      <c r="D4" s="24" t="s">
        <v>2</v>
      </c>
      <c r="E4" s="20">
        <v>45076</v>
      </c>
      <c r="F4" s="1">
        <v>352</v>
      </c>
      <c r="G4" s="1" t="s">
        <v>212</v>
      </c>
      <c r="H4" s="1">
        <v>351.34</v>
      </c>
      <c r="I4" s="21">
        <v>27920.98</v>
      </c>
      <c r="J4" s="22" t="s">
        <v>213</v>
      </c>
      <c r="K4" s="22">
        <v>84595.65</v>
      </c>
      <c r="L4" s="323">
        <v>20.64</v>
      </c>
      <c r="M4" s="323" t="s">
        <v>202</v>
      </c>
      <c r="N4" s="21">
        <v>179510</v>
      </c>
      <c r="O4" s="1" t="s">
        <v>214</v>
      </c>
      <c r="P4" s="1" t="s">
        <v>204</v>
      </c>
      <c r="S4" s="1">
        <v>2</v>
      </c>
      <c r="T4" s="1">
        <f t="shared" ref="T4:T8" si="0">12*2</f>
        <v>24</v>
      </c>
      <c r="U4" s="1">
        <v>2</v>
      </c>
      <c r="V4" s="32">
        <v>220</v>
      </c>
      <c r="X4" s="1" t="s">
        <v>47</v>
      </c>
      <c r="Y4" s="1" t="s">
        <v>46</v>
      </c>
      <c r="Z4" s="1" t="s">
        <v>36</v>
      </c>
      <c r="AA4" s="1" t="s">
        <v>38</v>
      </c>
      <c r="AB4" s="1" t="s">
        <v>207</v>
      </c>
      <c r="AC4" s="1" t="s">
        <v>170</v>
      </c>
      <c r="AG4" s="1" t="s">
        <v>209</v>
      </c>
      <c r="AH4" s="1" t="s">
        <v>210</v>
      </c>
      <c r="AI4" s="1" t="s">
        <v>215</v>
      </c>
      <c r="AJ4" s="1" t="s">
        <v>216</v>
      </c>
    </row>
    <row r="5" spans="2:46" x14ac:dyDescent="0.35">
      <c r="B5" s="1" t="s">
        <v>217</v>
      </c>
      <c r="C5" s="1" t="s">
        <v>10</v>
      </c>
      <c r="D5" s="324" t="s">
        <v>2</v>
      </c>
      <c r="E5" s="20">
        <v>45203</v>
      </c>
      <c r="F5" s="6">
        <v>432</v>
      </c>
      <c r="G5" s="1" t="s">
        <v>218</v>
      </c>
      <c r="H5" s="5">
        <v>540.98</v>
      </c>
      <c r="I5" s="21">
        <f>H5*80.9</f>
        <v>43765.282000000007</v>
      </c>
      <c r="J5" s="22" t="s">
        <v>219</v>
      </c>
      <c r="K5" s="22">
        <v>98020.79</v>
      </c>
      <c r="L5" s="323">
        <v>25.32</v>
      </c>
      <c r="M5" s="323" t="s">
        <v>202</v>
      </c>
      <c r="N5" s="21">
        <v>221806</v>
      </c>
      <c r="O5" s="1" t="s">
        <v>220</v>
      </c>
      <c r="P5" s="1" t="s">
        <v>204</v>
      </c>
      <c r="S5" s="1">
        <v>2</v>
      </c>
      <c r="T5" s="1">
        <f t="shared" si="0"/>
        <v>24</v>
      </c>
      <c r="U5" s="1">
        <v>1</v>
      </c>
      <c r="V5" s="32">
        <v>110</v>
      </c>
      <c r="X5" s="1" t="s">
        <v>47</v>
      </c>
      <c r="Y5" s="1" t="s">
        <v>46</v>
      </c>
      <c r="Z5" s="1" t="s">
        <v>36</v>
      </c>
      <c r="AA5" s="1" t="s">
        <v>38</v>
      </c>
      <c r="AB5" s="1" t="s">
        <v>207</v>
      </c>
      <c r="AC5" s="1" t="s">
        <v>170</v>
      </c>
      <c r="AF5" s="1" t="s">
        <v>208</v>
      </c>
      <c r="AG5" s="1" t="s">
        <v>209</v>
      </c>
      <c r="AH5" s="1" t="s">
        <v>210</v>
      </c>
      <c r="AI5" s="1" t="s">
        <v>215</v>
      </c>
      <c r="AK5" s="1" t="s">
        <v>221</v>
      </c>
    </row>
    <row r="6" spans="2:46" x14ac:dyDescent="0.35">
      <c r="B6" s="1" t="s">
        <v>222</v>
      </c>
      <c r="C6" s="1" t="s">
        <v>5</v>
      </c>
      <c r="D6" s="26" t="s">
        <v>3</v>
      </c>
      <c r="E6" s="20">
        <v>45107</v>
      </c>
      <c r="F6" s="1">
        <v>404</v>
      </c>
      <c r="G6" s="1" t="s">
        <v>223</v>
      </c>
      <c r="H6" s="1">
        <v>205.72</v>
      </c>
      <c r="I6" s="21">
        <v>16414.39</v>
      </c>
      <c r="J6" s="22" t="s">
        <v>201</v>
      </c>
      <c r="K6" s="22">
        <v>92000</v>
      </c>
      <c r="L6" s="23">
        <v>24.74</v>
      </c>
      <c r="M6" s="23" t="s">
        <v>202</v>
      </c>
      <c r="N6" s="21">
        <v>188030</v>
      </c>
      <c r="O6" s="1" t="s">
        <v>214</v>
      </c>
      <c r="P6" s="1" t="s">
        <v>224</v>
      </c>
      <c r="S6" s="1">
        <v>2</v>
      </c>
      <c r="T6" s="1">
        <f t="shared" si="0"/>
        <v>24</v>
      </c>
      <c r="U6" s="1">
        <v>2</v>
      </c>
      <c r="V6" s="32">
        <v>220</v>
      </c>
      <c r="X6" s="1" t="s">
        <v>46</v>
      </c>
      <c r="Y6" s="1" t="s">
        <v>46</v>
      </c>
      <c r="Z6" s="1" t="s">
        <v>205</v>
      </c>
      <c r="AA6" s="1" t="s">
        <v>38</v>
      </c>
      <c r="AB6" s="1" t="s">
        <v>207</v>
      </c>
      <c r="AC6" s="1" t="s">
        <v>170</v>
      </c>
      <c r="AG6" s="1" t="s">
        <v>209</v>
      </c>
      <c r="AH6" s="1" t="s">
        <v>210</v>
      </c>
      <c r="AL6" s="1" t="s">
        <v>225</v>
      </c>
      <c r="AM6" s="1" t="s">
        <v>226</v>
      </c>
    </row>
    <row r="7" spans="2:46" x14ac:dyDescent="0.35">
      <c r="B7" s="1" t="s">
        <v>227</v>
      </c>
      <c r="C7" s="1" t="s">
        <v>10</v>
      </c>
      <c r="D7" s="26" t="s">
        <v>3</v>
      </c>
      <c r="E7" s="20">
        <v>45222</v>
      </c>
      <c r="F7" s="6">
        <v>152</v>
      </c>
      <c r="G7" s="1" t="s">
        <v>228</v>
      </c>
      <c r="H7" s="5">
        <v>355.27</v>
      </c>
      <c r="I7" s="21">
        <f>H7*80.9</f>
        <v>28741.343000000001</v>
      </c>
      <c r="J7" s="22" t="s">
        <v>213</v>
      </c>
      <c r="K7" s="22">
        <v>107297.25</v>
      </c>
      <c r="L7" s="323">
        <v>24.12</v>
      </c>
      <c r="M7" s="23" t="s">
        <v>229</v>
      </c>
      <c r="N7" s="21">
        <v>226411</v>
      </c>
      <c r="O7" s="1" t="s">
        <v>220</v>
      </c>
      <c r="P7" s="1" t="s">
        <v>224</v>
      </c>
      <c r="S7" s="1">
        <v>3</v>
      </c>
      <c r="T7" s="1">
        <f>12*3</f>
        <v>36</v>
      </c>
      <c r="U7" s="1">
        <v>2</v>
      </c>
      <c r="V7" s="32">
        <v>220</v>
      </c>
      <c r="X7" s="1" t="s">
        <v>46</v>
      </c>
      <c r="Y7" s="1" t="s">
        <v>46</v>
      </c>
      <c r="Z7" s="1" t="s">
        <v>205</v>
      </c>
      <c r="AA7" s="1" t="s">
        <v>206</v>
      </c>
      <c r="AB7" s="1" t="s">
        <v>207</v>
      </c>
      <c r="AC7" s="1" t="s">
        <v>170</v>
      </c>
      <c r="AG7" s="1" t="s">
        <v>209</v>
      </c>
      <c r="AH7" s="1" t="s">
        <v>210</v>
      </c>
      <c r="AI7" s="1" t="s">
        <v>215</v>
      </c>
      <c r="AL7" s="1" t="s">
        <v>225</v>
      </c>
      <c r="AN7" s="1" t="s">
        <v>230</v>
      </c>
    </row>
    <row r="8" spans="2:46" x14ac:dyDescent="0.35">
      <c r="B8" s="1" t="s">
        <v>231</v>
      </c>
      <c r="C8" s="1" t="s">
        <v>10</v>
      </c>
      <c r="D8" s="325" t="s">
        <v>3</v>
      </c>
      <c r="E8" s="20">
        <v>45163</v>
      </c>
      <c r="F8" s="6">
        <v>368</v>
      </c>
      <c r="G8" s="1" t="s">
        <v>232</v>
      </c>
      <c r="H8" s="5">
        <v>647.85</v>
      </c>
      <c r="I8" s="21">
        <f>H8*80.51</f>
        <v>52158.403500000008</v>
      </c>
      <c r="J8" s="22" t="s">
        <v>219</v>
      </c>
      <c r="K8" s="22">
        <v>107573.31</v>
      </c>
      <c r="L8" s="323">
        <v>19.2</v>
      </c>
      <c r="M8" s="23" t="s">
        <v>229</v>
      </c>
      <c r="N8" s="21">
        <v>240443</v>
      </c>
      <c r="O8" s="1" t="s">
        <v>233</v>
      </c>
      <c r="P8" s="1" t="s">
        <v>224</v>
      </c>
      <c r="S8" s="1">
        <v>2</v>
      </c>
      <c r="T8" s="1">
        <f t="shared" si="0"/>
        <v>24</v>
      </c>
      <c r="U8" s="1">
        <v>3</v>
      </c>
      <c r="V8" s="32">
        <f>110*3</f>
        <v>330</v>
      </c>
      <c r="X8" s="1" t="s">
        <v>46</v>
      </c>
      <c r="Y8" s="1" t="s">
        <v>46</v>
      </c>
      <c r="Z8" s="1" t="s">
        <v>205</v>
      </c>
      <c r="AA8" s="1" t="s">
        <v>206</v>
      </c>
      <c r="AB8" s="1" t="s">
        <v>207</v>
      </c>
      <c r="AC8" s="1" t="s">
        <v>170</v>
      </c>
      <c r="AF8" s="1" t="s">
        <v>208</v>
      </c>
      <c r="AG8" s="1" t="s">
        <v>209</v>
      </c>
      <c r="AH8" s="1" t="s">
        <v>210</v>
      </c>
      <c r="AI8" s="1" t="s">
        <v>215</v>
      </c>
      <c r="AK8" s="1" t="s">
        <v>221</v>
      </c>
      <c r="AL8" s="1" t="s">
        <v>225</v>
      </c>
    </row>
    <row r="9" spans="2:46" x14ac:dyDescent="0.35">
      <c r="B9" s="1" t="s">
        <v>234</v>
      </c>
      <c r="C9" s="1" t="s">
        <v>5</v>
      </c>
      <c r="D9" s="325" t="s">
        <v>3</v>
      </c>
      <c r="E9" s="20">
        <v>45194</v>
      </c>
      <c r="F9" s="6">
        <v>432</v>
      </c>
      <c r="G9" s="1" t="s">
        <v>228</v>
      </c>
      <c r="H9" s="5">
        <v>439.99</v>
      </c>
      <c r="I9" s="21">
        <f>H9*80.71</f>
        <v>35511.592899999996</v>
      </c>
      <c r="J9" s="22" t="s">
        <v>235</v>
      </c>
      <c r="K9" s="22">
        <v>91293.06</v>
      </c>
      <c r="L9" s="323">
        <v>22.78</v>
      </c>
      <c r="M9" s="23" t="s">
        <v>202</v>
      </c>
      <c r="N9" s="21">
        <v>208258</v>
      </c>
      <c r="O9" s="1" t="s">
        <v>203</v>
      </c>
      <c r="P9" s="1" t="s">
        <v>224</v>
      </c>
      <c r="S9" s="1">
        <v>1</v>
      </c>
      <c r="T9" s="1">
        <v>12</v>
      </c>
      <c r="U9" s="1">
        <v>2</v>
      </c>
      <c r="V9" s="1">
        <v>220</v>
      </c>
      <c r="X9" s="1" t="s">
        <v>46</v>
      </c>
      <c r="Y9" s="1" t="s">
        <v>46</v>
      </c>
      <c r="Z9" s="1" t="s">
        <v>205</v>
      </c>
      <c r="AA9" s="1" t="s">
        <v>206</v>
      </c>
      <c r="AB9" s="1" t="s">
        <v>207</v>
      </c>
      <c r="AC9" s="1" t="s">
        <v>170</v>
      </c>
      <c r="AF9" s="1" t="s">
        <v>208</v>
      </c>
      <c r="AG9" s="1" t="s">
        <v>209</v>
      </c>
      <c r="AH9" s="1" t="s">
        <v>210</v>
      </c>
      <c r="AL9" s="1" t="s">
        <v>225</v>
      </c>
    </row>
    <row r="10" spans="2:46" x14ac:dyDescent="0.35">
      <c r="B10" s="1" t="s">
        <v>236</v>
      </c>
      <c r="C10" s="1" t="s">
        <v>5</v>
      </c>
      <c r="D10" s="325" t="s">
        <v>3</v>
      </c>
      <c r="E10" s="20">
        <v>45215</v>
      </c>
      <c r="F10" s="6">
        <v>80</v>
      </c>
      <c r="G10" s="1" t="s">
        <v>237</v>
      </c>
      <c r="H10" s="5">
        <v>364.98</v>
      </c>
      <c r="I10" s="21">
        <f>H10*80.9</f>
        <v>29526.882000000005</v>
      </c>
      <c r="J10" s="22" t="s">
        <v>213</v>
      </c>
      <c r="K10" s="22">
        <v>116500</v>
      </c>
      <c r="L10" s="323">
        <v>29.57</v>
      </c>
      <c r="M10" s="323" t="s">
        <v>238</v>
      </c>
      <c r="N10" s="21">
        <v>226710</v>
      </c>
      <c r="O10" s="1" t="s">
        <v>220</v>
      </c>
      <c r="P10" s="1" t="s">
        <v>224</v>
      </c>
      <c r="S10" s="1">
        <v>1</v>
      </c>
      <c r="T10" s="1">
        <v>12</v>
      </c>
      <c r="U10" s="1">
        <v>2</v>
      </c>
      <c r="V10" s="1">
        <v>220</v>
      </c>
      <c r="X10" s="1" t="s">
        <v>46</v>
      </c>
      <c r="Y10" s="1" t="s">
        <v>46</v>
      </c>
      <c r="Z10" s="1" t="s">
        <v>205</v>
      </c>
      <c r="AA10" s="1" t="s">
        <v>206</v>
      </c>
      <c r="AB10" s="1" t="s">
        <v>207</v>
      </c>
      <c r="AC10" s="1" t="s">
        <v>170</v>
      </c>
      <c r="AG10" s="1" t="s">
        <v>209</v>
      </c>
      <c r="AH10" s="1" t="s">
        <v>210</v>
      </c>
      <c r="AL10" s="1" t="s">
        <v>225</v>
      </c>
    </row>
    <row r="11" spans="2:46" x14ac:dyDescent="0.35">
      <c r="B11" s="1" t="s">
        <v>239</v>
      </c>
      <c r="C11" s="1" t="s">
        <v>10</v>
      </c>
      <c r="D11" s="326" t="s">
        <v>4</v>
      </c>
      <c r="E11" s="20">
        <v>45169</v>
      </c>
      <c r="F11" s="25">
        <v>192</v>
      </c>
      <c r="G11" s="1" t="s">
        <v>232</v>
      </c>
      <c r="H11" s="327">
        <v>442.17</v>
      </c>
      <c r="I11" s="21">
        <f>H11*80.51</f>
        <v>35599.106700000004</v>
      </c>
      <c r="J11" s="21" t="s">
        <v>235</v>
      </c>
      <c r="K11" s="21">
        <v>143635</v>
      </c>
      <c r="L11" s="1">
        <v>29.3</v>
      </c>
      <c r="M11" s="1" t="s">
        <v>240</v>
      </c>
      <c r="N11" s="21">
        <v>294420</v>
      </c>
      <c r="O11" s="1" t="s">
        <v>241</v>
      </c>
      <c r="P11" s="1" t="s">
        <v>242</v>
      </c>
      <c r="S11" s="1">
        <v>1</v>
      </c>
      <c r="T11" s="1">
        <v>12</v>
      </c>
      <c r="U11" s="1">
        <v>3</v>
      </c>
      <c r="V11" s="1">
        <v>330</v>
      </c>
      <c r="X11" s="1" t="s">
        <v>46</v>
      </c>
      <c r="Y11" s="1" t="s">
        <v>46</v>
      </c>
      <c r="Z11" s="1" t="s">
        <v>243</v>
      </c>
      <c r="AA11" s="1" t="s">
        <v>39</v>
      </c>
      <c r="AB11" s="1" t="s">
        <v>168</v>
      </c>
      <c r="AC11" s="1" t="s">
        <v>171</v>
      </c>
      <c r="AF11" s="1" t="s">
        <v>208</v>
      </c>
      <c r="AG11" s="1" t="s">
        <v>209</v>
      </c>
      <c r="AH11" s="1" t="s">
        <v>210</v>
      </c>
      <c r="AL11" s="1" t="s">
        <v>225</v>
      </c>
    </row>
    <row r="12" spans="2:46" x14ac:dyDescent="0.35">
      <c r="B12" s="1" t="s">
        <v>244</v>
      </c>
      <c r="C12" s="1" t="s">
        <v>10</v>
      </c>
      <c r="D12" s="326" t="s">
        <v>4</v>
      </c>
      <c r="E12" s="20">
        <v>45195</v>
      </c>
      <c r="F12" s="25">
        <v>136</v>
      </c>
      <c r="G12" s="1" t="s">
        <v>212</v>
      </c>
      <c r="H12" s="327">
        <v>564.84</v>
      </c>
      <c r="I12" s="21">
        <f>H12*80.71</f>
        <v>45588.236400000002</v>
      </c>
      <c r="J12" s="21" t="s">
        <v>219</v>
      </c>
      <c r="K12" s="21">
        <v>130771.86</v>
      </c>
      <c r="L12" s="1">
        <v>28.1</v>
      </c>
      <c r="M12" s="1" t="s">
        <v>245</v>
      </c>
      <c r="N12" s="21">
        <v>271426</v>
      </c>
      <c r="O12" s="1" t="s">
        <v>241</v>
      </c>
      <c r="P12" s="1" t="s">
        <v>242</v>
      </c>
      <c r="S12" s="1">
        <v>2</v>
      </c>
      <c r="T12" s="1">
        <v>24</v>
      </c>
      <c r="U12" s="1">
        <v>3</v>
      </c>
      <c r="V12" s="1">
        <v>330</v>
      </c>
      <c r="X12" s="1" t="s">
        <v>46</v>
      </c>
      <c r="Y12" s="1" t="s">
        <v>46</v>
      </c>
      <c r="Z12" s="1" t="s">
        <v>243</v>
      </c>
      <c r="AA12" s="1" t="s">
        <v>39</v>
      </c>
      <c r="AB12" s="1" t="s">
        <v>168</v>
      </c>
      <c r="AC12" s="1" t="s">
        <v>171</v>
      </c>
      <c r="AG12" s="1" t="s">
        <v>209</v>
      </c>
      <c r="AH12" s="1" t="s">
        <v>210</v>
      </c>
      <c r="AI12" s="1" t="s">
        <v>215</v>
      </c>
      <c r="AK12" s="1" t="s">
        <v>221</v>
      </c>
      <c r="AL12" s="1" t="s">
        <v>225</v>
      </c>
    </row>
    <row r="13" spans="2:46" s="256" customFormat="1" x14ac:dyDescent="0.35">
      <c r="B13" s="118" t="s">
        <v>246</v>
      </c>
      <c r="C13" s="118" t="s">
        <v>10</v>
      </c>
      <c r="D13" s="251" t="s">
        <v>4</v>
      </c>
      <c r="E13" s="252">
        <v>45338</v>
      </c>
      <c r="F13" s="253">
        <v>336</v>
      </c>
      <c r="G13" s="118" t="s">
        <v>228</v>
      </c>
      <c r="H13" s="254">
        <v>386.31</v>
      </c>
      <c r="I13" s="255">
        <f>H13*81.54</f>
        <v>31499.717400000001</v>
      </c>
      <c r="J13" s="255" t="s">
        <v>213</v>
      </c>
      <c r="K13" s="255">
        <v>108554.44</v>
      </c>
      <c r="L13" s="118">
        <v>23.77</v>
      </c>
      <c r="M13" s="118" t="s">
        <v>229</v>
      </c>
      <c r="N13" s="255">
        <v>236770</v>
      </c>
      <c r="O13" s="118" t="s">
        <v>220</v>
      </c>
      <c r="P13" s="118" t="s">
        <v>242</v>
      </c>
      <c r="Q13" s="118"/>
      <c r="S13" s="118">
        <v>5</v>
      </c>
      <c r="T13" s="118">
        <f>12*S13</f>
        <v>60</v>
      </c>
      <c r="U13" s="118">
        <v>2</v>
      </c>
      <c r="V13" s="118">
        <v>220</v>
      </c>
      <c r="X13" s="118" t="s">
        <v>46</v>
      </c>
      <c r="Y13" s="118" t="s">
        <v>46</v>
      </c>
      <c r="Z13" s="118" t="s">
        <v>243</v>
      </c>
      <c r="AA13" s="118" t="s">
        <v>247</v>
      </c>
      <c r="AB13" s="118" t="s">
        <v>168</v>
      </c>
      <c r="AC13" s="118" t="s">
        <v>171</v>
      </c>
      <c r="AD13" s="118"/>
      <c r="AE13" s="118"/>
      <c r="AF13" s="118"/>
      <c r="AG13" s="118" t="s">
        <v>209</v>
      </c>
      <c r="AH13" s="118" t="s">
        <v>210</v>
      </c>
      <c r="AI13" s="118" t="s">
        <v>215</v>
      </c>
      <c r="AJ13" s="118"/>
      <c r="AK13" s="118"/>
      <c r="AL13" s="118" t="s">
        <v>225</v>
      </c>
      <c r="AM13" s="118"/>
      <c r="AN13" s="118" t="s">
        <v>230</v>
      </c>
      <c r="AO13" s="118" t="s">
        <v>248</v>
      </c>
      <c r="AP13" s="118" t="s">
        <v>249</v>
      </c>
      <c r="AQ13" s="118"/>
      <c r="AR13" s="118"/>
      <c r="AS13" s="118"/>
      <c r="AT13" s="118"/>
    </row>
    <row r="14" spans="2:46" x14ac:dyDescent="0.35">
      <c r="H14" s="5"/>
      <c r="P14" s="1"/>
    </row>
    <row r="15" spans="2:46" x14ac:dyDescent="0.35">
      <c r="B15" s="381" t="s">
        <v>250</v>
      </c>
      <c r="C15" s="381"/>
      <c r="D15" s="381"/>
      <c r="E15" s="381"/>
      <c r="F15" s="381"/>
      <c r="H15" s="9"/>
      <c r="J15" s="9"/>
      <c r="S15" s="1" t="s">
        <v>2</v>
      </c>
      <c r="T15" s="1">
        <v>24</v>
      </c>
      <c r="V15" s="1">
        <v>192</v>
      </c>
    </row>
    <row r="16" spans="2:46" x14ac:dyDescent="0.35">
      <c r="B16" s="17" t="s">
        <v>199</v>
      </c>
      <c r="C16" s="17"/>
      <c r="D16" s="31" t="str">
        <f t="shared" ref="D16:D26" si="1">CONCATENATE(J3,"-",M3,"-",O3,"-",P3)</f>
        <v>FR 01-CUSTO 01-FX 01+-SIMPLES</v>
      </c>
      <c r="E16" s="31"/>
      <c r="F16" s="31"/>
      <c r="G16" s="386"/>
      <c r="H16" s="387"/>
      <c r="I16" s="387"/>
      <c r="J16" s="9"/>
      <c r="S16" s="1" t="s">
        <v>3</v>
      </c>
      <c r="T16" s="1">
        <v>28</v>
      </c>
      <c r="V16" s="1">
        <v>247</v>
      </c>
    </row>
    <row r="17" spans="2:48" x14ac:dyDescent="0.35">
      <c r="B17" s="17" t="s">
        <v>211</v>
      </c>
      <c r="C17" s="117"/>
      <c r="D17" s="383" t="str">
        <f t="shared" si="1"/>
        <v>FR 02-CUSTO 01-FX 01-SIMPLES</v>
      </c>
      <c r="E17" s="384"/>
      <c r="F17" s="385"/>
      <c r="G17" s="27"/>
      <c r="H17" s="9"/>
      <c r="J17" s="9"/>
      <c r="S17" s="1" t="s">
        <v>4</v>
      </c>
      <c r="T17" s="1">
        <v>32</v>
      </c>
      <c r="V17" s="1">
        <v>293</v>
      </c>
    </row>
    <row r="18" spans="2:48" x14ac:dyDescent="0.35">
      <c r="B18" s="17" t="s">
        <v>217</v>
      </c>
      <c r="C18" s="117"/>
      <c r="D18" s="383" t="str">
        <f t="shared" si="1"/>
        <v>FR 03-CUSTO 01-FX 02-SIMPLES</v>
      </c>
      <c r="E18" s="384"/>
      <c r="F18" s="385"/>
      <c r="G18" s="27"/>
    </row>
    <row r="19" spans="2:48" x14ac:dyDescent="0.35">
      <c r="B19" s="17" t="s">
        <v>222</v>
      </c>
      <c r="C19" s="17"/>
      <c r="D19" s="31" t="str">
        <f t="shared" si="1"/>
        <v>FR 01-CUSTO 01-FX 01-INTERMEDIÁRIO</v>
      </c>
      <c r="E19" s="31"/>
      <c r="F19" s="31"/>
      <c r="G19" s="27"/>
    </row>
    <row r="20" spans="2:48" x14ac:dyDescent="0.35">
      <c r="B20" s="17" t="s">
        <v>227</v>
      </c>
      <c r="C20" s="17"/>
      <c r="D20" s="31" t="str">
        <f t="shared" si="1"/>
        <v>FR 02-CUSTO 01+-FX 02-INTERMEDIÁRIO</v>
      </c>
      <c r="E20" s="31"/>
      <c r="F20" s="31"/>
      <c r="G20" s="27"/>
    </row>
    <row r="21" spans="2:48" x14ac:dyDescent="0.35">
      <c r="B21" s="17" t="s">
        <v>231</v>
      </c>
      <c r="C21" s="17"/>
      <c r="D21" s="31" t="str">
        <f t="shared" si="1"/>
        <v>FR 03-CUSTO 01+-FX 02+-INTERMEDIÁRIO</v>
      </c>
      <c r="E21" s="31"/>
      <c r="F21" s="31"/>
      <c r="G21" s="27"/>
    </row>
    <row r="22" spans="2:48" ht="29" x14ac:dyDescent="0.35">
      <c r="B22" s="17" t="s">
        <v>234</v>
      </c>
      <c r="C22" s="17"/>
      <c r="D22" s="31" t="str">
        <f t="shared" si="1"/>
        <v>FR 02+-CUSTO 01-FX 01+-INTERMEDIÁRIO</v>
      </c>
      <c r="E22" s="31"/>
      <c r="F22" s="31"/>
      <c r="G22" s="27"/>
      <c r="X22" s="152" t="s">
        <v>195</v>
      </c>
      <c r="Y22" s="152" t="s">
        <v>161</v>
      </c>
      <c r="Z22" s="152" t="s">
        <v>196</v>
      </c>
      <c r="AA22" s="152" t="s">
        <v>158</v>
      </c>
      <c r="AB22" s="152" t="s">
        <v>197</v>
      </c>
      <c r="AC22" s="152" t="s">
        <v>198</v>
      </c>
      <c r="AD22" s="152" t="s">
        <v>157</v>
      </c>
      <c r="AE22" s="152" t="s">
        <v>251</v>
      </c>
      <c r="AF22" s="152" t="s">
        <v>140</v>
      </c>
      <c r="AG22" s="152" t="s">
        <v>133</v>
      </c>
      <c r="AH22" s="152" t="s">
        <v>115</v>
      </c>
      <c r="AI22" s="152" t="s">
        <v>119</v>
      </c>
      <c r="AJ22" s="152" t="s">
        <v>252</v>
      </c>
      <c r="AK22" s="152" t="s">
        <v>253</v>
      </c>
      <c r="AL22" s="152" t="s">
        <v>76</v>
      </c>
      <c r="AM22" s="152" t="s">
        <v>123</v>
      </c>
      <c r="AN22" s="152" t="s">
        <v>126</v>
      </c>
      <c r="AO22" s="152" t="s">
        <v>122</v>
      </c>
      <c r="AP22" s="152" t="s">
        <v>66</v>
      </c>
      <c r="AQ22" s="44" t="s">
        <v>157</v>
      </c>
      <c r="AR22" s="44"/>
      <c r="AS22" s="44"/>
    </row>
    <row r="23" spans="2:48" x14ac:dyDescent="0.35">
      <c r="B23" s="17" t="s">
        <v>236</v>
      </c>
      <c r="C23" s="17"/>
      <c r="D23" s="31" t="str">
        <f t="shared" si="1"/>
        <v>FR 02-CUSTO 02-FX 02-INTERMEDIÁRIO</v>
      </c>
      <c r="E23" s="31"/>
      <c r="F23" s="31"/>
      <c r="G23" s="27"/>
      <c r="X23" s="1">
        <v>7</v>
      </c>
      <c r="Y23" s="1">
        <v>3</v>
      </c>
      <c r="Z23" s="1">
        <v>11</v>
      </c>
      <c r="AA23" s="1">
        <v>6</v>
      </c>
      <c r="AB23" s="1">
        <v>5</v>
      </c>
      <c r="AC23" s="1">
        <v>1</v>
      </c>
      <c r="AD23" s="1">
        <f>SUM(X23:AC23)</f>
        <v>33</v>
      </c>
      <c r="AE23" s="153" t="str">
        <f>IF(AD23&lt;=42,"ACAB 01",IF(AD23&gt;=58,"ACAB 03","ABAC 02"))</f>
        <v>ACAB 01</v>
      </c>
      <c r="AF23" s="9">
        <v>9.5</v>
      </c>
      <c r="AG23" s="9">
        <v>6.6</v>
      </c>
      <c r="AH23" s="9">
        <v>1.8</v>
      </c>
      <c r="AQ23" s="153">
        <f>SUM(AF23:AP23)</f>
        <v>17.900000000000002</v>
      </c>
      <c r="AU23" s="1">
        <v>256</v>
      </c>
      <c r="AV23" t="s">
        <v>174</v>
      </c>
    </row>
    <row r="24" spans="2:48" x14ac:dyDescent="0.35">
      <c r="B24" s="17" t="s">
        <v>239</v>
      </c>
      <c r="C24" s="17"/>
      <c r="D24" s="31" t="str">
        <f t="shared" si="1"/>
        <v>FR 02+-CUSTO 03-FX 03-COMPLETO</v>
      </c>
      <c r="E24" s="31"/>
      <c r="F24" s="31"/>
      <c r="G24" s="27"/>
      <c r="X24" s="1">
        <v>7</v>
      </c>
      <c r="Y24" s="1">
        <v>3</v>
      </c>
      <c r="Z24" s="1">
        <v>8</v>
      </c>
      <c r="AA24" s="1">
        <v>6</v>
      </c>
      <c r="AB24" s="1">
        <v>5</v>
      </c>
      <c r="AC24" s="1">
        <v>1</v>
      </c>
      <c r="AD24" s="1">
        <f t="shared" ref="AD24:AD33" si="2">SUM(X24:AC24)</f>
        <v>30</v>
      </c>
      <c r="AE24" s="153" t="str">
        <f t="shared" ref="AE24:AE33" si="3">IF(AD24&lt;=42,"ACAB 01",IF(AD24&gt;=58,"ACAB 03","ABAC 02"))</f>
        <v>ACAB 01</v>
      </c>
      <c r="AG24" s="9">
        <v>6.6</v>
      </c>
      <c r="AH24" s="9">
        <v>1.8</v>
      </c>
      <c r="AI24" s="1">
        <v>0.5</v>
      </c>
      <c r="AJ24" s="1">
        <v>7.5</v>
      </c>
      <c r="AQ24" s="153">
        <f t="shared" ref="AQ24:AQ33" si="4">SUM(AF24:AP24)</f>
        <v>16.399999999999999</v>
      </c>
      <c r="AU24" s="1">
        <v>352</v>
      </c>
      <c r="AV24" t="s">
        <v>174</v>
      </c>
    </row>
    <row r="25" spans="2:48" x14ac:dyDescent="0.35">
      <c r="B25" s="17" t="s">
        <v>244</v>
      </c>
      <c r="C25" s="17"/>
      <c r="D25" s="31" t="str">
        <f t="shared" si="1"/>
        <v>FR 03-CUSTO 02+-FX 03-COMPLETO</v>
      </c>
      <c r="E25" s="31"/>
      <c r="F25" s="31"/>
      <c r="G25" s="27"/>
      <c r="X25" s="1">
        <v>7</v>
      </c>
      <c r="Y25" s="1">
        <v>3</v>
      </c>
      <c r="Z25" s="1">
        <v>8</v>
      </c>
      <c r="AA25" s="1">
        <v>6</v>
      </c>
      <c r="AB25" s="1">
        <v>5</v>
      </c>
      <c r="AC25" s="1">
        <v>1</v>
      </c>
      <c r="AD25" s="1">
        <f t="shared" si="2"/>
        <v>30</v>
      </c>
      <c r="AE25" s="153" t="str">
        <f t="shared" si="3"/>
        <v>ACAB 01</v>
      </c>
      <c r="AF25" s="1">
        <v>9.5</v>
      </c>
      <c r="AG25" s="9">
        <v>6.6</v>
      </c>
      <c r="AH25" s="9">
        <v>1.8</v>
      </c>
      <c r="AI25" s="1">
        <v>0.5</v>
      </c>
      <c r="AK25" s="1">
        <v>4.4000000000000004</v>
      </c>
      <c r="AQ25" s="153">
        <f t="shared" si="4"/>
        <v>22.800000000000004</v>
      </c>
      <c r="AU25" s="6">
        <v>432</v>
      </c>
      <c r="AV25" t="s">
        <v>174</v>
      </c>
    </row>
    <row r="26" spans="2:48" x14ac:dyDescent="0.35">
      <c r="B26" s="17" t="s">
        <v>246</v>
      </c>
      <c r="C26" s="17"/>
      <c r="D26" s="31" t="str">
        <f t="shared" si="1"/>
        <v>FR 02-CUSTO 01+-FX 02-COMPLETO</v>
      </c>
      <c r="E26" s="31"/>
      <c r="F26" s="31"/>
      <c r="G26" s="27"/>
      <c r="X26" s="1">
        <v>31</v>
      </c>
      <c r="Y26" s="1">
        <v>3</v>
      </c>
      <c r="Z26" s="1">
        <v>11</v>
      </c>
      <c r="AA26" s="1">
        <v>6</v>
      </c>
      <c r="AB26" s="1">
        <v>5</v>
      </c>
      <c r="AC26" s="1">
        <v>1</v>
      </c>
      <c r="AD26" s="1">
        <f t="shared" si="2"/>
        <v>57</v>
      </c>
      <c r="AE26" s="153" t="str">
        <f t="shared" si="3"/>
        <v>ABAC 02</v>
      </c>
      <c r="AG26" s="9">
        <v>6.6</v>
      </c>
      <c r="AH26" s="9">
        <v>1.8</v>
      </c>
      <c r="AL26" s="1">
        <v>21.2</v>
      </c>
      <c r="AM26" s="1">
        <v>0.8</v>
      </c>
      <c r="AQ26" s="153">
        <f t="shared" si="4"/>
        <v>30.400000000000002</v>
      </c>
      <c r="AU26" s="1">
        <v>404</v>
      </c>
      <c r="AV26" t="s">
        <v>175</v>
      </c>
    </row>
    <row r="27" spans="2:48" x14ac:dyDescent="0.35">
      <c r="X27" s="1">
        <v>31</v>
      </c>
      <c r="Y27" s="1">
        <v>3</v>
      </c>
      <c r="Z27" s="1">
        <v>11</v>
      </c>
      <c r="AA27" s="1">
        <v>6</v>
      </c>
      <c r="AB27" s="1">
        <v>5</v>
      </c>
      <c r="AC27" s="1">
        <v>1</v>
      </c>
      <c r="AD27" s="1">
        <f t="shared" si="2"/>
        <v>57</v>
      </c>
      <c r="AE27" s="153" t="str">
        <f t="shared" si="3"/>
        <v>ABAC 02</v>
      </c>
      <c r="AG27" s="9">
        <v>6.6</v>
      </c>
      <c r="AH27" s="9">
        <v>1.8</v>
      </c>
      <c r="AI27" s="1">
        <v>0.5</v>
      </c>
      <c r="AL27" s="1">
        <v>21.2</v>
      </c>
      <c r="AN27" s="1">
        <v>1.2</v>
      </c>
      <c r="AQ27" s="153">
        <f t="shared" si="4"/>
        <v>31.3</v>
      </c>
      <c r="AU27" s="6">
        <v>152</v>
      </c>
      <c r="AV27" t="s">
        <v>176</v>
      </c>
    </row>
    <row r="28" spans="2:48" x14ac:dyDescent="0.35">
      <c r="H28" s="389" t="s">
        <v>213</v>
      </c>
      <c r="I28" s="389"/>
      <c r="J28" s="389"/>
      <c r="K28" s="8"/>
      <c r="N28" s="8"/>
      <c r="X28" s="1">
        <v>31</v>
      </c>
      <c r="Y28" s="1">
        <v>3</v>
      </c>
      <c r="Z28" s="1">
        <v>11</v>
      </c>
      <c r="AA28" s="1">
        <v>6</v>
      </c>
      <c r="AB28" s="1">
        <v>5</v>
      </c>
      <c r="AC28" s="1">
        <v>1</v>
      </c>
      <c r="AD28" s="1">
        <f t="shared" si="2"/>
        <v>57</v>
      </c>
      <c r="AE28" s="153" t="str">
        <f t="shared" si="3"/>
        <v>ABAC 02</v>
      </c>
      <c r="AF28" s="1">
        <v>9.5</v>
      </c>
      <c r="AG28" s="9">
        <v>6.6</v>
      </c>
      <c r="AH28" s="9">
        <v>1.8</v>
      </c>
      <c r="AI28" s="1">
        <v>0.5</v>
      </c>
      <c r="AK28" s="1">
        <v>4.4000000000000004</v>
      </c>
      <c r="AL28" s="1">
        <v>21.2</v>
      </c>
      <c r="AQ28" s="153">
        <f t="shared" si="4"/>
        <v>44</v>
      </c>
      <c r="AU28" s="6">
        <v>368</v>
      </c>
      <c r="AV28" t="s">
        <v>175</v>
      </c>
    </row>
    <row r="29" spans="2:48" x14ac:dyDescent="0.35">
      <c r="E29" s="388" t="s">
        <v>201</v>
      </c>
      <c r="F29" s="388"/>
      <c r="G29" s="388"/>
      <c r="H29" s="388"/>
      <c r="J29" s="390" t="s">
        <v>219</v>
      </c>
      <c r="K29" s="390"/>
      <c r="L29" s="390"/>
      <c r="M29" s="390"/>
      <c r="N29" s="390"/>
      <c r="X29" s="1">
        <v>31</v>
      </c>
      <c r="Y29" s="1">
        <v>3</v>
      </c>
      <c r="Z29" s="1">
        <v>11</v>
      </c>
      <c r="AA29" s="1">
        <v>6</v>
      </c>
      <c r="AB29" s="1">
        <v>5</v>
      </c>
      <c r="AC29" s="1">
        <v>1</v>
      </c>
      <c r="AD29" s="1">
        <f t="shared" si="2"/>
        <v>57</v>
      </c>
      <c r="AE29" s="153" t="str">
        <f t="shared" si="3"/>
        <v>ABAC 02</v>
      </c>
      <c r="AF29" s="1">
        <v>9.5</v>
      </c>
      <c r="AG29" s="9">
        <v>6.6</v>
      </c>
      <c r="AH29" s="9">
        <v>1.8</v>
      </c>
      <c r="AL29" s="1">
        <v>21.2</v>
      </c>
      <c r="AQ29" s="153">
        <f t="shared" si="4"/>
        <v>39.1</v>
      </c>
      <c r="AU29" s="6">
        <v>432</v>
      </c>
      <c r="AV29" t="s">
        <v>175</v>
      </c>
    </row>
    <row r="30" spans="2:48" x14ac:dyDescent="0.35">
      <c r="E30" s="13">
        <v>10</v>
      </c>
      <c r="F30" s="13">
        <v>15</v>
      </c>
      <c r="G30" s="13">
        <v>20</v>
      </c>
      <c r="H30" s="13">
        <v>25</v>
      </c>
      <c r="I30" s="14">
        <v>30</v>
      </c>
      <c r="J30" s="14">
        <v>35</v>
      </c>
      <c r="K30" s="14">
        <v>40</v>
      </c>
      <c r="L30" s="13">
        <v>45</v>
      </c>
      <c r="M30" s="13"/>
      <c r="N30" s="14">
        <v>50</v>
      </c>
      <c r="P30" s="1"/>
      <c r="X30" s="1">
        <v>31</v>
      </c>
      <c r="Y30" s="1">
        <v>3</v>
      </c>
      <c r="Z30" s="1">
        <v>11</v>
      </c>
      <c r="AA30" s="1">
        <v>6</v>
      </c>
      <c r="AB30" s="1">
        <v>5</v>
      </c>
      <c r="AC30" s="1">
        <v>1</v>
      </c>
      <c r="AD30" s="1">
        <f t="shared" si="2"/>
        <v>57</v>
      </c>
      <c r="AE30" s="153" t="str">
        <f t="shared" si="3"/>
        <v>ABAC 02</v>
      </c>
      <c r="AG30" s="9">
        <v>6.6</v>
      </c>
      <c r="AH30" s="9">
        <v>1.8</v>
      </c>
      <c r="AL30" s="1">
        <v>21.2</v>
      </c>
      <c r="AQ30" s="153">
        <f t="shared" si="4"/>
        <v>29.6</v>
      </c>
      <c r="AU30" s="6">
        <v>80</v>
      </c>
      <c r="AV30" t="s">
        <v>254</v>
      </c>
    </row>
    <row r="31" spans="2:48" x14ac:dyDescent="0.35">
      <c r="H31" s="16" t="s">
        <v>255</v>
      </c>
      <c r="I31" s="11"/>
      <c r="J31" s="15" t="s">
        <v>256</v>
      </c>
      <c r="X31" s="1">
        <v>31</v>
      </c>
      <c r="Y31" s="1">
        <v>3</v>
      </c>
      <c r="Z31" s="1">
        <v>11</v>
      </c>
      <c r="AA31" s="1">
        <v>12</v>
      </c>
      <c r="AB31" s="1">
        <v>12</v>
      </c>
      <c r="AC31" s="1">
        <v>3</v>
      </c>
      <c r="AD31" s="1">
        <f t="shared" si="2"/>
        <v>72</v>
      </c>
      <c r="AE31" s="153" t="str">
        <f t="shared" si="3"/>
        <v>ACAB 03</v>
      </c>
      <c r="AF31" s="1">
        <v>9.5</v>
      </c>
      <c r="AG31" s="9">
        <v>6.6</v>
      </c>
      <c r="AH31" s="9">
        <v>1.8</v>
      </c>
      <c r="AL31" s="1">
        <v>21.2</v>
      </c>
      <c r="AQ31" s="153">
        <f t="shared" si="4"/>
        <v>39.1</v>
      </c>
      <c r="AU31" s="25">
        <v>192</v>
      </c>
      <c r="AV31" t="s">
        <v>254</v>
      </c>
    </row>
    <row r="32" spans="2:48" x14ac:dyDescent="0.35">
      <c r="H32" s="12" t="s">
        <v>257</v>
      </c>
      <c r="J32" s="10" t="s">
        <v>258</v>
      </c>
      <c r="X32" s="1">
        <v>31</v>
      </c>
      <c r="Y32" s="1">
        <v>3</v>
      </c>
      <c r="Z32" s="1">
        <v>11</v>
      </c>
      <c r="AA32" s="1">
        <v>12</v>
      </c>
      <c r="AB32" s="1">
        <v>12</v>
      </c>
      <c r="AC32" s="1">
        <v>3</v>
      </c>
      <c r="AD32" s="1">
        <f t="shared" si="2"/>
        <v>72</v>
      </c>
      <c r="AE32" s="153" t="str">
        <f t="shared" si="3"/>
        <v>ACAB 03</v>
      </c>
      <c r="AG32" s="9">
        <v>6.6</v>
      </c>
      <c r="AH32" s="9">
        <v>1.8</v>
      </c>
      <c r="AI32" s="1">
        <v>0.5</v>
      </c>
      <c r="AK32" s="1">
        <v>4.4000000000000004</v>
      </c>
      <c r="AL32" s="1">
        <v>21.2</v>
      </c>
      <c r="AQ32" s="153">
        <f t="shared" si="4"/>
        <v>34.5</v>
      </c>
      <c r="AU32" s="25">
        <v>136</v>
      </c>
      <c r="AV32" t="s">
        <v>176</v>
      </c>
    </row>
    <row r="33" spans="2:48" x14ac:dyDescent="0.35">
      <c r="X33" s="1">
        <v>31</v>
      </c>
      <c r="Y33" s="1">
        <v>3</v>
      </c>
      <c r="Z33" s="1">
        <v>11</v>
      </c>
      <c r="AA33" s="1">
        <v>12</v>
      </c>
      <c r="AB33" s="1">
        <v>12</v>
      </c>
      <c r="AC33" s="1">
        <v>3</v>
      </c>
      <c r="AD33" s="1">
        <f t="shared" si="2"/>
        <v>72</v>
      </c>
      <c r="AE33" s="153" t="str">
        <f t="shared" si="3"/>
        <v>ACAB 03</v>
      </c>
      <c r="AG33" s="9">
        <v>6.6</v>
      </c>
      <c r="AH33" s="9">
        <v>1.8</v>
      </c>
      <c r="AI33" s="1">
        <v>0.5</v>
      </c>
      <c r="AL33" s="1">
        <v>21.2</v>
      </c>
      <c r="AN33" s="1">
        <v>1.2</v>
      </c>
      <c r="AO33" s="1">
        <v>0.5</v>
      </c>
      <c r="AP33" s="1">
        <v>0.6</v>
      </c>
      <c r="AQ33" s="153">
        <f t="shared" si="4"/>
        <v>32.4</v>
      </c>
      <c r="AU33" s="25">
        <v>336</v>
      </c>
      <c r="AV33" t="s">
        <v>175</v>
      </c>
    </row>
    <row r="34" spans="2:48" x14ac:dyDescent="0.35">
      <c r="B34" s="151" t="s">
        <v>259</v>
      </c>
      <c r="H34" s="382" t="s">
        <v>238</v>
      </c>
      <c r="I34" s="382"/>
      <c r="J34" s="382"/>
    </row>
    <row r="35" spans="2:48" x14ac:dyDescent="0.35">
      <c r="B35" s="118" t="s">
        <v>260</v>
      </c>
      <c r="E35" s="377" t="s">
        <v>202</v>
      </c>
      <c r="F35" s="377"/>
      <c r="G35" s="377"/>
      <c r="H35" s="377"/>
      <c r="J35" s="378" t="s">
        <v>240</v>
      </c>
      <c r="K35" s="378"/>
      <c r="L35" s="378"/>
      <c r="M35" s="378"/>
      <c r="N35" s="378"/>
    </row>
    <row r="36" spans="2:48" x14ac:dyDescent="0.35">
      <c r="B36" s="1" t="s">
        <v>192</v>
      </c>
      <c r="E36" s="379" t="s">
        <v>261</v>
      </c>
      <c r="F36" s="379"/>
      <c r="G36" s="379"/>
      <c r="H36" s="379"/>
      <c r="J36" s="380" t="s">
        <v>262</v>
      </c>
      <c r="K36" s="380"/>
      <c r="L36" s="380"/>
      <c r="M36" s="380"/>
      <c r="N36" s="380"/>
    </row>
    <row r="37" spans="2:48" x14ac:dyDescent="0.35">
      <c r="B37" s="118" t="s">
        <v>263</v>
      </c>
      <c r="H37" s="379" t="s">
        <v>264</v>
      </c>
      <c r="I37" s="379"/>
      <c r="J37" s="379"/>
    </row>
    <row r="38" spans="2:48" x14ac:dyDescent="0.35">
      <c r="B38" s="118" t="s">
        <v>265</v>
      </c>
      <c r="H38" s="16" t="s">
        <v>266</v>
      </c>
      <c r="J38" s="15" t="s">
        <v>267</v>
      </c>
    </row>
    <row r="39" spans="2:48" x14ac:dyDescent="0.35">
      <c r="B39" s="1" t="s">
        <v>268</v>
      </c>
      <c r="H39" s="17" t="s">
        <v>269</v>
      </c>
      <c r="J39" s="18" t="s">
        <v>270</v>
      </c>
    </row>
    <row r="40" spans="2:48" x14ac:dyDescent="0.35">
      <c r="B40" s="118" t="s">
        <v>271</v>
      </c>
    </row>
    <row r="41" spans="2:48" x14ac:dyDescent="0.35">
      <c r="H41" s="382" t="s">
        <v>272</v>
      </c>
      <c r="I41" s="382"/>
      <c r="J41" s="382"/>
    </row>
    <row r="42" spans="2:48" x14ac:dyDescent="0.35">
      <c r="E42" s="377" t="s">
        <v>273</v>
      </c>
      <c r="F42" s="377"/>
      <c r="G42" s="377"/>
      <c r="H42" s="377"/>
      <c r="J42" s="378" t="s">
        <v>274</v>
      </c>
      <c r="K42" s="378"/>
      <c r="L42" s="378"/>
      <c r="M42" s="378"/>
      <c r="N42" s="378"/>
    </row>
    <row r="43" spans="2:48" x14ac:dyDescent="0.35">
      <c r="E43" s="379" t="s">
        <v>275</v>
      </c>
      <c r="F43" s="379"/>
      <c r="G43" s="379"/>
      <c r="H43" s="379"/>
      <c r="J43" s="380" t="s">
        <v>276</v>
      </c>
      <c r="K43" s="380"/>
      <c r="L43" s="380"/>
      <c r="M43" s="380"/>
      <c r="N43" s="380"/>
    </row>
    <row r="44" spans="2:48" x14ac:dyDescent="0.35">
      <c r="H44" s="379" t="s">
        <v>277</v>
      </c>
      <c r="I44" s="379"/>
      <c r="J44" s="379"/>
    </row>
    <row r="45" spans="2:48" x14ac:dyDescent="0.35">
      <c r="H45" s="16" t="s">
        <v>278</v>
      </c>
      <c r="J45" s="15" t="s">
        <v>279</v>
      </c>
    </row>
    <row r="46" spans="2:48" x14ac:dyDescent="0.35">
      <c r="H46" s="17" t="s">
        <v>280</v>
      </c>
      <c r="J46" s="18" t="s">
        <v>281</v>
      </c>
    </row>
    <row r="54" spans="19:38" x14ac:dyDescent="0.35">
      <c r="Y54" s="376"/>
      <c r="Z54" s="376"/>
      <c r="AA54" s="376"/>
      <c r="AB54" s="159"/>
      <c r="AC54" s="159"/>
      <c r="AD54" s="159"/>
      <c r="AE54" s="159"/>
      <c r="AF54" s="376"/>
      <c r="AG54" s="376"/>
      <c r="AH54" s="376"/>
      <c r="AI54" s="376"/>
      <c r="AJ54" s="376"/>
      <c r="AK54" s="159"/>
      <c r="AL54" s="159"/>
    </row>
    <row r="55" spans="19:38" ht="44.4" customHeight="1" x14ac:dyDescent="0.35">
      <c r="Y55" s="376"/>
      <c r="Z55" s="376"/>
      <c r="AA55" s="376"/>
      <c r="AB55" s="159"/>
      <c r="AC55" s="159"/>
      <c r="AD55" s="159"/>
      <c r="AE55" s="159"/>
      <c r="AF55" s="376"/>
      <c r="AG55" s="376"/>
      <c r="AH55" s="376"/>
      <c r="AI55" s="376"/>
      <c r="AJ55" s="376"/>
      <c r="AK55" s="160"/>
      <c r="AL55" s="160"/>
    </row>
    <row r="56" spans="19:38" ht="44.4" customHeight="1" x14ac:dyDescent="0.35"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2"/>
      <c r="AJ56" s="161"/>
      <c r="AK56" s="161"/>
      <c r="AL56" s="161"/>
    </row>
    <row r="57" spans="19:38" ht="44.4" customHeight="1" x14ac:dyDescent="0.35"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2"/>
      <c r="AJ57" s="161"/>
      <c r="AK57" s="161"/>
      <c r="AL57" s="161"/>
    </row>
    <row r="58" spans="19:38" ht="44.4" customHeight="1" x14ac:dyDescent="0.35"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2"/>
      <c r="AJ58" s="161"/>
      <c r="AK58" s="161"/>
      <c r="AL58" s="161"/>
    </row>
    <row r="59" spans="19:38" ht="44.4" customHeight="1" x14ac:dyDescent="0.35"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2"/>
      <c r="AJ59" s="161"/>
      <c r="AK59" s="161"/>
      <c r="AL59" s="161"/>
    </row>
    <row r="60" spans="19:38" ht="44.4" customHeight="1" x14ac:dyDescent="0.35">
      <c r="S60" s="154"/>
      <c r="T60" s="155"/>
      <c r="U60" s="154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2"/>
      <c r="AJ60" s="161"/>
      <c r="AK60" s="161"/>
      <c r="AL60" s="161"/>
    </row>
    <row r="61" spans="19:38" ht="44.4" customHeight="1" x14ac:dyDescent="0.35">
      <c r="S61" s="156"/>
      <c r="T61" s="157"/>
      <c r="U61" s="156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2"/>
      <c r="AJ61" s="161"/>
      <c r="AK61" s="161"/>
      <c r="AL61" s="161"/>
    </row>
    <row r="62" spans="19:38" ht="44.4" customHeight="1" x14ac:dyDescent="0.35">
      <c r="S62" s="156"/>
      <c r="T62" s="157"/>
      <c r="U62" s="156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2"/>
      <c r="AJ62" s="161"/>
      <c r="AK62" s="161"/>
      <c r="AL62" s="161"/>
    </row>
    <row r="63" spans="19:38" ht="44.4" customHeight="1" x14ac:dyDescent="0.35">
      <c r="S63" s="156"/>
      <c r="T63" s="157"/>
      <c r="U63" s="156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2"/>
      <c r="AJ63" s="161"/>
      <c r="AK63" s="161"/>
      <c r="AL63" s="161"/>
    </row>
    <row r="64" spans="19:38" ht="44.4" customHeight="1" x14ac:dyDescent="0.35">
      <c r="S64" s="156"/>
      <c r="T64" s="157"/>
      <c r="U64" s="156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2"/>
      <c r="AJ64" s="161"/>
      <c r="AK64" s="161"/>
      <c r="AL64" s="161"/>
    </row>
    <row r="65" spans="19:38" ht="44.4" customHeight="1" x14ac:dyDescent="0.35">
      <c r="S65" s="156"/>
      <c r="T65" s="158"/>
      <c r="U65" s="156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2"/>
      <c r="AJ65" s="161"/>
      <c r="AK65" s="161"/>
      <c r="AL65" s="161"/>
    </row>
    <row r="66" spans="19:38" ht="44.4" customHeight="1" x14ac:dyDescent="0.35">
      <c r="S66" s="156"/>
      <c r="T66" s="158"/>
      <c r="U66" s="156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2"/>
      <c r="AJ66" s="161"/>
      <c r="AK66" s="161"/>
      <c r="AL66" s="161"/>
    </row>
    <row r="67" spans="19:38" ht="22.5" x14ac:dyDescent="0.35">
      <c r="S67" s="156"/>
      <c r="T67" s="158"/>
      <c r="U67" s="156"/>
    </row>
    <row r="68" spans="19:38" ht="44.4" customHeight="1" x14ac:dyDescent="0.35">
      <c r="S68" s="156"/>
      <c r="T68" s="158"/>
      <c r="U68" s="156"/>
    </row>
    <row r="69" spans="19:38" ht="22.5" x14ac:dyDescent="0.35">
      <c r="S69" s="156"/>
      <c r="T69" s="158"/>
      <c r="U69" s="156"/>
    </row>
    <row r="70" spans="19:38" ht="22.5" x14ac:dyDescent="0.35">
      <c r="S70" s="156"/>
      <c r="T70" s="158"/>
      <c r="U70" s="156"/>
    </row>
    <row r="71" spans="19:38" ht="22.5" x14ac:dyDescent="0.35">
      <c r="S71" s="156"/>
      <c r="T71" s="158"/>
      <c r="U71" s="156"/>
    </row>
  </sheetData>
  <mergeCells count="27">
    <mergeCell ref="H41:J41"/>
    <mergeCell ref="H37:J37"/>
    <mergeCell ref="J36:N36"/>
    <mergeCell ref="E29:H29"/>
    <mergeCell ref="H28:J28"/>
    <mergeCell ref="J29:N29"/>
    <mergeCell ref="B15:F15"/>
    <mergeCell ref="E35:H35"/>
    <mergeCell ref="H34:J34"/>
    <mergeCell ref="J35:N35"/>
    <mergeCell ref="E36:H36"/>
    <mergeCell ref="D17:F17"/>
    <mergeCell ref="D18:F18"/>
    <mergeCell ref="G16:I16"/>
    <mergeCell ref="E42:H42"/>
    <mergeCell ref="J42:N42"/>
    <mergeCell ref="E43:H43"/>
    <mergeCell ref="J43:N43"/>
    <mergeCell ref="H44:J44"/>
    <mergeCell ref="AH54:AH55"/>
    <mergeCell ref="AI54:AI55"/>
    <mergeCell ref="AJ54:AJ55"/>
    <mergeCell ref="Y54:Y55"/>
    <mergeCell ref="Z54:Z55"/>
    <mergeCell ref="AA54:AA55"/>
    <mergeCell ref="AF54:AF55"/>
    <mergeCell ref="AG54:AG55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C87-A9B8-4D49-993B-68C8DA4ACEDF}">
  <dimension ref="A2:K39"/>
  <sheetViews>
    <sheetView workbookViewId="0">
      <selection activeCell="A8" sqref="A8:A16"/>
    </sheetView>
  </sheetViews>
  <sheetFormatPr defaultRowHeight="14.5" x14ac:dyDescent="0.35"/>
  <cols>
    <col min="1" max="1" width="19.6328125" customWidth="1"/>
    <col min="2" max="2" width="18.08984375" customWidth="1"/>
    <col min="3" max="3" width="24.36328125" style="32" bestFit="1" customWidth="1"/>
    <col min="4" max="4" width="24.453125" style="32" customWidth="1"/>
    <col min="5" max="5" width="15" style="33" customWidth="1"/>
    <col min="6" max="6" width="23" style="1" customWidth="1"/>
    <col min="7" max="7" width="13.08984375" customWidth="1"/>
    <col min="9" max="9" width="10.08984375" customWidth="1"/>
    <col min="10" max="10" width="9.36328125" bestFit="1" customWidth="1"/>
    <col min="11" max="11" width="10.36328125" bestFit="1" customWidth="1"/>
  </cols>
  <sheetData>
    <row r="2" spans="1:11" x14ac:dyDescent="0.35">
      <c r="A2" s="34" t="s">
        <v>282</v>
      </c>
      <c r="B2" s="34" t="s">
        <v>283</v>
      </c>
      <c r="C2" s="34" t="s">
        <v>284</v>
      </c>
      <c r="D2" s="34" t="s">
        <v>285</v>
      </c>
      <c r="E2" s="34" t="s">
        <v>286</v>
      </c>
      <c r="F2" s="37" t="s">
        <v>287</v>
      </c>
      <c r="G2" s="34" t="s">
        <v>157</v>
      </c>
      <c r="I2" s="392" t="s">
        <v>288</v>
      </c>
      <c r="J2" s="392"/>
      <c r="K2" s="392"/>
    </row>
    <row r="3" spans="1:11" x14ac:dyDescent="0.35">
      <c r="A3" s="373" t="s">
        <v>289</v>
      </c>
      <c r="B3" s="373" t="s">
        <v>290</v>
      </c>
      <c r="C3" s="32" t="s">
        <v>155</v>
      </c>
      <c r="D3" s="32" t="s">
        <v>291</v>
      </c>
      <c r="E3" s="33">
        <v>18.59</v>
      </c>
      <c r="F3" s="373">
        <f>8.59+8.16+10.57+1.26</f>
        <v>28.580000000000002</v>
      </c>
      <c r="G3" s="35">
        <f>F3*E3</f>
        <v>531.30220000000008</v>
      </c>
      <c r="I3" s="32" t="s">
        <v>292</v>
      </c>
      <c r="J3" s="32" t="s">
        <v>293</v>
      </c>
      <c r="K3" t="s">
        <v>157</v>
      </c>
    </row>
    <row r="4" spans="1:11" x14ac:dyDescent="0.35">
      <c r="A4" s="373"/>
      <c r="B4" s="373"/>
      <c r="C4" s="32" t="s">
        <v>294</v>
      </c>
      <c r="D4" s="32" t="s">
        <v>291</v>
      </c>
      <c r="E4" s="33">
        <v>85</v>
      </c>
      <c r="F4" s="373"/>
      <c r="G4" s="35">
        <f>F3*E4</f>
        <v>2429.3000000000002</v>
      </c>
      <c r="I4">
        <f>F6+F12+F18</f>
        <v>34.15</v>
      </c>
      <c r="J4" s="35">
        <f>E6</f>
        <v>14.66</v>
      </c>
      <c r="K4" s="35">
        <f>J4*I4</f>
        <v>500.63900000000001</v>
      </c>
    </row>
    <row r="5" spans="1:11" x14ac:dyDescent="0.35">
      <c r="A5" s="373"/>
      <c r="B5" s="1" t="s">
        <v>295</v>
      </c>
      <c r="C5" s="32" t="s">
        <v>160</v>
      </c>
      <c r="D5" s="32" t="s">
        <v>291</v>
      </c>
      <c r="E5" s="33">
        <v>27.08</v>
      </c>
      <c r="F5" s="1">
        <f>(0.9+1.26+1.32+1.32+2.05+1.35+2.8+1.29+0.82+2.46)*2.63</f>
        <v>40.949100000000001</v>
      </c>
      <c r="G5" s="35">
        <f>F5*E5</f>
        <v>1108.9016280000001</v>
      </c>
    </row>
    <row r="6" spans="1:11" x14ac:dyDescent="0.35">
      <c r="A6" s="373"/>
      <c r="B6" s="393" t="s">
        <v>158</v>
      </c>
      <c r="C6" s="32" t="s">
        <v>296</v>
      </c>
      <c r="D6" s="32" t="s">
        <v>291</v>
      </c>
      <c r="E6" s="33">
        <v>14.66</v>
      </c>
      <c r="F6" s="373">
        <f>F3</f>
        <v>28.580000000000002</v>
      </c>
      <c r="G6" s="35">
        <f>F6*E6</f>
        <v>418.98280000000005</v>
      </c>
      <c r="I6" s="392" t="s">
        <v>297</v>
      </c>
      <c r="J6" s="392"/>
      <c r="K6" s="392"/>
    </row>
    <row r="7" spans="1:11" x14ac:dyDescent="0.35">
      <c r="A7" s="373"/>
      <c r="B7" s="393"/>
      <c r="C7" s="32" t="s">
        <v>298</v>
      </c>
      <c r="D7" s="32" t="s">
        <v>291</v>
      </c>
      <c r="E7" s="33">
        <v>27.4</v>
      </c>
      <c r="F7" s="373"/>
      <c r="G7" s="35">
        <f>F6*E7</f>
        <v>783.09199999999998</v>
      </c>
      <c r="I7" s="32" t="s">
        <v>292</v>
      </c>
      <c r="J7" s="32" t="s">
        <v>293</v>
      </c>
      <c r="K7" t="s">
        <v>157</v>
      </c>
    </row>
    <row r="8" spans="1:11" x14ac:dyDescent="0.35">
      <c r="A8" s="393" t="s">
        <v>299</v>
      </c>
      <c r="B8" s="373" t="s">
        <v>290</v>
      </c>
      <c r="C8" s="32" t="s">
        <v>155</v>
      </c>
      <c r="D8" s="32" t="s">
        <v>291</v>
      </c>
      <c r="E8" s="33">
        <v>18.59</v>
      </c>
      <c r="F8" s="373">
        <v>3.78</v>
      </c>
      <c r="G8" s="35">
        <f>F8*E8</f>
        <v>70.270200000000003</v>
      </c>
      <c r="I8">
        <f>I4</f>
        <v>34.15</v>
      </c>
      <c r="J8" s="35">
        <f>E7</f>
        <v>27.4</v>
      </c>
      <c r="K8" s="35">
        <f>J8*I8</f>
        <v>935.70999999999992</v>
      </c>
    </row>
    <row r="9" spans="1:11" x14ac:dyDescent="0.35">
      <c r="A9" s="393"/>
      <c r="B9" s="373"/>
      <c r="C9" s="32" t="s">
        <v>162</v>
      </c>
      <c r="D9" s="32" t="s">
        <v>291</v>
      </c>
      <c r="E9" s="33">
        <v>69.25</v>
      </c>
      <c r="F9" s="373"/>
      <c r="G9" s="35">
        <f>F8*E9</f>
        <v>261.76499999999999</v>
      </c>
    </row>
    <row r="10" spans="1:11" x14ac:dyDescent="0.35">
      <c r="A10" s="393"/>
      <c r="B10" s="373" t="s">
        <v>295</v>
      </c>
      <c r="C10" s="32" t="s">
        <v>164</v>
      </c>
      <c r="D10" s="32" t="s">
        <v>300</v>
      </c>
      <c r="G10" s="33">
        <v>419.02</v>
      </c>
      <c r="I10" s="392" t="s">
        <v>164</v>
      </c>
      <c r="J10" s="392"/>
      <c r="K10" s="392"/>
    </row>
    <row r="11" spans="1:11" x14ac:dyDescent="0.35">
      <c r="A11" s="393"/>
      <c r="B11" s="373"/>
      <c r="C11" s="32" t="s">
        <v>301</v>
      </c>
      <c r="D11" s="32" t="s">
        <v>300</v>
      </c>
      <c r="G11" s="33">
        <v>643.57000000000005</v>
      </c>
      <c r="I11" s="391" t="s">
        <v>157</v>
      </c>
      <c r="J11" s="391"/>
      <c r="K11" s="391"/>
    </row>
    <row r="12" spans="1:11" x14ac:dyDescent="0.35">
      <c r="A12" s="393"/>
      <c r="B12" s="373" t="s">
        <v>158</v>
      </c>
      <c r="C12" s="32" t="s">
        <v>298</v>
      </c>
      <c r="D12" s="32" t="s">
        <v>291</v>
      </c>
      <c r="E12" s="33">
        <v>14.66</v>
      </c>
      <c r="F12" s="373">
        <v>3.78</v>
      </c>
      <c r="G12" s="35">
        <f>F12*E12</f>
        <v>55.4148</v>
      </c>
      <c r="I12" s="35">
        <f>G10+G25</f>
        <v>606.63</v>
      </c>
      <c r="J12" s="35"/>
      <c r="K12" s="35"/>
    </row>
    <row r="13" spans="1:11" x14ac:dyDescent="0.35">
      <c r="A13" s="393"/>
      <c r="B13" s="373"/>
      <c r="C13" s="32" t="s">
        <v>296</v>
      </c>
      <c r="D13" s="32" t="s">
        <v>291</v>
      </c>
      <c r="E13" s="33">
        <v>27.4</v>
      </c>
      <c r="F13" s="373"/>
      <c r="G13" s="35">
        <f>F12*E13</f>
        <v>103.57199999999999</v>
      </c>
    </row>
    <row r="14" spans="1:11" x14ac:dyDescent="0.35">
      <c r="A14" s="393"/>
      <c r="B14" s="373" t="s">
        <v>197</v>
      </c>
      <c r="C14" s="32" t="s">
        <v>302</v>
      </c>
      <c r="D14" s="32" t="s">
        <v>303</v>
      </c>
      <c r="E14" s="33">
        <v>133.85</v>
      </c>
      <c r="G14" s="35">
        <f>E14</f>
        <v>133.85</v>
      </c>
      <c r="I14" s="392" t="s">
        <v>165</v>
      </c>
      <c r="J14" s="392"/>
      <c r="K14" s="392"/>
    </row>
    <row r="15" spans="1:11" x14ac:dyDescent="0.35">
      <c r="A15" s="393"/>
      <c r="B15" s="373"/>
      <c r="C15" s="32" t="s">
        <v>171</v>
      </c>
      <c r="D15" s="32" t="s">
        <v>303</v>
      </c>
      <c r="E15" s="33">
        <v>370.22</v>
      </c>
      <c r="G15" s="35">
        <f>E15</f>
        <v>370.22</v>
      </c>
      <c r="I15" s="391" t="s">
        <v>157</v>
      </c>
      <c r="J15" s="391"/>
      <c r="K15" s="391"/>
    </row>
    <row r="16" spans="1:11" x14ac:dyDescent="0.35">
      <c r="A16" s="393"/>
      <c r="B16" s="32" t="s">
        <v>304</v>
      </c>
      <c r="C16" s="32" t="s">
        <v>305</v>
      </c>
      <c r="D16" s="32" t="s">
        <v>303</v>
      </c>
      <c r="E16" s="33">
        <v>19.5</v>
      </c>
      <c r="G16" s="35">
        <f>E16</f>
        <v>19.5</v>
      </c>
      <c r="I16" s="35">
        <f>G11+G26</f>
        <v>908.27</v>
      </c>
      <c r="J16" s="35"/>
      <c r="K16" s="35"/>
    </row>
    <row r="17" spans="1:11" x14ac:dyDescent="0.35">
      <c r="A17" s="373" t="s">
        <v>306</v>
      </c>
      <c r="B17" s="1" t="s">
        <v>290</v>
      </c>
      <c r="C17" s="32" t="s">
        <v>162</v>
      </c>
      <c r="D17" s="32" t="s">
        <v>291</v>
      </c>
      <c r="E17" s="33">
        <v>69.25</v>
      </c>
      <c r="F17" s="1">
        <v>1.79</v>
      </c>
      <c r="G17" s="35">
        <f>F17*E17</f>
        <v>123.9575</v>
      </c>
    </row>
    <row r="18" spans="1:11" s="1" customFormat="1" x14ac:dyDescent="0.35">
      <c r="A18" s="373"/>
      <c r="B18" s="373" t="s">
        <v>158</v>
      </c>
      <c r="C18" s="1" t="s">
        <v>296</v>
      </c>
      <c r="D18" s="1" t="s">
        <v>291</v>
      </c>
      <c r="E18" s="2">
        <v>14.66</v>
      </c>
      <c r="F18" s="373">
        <v>1.79</v>
      </c>
      <c r="G18" s="36">
        <f>F18*E18</f>
        <v>26.241400000000002</v>
      </c>
      <c r="I18" s="392" t="s">
        <v>307</v>
      </c>
      <c r="J18" s="392"/>
      <c r="K18" s="392"/>
    </row>
    <row r="19" spans="1:11" s="1" customFormat="1" x14ac:dyDescent="0.35">
      <c r="A19" s="373"/>
      <c r="B19" s="373"/>
      <c r="C19" s="1" t="s">
        <v>298</v>
      </c>
      <c r="D19" s="1" t="s">
        <v>291</v>
      </c>
      <c r="E19" s="2">
        <v>27.4</v>
      </c>
      <c r="F19" s="373"/>
      <c r="G19" s="36">
        <f>F18*E19</f>
        <v>49.045999999999999</v>
      </c>
      <c r="I19" s="391" t="s">
        <v>157</v>
      </c>
      <c r="J19" s="391"/>
      <c r="K19" s="391"/>
    </row>
    <row r="20" spans="1:11" s="1" customFormat="1" x14ac:dyDescent="0.35">
      <c r="A20" s="373"/>
      <c r="B20" s="373" t="s">
        <v>308</v>
      </c>
      <c r="C20" s="1" t="s">
        <v>309</v>
      </c>
      <c r="D20" s="1" t="s">
        <v>303</v>
      </c>
      <c r="E20" s="2">
        <v>169.65</v>
      </c>
      <c r="G20" s="36">
        <f>E20</f>
        <v>169.65</v>
      </c>
      <c r="I20" s="35">
        <f>E14+E20+E29</f>
        <v>370.15999999999997</v>
      </c>
      <c r="J20" s="35"/>
      <c r="K20" s="35"/>
    </row>
    <row r="21" spans="1:11" s="1" customFormat="1" x14ac:dyDescent="0.35">
      <c r="A21" s="373"/>
      <c r="B21" s="373"/>
      <c r="C21" s="1" t="s">
        <v>171</v>
      </c>
      <c r="D21" s="1" t="s">
        <v>303</v>
      </c>
      <c r="E21" s="2">
        <v>335.7</v>
      </c>
      <c r="G21" s="36">
        <f>E21</f>
        <v>335.7</v>
      </c>
    </row>
    <row r="22" spans="1:11" s="1" customFormat="1" x14ac:dyDescent="0.35">
      <c r="A22" s="373"/>
      <c r="B22" s="1" t="s">
        <v>304</v>
      </c>
      <c r="C22" s="1" t="s">
        <v>305</v>
      </c>
      <c r="D22" s="1" t="s">
        <v>303</v>
      </c>
      <c r="E22" s="2">
        <v>19.5</v>
      </c>
      <c r="G22" s="36">
        <f>E22</f>
        <v>19.5</v>
      </c>
      <c r="I22" s="392" t="s">
        <v>310</v>
      </c>
      <c r="J22" s="392"/>
      <c r="K22" s="392"/>
    </row>
    <row r="23" spans="1:11" s="1" customFormat="1" x14ac:dyDescent="0.35">
      <c r="A23" s="373"/>
      <c r="B23" s="1" t="s">
        <v>311</v>
      </c>
      <c r="C23" s="1" t="s">
        <v>312</v>
      </c>
      <c r="D23" s="1" t="s">
        <v>303</v>
      </c>
      <c r="E23" s="2">
        <v>62.76</v>
      </c>
      <c r="G23" s="36">
        <f>E23</f>
        <v>62.76</v>
      </c>
      <c r="I23" s="391" t="s">
        <v>157</v>
      </c>
      <c r="J23" s="391"/>
      <c r="K23" s="391"/>
    </row>
    <row r="24" spans="1:11" s="1" customFormat="1" x14ac:dyDescent="0.35">
      <c r="A24" s="373" t="s">
        <v>313</v>
      </c>
      <c r="B24" s="1" t="s">
        <v>290</v>
      </c>
      <c r="C24" s="1" t="s">
        <v>162</v>
      </c>
      <c r="D24" s="1" t="s">
        <v>291</v>
      </c>
      <c r="E24" s="2">
        <v>103.07</v>
      </c>
      <c r="F24" s="1">
        <v>3.1</v>
      </c>
      <c r="G24" s="36">
        <f>F24*E24</f>
        <v>319.517</v>
      </c>
      <c r="I24" s="35">
        <f>E15+E21+E30</f>
        <v>930.45</v>
      </c>
      <c r="J24" s="35"/>
      <c r="K24" s="35"/>
    </row>
    <row r="25" spans="1:11" x14ac:dyDescent="0.35">
      <c r="A25" s="373"/>
      <c r="B25" s="373" t="s">
        <v>295</v>
      </c>
      <c r="C25" s="32" t="s">
        <v>164</v>
      </c>
      <c r="D25" s="32" t="s">
        <v>300</v>
      </c>
      <c r="E25" s="33">
        <v>187.61</v>
      </c>
      <c r="G25" s="33">
        <v>187.61</v>
      </c>
    </row>
    <row r="26" spans="1:11" x14ac:dyDescent="0.35">
      <c r="A26" s="373"/>
      <c r="B26" s="373"/>
      <c r="C26" s="32" t="s">
        <v>301</v>
      </c>
      <c r="D26" s="32" t="s">
        <v>300</v>
      </c>
      <c r="E26" s="33">
        <v>264.7</v>
      </c>
      <c r="G26" s="33">
        <v>264.7</v>
      </c>
    </row>
    <row r="27" spans="1:11" x14ac:dyDescent="0.35">
      <c r="A27" s="373"/>
      <c r="B27" s="1" t="s">
        <v>314</v>
      </c>
      <c r="C27" s="32" t="s">
        <v>315</v>
      </c>
      <c r="D27" s="32" t="s">
        <v>300</v>
      </c>
      <c r="E27" s="33">
        <v>394.17</v>
      </c>
      <c r="G27" s="33">
        <v>394.17</v>
      </c>
    </row>
    <row r="28" spans="1:11" x14ac:dyDescent="0.35">
      <c r="A28" s="373"/>
      <c r="B28" s="1" t="s">
        <v>158</v>
      </c>
      <c r="C28" s="32" t="s">
        <v>316</v>
      </c>
      <c r="D28" s="32" t="s">
        <v>291</v>
      </c>
      <c r="E28" s="33">
        <v>78.97</v>
      </c>
      <c r="F28" s="1">
        <v>3.1</v>
      </c>
      <c r="G28" s="35">
        <f>F28*E28</f>
        <v>244.80700000000002</v>
      </c>
    </row>
    <row r="29" spans="1:11" x14ac:dyDescent="0.35">
      <c r="A29" s="373"/>
      <c r="B29" s="373" t="s">
        <v>197</v>
      </c>
      <c r="C29" s="32" t="s">
        <v>309</v>
      </c>
      <c r="D29" s="32" t="s">
        <v>303</v>
      </c>
      <c r="E29" s="33">
        <v>66.66</v>
      </c>
      <c r="G29" s="35">
        <f>E29</f>
        <v>66.66</v>
      </c>
    </row>
    <row r="30" spans="1:11" x14ac:dyDescent="0.35">
      <c r="A30" s="373"/>
      <c r="B30" s="373"/>
      <c r="C30" s="32" t="s">
        <v>171</v>
      </c>
      <c r="D30" s="32" t="s">
        <v>303</v>
      </c>
      <c r="E30" s="33">
        <v>224.53</v>
      </c>
      <c r="G30" s="35">
        <f>E30</f>
        <v>224.53</v>
      </c>
    </row>
    <row r="31" spans="1:11" x14ac:dyDescent="0.35">
      <c r="A31" s="373"/>
      <c r="B31" s="1" t="s">
        <v>304</v>
      </c>
      <c r="C31" s="32" t="s">
        <v>305</v>
      </c>
      <c r="D31" s="32" t="s">
        <v>303</v>
      </c>
      <c r="E31" s="33">
        <v>19.5</v>
      </c>
      <c r="G31" s="35">
        <f>E31</f>
        <v>19.5</v>
      </c>
    </row>
    <row r="32" spans="1:11" x14ac:dyDescent="0.35">
      <c r="A32" s="373"/>
      <c r="B32" s="1" t="s">
        <v>311</v>
      </c>
      <c r="C32" s="32" t="s">
        <v>312</v>
      </c>
      <c r="D32" s="32" t="s">
        <v>303</v>
      </c>
      <c r="E32" s="33">
        <v>62.76</v>
      </c>
      <c r="G32" s="35">
        <f>E32</f>
        <v>62.76</v>
      </c>
    </row>
    <row r="33" spans="1:7" x14ac:dyDescent="0.35">
      <c r="A33" s="373"/>
      <c r="B33" s="1" t="s">
        <v>317</v>
      </c>
      <c r="C33" s="32" t="s">
        <v>309</v>
      </c>
      <c r="D33" s="32" t="s">
        <v>303</v>
      </c>
      <c r="E33" s="33">
        <v>224.51</v>
      </c>
      <c r="G33" s="35">
        <f>E33</f>
        <v>224.51</v>
      </c>
    </row>
    <row r="34" spans="1:7" x14ac:dyDescent="0.35">
      <c r="A34" s="373" t="s">
        <v>318</v>
      </c>
      <c r="B34" s="1" t="s">
        <v>290</v>
      </c>
      <c r="C34" s="32" t="s">
        <v>162</v>
      </c>
      <c r="D34" s="32" t="s">
        <v>291</v>
      </c>
      <c r="E34" s="33">
        <v>103.07</v>
      </c>
      <c r="F34" s="1">
        <v>3.11</v>
      </c>
      <c r="G34" s="35">
        <f>F34*E34</f>
        <v>320.54769999999996</v>
      </c>
    </row>
    <row r="35" spans="1:7" x14ac:dyDescent="0.35">
      <c r="A35" s="373"/>
      <c r="B35" s="1" t="s">
        <v>295</v>
      </c>
      <c r="C35" s="32" t="s">
        <v>319</v>
      </c>
      <c r="D35" s="32" t="s">
        <v>291</v>
      </c>
      <c r="E35" s="33">
        <v>17.190000000000001</v>
      </c>
      <c r="F35" s="1">
        <f>(0.9+0.9+3.44)*2.63</f>
        <v>13.7812</v>
      </c>
      <c r="G35" s="35">
        <f>F35*E35</f>
        <v>236.89882800000001</v>
      </c>
    </row>
    <row r="36" spans="1:7" x14ac:dyDescent="0.35">
      <c r="A36" s="373"/>
      <c r="B36" s="393" t="s">
        <v>158</v>
      </c>
      <c r="C36" s="32" t="s">
        <v>296</v>
      </c>
      <c r="D36" s="32" t="s">
        <v>291</v>
      </c>
      <c r="E36" s="33">
        <v>14.66</v>
      </c>
      <c r="F36" s="373">
        <v>3.11</v>
      </c>
      <c r="G36" s="35">
        <f>F36*E36</f>
        <v>45.592599999999997</v>
      </c>
    </row>
    <row r="37" spans="1:7" x14ac:dyDescent="0.35">
      <c r="A37" s="373"/>
      <c r="B37" s="393"/>
      <c r="C37" s="32" t="s">
        <v>298</v>
      </c>
      <c r="D37" s="32" t="s">
        <v>291</v>
      </c>
      <c r="E37" s="33">
        <v>27.4</v>
      </c>
      <c r="F37" s="373"/>
      <c r="G37" s="35">
        <f>F36*E37</f>
        <v>85.213999999999999</v>
      </c>
    </row>
    <row r="38" spans="1:7" x14ac:dyDescent="0.35">
      <c r="A38" s="394" t="s">
        <v>320</v>
      </c>
      <c r="B38" s="39"/>
      <c r="C38" s="40" t="s">
        <v>170</v>
      </c>
      <c r="D38" s="40" t="s">
        <v>291</v>
      </c>
      <c r="E38" s="41">
        <v>92.39</v>
      </c>
      <c r="F38" s="38"/>
      <c r="G38" s="39"/>
    </row>
    <row r="39" spans="1:7" x14ac:dyDescent="0.35">
      <c r="A39" s="394"/>
      <c r="B39" s="39"/>
      <c r="C39" s="40" t="s">
        <v>171</v>
      </c>
      <c r="D39" s="40" t="s">
        <v>291</v>
      </c>
      <c r="E39" s="41">
        <v>224.44</v>
      </c>
      <c r="F39" s="38"/>
      <c r="G39" s="39"/>
    </row>
  </sheetData>
  <mergeCells count="33">
    <mergeCell ref="A38:A39"/>
    <mergeCell ref="F3:F4"/>
    <mergeCell ref="F6:F7"/>
    <mergeCell ref="F8:F9"/>
    <mergeCell ref="F12:F13"/>
    <mergeCell ref="F18:F19"/>
    <mergeCell ref="F36:F37"/>
    <mergeCell ref="A17:A23"/>
    <mergeCell ref="B18:B19"/>
    <mergeCell ref="B20:B21"/>
    <mergeCell ref="A24:A33"/>
    <mergeCell ref="B25:B26"/>
    <mergeCell ref="B29:B30"/>
    <mergeCell ref="A3:A7"/>
    <mergeCell ref="B3:B4"/>
    <mergeCell ref="A34:A37"/>
    <mergeCell ref="I2:K2"/>
    <mergeCell ref="I6:K6"/>
    <mergeCell ref="I10:K10"/>
    <mergeCell ref="I11:K11"/>
    <mergeCell ref="B6:B7"/>
    <mergeCell ref="B36:B37"/>
    <mergeCell ref="A8:A16"/>
    <mergeCell ref="B8:B9"/>
    <mergeCell ref="B10:B11"/>
    <mergeCell ref="B12:B13"/>
    <mergeCell ref="B14:B15"/>
    <mergeCell ref="I23:K23"/>
    <mergeCell ref="I14:K14"/>
    <mergeCell ref="I15:K15"/>
    <mergeCell ref="I18:K18"/>
    <mergeCell ref="I19:K19"/>
    <mergeCell ref="I22:K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1898-FBFF-45EF-9575-37C7AF383AF8}">
  <dimension ref="E4:O29"/>
  <sheetViews>
    <sheetView topLeftCell="C1" workbookViewId="0">
      <selection activeCell="A8" sqref="A8:A16"/>
    </sheetView>
  </sheetViews>
  <sheetFormatPr defaultRowHeight="14.5" x14ac:dyDescent="0.35"/>
  <cols>
    <col min="5" max="9" width="24.90625" customWidth="1"/>
    <col min="10" max="10" width="13.08984375" customWidth="1"/>
    <col min="11" max="11" width="16.36328125" customWidth="1"/>
    <col min="13" max="13" width="8.90625" customWidth="1"/>
    <col min="15" max="15" width="11.6328125" customWidth="1"/>
  </cols>
  <sheetData>
    <row r="4" spans="5:15" x14ac:dyDescent="0.35">
      <c r="E4" s="182"/>
      <c r="F4" s="182"/>
      <c r="G4" s="182"/>
      <c r="H4" s="44"/>
      <c r="K4" s="372" t="s">
        <v>321</v>
      </c>
      <c r="L4" s="372"/>
    </row>
    <row r="5" spans="5:15" x14ac:dyDescent="0.35">
      <c r="E5" s="44" t="s">
        <v>70</v>
      </c>
      <c r="F5" s="44" t="s">
        <v>322</v>
      </c>
      <c r="G5" s="44" t="s">
        <v>323</v>
      </c>
      <c r="H5" s="44" t="s">
        <v>324</v>
      </c>
      <c r="I5" s="44" t="s">
        <v>325</v>
      </c>
      <c r="J5" s="44"/>
      <c r="K5" s="391"/>
      <c r="L5" s="391"/>
      <c r="M5" s="391"/>
      <c r="N5" s="391"/>
    </row>
    <row r="6" spans="5:15" ht="23.4" customHeight="1" x14ac:dyDescent="0.35">
      <c r="E6" s="1" t="s">
        <v>326</v>
      </c>
      <c r="F6" s="1" t="s">
        <v>327</v>
      </c>
      <c r="G6" s="26" t="s">
        <v>328</v>
      </c>
      <c r="H6" s="396" t="s">
        <v>329</v>
      </c>
      <c r="I6" s="396" t="s">
        <v>330</v>
      </c>
      <c r="J6" s="183" t="s">
        <v>331</v>
      </c>
      <c r="K6" s="391"/>
      <c r="L6" s="391"/>
      <c r="M6" s="391"/>
      <c r="N6" s="391"/>
    </row>
    <row r="7" spans="5:15" ht="23.4" customHeight="1" x14ac:dyDescent="0.35">
      <c r="E7" s="1" t="s">
        <v>332</v>
      </c>
      <c r="F7" s="1" t="s">
        <v>333</v>
      </c>
      <c r="G7" s="38" t="s">
        <v>334</v>
      </c>
      <c r="H7" s="396"/>
      <c r="I7" s="396"/>
      <c r="J7" s="183" t="s">
        <v>335</v>
      </c>
      <c r="K7" s="391"/>
      <c r="L7" s="391"/>
      <c r="M7" s="391"/>
      <c r="N7" s="391"/>
    </row>
    <row r="8" spans="5:15" x14ac:dyDescent="0.35">
      <c r="J8" s="183" t="s">
        <v>336</v>
      </c>
      <c r="K8" s="391"/>
      <c r="L8" s="391"/>
      <c r="M8" s="391"/>
      <c r="N8" s="391"/>
    </row>
    <row r="9" spans="5:15" x14ac:dyDescent="0.35">
      <c r="H9" s="397" t="s">
        <v>337</v>
      </c>
      <c r="I9" s="397"/>
      <c r="J9" s="44"/>
      <c r="K9" s="391"/>
      <c r="L9" s="391"/>
      <c r="M9" s="391"/>
      <c r="N9" s="391"/>
    </row>
    <row r="10" spans="5:15" x14ac:dyDescent="0.35">
      <c r="K10" s="391"/>
      <c r="L10" s="391"/>
      <c r="M10" s="391"/>
      <c r="N10" s="391"/>
      <c r="O10" s="373" t="s">
        <v>70</v>
      </c>
    </row>
    <row r="11" spans="5:15" x14ac:dyDescent="0.35">
      <c r="E11" s="172" t="s">
        <v>338</v>
      </c>
      <c r="F11" s="172" t="s">
        <v>339</v>
      </c>
      <c r="G11" s="172" t="s">
        <v>321</v>
      </c>
      <c r="K11" s="391"/>
      <c r="L11" s="391"/>
      <c r="M11" s="391"/>
      <c r="N11" s="391"/>
      <c r="O11" s="373"/>
    </row>
    <row r="12" spans="5:15" x14ac:dyDescent="0.35">
      <c r="E12" s="32" t="s">
        <v>140</v>
      </c>
      <c r="F12" s="32">
        <v>9.5</v>
      </c>
      <c r="G12" s="32">
        <v>3</v>
      </c>
      <c r="H12" s="395" t="s">
        <v>340</v>
      </c>
      <c r="K12" s="184">
        <v>10000</v>
      </c>
      <c r="L12" s="184">
        <v>50000</v>
      </c>
      <c r="M12" s="32" t="s">
        <v>341</v>
      </c>
      <c r="O12" s="373"/>
    </row>
    <row r="13" spans="5:15" x14ac:dyDescent="0.35">
      <c r="E13" s="32" t="s">
        <v>139</v>
      </c>
      <c r="F13" s="32">
        <v>6.1</v>
      </c>
      <c r="G13" s="32">
        <v>2</v>
      </c>
      <c r="H13" s="395"/>
    </row>
    <row r="14" spans="5:15" x14ac:dyDescent="0.35">
      <c r="E14" s="32" t="s">
        <v>77</v>
      </c>
      <c r="F14" s="32">
        <v>4.8</v>
      </c>
      <c r="G14" s="32">
        <v>2</v>
      </c>
      <c r="H14" s="395"/>
    </row>
    <row r="15" spans="5:15" x14ac:dyDescent="0.35">
      <c r="E15" s="32" t="s">
        <v>133</v>
      </c>
      <c r="F15" s="32">
        <v>6.6</v>
      </c>
      <c r="G15" s="32">
        <v>3</v>
      </c>
      <c r="H15" s="395"/>
    </row>
    <row r="16" spans="5:15" x14ac:dyDescent="0.35">
      <c r="E16" s="32" t="s">
        <v>76</v>
      </c>
      <c r="F16" s="32">
        <v>21.2</v>
      </c>
      <c r="G16" s="32">
        <v>2</v>
      </c>
      <c r="H16" s="395"/>
    </row>
    <row r="21" spans="6:10" x14ac:dyDescent="0.35">
      <c r="J21">
        <f>72-28</f>
        <v>44</v>
      </c>
    </row>
    <row r="22" spans="6:10" x14ac:dyDescent="0.35">
      <c r="G22" s="172" t="s">
        <v>342</v>
      </c>
    </row>
    <row r="23" spans="6:10" x14ac:dyDescent="0.35">
      <c r="F23" s="172" t="s">
        <v>343</v>
      </c>
      <c r="G23" s="172" t="s">
        <v>344</v>
      </c>
    </row>
    <row r="24" spans="6:10" x14ac:dyDescent="0.35">
      <c r="F24" s="32" t="s">
        <v>345</v>
      </c>
      <c r="G24" s="32" t="s">
        <v>346</v>
      </c>
    </row>
    <row r="25" spans="6:10" ht="20.399999999999999" customHeight="1" x14ac:dyDescent="0.35">
      <c r="F25" s="393" t="s">
        <v>347</v>
      </c>
      <c r="G25" s="112" t="s">
        <v>348</v>
      </c>
      <c r="H25" s="1">
        <v>3</v>
      </c>
    </row>
    <row r="26" spans="6:10" ht="20.399999999999999" customHeight="1" x14ac:dyDescent="0.35">
      <c r="F26" s="373"/>
      <c r="G26" s="1" t="s">
        <v>349</v>
      </c>
      <c r="H26" s="1">
        <v>2</v>
      </c>
    </row>
    <row r="27" spans="6:10" ht="20.399999999999999" customHeight="1" x14ac:dyDescent="0.35">
      <c r="F27" s="373"/>
      <c r="G27" s="1" t="s">
        <v>350</v>
      </c>
      <c r="H27" s="1">
        <v>1</v>
      </c>
    </row>
    <row r="28" spans="6:10" x14ac:dyDescent="0.35">
      <c r="F28" s="32"/>
    </row>
    <row r="29" spans="6:10" x14ac:dyDescent="0.35">
      <c r="F29" s="32"/>
    </row>
  </sheetData>
  <mergeCells count="8">
    <mergeCell ref="O10:O12"/>
    <mergeCell ref="K4:L4"/>
    <mergeCell ref="H12:H16"/>
    <mergeCell ref="F25:F27"/>
    <mergeCell ref="H6:H7"/>
    <mergeCell ref="I6:I7"/>
    <mergeCell ref="H9:I9"/>
    <mergeCell ref="K5:N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060-A078-4151-A10C-7EB7AED47885}">
  <dimension ref="A2:G107"/>
  <sheetViews>
    <sheetView workbookViewId="0">
      <selection activeCell="A8" sqref="A8:A16"/>
    </sheetView>
  </sheetViews>
  <sheetFormatPr defaultRowHeight="14.5" x14ac:dyDescent="0.35"/>
  <cols>
    <col min="2" max="2" width="8.90625" style="32"/>
    <col min="3" max="3" width="1.6328125" customWidth="1"/>
    <col min="5" max="7" width="8.90625" style="32"/>
  </cols>
  <sheetData>
    <row r="2" spans="1:7" x14ac:dyDescent="0.35">
      <c r="E2" s="32">
        <v>100</v>
      </c>
      <c r="F2" s="32">
        <v>200</v>
      </c>
      <c r="G2" s="32">
        <v>300</v>
      </c>
    </row>
    <row r="3" spans="1:7" x14ac:dyDescent="0.35">
      <c r="A3" s="187">
        <v>28</v>
      </c>
      <c r="B3" s="188" t="s">
        <v>351</v>
      </c>
      <c r="D3" s="32">
        <v>1</v>
      </c>
      <c r="G3" s="188" t="s">
        <v>174</v>
      </c>
    </row>
    <row r="4" spans="1:7" x14ac:dyDescent="0.35">
      <c r="A4" s="187">
        <v>29</v>
      </c>
      <c r="B4" s="188" t="s">
        <v>351</v>
      </c>
      <c r="D4" s="32">
        <v>2</v>
      </c>
      <c r="G4" s="188" t="s">
        <v>174</v>
      </c>
    </row>
    <row r="5" spans="1:7" x14ac:dyDescent="0.35">
      <c r="A5" s="187">
        <v>30</v>
      </c>
      <c r="B5" s="188" t="s">
        <v>351</v>
      </c>
      <c r="D5" s="32">
        <v>3</v>
      </c>
      <c r="G5" s="188" t="s">
        <v>174</v>
      </c>
    </row>
    <row r="6" spans="1:7" x14ac:dyDescent="0.35">
      <c r="A6" s="187">
        <v>31</v>
      </c>
      <c r="B6" s="188" t="s">
        <v>351</v>
      </c>
      <c r="D6" s="32">
        <v>4</v>
      </c>
      <c r="G6" s="188" t="s">
        <v>174</v>
      </c>
    </row>
    <row r="7" spans="1:7" x14ac:dyDescent="0.35">
      <c r="A7" s="187">
        <v>32</v>
      </c>
      <c r="B7" s="188" t="s">
        <v>351</v>
      </c>
      <c r="D7" s="32">
        <v>5</v>
      </c>
      <c r="G7" s="188" t="s">
        <v>174</v>
      </c>
    </row>
    <row r="8" spans="1:7" x14ac:dyDescent="0.35">
      <c r="A8" s="187">
        <v>33</v>
      </c>
      <c r="B8" s="188" t="s">
        <v>351</v>
      </c>
      <c r="D8" s="32">
        <v>6</v>
      </c>
      <c r="G8" s="188" t="s">
        <v>174</v>
      </c>
    </row>
    <row r="9" spans="1:7" x14ac:dyDescent="0.35">
      <c r="A9" s="187">
        <v>34</v>
      </c>
      <c r="B9" s="188" t="s">
        <v>351</v>
      </c>
      <c r="D9" s="32">
        <v>7</v>
      </c>
      <c r="G9" s="188" t="s">
        <v>174</v>
      </c>
    </row>
    <row r="10" spans="1:7" x14ac:dyDescent="0.35">
      <c r="A10" s="187">
        <v>35</v>
      </c>
      <c r="B10" s="188" t="s">
        <v>351</v>
      </c>
      <c r="D10" s="32">
        <v>8</v>
      </c>
      <c r="G10" s="188" t="s">
        <v>174</v>
      </c>
    </row>
    <row r="11" spans="1:7" x14ac:dyDescent="0.35">
      <c r="A11" s="187">
        <v>36</v>
      </c>
      <c r="B11" s="188" t="s">
        <v>351</v>
      </c>
      <c r="D11" s="32">
        <v>9</v>
      </c>
      <c r="G11" s="188" t="s">
        <v>174</v>
      </c>
    </row>
    <row r="12" spans="1:7" x14ac:dyDescent="0.35">
      <c r="A12" s="187">
        <v>37</v>
      </c>
      <c r="B12" s="188" t="s">
        <v>351</v>
      </c>
      <c r="D12" s="32">
        <v>10</v>
      </c>
      <c r="G12" s="188" t="s">
        <v>174</v>
      </c>
    </row>
    <row r="13" spans="1:7" x14ac:dyDescent="0.35">
      <c r="A13" s="187">
        <v>38</v>
      </c>
      <c r="B13" s="188" t="s">
        <v>351</v>
      </c>
      <c r="D13" s="32">
        <v>11</v>
      </c>
      <c r="G13" s="188" t="s">
        <v>174</v>
      </c>
    </row>
    <row r="14" spans="1:7" x14ac:dyDescent="0.35">
      <c r="A14" s="187">
        <v>39</v>
      </c>
      <c r="B14" s="188" t="s">
        <v>351</v>
      </c>
      <c r="D14" s="32">
        <v>12</v>
      </c>
      <c r="G14" s="188" t="s">
        <v>174</v>
      </c>
    </row>
    <row r="15" spans="1:7" x14ac:dyDescent="0.35">
      <c r="A15" s="187">
        <v>40</v>
      </c>
      <c r="B15" s="188" t="s">
        <v>351</v>
      </c>
      <c r="D15" s="32">
        <v>13</v>
      </c>
      <c r="G15" s="188" t="s">
        <v>174</v>
      </c>
    </row>
    <row r="16" spans="1:7" x14ac:dyDescent="0.35">
      <c r="A16" s="187">
        <v>41</v>
      </c>
      <c r="B16" s="188" t="s">
        <v>351</v>
      </c>
      <c r="D16" s="32">
        <v>14</v>
      </c>
      <c r="G16" s="188" t="s">
        <v>174</v>
      </c>
    </row>
    <row r="17" spans="1:7" x14ac:dyDescent="0.35">
      <c r="A17" s="185">
        <v>42</v>
      </c>
      <c r="B17" s="186" t="s">
        <v>352</v>
      </c>
      <c r="D17" s="32">
        <v>15</v>
      </c>
      <c r="G17" s="188" t="s">
        <v>174</v>
      </c>
    </row>
    <row r="18" spans="1:7" x14ac:dyDescent="0.35">
      <c r="A18" s="185">
        <v>43</v>
      </c>
      <c r="B18" s="186" t="s">
        <v>352</v>
      </c>
      <c r="D18" s="32">
        <v>16</v>
      </c>
      <c r="G18" s="188" t="s">
        <v>174</v>
      </c>
    </row>
    <row r="19" spans="1:7" x14ac:dyDescent="0.35">
      <c r="A19" s="185">
        <v>44</v>
      </c>
      <c r="B19" s="186" t="s">
        <v>352</v>
      </c>
      <c r="D19" s="32">
        <v>17</v>
      </c>
      <c r="G19" s="188" t="s">
        <v>174</v>
      </c>
    </row>
    <row r="20" spans="1:7" x14ac:dyDescent="0.35">
      <c r="A20" s="185">
        <v>45</v>
      </c>
      <c r="B20" s="186" t="s">
        <v>352</v>
      </c>
      <c r="D20" s="32">
        <v>18</v>
      </c>
      <c r="G20" s="188" t="s">
        <v>174</v>
      </c>
    </row>
    <row r="21" spans="1:7" x14ac:dyDescent="0.35">
      <c r="A21" s="185">
        <v>46</v>
      </c>
      <c r="B21" s="186" t="s">
        <v>352</v>
      </c>
      <c r="D21" s="32">
        <v>19</v>
      </c>
      <c r="G21" s="188" t="s">
        <v>174</v>
      </c>
    </row>
    <row r="22" spans="1:7" x14ac:dyDescent="0.35">
      <c r="A22" s="185">
        <v>47</v>
      </c>
      <c r="B22" s="186" t="s">
        <v>352</v>
      </c>
      <c r="D22" s="32">
        <v>20</v>
      </c>
      <c r="G22" s="188" t="s">
        <v>174</v>
      </c>
    </row>
    <row r="23" spans="1:7" x14ac:dyDescent="0.35">
      <c r="A23" s="185">
        <v>48</v>
      </c>
      <c r="B23" s="186" t="s">
        <v>352</v>
      </c>
      <c r="D23" s="32">
        <v>21</v>
      </c>
      <c r="G23" s="188" t="s">
        <v>174</v>
      </c>
    </row>
    <row r="24" spans="1:7" x14ac:dyDescent="0.35">
      <c r="A24" s="185">
        <v>49</v>
      </c>
      <c r="B24" s="186" t="s">
        <v>352</v>
      </c>
      <c r="D24" s="1">
        <v>22</v>
      </c>
      <c r="G24" s="186" t="s">
        <v>175</v>
      </c>
    </row>
    <row r="25" spans="1:7" x14ac:dyDescent="0.35">
      <c r="A25" s="185">
        <v>50</v>
      </c>
      <c r="B25" s="186" t="s">
        <v>352</v>
      </c>
      <c r="D25" s="32">
        <v>23</v>
      </c>
      <c r="G25" s="186" t="s">
        <v>175</v>
      </c>
    </row>
    <row r="26" spans="1:7" x14ac:dyDescent="0.35">
      <c r="A26" s="185">
        <v>51</v>
      </c>
      <c r="B26" s="186" t="s">
        <v>352</v>
      </c>
      <c r="D26" s="32">
        <v>24</v>
      </c>
      <c r="G26" s="186" t="s">
        <v>175</v>
      </c>
    </row>
    <row r="27" spans="1:7" x14ac:dyDescent="0.35">
      <c r="A27" s="185">
        <v>52</v>
      </c>
      <c r="B27" s="186" t="s">
        <v>352</v>
      </c>
      <c r="D27" s="1">
        <v>25</v>
      </c>
      <c r="G27" s="186" t="s">
        <v>175</v>
      </c>
    </row>
    <row r="28" spans="1:7" x14ac:dyDescent="0.35">
      <c r="A28" s="185">
        <v>53</v>
      </c>
      <c r="B28" s="186" t="s">
        <v>352</v>
      </c>
      <c r="D28" s="32">
        <v>26</v>
      </c>
      <c r="G28" s="186" t="s">
        <v>175</v>
      </c>
    </row>
    <row r="29" spans="1:7" x14ac:dyDescent="0.35">
      <c r="A29" s="185">
        <v>54</v>
      </c>
      <c r="B29" s="186" t="s">
        <v>352</v>
      </c>
      <c r="D29" s="32">
        <v>27</v>
      </c>
      <c r="G29" s="186" t="s">
        <v>175</v>
      </c>
    </row>
    <row r="30" spans="1:7" x14ac:dyDescent="0.35">
      <c r="A30" s="185">
        <v>55</v>
      </c>
      <c r="B30" s="186" t="s">
        <v>352</v>
      </c>
      <c r="D30" s="1">
        <v>28</v>
      </c>
      <c r="G30" s="186" t="s">
        <v>175</v>
      </c>
    </row>
    <row r="31" spans="1:7" x14ac:dyDescent="0.35">
      <c r="A31" s="185">
        <v>56</v>
      </c>
      <c r="B31" s="186" t="s">
        <v>352</v>
      </c>
      <c r="D31" s="32">
        <v>29</v>
      </c>
      <c r="G31" s="186" t="s">
        <v>175</v>
      </c>
    </row>
    <row r="32" spans="1:7" x14ac:dyDescent="0.35">
      <c r="A32" s="185">
        <v>57</v>
      </c>
      <c r="B32" s="186" t="s">
        <v>352</v>
      </c>
      <c r="D32" s="32">
        <v>30</v>
      </c>
      <c r="G32" s="186" t="s">
        <v>175</v>
      </c>
    </row>
    <row r="33" spans="1:7" x14ac:dyDescent="0.35">
      <c r="A33" s="185">
        <v>58</v>
      </c>
      <c r="B33" s="186" t="s">
        <v>352</v>
      </c>
      <c r="D33" s="1">
        <v>31</v>
      </c>
      <c r="G33" s="186" t="s">
        <v>175</v>
      </c>
    </row>
    <row r="34" spans="1:7" x14ac:dyDescent="0.35">
      <c r="A34" s="185">
        <v>59</v>
      </c>
      <c r="B34" s="186" t="s">
        <v>352</v>
      </c>
      <c r="D34" s="32">
        <v>32</v>
      </c>
      <c r="G34" s="186" t="s">
        <v>175</v>
      </c>
    </row>
    <row r="35" spans="1:7" x14ac:dyDescent="0.35">
      <c r="A35" s="185">
        <v>60</v>
      </c>
      <c r="B35" s="186" t="s">
        <v>352</v>
      </c>
      <c r="D35" s="32">
        <v>33</v>
      </c>
      <c r="G35" s="186" t="s">
        <v>175</v>
      </c>
    </row>
    <row r="36" spans="1:7" x14ac:dyDescent="0.35">
      <c r="A36" s="185">
        <v>61</v>
      </c>
      <c r="B36" s="186" t="s">
        <v>352</v>
      </c>
      <c r="D36" s="1">
        <v>34</v>
      </c>
      <c r="G36" s="186" t="s">
        <v>175</v>
      </c>
    </row>
    <row r="37" spans="1:7" x14ac:dyDescent="0.35">
      <c r="A37" s="185">
        <v>62</v>
      </c>
      <c r="B37" s="186" t="s">
        <v>352</v>
      </c>
      <c r="D37" s="32">
        <v>35</v>
      </c>
      <c r="G37" s="186" t="s">
        <v>175</v>
      </c>
    </row>
    <row r="38" spans="1:7" x14ac:dyDescent="0.35">
      <c r="A38" s="185">
        <v>63</v>
      </c>
      <c r="B38" s="186" t="s">
        <v>352</v>
      </c>
      <c r="D38" s="32">
        <v>36</v>
      </c>
      <c r="G38" s="186" t="s">
        <v>175</v>
      </c>
    </row>
    <row r="39" spans="1:7" x14ac:dyDescent="0.35">
      <c r="A39" s="189">
        <v>64</v>
      </c>
      <c r="B39" s="190" t="s">
        <v>353</v>
      </c>
      <c r="D39" s="1">
        <v>37</v>
      </c>
      <c r="G39" s="186" t="s">
        <v>175</v>
      </c>
    </row>
    <row r="40" spans="1:7" x14ac:dyDescent="0.35">
      <c r="A40" s="189">
        <v>65</v>
      </c>
      <c r="B40" s="190" t="s">
        <v>353</v>
      </c>
      <c r="D40" s="32">
        <v>38</v>
      </c>
      <c r="G40" s="186" t="s">
        <v>175</v>
      </c>
    </row>
    <row r="41" spans="1:7" x14ac:dyDescent="0.35">
      <c r="A41" s="189">
        <v>66</v>
      </c>
      <c r="B41" s="190" t="s">
        <v>353</v>
      </c>
      <c r="D41" s="32">
        <v>39</v>
      </c>
      <c r="G41" s="186" t="s">
        <v>175</v>
      </c>
    </row>
    <row r="42" spans="1:7" x14ac:dyDescent="0.35">
      <c r="A42" s="189">
        <v>67</v>
      </c>
      <c r="B42" s="190" t="s">
        <v>353</v>
      </c>
      <c r="D42" s="1">
        <v>40</v>
      </c>
      <c r="G42" s="186" t="s">
        <v>175</v>
      </c>
    </row>
    <row r="43" spans="1:7" x14ac:dyDescent="0.35">
      <c r="A43" s="189">
        <v>68</v>
      </c>
      <c r="B43" s="190" t="s">
        <v>353</v>
      </c>
      <c r="D43" s="32">
        <v>41</v>
      </c>
      <c r="G43" s="186" t="s">
        <v>175</v>
      </c>
    </row>
    <row r="44" spans="1:7" x14ac:dyDescent="0.35">
      <c r="A44" s="189">
        <v>69</v>
      </c>
      <c r="B44" s="190" t="s">
        <v>353</v>
      </c>
      <c r="D44" s="32">
        <v>42</v>
      </c>
      <c r="G44" s="186" t="s">
        <v>175</v>
      </c>
    </row>
    <row r="45" spans="1:7" x14ac:dyDescent="0.35">
      <c r="A45" s="189">
        <v>70</v>
      </c>
      <c r="B45" s="190" t="s">
        <v>353</v>
      </c>
      <c r="D45" s="1">
        <v>43</v>
      </c>
      <c r="G45" s="190" t="s">
        <v>176</v>
      </c>
    </row>
    <row r="46" spans="1:7" x14ac:dyDescent="0.35">
      <c r="A46" s="189">
        <v>71</v>
      </c>
      <c r="B46" s="190" t="s">
        <v>353</v>
      </c>
      <c r="D46" s="32">
        <v>44</v>
      </c>
      <c r="G46" s="190" t="s">
        <v>176</v>
      </c>
    </row>
    <row r="47" spans="1:7" x14ac:dyDescent="0.35">
      <c r="A47" s="189">
        <v>72</v>
      </c>
      <c r="B47" s="190" t="s">
        <v>353</v>
      </c>
      <c r="D47" s="32">
        <v>45</v>
      </c>
      <c r="G47" s="190" t="s">
        <v>176</v>
      </c>
    </row>
    <row r="48" spans="1:7" x14ac:dyDescent="0.35">
      <c r="A48" s="1"/>
      <c r="D48" s="1">
        <v>46</v>
      </c>
      <c r="G48" s="190" t="s">
        <v>176</v>
      </c>
    </row>
    <row r="49" spans="4:7" x14ac:dyDescent="0.35">
      <c r="D49" s="32">
        <v>47</v>
      </c>
      <c r="G49" s="190" t="s">
        <v>176</v>
      </c>
    </row>
    <row r="50" spans="4:7" x14ac:dyDescent="0.35">
      <c r="D50" s="32">
        <v>48</v>
      </c>
      <c r="G50" s="190" t="s">
        <v>176</v>
      </c>
    </row>
    <row r="51" spans="4:7" x14ac:dyDescent="0.35">
      <c r="D51" s="1">
        <v>49</v>
      </c>
      <c r="G51" s="190" t="s">
        <v>176</v>
      </c>
    </row>
    <row r="52" spans="4:7" x14ac:dyDescent="0.35">
      <c r="D52" s="32">
        <v>50</v>
      </c>
      <c r="G52" s="190" t="s">
        <v>176</v>
      </c>
    </row>
    <row r="53" spans="4:7" x14ac:dyDescent="0.35">
      <c r="D53" s="32">
        <v>51</v>
      </c>
      <c r="G53" s="190" t="s">
        <v>176</v>
      </c>
    </row>
    <row r="54" spans="4:7" x14ac:dyDescent="0.35">
      <c r="D54" s="1">
        <v>52</v>
      </c>
      <c r="G54" s="190" t="s">
        <v>176</v>
      </c>
    </row>
    <row r="55" spans="4:7" x14ac:dyDescent="0.35">
      <c r="D55" s="32">
        <v>53</v>
      </c>
      <c r="G55" s="190" t="s">
        <v>176</v>
      </c>
    </row>
    <row r="56" spans="4:7" x14ac:dyDescent="0.35">
      <c r="D56" s="32">
        <v>54</v>
      </c>
      <c r="G56" s="190" t="s">
        <v>176</v>
      </c>
    </row>
    <row r="57" spans="4:7" x14ac:dyDescent="0.35">
      <c r="D57" s="1">
        <v>55</v>
      </c>
      <c r="G57" s="190" t="s">
        <v>176</v>
      </c>
    </row>
    <row r="58" spans="4:7" x14ac:dyDescent="0.35">
      <c r="D58" s="32">
        <v>56</v>
      </c>
      <c r="G58" s="190" t="s">
        <v>176</v>
      </c>
    </row>
    <row r="59" spans="4:7" x14ac:dyDescent="0.35">
      <c r="D59" s="32">
        <v>57</v>
      </c>
      <c r="G59" s="191" t="s">
        <v>254</v>
      </c>
    </row>
    <row r="60" spans="4:7" x14ac:dyDescent="0.35">
      <c r="D60" s="1">
        <v>58</v>
      </c>
      <c r="G60" s="191" t="s">
        <v>254</v>
      </c>
    </row>
    <row r="61" spans="4:7" x14ac:dyDescent="0.35">
      <c r="D61" s="32">
        <v>59</v>
      </c>
      <c r="G61" s="191" t="s">
        <v>254</v>
      </c>
    </row>
    <row r="62" spans="4:7" x14ac:dyDescent="0.35">
      <c r="D62" s="32">
        <v>60</v>
      </c>
      <c r="G62" s="191" t="s">
        <v>254</v>
      </c>
    </row>
    <row r="63" spans="4:7" x14ac:dyDescent="0.35">
      <c r="D63" s="1">
        <v>61</v>
      </c>
      <c r="G63" s="191" t="s">
        <v>254</v>
      </c>
    </row>
    <row r="64" spans="4:7" x14ac:dyDescent="0.35">
      <c r="D64" s="32">
        <v>62</v>
      </c>
      <c r="G64" s="191" t="s">
        <v>254</v>
      </c>
    </row>
    <row r="65" spans="4:7" x14ac:dyDescent="0.35">
      <c r="D65" s="32">
        <v>63</v>
      </c>
      <c r="G65" s="191" t="s">
        <v>254</v>
      </c>
    </row>
    <row r="66" spans="4:7" x14ac:dyDescent="0.35">
      <c r="D66" s="1">
        <v>64</v>
      </c>
      <c r="G66" s="191" t="s">
        <v>254</v>
      </c>
    </row>
    <row r="67" spans="4:7" x14ac:dyDescent="0.35">
      <c r="D67" s="32">
        <v>65</v>
      </c>
      <c r="G67" s="191" t="s">
        <v>254</v>
      </c>
    </row>
    <row r="68" spans="4:7" x14ac:dyDescent="0.35">
      <c r="D68" s="32">
        <v>66</v>
      </c>
      <c r="G68" s="191" t="s">
        <v>254</v>
      </c>
    </row>
    <row r="69" spans="4:7" x14ac:dyDescent="0.35">
      <c r="D69" s="1">
        <v>67</v>
      </c>
      <c r="G69" s="191" t="s">
        <v>254</v>
      </c>
    </row>
    <row r="70" spans="4:7" x14ac:dyDescent="0.35">
      <c r="D70" s="32">
        <v>68</v>
      </c>
      <c r="G70" s="191" t="s">
        <v>254</v>
      </c>
    </row>
    <row r="71" spans="4:7" x14ac:dyDescent="0.35">
      <c r="D71" s="32">
        <v>69</v>
      </c>
      <c r="G71" s="191" t="s">
        <v>254</v>
      </c>
    </row>
    <row r="72" spans="4:7" x14ac:dyDescent="0.35">
      <c r="D72" s="1">
        <v>70</v>
      </c>
      <c r="G72" s="191" t="s">
        <v>254</v>
      </c>
    </row>
    <row r="73" spans="4:7" x14ac:dyDescent="0.35">
      <c r="D73" s="32">
        <v>71</v>
      </c>
      <c r="G73" s="191" t="s">
        <v>254</v>
      </c>
    </row>
    <row r="74" spans="4:7" x14ac:dyDescent="0.35">
      <c r="D74" s="32">
        <v>72</v>
      </c>
      <c r="G74" s="191" t="s">
        <v>254</v>
      </c>
    </row>
    <row r="75" spans="4:7" x14ac:dyDescent="0.35">
      <c r="D75" s="1">
        <v>73</v>
      </c>
      <c r="G75" s="191" t="s">
        <v>254</v>
      </c>
    </row>
    <row r="76" spans="4:7" x14ac:dyDescent="0.35">
      <c r="D76" s="32">
        <v>74</v>
      </c>
      <c r="G76" s="191" t="s">
        <v>254</v>
      </c>
    </row>
    <row r="77" spans="4:7" x14ac:dyDescent="0.35">
      <c r="D77" s="32">
        <v>75</v>
      </c>
      <c r="G77" s="191" t="s">
        <v>254</v>
      </c>
    </row>
    <row r="78" spans="4:7" x14ac:dyDescent="0.35">
      <c r="D78" s="1">
        <v>76</v>
      </c>
      <c r="G78" s="191" t="s">
        <v>254</v>
      </c>
    </row>
    <row r="79" spans="4:7" x14ac:dyDescent="0.35">
      <c r="D79" s="32">
        <v>77</v>
      </c>
      <c r="G79" s="191" t="s">
        <v>254</v>
      </c>
    </row>
    <row r="80" spans="4:7" x14ac:dyDescent="0.35">
      <c r="D80" s="32">
        <v>78</v>
      </c>
      <c r="G80" s="191" t="s">
        <v>254</v>
      </c>
    </row>
    <row r="81" spans="4:7" x14ac:dyDescent="0.35">
      <c r="D81" s="1">
        <v>79</v>
      </c>
      <c r="G81" s="191" t="s">
        <v>254</v>
      </c>
    </row>
    <row r="82" spans="4:7" x14ac:dyDescent="0.35">
      <c r="D82" s="32">
        <v>80</v>
      </c>
      <c r="G82" s="191" t="s">
        <v>254</v>
      </c>
    </row>
    <row r="83" spans="4:7" x14ac:dyDescent="0.35">
      <c r="D83" s="32">
        <v>81</v>
      </c>
      <c r="G83" s="191" t="s">
        <v>254</v>
      </c>
    </row>
    <row r="84" spans="4:7" x14ac:dyDescent="0.35">
      <c r="D84" s="1">
        <v>82</v>
      </c>
      <c r="G84" s="191" t="s">
        <v>254</v>
      </c>
    </row>
    <row r="85" spans="4:7" x14ac:dyDescent="0.35">
      <c r="D85" s="32">
        <v>83</v>
      </c>
      <c r="G85" s="191" t="s">
        <v>254</v>
      </c>
    </row>
    <row r="86" spans="4:7" x14ac:dyDescent="0.35">
      <c r="D86" s="32">
        <v>84</v>
      </c>
    </row>
    <row r="87" spans="4:7" x14ac:dyDescent="0.35">
      <c r="D87" s="1">
        <v>85</v>
      </c>
    </row>
    <row r="88" spans="4:7" x14ac:dyDescent="0.35">
      <c r="D88" s="32">
        <v>86</v>
      </c>
    </row>
    <row r="89" spans="4:7" x14ac:dyDescent="0.35">
      <c r="D89" s="32">
        <v>87</v>
      </c>
    </row>
    <row r="90" spans="4:7" x14ac:dyDescent="0.35">
      <c r="D90" s="1">
        <v>88</v>
      </c>
    </row>
    <row r="91" spans="4:7" x14ac:dyDescent="0.35">
      <c r="D91" s="32">
        <v>89</v>
      </c>
    </row>
    <row r="92" spans="4:7" x14ac:dyDescent="0.35">
      <c r="D92" s="32">
        <v>90</v>
      </c>
    </row>
    <row r="93" spans="4:7" x14ac:dyDescent="0.35">
      <c r="D93" s="1">
        <v>91</v>
      </c>
    </row>
    <row r="94" spans="4:7" x14ac:dyDescent="0.35">
      <c r="D94" s="32">
        <v>92</v>
      </c>
    </row>
    <row r="95" spans="4:7" x14ac:dyDescent="0.35">
      <c r="D95" s="32">
        <v>93</v>
      </c>
    </row>
    <row r="96" spans="4:7" x14ac:dyDescent="0.35">
      <c r="D96" s="1">
        <v>94</v>
      </c>
    </row>
    <row r="97" spans="4:4" x14ac:dyDescent="0.35">
      <c r="D97" s="32">
        <v>95</v>
      </c>
    </row>
    <row r="98" spans="4:4" x14ac:dyDescent="0.35">
      <c r="D98" s="32">
        <v>96</v>
      </c>
    </row>
    <row r="99" spans="4:4" x14ac:dyDescent="0.35">
      <c r="D99" s="1">
        <v>97</v>
      </c>
    </row>
    <row r="100" spans="4:4" x14ac:dyDescent="0.35">
      <c r="D100" s="32">
        <v>98</v>
      </c>
    </row>
    <row r="101" spans="4:4" x14ac:dyDescent="0.35">
      <c r="D101" s="32">
        <v>99</v>
      </c>
    </row>
    <row r="102" spans="4:4" x14ac:dyDescent="0.35">
      <c r="D102" s="1">
        <v>100</v>
      </c>
    </row>
    <row r="103" spans="4:4" x14ac:dyDescent="0.35">
      <c r="D103" s="32">
        <v>101</v>
      </c>
    </row>
    <row r="104" spans="4:4" x14ac:dyDescent="0.35">
      <c r="D104" s="32">
        <v>102</v>
      </c>
    </row>
    <row r="105" spans="4:4" x14ac:dyDescent="0.35">
      <c r="D105" s="1">
        <v>103</v>
      </c>
    </row>
    <row r="106" spans="4:4" x14ac:dyDescent="0.35">
      <c r="D106" s="32">
        <v>104</v>
      </c>
    </row>
    <row r="107" spans="4:4" x14ac:dyDescent="0.35">
      <c r="D107" s="32">
        <v>105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F3B7-8770-41E2-986F-58599911C13E}">
  <dimension ref="A2:P20"/>
  <sheetViews>
    <sheetView workbookViewId="0">
      <selection activeCell="A8" sqref="A8:A16"/>
    </sheetView>
  </sheetViews>
  <sheetFormatPr defaultRowHeight="14.5" x14ac:dyDescent="0.35"/>
  <cols>
    <col min="1" max="1" width="12.36328125" bestFit="1" customWidth="1"/>
    <col min="2" max="2" width="8.90625" style="1"/>
    <col min="3" max="4" width="8.90625" style="32"/>
    <col min="7" max="7" width="8.90625" style="32"/>
    <col min="8" max="9" width="8.90625" style="1"/>
    <col min="10" max="12" width="8.90625" style="32"/>
    <col min="14" max="14" width="12.36328125" bestFit="1" customWidth="1"/>
    <col min="15" max="15" width="10.90625" style="1" bestFit="1" customWidth="1"/>
    <col min="16" max="16" width="8.90625" style="32"/>
  </cols>
  <sheetData>
    <row r="2" spans="1:16" x14ac:dyDescent="0.35">
      <c r="C2" s="32" t="s">
        <v>354</v>
      </c>
      <c r="K2" s="1"/>
      <c r="O2" s="1">
        <f>SUM(O5:O15)</f>
        <v>3.3</v>
      </c>
      <c r="P2" s="1">
        <f>SUM(P5:P15)</f>
        <v>12</v>
      </c>
    </row>
    <row r="3" spans="1:16" x14ac:dyDescent="0.35">
      <c r="B3" s="1" t="s">
        <v>70</v>
      </c>
      <c r="C3" s="32" t="s">
        <v>218</v>
      </c>
      <c r="D3" s="32" t="s">
        <v>355</v>
      </c>
      <c r="H3" s="1" t="s">
        <v>70</v>
      </c>
      <c r="I3" s="1" t="s">
        <v>354</v>
      </c>
      <c r="K3" s="1" t="s">
        <v>70</v>
      </c>
      <c r="L3" s="32" t="s">
        <v>354</v>
      </c>
    </row>
    <row r="4" spans="1:16" x14ac:dyDescent="0.35">
      <c r="A4" t="s">
        <v>124</v>
      </c>
      <c r="B4" s="1">
        <v>0.4</v>
      </c>
      <c r="C4" s="32">
        <v>3</v>
      </c>
      <c r="F4" t="s">
        <v>290</v>
      </c>
      <c r="G4" s="32" t="s">
        <v>356</v>
      </c>
      <c r="H4" s="1">
        <v>7</v>
      </c>
      <c r="I4" s="1">
        <v>1</v>
      </c>
      <c r="J4" s="32" t="s">
        <v>357</v>
      </c>
      <c r="K4" s="1">
        <v>31</v>
      </c>
      <c r="L4" s="1">
        <v>3</v>
      </c>
      <c r="O4" s="1" t="s">
        <v>70</v>
      </c>
      <c r="P4" s="1" t="s">
        <v>354</v>
      </c>
    </row>
    <row r="5" spans="1:16" x14ac:dyDescent="0.35">
      <c r="A5" t="s">
        <v>119</v>
      </c>
      <c r="B5" s="1">
        <v>0.5</v>
      </c>
      <c r="C5" s="32">
        <v>2</v>
      </c>
      <c r="F5" t="s">
        <v>358</v>
      </c>
      <c r="G5" s="32" t="s">
        <v>359</v>
      </c>
      <c r="H5" s="1">
        <v>1</v>
      </c>
      <c r="I5" s="1">
        <v>1</v>
      </c>
      <c r="J5" s="32" t="s">
        <v>360</v>
      </c>
      <c r="K5" s="1">
        <v>3</v>
      </c>
      <c r="L5" s="1">
        <v>3</v>
      </c>
      <c r="N5" t="s">
        <v>119</v>
      </c>
      <c r="O5" s="1">
        <f>VLOOKUP(N5,A:B,2,0)</f>
        <v>0.5</v>
      </c>
      <c r="P5" s="32">
        <f>VLOOKUP(N5,A:C,3,0)</f>
        <v>2</v>
      </c>
    </row>
    <row r="6" spans="1:16" x14ac:dyDescent="0.35">
      <c r="A6" t="s">
        <v>361</v>
      </c>
      <c r="B6" s="1">
        <v>0.5</v>
      </c>
      <c r="C6" s="32">
        <v>1</v>
      </c>
      <c r="F6" t="s">
        <v>158</v>
      </c>
      <c r="G6" s="32" t="s">
        <v>362</v>
      </c>
      <c r="H6" s="1">
        <v>8</v>
      </c>
      <c r="I6" s="1">
        <v>1</v>
      </c>
      <c r="J6" s="32" t="s">
        <v>298</v>
      </c>
      <c r="K6" s="1">
        <v>11</v>
      </c>
      <c r="L6" s="1">
        <v>3</v>
      </c>
      <c r="N6" t="s">
        <v>123</v>
      </c>
      <c r="O6" s="1">
        <f>VLOOKUP(N6,A:B,2,0)</f>
        <v>0.7</v>
      </c>
      <c r="P6" s="32">
        <f t="shared" ref="P6:P7" si="0">VLOOKUP(N6,A:C,3,0)</f>
        <v>3</v>
      </c>
    </row>
    <row r="7" spans="1:16" x14ac:dyDescent="0.35">
      <c r="A7" t="s">
        <v>66</v>
      </c>
      <c r="B7" s="1">
        <v>0.6</v>
      </c>
      <c r="C7" s="32">
        <v>2</v>
      </c>
      <c r="F7" t="s">
        <v>197</v>
      </c>
      <c r="G7" s="32">
        <v>1</v>
      </c>
      <c r="H7" s="1">
        <v>6</v>
      </c>
      <c r="I7" s="1">
        <v>1</v>
      </c>
      <c r="J7" s="32">
        <v>2</v>
      </c>
      <c r="K7" s="1">
        <v>12</v>
      </c>
      <c r="L7" s="1">
        <v>2</v>
      </c>
      <c r="N7" t="s">
        <v>66</v>
      </c>
      <c r="O7" s="1">
        <f t="shared" ref="O7" si="1">VLOOKUP(N7,A:B,2,0)</f>
        <v>0.6</v>
      </c>
      <c r="P7" s="32">
        <f t="shared" si="0"/>
        <v>2</v>
      </c>
    </row>
    <row r="8" spans="1:16" x14ac:dyDescent="0.35">
      <c r="A8" t="s">
        <v>123</v>
      </c>
      <c r="B8" s="1">
        <v>0.7</v>
      </c>
      <c r="C8" s="32">
        <v>3</v>
      </c>
      <c r="F8" t="s">
        <v>53</v>
      </c>
      <c r="G8" s="32" t="s">
        <v>363</v>
      </c>
      <c r="H8" s="1">
        <v>5</v>
      </c>
      <c r="I8" s="1">
        <v>1</v>
      </c>
      <c r="J8" s="32" t="s">
        <v>364</v>
      </c>
      <c r="K8" s="1">
        <v>3</v>
      </c>
      <c r="L8" s="1">
        <v>2</v>
      </c>
    </row>
    <row r="15" spans="1:16" x14ac:dyDescent="0.35">
      <c r="O15" s="1">
        <f>SUM(O18:O28)</f>
        <v>1.5</v>
      </c>
      <c r="P15" s="1">
        <f>SUM(P18:P28)</f>
        <v>5</v>
      </c>
    </row>
    <row r="17" spans="14:16" x14ac:dyDescent="0.35">
      <c r="O17" s="1" t="s">
        <v>70</v>
      </c>
      <c r="P17" s="1" t="s">
        <v>354</v>
      </c>
    </row>
    <row r="18" spans="14:16" x14ac:dyDescent="0.35">
      <c r="N18" t="s">
        <v>119</v>
      </c>
      <c r="O18" s="1">
        <f>VLOOKUP(N18,A:B,2,0)</f>
        <v>0.5</v>
      </c>
      <c r="P18" s="32">
        <f>VLOOKUP(N18,A:C,3,0)</f>
        <v>2</v>
      </c>
    </row>
    <row r="19" spans="14:16" x14ac:dyDescent="0.35">
      <c r="N19" t="s">
        <v>119</v>
      </c>
      <c r="O19" s="1">
        <f>VLOOKUP(N19,A:B,2,0)</f>
        <v>0.5</v>
      </c>
      <c r="P19" s="32">
        <f t="shared" ref="P19:P20" si="2">VLOOKUP(N19,A:C,3,0)</f>
        <v>2</v>
      </c>
    </row>
    <row r="20" spans="14:16" x14ac:dyDescent="0.35">
      <c r="N20" t="s">
        <v>361</v>
      </c>
      <c r="O20" s="1">
        <f t="shared" ref="O20" si="3">VLOOKUP(N20,A:B,2,0)</f>
        <v>0.5</v>
      </c>
      <c r="P20" s="32">
        <f t="shared" si="2"/>
        <v>1</v>
      </c>
    </row>
  </sheetData>
  <dataValidations count="1">
    <dataValidation type="list" allowBlank="1" showInputMessage="1" showErrorMessage="1" sqref="N1:N1048576" xr:uid="{43720A6D-13A6-4DAA-A504-6D5841AFD4A6}">
      <formula1>$A:$A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FBDB-3A2D-4A27-84C6-FC7D11D01E28}">
  <dimension ref="B1:AF129"/>
  <sheetViews>
    <sheetView showGridLines="0" tabSelected="1" topLeftCell="A36" zoomScaleNormal="85" workbookViewId="0">
      <selection activeCell="C46" sqref="C46"/>
    </sheetView>
  </sheetViews>
  <sheetFormatPr defaultRowHeight="14.5" outlineLevelCol="1" x14ac:dyDescent="0.35"/>
  <cols>
    <col min="1" max="1" width="4.453125" customWidth="1"/>
    <col min="2" max="4" width="13.6328125" customWidth="1"/>
    <col min="5" max="5" width="16.90625" customWidth="1"/>
    <col min="6" max="7" width="13.6328125" style="32" customWidth="1"/>
    <col min="8" max="8" width="13.6328125" customWidth="1"/>
    <col min="9" max="9" width="12.90625" style="202" customWidth="1" outlineLevel="1"/>
    <col min="10" max="10" width="11.90625" customWidth="1" outlineLevel="1"/>
    <col min="11" max="11" width="13.08984375" customWidth="1" outlineLevel="1"/>
    <col min="12" max="16" width="12.36328125" customWidth="1"/>
    <col min="17" max="17" width="12.36328125" style="32" customWidth="1"/>
    <col min="18" max="18" width="12.36328125" customWidth="1"/>
    <col min="19" max="20" width="14" style="199" customWidth="1" outlineLevel="1"/>
    <col min="21" max="21" width="13.6328125" customWidth="1" outlineLevel="1"/>
    <col min="22" max="22" width="13.08984375" customWidth="1" outlineLevel="1"/>
    <col min="24" max="24" width="22.54296875" customWidth="1"/>
    <col min="25" max="25" width="22.54296875" style="32" customWidth="1"/>
    <col min="26" max="34" width="22.54296875" customWidth="1"/>
  </cols>
  <sheetData>
    <row r="1" spans="3:32" x14ac:dyDescent="0.35">
      <c r="I1" s="203"/>
      <c r="Y1"/>
      <c r="AE1" s="45"/>
    </row>
    <row r="2" spans="3:32" x14ac:dyDescent="0.35">
      <c r="C2" s="399" t="s">
        <v>365</v>
      </c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Y2"/>
    </row>
    <row r="3" spans="3:32" x14ac:dyDescent="0.35">
      <c r="I3" s="203"/>
      <c r="Y3"/>
    </row>
    <row r="4" spans="3:32" x14ac:dyDescent="0.35">
      <c r="C4" s="398" t="s">
        <v>366</v>
      </c>
      <c r="D4" s="398"/>
      <c r="E4" s="398"/>
      <c r="F4" s="400"/>
      <c r="G4" s="401"/>
      <c r="H4" s="402"/>
      <c r="I4"/>
      <c r="Y4"/>
    </row>
    <row r="5" spans="3:32" x14ac:dyDescent="0.35">
      <c r="C5" s="398" t="s">
        <v>367</v>
      </c>
      <c r="D5" s="398"/>
      <c r="E5" s="398"/>
      <c r="F5" s="400"/>
      <c r="G5" s="401"/>
      <c r="H5" s="402"/>
      <c r="I5"/>
      <c r="K5" s="1"/>
      <c r="Y5"/>
    </row>
    <row r="6" spans="3:32" x14ac:dyDescent="0.35">
      <c r="C6" s="398" t="s">
        <v>368</v>
      </c>
      <c r="D6" s="398"/>
      <c r="E6" s="398"/>
      <c r="F6" s="197">
        <v>336</v>
      </c>
      <c r="I6" s="203"/>
      <c r="Y6"/>
    </row>
    <row r="7" spans="3:32" x14ac:dyDescent="0.35">
      <c r="I7" s="203"/>
      <c r="Y7"/>
    </row>
    <row r="8" spans="3:32" x14ac:dyDescent="0.35">
      <c r="C8" s="403" t="s">
        <v>369</v>
      </c>
      <c r="D8" s="403"/>
      <c r="E8" s="403"/>
      <c r="F8" s="403"/>
      <c r="G8" s="403"/>
      <c r="M8" s="403" t="s">
        <v>7</v>
      </c>
      <c r="N8" s="403"/>
      <c r="O8" s="403"/>
      <c r="P8" s="403"/>
      <c r="Q8" s="403"/>
    </row>
    <row r="9" spans="3:32" x14ac:dyDescent="0.35">
      <c r="F9" s="198" t="s">
        <v>70</v>
      </c>
      <c r="G9" s="198" t="s">
        <v>92</v>
      </c>
      <c r="I9" s="202" t="s">
        <v>370</v>
      </c>
      <c r="J9" s="199" t="s">
        <v>371</v>
      </c>
      <c r="K9" s="199" t="s">
        <v>372</v>
      </c>
      <c r="P9" s="198" t="s">
        <v>70</v>
      </c>
      <c r="Q9" s="198" t="s">
        <v>92</v>
      </c>
      <c r="S9" s="199" t="s">
        <v>370</v>
      </c>
      <c r="T9" s="199" t="s">
        <v>373</v>
      </c>
      <c r="U9" s="199" t="s">
        <v>371</v>
      </c>
      <c r="V9" s="199" t="s">
        <v>372</v>
      </c>
    </row>
    <row r="10" spans="3:32" x14ac:dyDescent="0.35">
      <c r="C10" s="192" t="b">
        <v>0</v>
      </c>
      <c r="D10" s="404" t="s">
        <v>5</v>
      </c>
      <c r="E10" s="404"/>
      <c r="F10" s="206">
        <f>I10/50</f>
        <v>1132.06</v>
      </c>
      <c r="G10" s="197">
        <v>1</v>
      </c>
      <c r="I10" s="202">
        <v>56603</v>
      </c>
      <c r="J10" s="200">
        <f>IF(C10=TRUE,F10,0)</f>
        <v>0</v>
      </c>
      <c r="K10" s="199">
        <f>IF(C10=TRUE,G10,0)</f>
        <v>0</v>
      </c>
      <c r="M10" s="192" t="b">
        <v>0</v>
      </c>
      <c r="N10" s="405" t="s">
        <v>115</v>
      </c>
      <c r="O10" s="405"/>
      <c r="P10" s="204">
        <f t="shared" ref="P10:P27" si="0">T10/50</f>
        <v>1.3781607142857144</v>
      </c>
      <c r="Q10" s="197">
        <v>3</v>
      </c>
      <c r="S10" s="201">
        <v>23153.1</v>
      </c>
      <c r="T10" s="201">
        <f>S10/F$6</f>
        <v>68.908035714285717</v>
      </c>
      <c r="U10" s="200">
        <f>IF(M10=TRUE,P10,0)</f>
        <v>0</v>
      </c>
      <c r="V10" s="199">
        <f>IF(M10=TRUE,Q10,0)</f>
        <v>0</v>
      </c>
    </row>
    <row r="11" spans="3:32" x14ac:dyDescent="0.35">
      <c r="C11" s="192" t="b">
        <v>0</v>
      </c>
      <c r="D11" s="404" t="s">
        <v>10</v>
      </c>
      <c r="E11" s="404"/>
      <c r="F11" s="206">
        <f>I11/50</f>
        <v>1402</v>
      </c>
      <c r="G11" s="197">
        <v>3</v>
      </c>
      <c r="I11" s="202">
        <v>70100</v>
      </c>
      <c r="J11" s="200">
        <f>IF(C11=TRUE,F11,0)</f>
        <v>0</v>
      </c>
      <c r="K11" s="199">
        <f>IF(C11=TRUE,G11,0)</f>
        <v>0</v>
      </c>
      <c r="M11" s="192" t="b">
        <v>1</v>
      </c>
      <c r="N11" s="405" t="s">
        <v>119</v>
      </c>
      <c r="O11" s="405"/>
      <c r="P11" s="204">
        <f t="shared" si="0"/>
        <v>0.41344821428571427</v>
      </c>
      <c r="Q11" s="197">
        <v>2</v>
      </c>
      <c r="S11" s="201">
        <v>6945.93</v>
      </c>
      <c r="T11" s="201">
        <f t="shared" ref="T11:T27" si="1">S11/F$6</f>
        <v>20.672410714285714</v>
      </c>
      <c r="U11" s="200">
        <f t="shared" ref="U11:U27" si="2">IF(M11=TRUE,P11,0)</f>
        <v>0.41344821428571427</v>
      </c>
      <c r="V11" s="199">
        <f t="shared" ref="V11:V27" si="3">IF(M11=TRUE,Q11,0)</f>
        <v>2</v>
      </c>
      <c r="X11" s="244" t="s">
        <v>374</v>
      </c>
      <c r="Y11" s="198" t="s">
        <v>375</v>
      </c>
      <c r="Z11" s="244" t="s">
        <v>376</v>
      </c>
      <c r="AA11" s="198" t="s">
        <v>377</v>
      </c>
      <c r="AB11" s="198" t="s">
        <v>378</v>
      </c>
      <c r="AC11" s="198" t="s">
        <v>379</v>
      </c>
      <c r="AD11" s="244" t="s">
        <v>380</v>
      </c>
      <c r="AE11" s="244" t="s">
        <v>381</v>
      </c>
      <c r="AF11" s="244" t="s">
        <v>382</v>
      </c>
    </row>
    <row r="12" spans="3:32" ht="15" thickBot="1" x14ac:dyDescent="0.4">
      <c r="F12" s="257"/>
      <c r="G12" s="257"/>
      <c r="J12" s="200"/>
      <c r="K12" s="199"/>
      <c r="M12" s="192" t="b">
        <v>1</v>
      </c>
      <c r="N12" s="405" t="s">
        <v>122</v>
      </c>
      <c r="O12" s="405"/>
      <c r="P12" s="204">
        <f t="shared" si="0"/>
        <v>0.41408630952380954</v>
      </c>
      <c r="Q12" s="197">
        <v>1</v>
      </c>
      <c r="S12" s="201">
        <v>6956.65</v>
      </c>
      <c r="T12" s="201">
        <f t="shared" si="1"/>
        <v>20.704315476190477</v>
      </c>
      <c r="U12" s="200">
        <f t="shared" si="2"/>
        <v>0.41408630952380954</v>
      </c>
      <c r="V12" s="199">
        <f t="shared" si="3"/>
        <v>1</v>
      </c>
      <c r="X12" s="274" t="s">
        <v>199</v>
      </c>
      <c r="Y12" s="246" t="s">
        <v>2</v>
      </c>
      <c r="Z12" s="275">
        <v>95</v>
      </c>
      <c r="AA12" s="275">
        <v>18.100000000000001</v>
      </c>
      <c r="AB12" s="275">
        <v>53.3</v>
      </c>
      <c r="AC12" s="275">
        <v>24</v>
      </c>
      <c r="AD12" s="275" t="s">
        <v>383</v>
      </c>
      <c r="AE12" s="275">
        <v>1.9</v>
      </c>
      <c r="AF12" s="275" t="s">
        <v>384</v>
      </c>
    </row>
    <row r="13" spans="3:32" x14ac:dyDescent="0.35">
      <c r="C13" s="407" t="s">
        <v>385</v>
      </c>
      <c r="D13" s="408"/>
      <c r="E13" s="408"/>
      <c r="F13" s="408"/>
      <c r="G13" s="409"/>
      <c r="J13" s="200"/>
      <c r="K13" s="199"/>
      <c r="M13" s="192" t="b">
        <v>1</v>
      </c>
      <c r="N13" s="405" t="s">
        <v>123</v>
      </c>
      <c r="O13" s="405"/>
      <c r="P13" s="204">
        <f t="shared" si="0"/>
        <v>0.6424279761904762</v>
      </c>
      <c r="Q13" s="197">
        <v>1</v>
      </c>
      <c r="S13" s="201">
        <v>10792.79</v>
      </c>
      <c r="T13" s="201">
        <f t="shared" si="1"/>
        <v>32.121398809523811</v>
      </c>
      <c r="U13" s="200">
        <f t="shared" si="2"/>
        <v>0.6424279761904762</v>
      </c>
      <c r="V13" s="199">
        <f t="shared" si="3"/>
        <v>1</v>
      </c>
      <c r="X13" s="245" t="s">
        <v>211</v>
      </c>
      <c r="Y13" s="246" t="s">
        <v>2</v>
      </c>
      <c r="Z13" s="275"/>
      <c r="AA13" s="275"/>
      <c r="AB13" s="275"/>
      <c r="AC13" s="275"/>
      <c r="AD13" s="275"/>
      <c r="AE13" s="275"/>
      <c r="AF13" s="275"/>
    </row>
    <row r="14" spans="3:32" x14ac:dyDescent="0.35">
      <c r="C14" s="258"/>
      <c r="G14" s="259"/>
      <c r="J14" s="200"/>
      <c r="K14" s="199"/>
      <c r="M14" s="192" t="b">
        <v>0</v>
      </c>
      <c r="N14" s="405" t="s">
        <v>66</v>
      </c>
      <c r="O14" s="405"/>
      <c r="P14" s="204">
        <f t="shared" si="0"/>
        <v>0.44989107142857143</v>
      </c>
      <c r="Q14" s="197">
        <v>2</v>
      </c>
      <c r="S14" s="201">
        <v>7558.17</v>
      </c>
      <c r="T14" s="201">
        <f t="shared" si="1"/>
        <v>22.494553571428572</v>
      </c>
      <c r="U14" s="200">
        <f t="shared" si="2"/>
        <v>0</v>
      </c>
      <c r="V14" s="199">
        <f t="shared" si="3"/>
        <v>0</v>
      </c>
      <c r="X14" s="245" t="s">
        <v>217</v>
      </c>
      <c r="Y14" s="247" t="s">
        <v>2</v>
      </c>
      <c r="Z14" s="275"/>
      <c r="AA14" s="275"/>
      <c r="AB14" s="275"/>
      <c r="AC14" s="275"/>
      <c r="AD14" s="275"/>
      <c r="AE14" s="275"/>
      <c r="AF14" s="275"/>
    </row>
    <row r="15" spans="3:32" x14ac:dyDescent="0.35">
      <c r="C15" s="260" t="b">
        <v>0</v>
      </c>
      <c r="D15" s="404" t="s">
        <v>386</v>
      </c>
      <c r="E15" s="404"/>
      <c r="F15" s="206">
        <f>I15/50</f>
        <v>24</v>
      </c>
      <c r="G15" s="261">
        <v>1</v>
      </c>
      <c r="I15" s="202">
        <v>1200</v>
      </c>
      <c r="J15" s="200">
        <f>IF(C15=TRUE,F15,0)</f>
        <v>0</v>
      </c>
      <c r="K15" s="199">
        <f>IF(C15=TRUE,G15,0)</f>
        <v>0</v>
      </c>
      <c r="M15" s="192" t="b">
        <v>1</v>
      </c>
      <c r="N15" s="405" t="s">
        <v>68</v>
      </c>
      <c r="O15" s="405"/>
      <c r="P15" s="204">
        <f t="shared" si="0"/>
        <v>0.76874940476190479</v>
      </c>
      <c r="Q15" s="197">
        <v>1</v>
      </c>
      <c r="S15" s="201">
        <v>12914.99</v>
      </c>
      <c r="T15" s="201">
        <f t="shared" si="1"/>
        <v>38.437470238095237</v>
      </c>
      <c r="U15" s="200">
        <f t="shared" si="2"/>
        <v>0.76874940476190479</v>
      </c>
      <c r="V15" s="199">
        <f t="shared" si="3"/>
        <v>1</v>
      </c>
      <c r="X15" s="245" t="s">
        <v>222</v>
      </c>
      <c r="Y15" s="248" t="s">
        <v>3</v>
      </c>
      <c r="Z15" s="275"/>
      <c r="AA15" s="275"/>
      <c r="AB15" s="275"/>
      <c r="AC15" s="275"/>
      <c r="AD15" s="275"/>
      <c r="AE15" s="275"/>
      <c r="AF15" s="275"/>
    </row>
    <row r="16" spans="3:32" x14ac:dyDescent="0.35">
      <c r="C16" s="260" t="b">
        <v>1</v>
      </c>
      <c r="D16" s="404" t="s">
        <v>387</v>
      </c>
      <c r="E16" s="404"/>
      <c r="F16" s="206">
        <f>I16/50</f>
        <v>30</v>
      </c>
      <c r="G16" s="261">
        <v>2</v>
      </c>
      <c r="I16" s="202">
        <v>1500</v>
      </c>
      <c r="J16" s="200">
        <f>IF(C16=TRUE,F16,0)</f>
        <v>30</v>
      </c>
      <c r="K16" s="199">
        <f>IF(C16=TRUE,G16,0)</f>
        <v>2</v>
      </c>
      <c r="M16" s="192" t="b">
        <v>1</v>
      </c>
      <c r="N16" s="405" t="s">
        <v>124</v>
      </c>
      <c r="O16" s="405"/>
      <c r="P16" s="204">
        <f t="shared" si="0"/>
        <v>0.29761904761904762</v>
      </c>
      <c r="Q16" s="197">
        <v>2</v>
      </c>
      <c r="S16" s="201">
        <v>5000</v>
      </c>
      <c r="T16" s="201">
        <f t="shared" si="1"/>
        <v>14.880952380952381</v>
      </c>
      <c r="U16" s="200">
        <f t="shared" si="2"/>
        <v>0.29761904761904762</v>
      </c>
      <c r="V16" s="199">
        <f t="shared" si="3"/>
        <v>2</v>
      </c>
      <c r="X16" s="273" t="s">
        <v>227</v>
      </c>
      <c r="Y16" s="248" t="s">
        <v>3</v>
      </c>
      <c r="Z16" s="275">
        <v>175</v>
      </c>
      <c r="AA16" s="275">
        <v>53.5</v>
      </c>
      <c r="AB16" s="275">
        <v>91.2</v>
      </c>
      <c r="AC16" s="275">
        <v>30</v>
      </c>
      <c r="AD16" s="275" t="s">
        <v>388</v>
      </c>
      <c r="AE16" s="275">
        <v>2.2999999999999998</v>
      </c>
      <c r="AF16" s="275" t="s">
        <v>389</v>
      </c>
    </row>
    <row r="17" spans="2:32" x14ac:dyDescent="0.35">
      <c r="C17" s="260" t="b">
        <v>0</v>
      </c>
      <c r="D17" s="404" t="s">
        <v>390</v>
      </c>
      <c r="E17" s="404"/>
      <c r="F17" s="206">
        <f>I17/50</f>
        <v>38</v>
      </c>
      <c r="G17" s="261">
        <v>3</v>
      </c>
      <c r="I17" s="202">
        <v>1900</v>
      </c>
      <c r="J17" s="200">
        <f>IF(C17=TRUE,F17,0)</f>
        <v>0</v>
      </c>
      <c r="K17" s="199">
        <f>IF(C17=TRUE,G17,0)</f>
        <v>0</v>
      </c>
      <c r="M17" s="192" t="b">
        <v>0</v>
      </c>
      <c r="N17" t="s">
        <v>126</v>
      </c>
      <c r="P17" s="204">
        <f t="shared" si="0"/>
        <v>0.96471249999999997</v>
      </c>
      <c r="Q17" s="197">
        <v>3</v>
      </c>
      <c r="S17" s="201">
        <v>16207.17</v>
      </c>
      <c r="T17" s="201">
        <f t="shared" si="1"/>
        <v>48.235624999999999</v>
      </c>
      <c r="U17" s="200">
        <f t="shared" si="2"/>
        <v>0</v>
      </c>
      <c r="V17" s="199">
        <f t="shared" si="3"/>
        <v>0</v>
      </c>
      <c r="X17" s="245" t="s">
        <v>231</v>
      </c>
      <c r="Y17" s="249" t="s">
        <v>3</v>
      </c>
      <c r="Z17" s="275"/>
      <c r="AA17" s="275"/>
      <c r="AB17" s="275"/>
      <c r="AC17" s="275"/>
      <c r="AD17" s="275"/>
      <c r="AE17" s="275"/>
      <c r="AF17" s="275"/>
    </row>
    <row r="18" spans="2:32" x14ac:dyDescent="0.35">
      <c r="C18" s="258"/>
      <c r="G18" s="259"/>
      <c r="J18" s="200"/>
      <c r="K18" s="199"/>
      <c r="M18" s="192" t="b">
        <v>0</v>
      </c>
      <c r="N18" t="s">
        <v>76</v>
      </c>
      <c r="P18" s="204">
        <f t="shared" si="0"/>
        <v>16.379022619047621</v>
      </c>
      <c r="Q18" s="197">
        <v>3</v>
      </c>
      <c r="S18" s="201">
        <v>275167.58</v>
      </c>
      <c r="T18" s="201">
        <f t="shared" si="1"/>
        <v>818.95113095238105</v>
      </c>
      <c r="U18" s="200">
        <f t="shared" si="2"/>
        <v>0</v>
      </c>
      <c r="V18" s="199">
        <f t="shared" si="3"/>
        <v>0</v>
      </c>
      <c r="X18" s="245" t="s">
        <v>234</v>
      </c>
      <c r="Y18" s="249" t="s">
        <v>3</v>
      </c>
      <c r="Z18" s="275"/>
      <c r="AA18" s="275"/>
      <c r="AB18" s="275"/>
      <c r="AC18" s="275"/>
      <c r="AD18" s="275"/>
      <c r="AE18" s="275"/>
      <c r="AF18" s="275"/>
    </row>
    <row r="19" spans="2:32" x14ac:dyDescent="0.35">
      <c r="C19" s="258"/>
      <c r="D19" s="59" t="s">
        <v>391</v>
      </c>
      <c r="F19" s="218">
        <f>SUM(J15:J17)</f>
        <v>30</v>
      </c>
      <c r="G19" s="262"/>
      <c r="H19" s="32"/>
      <c r="I19"/>
      <c r="J19" s="200"/>
      <c r="K19" s="199"/>
      <c r="M19" s="192" t="b">
        <v>0</v>
      </c>
      <c r="N19" t="s">
        <v>128</v>
      </c>
      <c r="P19" s="204">
        <f t="shared" si="0"/>
        <v>5.8365113095238099</v>
      </c>
      <c r="Q19" s="197">
        <v>2</v>
      </c>
      <c r="S19" s="201">
        <v>98053.39</v>
      </c>
      <c r="T19" s="201">
        <f t="shared" si="1"/>
        <v>291.82556547619049</v>
      </c>
      <c r="U19" s="200">
        <f t="shared" si="2"/>
        <v>0</v>
      </c>
      <c r="V19" s="199">
        <f t="shared" si="3"/>
        <v>0</v>
      </c>
      <c r="X19" s="245" t="s">
        <v>236</v>
      </c>
      <c r="Y19" s="249" t="s">
        <v>3</v>
      </c>
      <c r="Z19" s="275"/>
      <c r="AA19" s="275"/>
      <c r="AB19" s="275"/>
      <c r="AC19" s="275"/>
      <c r="AD19" s="275"/>
      <c r="AE19" s="275"/>
      <c r="AF19" s="275"/>
    </row>
    <row r="20" spans="2:32" x14ac:dyDescent="0.35">
      <c r="C20" s="258"/>
      <c r="D20" s="406" t="s">
        <v>392</v>
      </c>
      <c r="E20" s="406"/>
      <c r="F20" s="263" t="str">
        <f>IF(F19=0,"-",IF(F19=24,"GUARITA 1",IF(F19=30,"GUARITA 2",IF(F19=38,"GUARITA 3"))))</f>
        <v>GUARITA 2</v>
      </c>
      <c r="G20" s="259"/>
      <c r="H20" s="32"/>
      <c r="I20"/>
      <c r="J20" s="200"/>
      <c r="K20" s="199"/>
      <c r="M20" s="192" t="b">
        <v>1</v>
      </c>
      <c r="N20" t="s">
        <v>130</v>
      </c>
      <c r="P20" s="204">
        <f t="shared" si="0"/>
        <v>7.5040857142857149</v>
      </c>
      <c r="Q20" s="197">
        <v>1</v>
      </c>
      <c r="S20" s="201">
        <v>126068.64</v>
      </c>
      <c r="T20" s="201">
        <f t="shared" si="1"/>
        <v>375.20428571428573</v>
      </c>
      <c r="U20" s="200">
        <f t="shared" si="2"/>
        <v>7.5040857142857149</v>
      </c>
      <c r="V20" s="199">
        <f t="shared" si="3"/>
        <v>1</v>
      </c>
      <c r="X20" s="245" t="s">
        <v>239</v>
      </c>
      <c r="Y20" s="250" t="s">
        <v>4</v>
      </c>
      <c r="Z20" s="275"/>
      <c r="AA20" s="275"/>
      <c r="AB20" s="275"/>
      <c r="AC20" s="275"/>
      <c r="AD20" s="275"/>
      <c r="AE20" s="275"/>
      <c r="AF20" s="275"/>
    </row>
    <row r="21" spans="2:32" x14ac:dyDescent="0.35">
      <c r="C21" s="258"/>
      <c r="G21" s="264"/>
      <c r="J21" s="200"/>
      <c r="K21" s="199"/>
      <c r="M21" s="192" t="b">
        <v>0</v>
      </c>
      <c r="N21" t="s">
        <v>393</v>
      </c>
      <c r="P21" s="204">
        <f t="shared" si="0"/>
        <v>3.3874333333333335</v>
      </c>
      <c r="Q21" s="197">
        <v>2</v>
      </c>
      <c r="S21" s="201">
        <v>56908.88</v>
      </c>
      <c r="T21" s="201">
        <f t="shared" si="1"/>
        <v>169.37166666666667</v>
      </c>
      <c r="U21" s="200">
        <f t="shared" si="2"/>
        <v>0</v>
      </c>
      <c r="V21" s="199">
        <f t="shared" si="3"/>
        <v>0</v>
      </c>
      <c r="X21" s="245" t="s">
        <v>244</v>
      </c>
      <c r="Y21" s="250" t="s">
        <v>4</v>
      </c>
      <c r="Z21" s="275"/>
      <c r="AA21" s="275"/>
      <c r="AB21" s="275"/>
      <c r="AC21" s="275"/>
      <c r="AD21" s="275"/>
      <c r="AE21" s="275"/>
      <c r="AF21" s="275"/>
    </row>
    <row r="22" spans="2:32" x14ac:dyDescent="0.35">
      <c r="C22" s="258"/>
      <c r="D22" s="410" t="s">
        <v>394</v>
      </c>
      <c r="E22" s="410"/>
      <c r="F22" s="410"/>
      <c r="G22" s="264"/>
      <c r="J22" s="200"/>
      <c r="K22" s="199"/>
      <c r="M22" s="192" t="b">
        <v>0</v>
      </c>
      <c r="N22" t="s">
        <v>133</v>
      </c>
      <c r="P22" s="204">
        <f t="shared" si="0"/>
        <v>5.0683999999999996</v>
      </c>
      <c r="Q22" s="197">
        <v>3</v>
      </c>
      <c r="S22" s="201">
        <v>85149.119999999995</v>
      </c>
      <c r="T22" s="201">
        <f t="shared" si="1"/>
        <v>253.42</v>
      </c>
      <c r="U22" s="200">
        <f t="shared" si="2"/>
        <v>0</v>
      </c>
      <c r="V22" s="199">
        <f t="shared" si="3"/>
        <v>0</v>
      </c>
      <c r="X22" s="274" t="s">
        <v>246</v>
      </c>
      <c r="Y22" s="250" t="s">
        <v>4</v>
      </c>
      <c r="Z22" s="275">
        <v>177</v>
      </c>
      <c r="AA22" s="275">
        <v>25.1</v>
      </c>
      <c r="AB22" s="275">
        <v>114.2</v>
      </c>
      <c r="AC22" s="275">
        <v>38</v>
      </c>
      <c r="AD22" s="275" t="s">
        <v>388</v>
      </c>
      <c r="AE22" s="275">
        <v>2.6</v>
      </c>
      <c r="AF22" s="275" t="s">
        <v>389</v>
      </c>
    </row>
    <row r="23" spans="2:32" x14ac:dyDescent="0.35">
      <c r="B23" s="233">
        <v>0</v>
      </c>
      <c r="C23" s="233">
        <v>24</v>
      </c>
      <c r="D23" s="233">
        <f>C23+0.1</f>
        <v>24.1</v>
      </c>
      <c r="E23" s="233">
        <v>30</v>
      </c>
      <c r="F23" s="233">
        <f>E23+0.1</f>
        <v>30.1</v>
      </c>
      <c r="G23" s="265">
        <v>38</v>
      </c>
      <c r="J23" s="200"/>
      <c r="K23" s="199"/>
      <c r="M23" s="192" t="b">
        <v>0</v>
      </c>
      <c r="N23" t="s">
        <v>77</v>
      </c>
      <c r="P23" s="204">
        <f t="shared" si="0"/>
        <v>3.6997809523809524</v>
      </c>
      <c r="Q23" s="197">
        <v>2</v>
      </c>
      <c r="S23" s="201">
        <v>62156.32</v>
      </c>
      <c r="T23" s="201">
        <f t="shared" si="1"/>
        <v>184.98904761904762</v>
      </c>
      <c r="U23" s="200">
        <f t="shared" si="2"/>
        <v>0</v>
      </c>
      <c r="V23" s="199">
        <f t="shared" si="3"/>
        <v>0</v>
      </c>
    </row>
    <row r="24" spans="2:32" x14ac:dyDescent="0.35">
      <c r="B24" s="417" t="s">
        <v>395</v>
      </c>
      <c r="C24" s="417"/>
      <c r="D24" s="411" t="s">
        <v>396</v>
      </c>
      <c r="E24" s="411"/>
      <c r="F24" s="418" t="s">
        <v>397</v>
      </c>
      <c r="G24" s="419"/>
      <c r="H24" s="32"/>
      <c r="J24" s="200"/>
      <c r="K24" s="199"/>
      <c r="M24" s="192" t="b">
        <v>1</v>
      </c>
      <c r="N24" t="s">
        <v>138</v>
      </c>
      <c r="P24" s="204">
        <f t="shared" si="0"/>
        <v>7.3307678571428569</v>
      </c>
      <c r="Q24" s="197">
        <v>1</v>
      </c>
      <c r="S24" s="201">
        <v>123156.9</v>
      </c>
      <c r="T24" s="201">
        <f t="shared" si="1"/>
        <v>366.53839285714287</v>
      </c>
      <c r="U24" s="200">
        <f t="shared" si="2"/>
        <v>7.3307678571428569</v>
      </c>
      <c r="V24" s="199">
        <f t="shared" si="3"/>
        <v>1</v>
      </c>
    </row>
    <row r="25" spans="2:32" x14ac:dyDescent="0.35">
      <c r="B25" s="32"/>
      <c r="C25" s="266"/>
      <c r="D25" s="32"/>
      <c r="E25" s="32"/>
      <c r="G25" s="259"/>
      <c r="I25" s="203"/>
      <c r="J25" s="200"/>
      <c r="K25" s="199"/>
      <c r="M25" s="192" t="b">
        <v>0</v>
      </c>
      <c r="N25" t="s">
        <v>139</v>
      </c>
      <c r="P25" s="204">
        <f t="shared" si="0"/>
        <v>4.7460232142857146</v>
      </c>
      <c r="Q25" s="197">
        <v>2</v>
      </c>
      <c r="S25" s="201">
        <v>79733.19</v>
      </c>
      <c r="T25" s="201">
        <f t="shared" si="1"/>
        <v>237.30116071428571</v>
      </c>
      <c r="U25" s="200">
        <f t="shared" si="2"/>
        <v>0</v>
      </c>
      <c r="V25" s="199">
        <f t="shared" si="3"/>
        <v>0</v>
      </c>
    </row>
    <row r="26" spans="2:32" x14ac:dyDescent="0.35">
      <c r="B26" s="32"/>
      <c r="C26" s="258"/>
      <c r="D26" s="59" t="s">
        <v>398</v>
      </c>
      <c r="F26" s="32">
        <f>SUM(K15:K17)</f>
        <v>2</v>
      </c>
      <c r="G26" s="259"/>
      <c r="I26" s="203"/>
      <c r="J26" s="200"/>
      <c r="K26" s="199"/>
      <c r="M26" s="192" t="b">
        <v>0</v>
      </c>
      <c r="N26" t="s">
        <v>140</v>
      </c>
      <c r="P26" s="204">
        <f t="shared" si="0"/>
        <v>7.3307678571428569</v>
      </c>
      <c r="Q26" s="197">
        <v>3</v>
      </c>
      <c r="S26" s="201">
        <f>208306.02-S22</f>
        <v>123156.9</v>
      </c>
      <c r="T26" s="201">
        <f t="shared" si="1"/>
        <v>366.53839285714287</v>
      </c>
      <c r="U26" s="200">
        <f t="shared" si="2"/>
        <v>0</v>
      </c>
      <c r="V26" s="199">
        <f t="shared" si="3"/>
        <v>0</v>
      </c>
    </row>
    <row r="27" spans="2:32" x14ac:dyDescent="0.35">
      <c r="B27" s="32"/>
      <c r="C27" s="258"/>
      <c r="D27" s="406" t="s">
        <v>399</v>
      </c>
      <c r="E27" s="406"/>
      <c r="F27" s="232" t="str">
        <f>IF(F26=0,"-",IF(F26=1,"VLC1",IF(F26=2,"VLC2",IF(F26=3,"VLC3"))))</f>
        <v>VLC2</v>
      </c>
      <c r="G27" s="259"/>
      <c r="I27" s="203"/>
      <c r="J27" s="200"/>
      <c r="K27" s="199"/>
      <c r="M27" s="192" t="b">
        <v>0</v>
      </c>
      <c r="N27" s="405" t="s">
        <v>143</v>
      </c>
      <c r="O27" s="405"/>
      <c r="P27" s="204">
        <f t="shared" si="0"/>
        <v>4.8842327380952382</v>
      </c>
      <c r="Q27" s="197">
        <v>2</v>
      </c>
      <c r="S27" s="201">
        <v>82055.11</v>
      </c>
      <c r="T27" s="201">
        <f t="shared" si="1"/>
        <v>244.21163690476192</v>
      </c>
      <c r="U27" s="200">
        <f t="shared" si="2"/>
        <v>0</v>
      </c>
      <c r="V27" s="199">
        <f t="shared" si="3"/>
        <v>0</v>
      </c>
    </row>
    <row r="28" spans="2:32" x14ac:dyDescent="0.35">
      <c r="B28" s="32"/>
      <c r="C28" s="258"/>
      <c r="F28"/>
      <c r="G28" s="264"/>
      <c r="I28" s="203"/>
      <c r="J28" s="200"/>
      <c r="K28" s="199"/>
      <c r="Q28"/>
      <c r="S28" s="201"/>
      <c r="T28" s="201"/>
      <c r="U28" s="200"/>
      <c r="V28" s="199"/>
    </row>
    <row r="29" spans="2:32" x14ac:dyDescent="0.35">
      <c r="B29" s="32"/>
      <c r="C29" s="258"/>
      <c r="D29" s="410" t="s">
        <v>400</v>
      </c>
      <c r="E29" s="410"/>
      <c r="F29" s="410"/>
      <c r="G29" s="264"/>
      <c r="I29" s="203"/>
      <c r="J29" s="200"/>
      <c r="K29" s="199"/>
      <c r="Q29"/>
      <c r="S29" s="201"/>
      <c r="T29" s="201"/>
      <c r="U29" s="200"/>
      <c r="V29" s="199"/>
    </row>
    <row r="30" spans="2:32" x14ac:dyDescent="0.35">
      <c r="B30" s="32"/>
      <c r="C30" s="258"/>
      <c r="D30" s="233">
        <v>1</v>
      </c>
      <c r="E30" s="233">
        <v>2</v>
      </c>
      <c r="F30" s="233">
        <v>3</v>
      </c>
      <c r="G30" s="265"/>
      <c r="I30" s="203"/>
      <c r="J30" s="200"/>
      <c r="K30" s="199"/>
      <c r="N30" s="406" t="s">
        <v>391</v>
      </c>
      <c r="O30" s="406"/>
      <c r="P30" s="218">
        <f>SUM(U10:U33)</f>
        <v>17.371184523809525</v>
      </c>
      <c r="Q30"/>
      <c r="S30" s="201"/>
      <c r="T30" s="201"/>
      <c r="U30" s="200"/>
      <c r="V30" s="199"/>
    </row>
    <row r="31" spans="2:32" x14ac:dyDescent="0.35">
      <c r="B31" s="32"/>
      <c r="C31" s="258"/>
      <c r="D31" s="229" t="s">
        <v>401</v>
      </c>
      <c r="E31" s="230" t="s">
        <v>402</v>
      </c>
      <c r="F31" s="267" t="s">
        <v>403</v>
      </c>
      <c r="G31" s="259"/>
      <c r="I31" s="203"/>
      <c r="J31" s="200"/>
      <c r="K31" s="199"/>
      <c r="N31" s="406" t="s">
        <v>392</v>
      </c>
      <c r="O31" s="406"/>
      <c r="P31" s="234" t="str">
        <f>IF(P30&lt;=M34,"LZ 1",IF(P30&lt;=O34,"LZ 2",IF(P30&lt;=Q34,"LZ 3",IF(P30&gt;=R34,"LZ 4"))))</f>
        <v>LZ 1</v>
      </c>
      <c r="Q31"/>
      <c r="S31" s="201"/>
      <c r="T31" s="201"/>
      <c r="U31" s="200"/>
      <c r="V31" s="199"/>
    </row>
    <row r="32" spans="2:32" x14ac:dyDescent="0.35">
      <c r="B32" s="32"/>
      <c r="C32" s="266"/>
      <c r="D32" s="32"/>
      <c r="E32" s="32"/>
      <c r="G32" s="259"/>
      <c r="I32" s="203"/>
      <c r="J32" s="200"/>
      <c r="K32" s="199"/>
      <c r="Q32"/>
      <c r="S32" s="201"/>
      <c r="T32" s="201"/>
      <c r="U32" s="200"/>
      <c r="V32" s="199"/>
    </row>
    <row r="33" spans="2:22" x14ac:dyDescent="0.35">
      <c r="B33" s="32"/>
      <c r="C33" s="266"/>
      <c r="D33" s="32"/>
      <c r="E33" s="32"/>
      <c r="G33" s="259"/>
      <c r="I33" s="203"/>
      <c r="J33" s="200"/>
      <c r="K33" s="199"/>
      <c r="M33" s="372" t="s">
        <v>404</v>
      </c>
      <c r="N33" s="372"/>
      <c r="O33" s="372"/>
      <c r="P33" s="372"/>
      <c r="Q33" s="372"/>
      <c r="R33" s="372"/>
      <c r="S33" s="201"/>
      <c r="T33" s="201"/>
      <c r="U33" s="200"/>
      <c r="V33" s="199"/>
    </row>
    <row r="34" spans="2:22" ht="15" thickBot="1" x14ac:dyDescent="0.4">
      <c r="B34" s="32"/>
      <c r="C34" s="268"/>
      <c r="D34" s="269"/>
      <c r="E34" s="269"/>
      <c r="F34" s="269"/>
      <c r="G34" s="270"/>
      <c r="I34" s="203"/>
      <c r="J34" s="200"/>
      <c r="K34" s="199"/>
      <c r="M34" s="233">
        <f>U38</f>
        <v>18</v>
      </c>
      <c r="N34" s="233">
        <f>M34+0.1</f>
        <v>18.100000000000001</v>
      </c>
      <c r="O34" s="233">
        <f>U39</f>
        <v>36</v>
      </c>
      <c r="P34" s="233">
        <f>O34+0.1</f>
        <v>36.1</v>
      </c>
      <c r="Q34" s="233">
        <f>U40</f>
        <v>48</v>
      </c>
      <c r="R34" s="233">
        <f>Q34+0.1</f>
        <v>48.1</v>
      </c>
      <c r="S34"/>
      <c r="T34"/>
    </row>
    <row r="35" spans="2:22" x14ac:dyDescent="0.35">
      <c r="C35" s="403" t="s">
        <v>34</v>
      </c>
      <c r="D35" s="403"/>
      <c r="E35" s="403"/>
      <c r="F35" s="403"/>
      <c r="G35" s="403"/>
      <c r="J35" s="200"/>
      <c r="K35" s="199"/>
      <c r="M35" s="223" t="s">
        <v>405</v>
      </c>
      <c r="N35" s="411" t="s">
        <v>406</v>
      </c>
      <c r="O35" s="411"/>
      <c r="P35" s="412" t="s">
        <v>407</v>
      </c>
      <c r="Q35" s="412"/>
      <c r="R35" s="216" t="s">
        <v>408</v>
      </c>
    </row>
    <row r="36" spans="2:22" x14ac:dyDescent="0.35">
      <c r="J36" s="200"/>
      <c r="K36" s="199"/>
    </row>
    <row r="37" spans="2:22" x14ac:dyDescent="0.35">
      <c r="C37" s="413" t="s">
        <v>409</v>
      </c>
      <c r="D37" s="413"/>
      <c r="J37" s="200"/>
      <c r="K37" s="199"/>
    </row>
    <row r="38" spans="2:22" x14ac:dyDescent="0.35">
      <c r="C38" s="192" t="b">
        <v>0</v>
      </c>
      <c r="D38" s="404" t="s">
        <v>155</v>
      </c>
      <c r="E38" s="414"/>
      <c r="F38" s="204">
        <f>I38/50</f>
        <v>10.62</v>
      </c>
      <c r="G38" s="197">
        <v>1</v>
      </c>
      <c r="I38" s="202">
        <v>531</v>
      </c>
      <c r="J38" s="200">
        <f>IF(C38=TRUE,F38,0)</f>
        <v>0</v>
      </c>
      <c r="K38" s="199">
        <f>IF(C38=TRUE,G38,0)</f>
        <v>0</v>
      </c>
      <c r="N38" s="406" t="s">
        <v>398</v>
      </c>
      <c r="O38" s="406"/>
      <c r="P38" s="218">
        <f>SUM(V10:V27)</f>
        <v>9</v>
      </c>
      <c r="S38" s="199" t="s">
        <v>2</v>
      </c>
      <c r="T38" s="202">
        <v>900</v>
      </c>
      <c r="U38" s="200">
        <f>T38/50</f>
        <v>18</v>
      </c>
    </row>
    <row r="39" spans="2:22" x14ac:dyDescent="0.35">
      <c r="C39" s="192" t="b">
        <v>0</v>
      </c>
      <c r="D39" s="404" t="s">
        <v>410</v>
      </c>
      <c r="E39" s="414"/>
      <c r="F39" s="204">
        <f>I39/50</f>
        <v>48.58</v>
      </c>
      <c r="G39" s="197">
        <v>3</v>
      </c>
      <c r="I39" s="202">
        <v>2429</v>
      </c>
      <c r="J39" s="200">
        <f>IF(C39=TRUE,F39,0)</f>
        <v>0</v>
      </c>
      <c r="K39" s="199">
        <f>IF(C39=TRUE,G39,0)</f>
        <v>0</v>
      </c>
      <c r="N39" s="406" t="s">
        <v>411</v>
      </c>
      <c r="O39" s="406"/>
      <c r="P39" s="1">
        <f>COUNTIF(M10:M27,TRUE)</f>
        <v>7</v>
      </c>
      <c r="S39" s="199" t="s">
        <v>3</v>
      </c>
      <c r="T39" s="202">
        <v>1800</v>
      </c>
      <c r="U39" s="200">
        <f t="shared" ref="U39:U40" si="4">T39/50</f>
        <v>36</v>
      </c>
    </row>
    <row r="40" spans="2:22" x14ac:dyDescent="0.35">
      <c r="D40" s="193"/>
      <c r="E40" s="193"/>
      <c r="F40" s="205"/>
      <c r="J40" s="200"/>
      <c r="K40" s="199"/>
      <c r="N40" s="406" t="s">
        <v>412</v>
      </c>
      <c r="O40" s="406"/>
      <c r="P40" s="217">
        <f>P38/P39</f>
        <v>1.2857142857142858</v>
      </c>
      <c r="S40" s="199" t="s">
        <v>4</v>
      </c>
      <c r="T40" s="202">
        <v>2400</v>
      </c>
      <c r="U40" s="200">
        <f t="shared" si="4"/>
        <v>48</v>
      </c>
    </row>
    <row r="41" spans="2:22" x14ac:dyDescent="0.35">
      <c r="C41" s="413" t="s">
        <v>299</v>
      </c>
      <c r="D41" s="413"/>
      <c r="E41" s="193"/>
      <c r="F41" s="205"/>
      <c r="J41" s="200"/>
      <c r="K41" s="199"/>
      <c r="N41" s="406" t="s">
        <v>399</v>
      </c>
      <c r="O41" s="406"/>
      <c r="P41" s="234" t="str">
        <f>IF(P40&lt;=1,"VLC 1",IF(P40&lt;=2,"VLC 2",IF(P40&lt;=3,"VLC 3")))</f>
        <v>VLC 2</v>
      </c>
    </row>
    <row r="42" spans="2:22" x14ac:dyDescent="0.35">
      <c r="B42" s="276"/>
      <c r="C42" s="192" t="b">
        <v>0</v>
      </c>
      <c r="D42" s="404" t="s">
        <v>155</v>
      </c>
      <c r="E42" s="404"/>
      <c r="F42" s="204">
        <f>I42/50</f>
        <v>1.4</v>
      </c>
      <c r="G42" s="197">
        <v>1</v>
      </c>
      <c r="I42" s="202">
        <v>70</v>
      </c>
      <c r="J42" s="200">
        <f>IF(C42=TRUE,F42,0)</f>
        <v>0</v>
      </c>
      <c r="K42" s="199">
        <f>IF(C42=TRUE,G42,0)</f>
        <v>0</v>
      </c>
    </row>
    <row r="43" spans="2:22" x14ac:dyDescent="0.35">
      <c r="B43" s="276"/>
      <c r="C43" s="192" t="b">
        <v>0</v>
      </c>
      <c r="D43" s="404" t="s">
        <v>413</v>
      </c>
      <c r="E43" s="404"/>
      <c r="F43" s="204">
        <f>I43/50</f>
        <v>5.22</v>
      </c>
      <c r="G43" s="197">
        <v>3</v>
      </c>
      <c r="I43" s="202">
        <v>261</v>
      </c>
      <c r="J43" s="200">
        <f>IF(C43=TRUE,F43,0)</f>
        <v>0</v>
      </c>
      <c r="K43" s="199">
        <f>IF(C43=TRUE,G43,0)</f>
        <v>0</v>
      </c>
      <c r="L43" s="226"/>
      <c r="N43" s="224" t="s">
        <v>414</v>
      </c>
      <c r="O43" s="224"/>
      <c r="P43" s="224"/>
    </row>
    <row r="44" spans="2:22" x14ac:dyDescent="0.35">
      <c r="J44" s="200"/>
      <c r="K44" s="199"/>
      <c r="N44" s="233" t="s">
        <v>415</v>
      </c>
      <c r="O44" s="233" t="s">
        <v>416</v>
      </c>
      <c r="P44" s="233" t="s">
        <v>417</v>
      </c>
    </row>
    <row r="45" spans="2:22" x14ac:dyDescent="0.35">
      <c r="C45" s="413" t="s">
        <v>418</v>
      </c>
      <c r="D45" s="413"/>
      <c r="J45" s="200"/>
      <c r="K45" s="199"/>
      <c r="N45" s="229" t="s">
        <v>419</v>
      </c>
      <c r="O45" s="230" t="s">
        <v>402</v>
      </c>
      <c r="P45" s="195" t="s">
        <v>403</v>
      </c>
      <c r="Q45"/>
      <c r="R45" s="199"/>
    </row>
    <row r="46" spans="2:22" x14ac:dyDescent="0.35">
      <c r="B46" s="276"/>
      <c r="C46" s="192" t="b">
        <v>1</v>
      </c>
      <c r="D46" s="404" t="s">
        <v>359</v>
      </c>
      <c r="E46" s="404"/>
      <c r="F46" s="204">
        <f>I46/50</f>
        <v>12.12</v>
      </c>
      <c r="G46" s="197">
        <v>2</v>
      </c>
      <c r="I46" s="202">
        <v>606</v>
      </c>
      <c r="J46" s="200">
        <f>IF(C46=TRUE,F46,0)</f>
        <v>12.12</v>
      </c>
      <c r="K46" s="199">
        <f>IF(C46=TRUE,G46,0)</f>
        <v>2</v>
      </c>
      <c r="U46" s="200"/>
      <c r="V46" s="199"/>
    </row>
    <row r="47" spans="2:22" x14ac:dyDescent="0.35">
      <c r="B47" s="276"/>
      <c r="C47" s="192" t="b">
        <v>0</v>
      </c>
      <c r="D47" s="404" t="s">
        <v>360</v>
      </c>
      <c r="E47" s="404"/>
      <c r="F47" s="204">
        <f>I47/50</f>
        <v>18.16</v>
      </c>
      <c r="G47" s="197">
        <v>3</v>
      </c>
      <c r="I47" s="202">
        <v>908</v>
      </c>
      <c r="J47" s="200">
        <f>IF(C47=TRUE,F47,0)</f>
        <v>0</v>
      </c>
      <c r="K47" s="199">
        <f>IF(C47=TRUE,G47,0)</f>
        <v>0</v>
      </c>
      <c r="U47" s="200"/>
      <c r="V47" s="199"/>
    </row>
    <row r="48" spans="2:22" x14ac:dyDescent="0.35">
      <c r="J48" s="200"/>
      <c r="K48" s="199"/>
      <c r="V48" s="215"/>
    </row>
    <row r="49" spans="2:22" x14ac:dyDescent="0.35">
      <c r="C49" s="45" t="s">
        <v>158</v>
      </c>
      <c r="J49" s="200"/>
      <c r="K49" s="199"/>
      <c r="V49" s="215"/>
    </row>
    <row r="50" spans="2:22" x14ac:dyDescent="0.35">
      <c r="C50" s="192" t="b">
        <v>0</v>
      </c>
      <c r="D50" s="404" t="s">
        <v>420</v>
      </c>
      <c r="E50" s="404"/>
      <c r="F50" s="204">
        <f>I50/50</f>
        <v>10.0128</v>
      </c>
      <c r="G50" s="197">
        <v>1</v>
      </c>
      <c r="I50" s="202">
        <v>500.64</v>
      </c>
      <c r="J50" s="200">
        <f>IF(C50=TRUE,F50,0)</f>
        <v>0</v>
      </c>
      <c r="K50" s="199">
        <f>IF(C50=TRUE,G50,0)</f>
        <v>0</v>
      </c>
      <c r="V50" s="215"/>
    </row>
    <row r="51" spans="2:22" x14ac:dyDescent="0.35">
      <c r="C51" s="192" t="b">
        <v>0</v>
      </c>
      <c r="D51" s="404" t="s">
        <v>421</v>
      </c>
      <c r="E51" s="404"/>
      <c r="F51" s="204">
        <f>I51/50</f>
        <v>18.714200000000002</v>
      </c>
      <c r="G51" s="197">
        <v>2</v>
      </c>
      <c r="I51" s="202">
        <v>935.71</v>
      </c>
      <c r="J51" s="200">
        <f>IF(C51=TRUE,F51,0)</f>
        <v>0</v>
      </c>
      <c r="K51" s="199">
        <f>IF(C51=TRUE,G51,0)</f>
        <v>0</v>
      </c>
      <c r="U51" s="200"/>
      <c r="V51" s="199"/>
    </row>
    <row r="52" spans="2:22" x14ac:dyDescent="0.35">
      <c r="J52" s="200"/>
      <c r="K52" s="199"/>
      <c r="U52" s="200"/>
      <c r="V52" s="199"/>
    </row>
    <row r="53" spans="2:22" x14ac:dyDescent="0.35">
      <c r="C53" s="45" t="s">
        <v>197</v>
      </c>
      <c r="J53" s="200"/>
      <c r="K53" s="199"/>
      <c r="U53" s="200"/>
      <c r="V53" s="199"/>
    </row>
    <row r="54" spans="2:22" x14ac:dyDescent="0.35">
      <c r="B54" s="276"/>
      <c r="C54" s="192" t="b">
        <v>0</v>
      </c>
      <c r="D54" s="404" t="s">
        <v>167</v>
      </c>
      <c r="E54" s="404"/>
      <c r="F54" s="204">
        <f>I54/50</f>
        <v>7.4</v>
      </c>
      <c r="G54" s="196">
        <v>1</v>
      </c>
      <c r="I54" s="202">
        <v>370</v>
      </c>
      <c r="J54" s="200">
        <f>IF(C54=TRUE,F54,0)</f>
        <v>0</v>
      </c>
      <c r="K54" s="199">
        <f>IF(C54=TRUE,G54,0)</f>
        <v>0</v>
      </c>
      <c r="U54" s="200"/>
      <c r="V54" s="199"/>
    </row>
    <row r="55" spans="2:22" x14ac:dyDescent="0.35">
      <c r="B55" s="276"/>
      <c r="C55" s="192" t="b">
        <v>0</v>
      </c>
      <c r="D55" s="404" t="s">
        <v>168</v>
      </c>
      <c r="E55" s="404"/>
      <c r="F55" s="204">
        <f>I55/50</f>
        <v>18.600000000000001</v>
      </c>
      <c r="G55" s="196">
        <v>1</v>
      </c>
      <c r="I55" s="202">
        <v>930</v>
      </c>
      <c r="J55" s="200">
        <f>IF(C55=TRUE,F55,0)</f>
        <v>0</v>
      </c>
      <c r="K55" s="199">
        <f>IF(C55=TRUE,G55,0)</f>
        <v>0</v>
      </c>
      <c r="U55" s="200"/>
      <c r="V55" s="199"/>
    </row>
    <row r="56" spans="2:22" x14ac:dyDescent="0.35">
      <c r="J56" s="200"/>
      <c r="K56" s="199"/>
      <c r="U56" s="200"/>
      <c r="V56" s="199"/>
    </row>
    <row r="57" spans="2:22" x14ac:dyDescent="0.35">
      <c r="C57" s="45" t="s">
        <v>53</v>
      </c>
      <c r="J57" s="200"/>
      <c r="K57" s="199"/>
      <c r="U57" s="200"/>
      <c r="V57" s="199"/>
    </row>
    <row r="58" spans="2:22" x14ac:dyDescent="0.35">
      <c r="B58" s="276"/>
      <c r="C58" s="192" t="b">
        <v>0</v>
      </c>
      <c r="D58" s="404" t="s">
        <v>170</v>
      </c>
      <c r="E58" s="404"/>
      <c r="F58" s="204">
        <f>I58/50</f>
        <v>1.84</v>
      </c>
      <c r="G58" s="196">
        <v>2</v>
      </c>
      <c r="I58" s="202">
        <v>92</v>
      </c>
      <c r="J58" s="200">
        <f>IF(C58=TRUE,F58,0)</f>
        <v>0</v>
      </c>
      <c r="K58" s="199">
        <f>IF(C58=TRUE,G58,0)</f>
        <v>0</v>
      </c>
      <c r="U58" s="200"/>
      <c r="V58" s="199"/>
    </row>
    <row r="59" spans="2:22" x14ac:dyDescent="0.35">
      <c r="B59" s="276"/>
      <c r="C59" s="192" t="b">
        <v>0</v>
      </c>
      <c r="D59" s="404" t="s">
        <v>171</v>
      </c>
      <c r="E59" s="404"/>
      <c r="F59" s="204">
        <f>I59/50</f>
        <v>4.88</v>
      </c>
      <c r="G59" s="196">
        <v>2</v>
      </c>
      <c r="I59" s="202">
        <v>244</v>
      </c>
      <c r="J59" s="200">
        <f>IF(C59=TRUE,F59,0)</f>
        <v>0</v>
      </c>
      <c r="K59" s="199">
        <f>IF(C59=TRUE,G59,0)</f>
        <v>0</v>
      </c>
      <c r="U59" s="200"/>
      <c r="V59" s="199"/>
    </row>
    <row r="60" spans="2:22" x14ac:dyDescent="0.35">
      <c r="O60" s="373"/>
      <c r="P60" s="373"/>
    </row>
    <row r="61" spans="2:22" x14ac:dyDescent="0.35">
      <c r="D61" s="406" t="s">
        <v>391</v>
      </c>
      <c r="E61" s="406"/>
      <c r="F61" s="218">
        <f>SUM(J38:J59)</f>
        <v>12.12</v>
      </c>
      <c r="O61" s="109"/>
      <c r="P61" s="109"/>
    </row>
    <row r="62" spans="2:22" x14ac:dyDescent="0.35">
      <c r="D62" s="406" t="s">
        <v>422</v>
      </c>
      <c r="E62" s="406"/>
      <c r="F62" s="232" t="str">
        <f>IF(F61&lt;=C70,"ACAB 1",IF(F61&lt;=E70,"ACAB 2",IF(F61&gt;=F70,"ACAB 3")))</f>
        <v>ACAB 1</v>
      </c>
      <c r="O62" s="109"/>
      <c r="P62" s="109"/>
    </row>
    <row r="64" spans="2:22" hidden="1" x14ac:dyDescent="0.35">
      <c r="C64" s="202"/>
      <c r="D64" s="415" t="s">
        <v>423</v>
      </c>
      <c r="E64" s="415"/>
      <c r="F64" s="219"/>
      <c r="G64" s="416"/>
      <c r="H64" s="416"/>
    </row>
    <row r="65" spans="2:13" hidden="1" x14ac:dyDescent="0.35">
      <c r="C65" s="199" t="s">
        <v>2</v>
      </c>
      <c r="D65" s="220">
        <v>2169.64</v>
      </c>
      <c r="E65" s="220">
        <v>3214.14</v>
      </c>
      <c r="F65" s="221">
        <f t="shared" ref="F65:G67" si="5">D65/50</f>
        <v>43.392799999999994</v>
      </c>
      <c r="G65" s="221">
        <f t="shared" si="5"/>
        <v>64.282799999999995</v>
      </c>
      <c r="H65" s="215"/>
    </row>
    <row r="66" spans="2:13" hidden="1" x14ac:dyDescent="0.35">
      <c r="C66" s="199" t="s">
        <v>3</v>
      </c>
      <c r="D66" s="220">
        <v>3214</v>
      </c>
      <c r="E66" s="220">
        <v>4983.18</v>
      </c>
      <c r="F66" s="221">
        <f t="shared" si="5"/>
        <v>64.28</v>
      </c>
      <c r="G66" s="221">
        <f t="shared" si="5"/>
        <v>99.663600000000002</v>
      </c>
      <c r="H66" s="222"/>
      <c r="I66" s="199"/>
      <c r="J66" s="109"/>
      <c r="K66" s="109"/>
      <c r="L66" s="218"/>
      <c r="M66" s="218"/>
    </row>
    <row r="67" spans="2:13" hidden="1" x14ac:dyDescent="0.35">
      <c r="C67" s="199" t="s">
        <v>4</v>
      </c>
      <c r="D67" s="220">
        <v>4983.18</v>
      </c>
      <c r="E67" s="220">
        <v>5707.71</v>
      </c>
      <c r="F67" s="221">
        <f t="shared" si="5"/>
        <v>99.663600000000002</v>
      </c>
      <c r="G67" s="221">
        <f t="shared" si="5"/>
        <v>114.1542</v>
      </c>
      <c r="H67" s="222"/>
      <c r="I67" s="199"/>
      <c r="J67" s="109"/>
      <c r="K67" s="109"/>
      <c r="L67" s="218"/>
      <c r="M67" s="218"/>
    </row>
    <row r="68" spans="2:13" x14ac:dyDescent="0.35">
      <c r="B68" s="225" t="s">
        <v>424</v>
      </c>
      <c r="C68" s="225"/>
      <c r="D68" s="225"/>
      <c r="E68" s="225"/>
      <c r="F68" s="225"/>
      <c r="G68" s="225"/>
      <c r="I68" s="199"/>
      <c r="J68" s="109"/>
      <c r="K68" s="109"/>
      <c r="L68" s="218"/>
      <c r="M68" s="218"/>
    </row>
    <row r="69" spans="2:13" x14ac:dyDescent="0.35">
      <c r="B69" s="172"/>
      <c r="C69" s="172"/>
      <c r="D69" s="410" t="s">
        <v>394</v>
      </c>
      <c r="E69" s="410"/>
      <c r="F69" s="410"/>
      <c r="G69" s="172"/>
      <c r="I69" s="199"/>
      <c r="J69" s="109"/>
      <c r="K69" s="109"/>
      <c r="L69" s="218"/>
      <c r="M69" s="218"/>
    </row>
    <row r="70" spans="2:13" x14ac:dyDescent="0.35">
      <c r="B70" s="233">
        <f>F65</f>
        <v>43.392799999999994</v>
      </c>
      <c r="C70" s="233">
        <f>G65</f>
        <v>64.282799999999995</v>
      </c>
      <c r="D70" s="233">
        <f>C70+0.1</f>
        <v>64.382799999999989</v>
      </c>
      <c r="E70" s="233">
        <f>G66</f>
        <v>99.663600000000002</v>
      </c>
      <c r="F70" s="233">
        <f>E70+0.1</f>
        <v>99.763599999999997</v>
      </c>
      <c r="G70" s="233">
        <f>G67</f>
        <v>114.1542</v>
      </c>
      <c r="I70" s="40"/>
      <c r="J70" s="199"/>
      <c r="K70" s="200"/>
    </row>
    <row r="71" spans="2:13" x14ac:dyDescent="0.35">
      <c r="B71" s="417" t="s">
        <v>425</v>
      </c>
      <c r="C71" s="417"/>
      <c r="D71" s="411" t="s">
        <v>426</v>
      </c>
      <c r="E71" s="411"/>
      <c r="F71" s="412" t="s">
        <v>427</v>
      </c>
      <c r="G71" s="412"/>
      <c r="H71" s="32"/>
      <c r="I71" s="199"/>
      <c r="J71" s="199"/>
      <c r="K71" s="200"/>
    </row>
    <row r="74" spans="2:13" x14ac:dyDescent="0.35">
      <c r="D74" s="406" t="s">
        <v>398</v>
      </c>
      <c r="E74" s="406"/>
      <c r="F74" s="218">
        <f>SUM(K38:K59)</f>
        <v>2</v>
      </c>
    </row>
    <row r="75" spans="2:13" x14ac:dyDescent="0.35">
      <c r="D75" s="406" t="s">
        <v>412</v>
      </c>
      <c r="E75" s="406"/>
      <c r="F75" s="218">
        <f>F74/6</f>
        <v>0.33333333333333331</v>
      </c>
    </row>
    <row r="76" spans="2:13" x14ac:dyDescent="0.35">
      <c r="D76" s="406" t="s">
        <v>422</v>
      </c>
      <c r="E76" s="406"/>
      <c r="F76" s="232" t="str">
        <f>IF(F75&lt;=1,"VLC 1",IF(F75&lt;=2,"VLC 2",IF(F75&lt;=3,"VLC 3")))</f>
        <v>VLC 1</v>
      </c>
    </row>
    <row r="78" spans="2:13" x14ac:dyDescent="0.35">
      <c r="D78" s="410" t="s">
        <v>414</v>
      </c>
      <c r="E78" s="410"/>
      <c r="F78" s="410"/>
      <c r="G78" s="225"/>
      <c r="H78" s="225"/>
      <c r="I78" s="225"/>
    </row>
    <row r="79" spans="2:13" x14ac:dyDescent="0.35">
      <c r="C79" s="233"/>
      <c r="D79" s="233" t="s">
        <v>415</v>
      </c>
      <c r="E79" s="233" t="s">
        <v>416</v>
      </c>
      <c r="F79" s="233" t="s">
        <v>417</v>
      </c>
      <c r="G79" s="225"/>
      <c r="H79" s="225"/>
      <c r="I79" s="225"/>
    </row>
    <row r="80" spans="2:13" x14ac:dyDescent="0.35">
      <c r="D80" s="229" t="s">
        <v>419</v>
      </c>
      <c r="E80" s="230" t="s">
        <v>402</v>
      </c>
      <c r="F80" s="195" t="s">
        <v>403</v>
      </c>
    </row>
    <row r="81" spans="3:17" x14ac:dyDescent="0.35">
      <c r="D81" s="231"/>
      <c r="E81" s="231"/>
      <c r="F81" s="231"/>
    </row>
    <row r="84" spans="3:17" x14ac:dyDescent="0.35">
      <c r="C84" s="403" t="s">
        <v>323</v>
      </c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</row>
    <row r="86" spans="3:17" x14ac:dyDescent="0.35">
      <c r="C86" s="406" t="s">
        <v>428</v>
      </c>
      <c r="D86" s="406"/>
      <c r="E86" s="406"/>
      <c r="F86" s="235">
        <f>SUM(F19,F61,P30)</f>
        <v>59.491184523809522</v>
      </c>
      <c r="G86" s="391"/>
      <c r="H86" s="391"/>
    </row>
    <row r="87" spans="3:17" x14ac:dyDescent="0.35">
      <c r="C87" s="208" t="s">
        <v>429</v>
      </c>
      <c r="D87" s="208"/>
      <c r="E87" s="208"/>
      <c r="F87" s="235" t="str">
        <f>IF(F86&lt;=E96,"CONQUISTA",IF(F86&lt;=G96,"HARMONIA",IF(F86&gt;=H96,"BEM ESTAR",IF(F86&gt;L96,"RISCO"))))</f>
        <v>CONQUISTA</v>
      </c>
      <c r="H87" s="32"/>
    </row>
    <row r="89" spans="3:17" x14ac:dyDescent="0.35">
      <c r="C89" s="238"/>
      <c r="D89" s="239" t="s">
        <v>430</v>
      </c>
      <c r="E89" s="239" t="s">
        <v>431</v>
      </c>
    </row>
    <row r="90" spans="3:17" x14ac:dyDescent="0.35">
      <c r="C90" s="238" t="s">
        <v>383</v>
      </c>
      <c r="D90" s="271">
        <f>SUM(C23,B70)</f>
        <v>67.392799999999994</v>
      </c>
      <c r="E90" s="271">
        <f>SUM(C23,C70,M34)</f>
        <v>106.28279999999999</v>
      </c>
    </row>
    <row r="91" spans="3:17" x14ac:dyDescent="0.35">
      <c r="C91" s="238" t="s">
        <v>432</v>
      </c>
      <c r="D91" s="271">
        <f>SUM(D23,D70,N34)</f>
        <v>106.58279999999999</v>
      </c>
      <c r="E91" s="271">
        <f>SUM(E23,E70,O34)</f>
        <v>165.6636</v>
      </c>
    </row>
    <row r="92" spans="3:17" x14ac:dyDescent="0.35">
      <c r="C92" s="238" t="s">
        <v>388</v>
      </c>
      <c r="D92" s="271">
        <v>167</v>
      </c>
      <c r="E92" s="271">
        <f>SUM(G23,G70,Q34)</f>
        <v>200.1542</v>
      </c>
    </row>
    <row r="94" spans="3:17" x14ac:dyDescent="0.35">
      <c r="D94" s="372" t="s">
        <v>433</v>
      </c>
      <c r="E94" s="372"/>
      <c r="F94" s="372"/>
      <c r="G94" s="372"/>
      <c r="H94" s="372"/>
      <c r="I94" s="372"/>
      <c r="J94" s="372"/>
      <c r="K94" s="372"/>
      <c r="L94" s="372"/>
      <c r="M94" s="372"/>
      <c r="N94" s="372"/>
    </row>
    <row r="95" spans="3:17" x14ac:dyDescent="0.35">
      <c r="D95" s="391" t="s">
        <v>383</v>
      </c>
      <c r="E95" s="391"/>
      <c r="F95" s="391" t="s">
        <v>432</v>
      </c>
      <c r="G95" s="391"/>
      <c r="H95" s="391" t="s">
        <v>388</v>
      </c>
      <c r="I95" s="391"/>
      <c r="J95" s="391"/>
      <c r="K95" s="391"/>
      <c r="L95" s="391"/>
      <c r="M95" s="391" t="s">
        <v>434</v>
      </c>
      <c r="N95" s="391"/>
    </row>
    <row r="96" spans="3:17" x14ac:dyDescent="0.35">
      <c r="D96" s="272">
        <f>D90</f>
        <v>67.392799999999994</v>
      </c>
      <c r="E96" s="272">
        <f>E90</f>
        <v>106.28279999999999</v>
      </c>
      <c r="F96" s="272">
        <f>D91+0.1</f>
        <v>106.68279999999999</v>
      </c>
      <c r="G96" s="272">
        <f>E91</f>
        <v>165.6636</v>
      </c>
      <c r="H96" s="272">
        <f>D92+0.1</f>
        <v>167.1</v>
      </c>
      <c r="I96" s="272"/>
      <c r="J96" s="272"/>
      <c r="K96" s="272"/>
      <c r="L96" s="272">
        <f>E92</f>
        <v>200.1542</v>
      </c>
      <c r="M96" s="420">
        <v>201</v>
      </c>
      <c r="N96" s="420"/>
    </row>
    <row r="97" spans="3:23" x14ac:dyDescent="0.35">
      <c r="D97" s="236"/>
      <c r="E97" s="236"/>
      <c r="F97" s="228"/>
      <c r="G97" s="228"/>
      <c r="H97" s="227"/>
      <c r="I97" s="237"/>
      <c r="J97" s="227"/>
      <c r="K97" s="227"/>
      <c r="L97" s="227"/>
      <c r="M97" s="194"/>
      <c r="N97" s="194"/>
    </row>
    <row r="100" spans="3:23" x14ac:dyDescent="0.35">
      <c r="C100" s="406" t="s">
        <v>435</v>
      </c>
      <c r="D100" s="406"/>
      <c r="E100" s="406"/>
      <c r="F100" s="218">
        <f>SUM(F26,F75,P40)/3</f>
        <v>1.2063492063492065</v>
      </c>
    </row>
    <row r="101" spans="3:23" x14ac:dyDescent="0.35">
      <c r="C101" s="406" t="s">
        <v>399</v>
      </c>
      <c r="D101" s="406"/>
      <c r="E101" s="406"/>
      <c r="F101" s="32" t="str">
        <f>IF(F100&lt;=E105,"BRONZE",IF(F100&lt;=G105,"PRATA",IF(F100&lt;=L105,"OURO")))</f>
        <v>PRATA</v>
      </c>
    </row>
    <row r="103" spans="3:23" x14ac:dyDescent="0.35">
      <c r="D103" s="372" t="s">
        <v>436</v>
      </c>
      <c r="E103" s="372"/>
      <c r="F103" s="372"/>
      <c r="G103" s="372"/>
      <c r="H103" s="372"/>
      <c r="I103" s="372"/>
      <c r="J103" s="372"/>
      <c r="K103" s="372"/>
      <c r="L103" s="372"/>
    </row>
    <row r="104" spans="3:23" x14ac:dyDescent="0.35">
      <c r="D104" s="391" t="s">
        <v>437</v>
      </c>
      <c r="E104" s="391"/>
      <c r="F104" s="391" t="s">
        <v>384</v>
      </c>
      <c r="G104" s="391"/>
      <c r="H104" s="391" t="s">
        <v>389</v>
      </c>
      <c r="I104" s="391"/>
      <c r="J104" s="391"/>
      <c r="K104" s="391"/>
      <c r="L104" s="391"/>
    </row>
    <row r="105" spans="3:23" x14ac:dyDescent="0.35">
      <c r="D105" s="233">
        <v>0</v>
      </c>
      <c r="E105" s="233">
        <v>1</v>
      </c>
      <c r="F105" s="233">
        <f>E105+0.1</f>
        <v>1.1000000000000001</v>
      </c>
      <c r="G105" s="233">
        <v>2</v>
      </c>
      <c r="H105" s="233">
        <f>G105+0.1</f>
        <v>2.1</v>
      </c>
      <c r="I105" s="233"/>
      <c r="J105" s="233"/>
      <c r="K105" s="233"/>
      <c r="L105" s="233">
        <v>3</v>
      </c>
    </row>
    <row r="106" spans="3:23" x14ac:dyDescent="0.35">
      <c r="D106" s="243"/>
      <c r="E106" s="243"/>
      <c r="F106" s="240"/>
      <c r="G106" s="240"/>
      <c r="H106" s="241"/>
      <c r="I106" s="242"/>
      <c r="J106" s="241"/>
      <c r="K106" s="241"/>
      <c r="L106" s="241"/>
    </row>
    <row r="109" spans="3:23" x14ac:dyDescent="0.35">
      <c r="C109" s="421"/>
      <c r="D109" s="421"/>
      <c r="E109" s="421"/>
      <c r="F109" s="421"/>
      <c r="G109" s="421"/>
      <c r="H109" s="421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</row>
    <row r="110" spans="3:23" x14ac:dyDescent="0.35">
      <c r="C110" s="207"/>
      <c r="D110" s="207"/>
      <c r="E110" s="207"/>
      <c r="F110" s="207"/>
      <c r="G110" s="207"/>
      <c r="H110" s="207"/>
      <c r="I110" s="207"/>
      <c r="J110" s="207"/>
      <c r="K110" s="207"/>
      <c r="L110" s="209"/>
      <c r="M110" s="210"/>
      <c r="N110" s="209"/>
      <c r="O110" s="209"/>
      <c r="P110" s="210"/>
      <c r="Q110" s="207"/>
      <c r="R110" s="207"/>
      <c r="S110" s="207"/>
      <c r="T110" s="207"/>
      <c r="U110" s="207"/>
      <c r="V110" s="207"/>
      <c r="W110" s="207"/>
    </row>
    <row r="111" spans="3:23" x14ac:dyDescent="0.35">
      <c r="C111" s="207"/>
      <c r="D111" s="207"/>
      <c r="E111" s="207"/>
      <c r="F111" s="207"/>
      <c r="G111" s="207"/>
      <c r="H111" s="207"/>
      <c r="I111" s="207"/>
      <c r="J111" s="207"/>
      <c r="K111" s="207"/>
      <c r="L111" s="210"/>
      <c r="M111" s="210"/>
      <c r="N111" s="209"/>
      <c r="O111" s="209"/>
      <c r="P111" s="210"/>
      <c r="Q111" s="207"/>
      <c r="R111" s="207"/>
      <c r="S111" s="207"/>
      <c r="T111" s="207"/>
      <c r="U111" s="207"/>
      <c r="V111" s="207"/>
      <c r="W111" s="207"/>
    </row>
    <row r="112" spans="3:23" x14ac:dyDescent="0.35">
      <c r="C112" s="207"/>
      <c r="D112" s="207"/>
      <c r="E112" s="207"/>
      <c r="F112" s="207"/>
      <c r="G112" s="207"/>
      <c r="H112" s="207"/>
      <c r="I112" s="207"/>
      <c r="J112" s="207"/>
      <c r="K112" s="207"/>
      <c r="L112" s="211"/>
      <c r="M112" s="210"/>
      <c r="N112" s="211"/>
      <c r="O112" s="212"/>
      <c r="P112" s="210"/>
      <c r="Q112" s="207"/>
      <c r="R112" s="207"/>
      <c r="S112" s="207"/>
      <c r="T112" s="207"/>
      <c r="U112" s="207"/>
      <c r="V112" s="207"/>
      <c r="W112" s="207"/>
    </row>
    <row r="113" spans="3:23" x14ac:dyDescent="0.35">
      <c r="C113" s="207"/>
      <c r="D113" s="207"/>
      <c r="E113" s="207"/>
      <c r="F113" s="207"/>
      <c r="G113" s="207"/>
      <c r="H113" s="207"/>
      <c r="I113" s="207"/>
      <c r="J113" s="207"/>
      <c r="K113" s="207"/>
      <c r="L113" s="211"/>
      <c r="M113" s="210"/>
      <c r="N113" s="211"/>
      <c r="O113" s="212"/>
      <c r="P113" s="210"/>
      <c r="Q113" s="207"/>
      <c r="R113" s="207"/>
      <c r="S113" s="207"/>
      <c r="T113" s="207"/>
      <c r="U113" s="207"/>
      <c r="V113" s="207"/>
      <c r="W113" s="207"/>
    </row>
    <row r="114" spans="3:23" x14ac:dyDescent="0.35">
      <c r="C114" s="207"/>
      <c r="D114" s="207"/>
      <c r="E114" s="207"/>
      <c r="F114" s="207"/>
      <c r="G114" s="207"/>
      <c r="H114" s="207"/>
      <c r="I114" s="207"/>
      <c r="J114" s="207"/>
      <c r="K114" s="207"/>
      <c r="L114" s="211"/>
      <c r="M114" s="210"/>
      <c r="N114" s="211"/>
      <c r="O114" s="212"/>
      <c r="P114" s="210"/>
      <c r="Q114" s="207"/>
      <c r="R114" s="207"/>
      <c r="S114" s="207"/>
      <c r="T114" s="207"/>
      <c r="U114" s="207"/>
      <c r="V114" s="207"/>
      <c r="W114" s="207"/>
    </row>
    <row r="115" spans="3:23" x14ac:dyDescent="0.35">
      <c r="C115" s="421"/>
      <c r="D115" s="421"/>
      <c r="E115" s="421"/>
      <c r="F115" s="421"/>
      <c r="G115" s="421"/>
      <c r="H115" s="421"/>
      <c r="L115" s="213"/>
      <c r="M115" s="213"/>
      <c r="N115" s="213"/>
      <c r="O115" s="213"/>
      <c r="P115" s="213"/>
    </row>
    <row r="116" spans="3:23" x14ac:dyDescent="0.35">
      <c r="C116" s="207"/>
      <c r="D116" s="207"/>
      <c r="E116" s="207"/>
      <c r="F116" s="207"/>
      <c r="G116" s="207"/>
      <c r="H116" s="207"/>
      <c r="L116" s="211"/>
      <c r="M116" s="210"/>
      <c r="N116" s="211"/>
      <c r="O116" s="212"/>
      <c r="P116" s="213"/>
    </row>
    <row r="117" spans="3:23" x14ac:dyDescent="0.35">
      <c r="C117" s="207"/>
      <c r="D117" s="207"/>
      <c r="E117" s="207"/>
      <c r="F117" s="207"/>
      <c r="G117" s="207"/>
      <c r="H117" s="207"/>
      <c r="L117" s="211"/>
      <c r="M117" s="210"/>
      <c r="N117" s="211"/>
      <c r="O117" s="212"/>
      <c r="P117" s="213"/>
    </row>
    <row r="118" spans="3:23" x14ac:dyDescent="0.35">
      <c r="C118" s="207"/>
      <c r="D118" s="207"/>
      <c r="E118" s="207"/>
      <c r="F118" s="207"/>
      <c r="G118" s="207"/>
      <c r="H118" s="207"/>
      <c r="L118" s="211"/>
      <c r="M118" s="210"/>
      <c r="N118" s="211"/>
      <c r="O118" s="212"/>
      <c r="P118" s="213"/>
    </row>
    <row r="119" spans="3:23" x14ac:dyDescent="0.35">
      <c r="C119" s="207"/>
      <c r="D119" s="207"/>
      <c r="E119" s="207"/>
      <c r="F119" s="207"/>
      <c r="G119" s="207"/>
      <c r="H119" s="207"/>
      <c r="L119" s="213"/>
      <c r="M119" s="213"/>
      <c r="N119" s="213"/>
      <c r="O119" s="212"/>
      <c r="P119" s="213"/>
    </row>
    <row r="120" spans="3:23" x14ac:dyDescent="0.35">
      <c r="L120" s="211"/>
      <c r="M120" s="210"/>
      <c r="N120" s="211"/>
      <c r="O120" s="212"/>
      <c r="P120" s="213"/>
    </row>
    <row r="121" spans="3:23" x14ac:dyDescent="0.35">
      <c r="C121" s="372"/>
      <c r="D121" s="372"/>
      <c r="E121" s="372"/>
      <c r="F121" s="372"/>
      <c r="G121" s="372"/>
      <c r="H121" s="372"/>
      <c r="L121" s="211"/>
      <c r="M121" s="210"/>
      <c r="N121" s="211"/>
      <c r="O121" s="212"/>
      <c r="P121" s="213"/>
    </row>
    <row r="122" spans="3:23" x14ac:dyDescent="0.35">
      <c r="L122" s="211"/>
      <c r="M122" s="210"/>
      <c r="N122" s="211"/>
      <c r="O122" s="212"/>
      <c r="P122" s="213"/>
    </row>
    <row r="123" spans="3:23" x14ac:dyDescent="0.35">
      <c r="O123" s="212"/>
    </row>
    <row r="124" spans="3:23" x14ac:dyDescent="0.35">
      <c r="L124" s="211"/>
      <c r="N124" s="211"/>
      <c r="O124" s="212"/>
    </row>
    <row r="125" spans="3:23" x14ac:dyDescent="0.35">
      <c r="L125" s="211"/>
      <c r="N125" s="211"/>
      <c r="O125" s="212"/>
    </row>
    <row r="128" spans="3:23" x14ac:dyDescent="0.35">
      <c r="N128" s="214"/>
    </row>
    <row r="129" spans="14:14" x14ac:dyDescent="0.35">
      <c r="N129" s="214"/>
    </row>
  </sheetData>
  <mergeCells count="85">
    <mergeCell ref="C121:H121"/>
    <mergeCell ref="M95:N95"/>
    <mergeCell ref="H95:L95"/>
    <mergeCell ref="F95:G95"/>
    <mergeCell ref="B24:C24"/>
    <mergeCell ref="F24:G24"/>
    <mergeCell ref="D24:E24"/>
    <mergeCell ref="M96:N96"/>
    <mergeCell ref="D103:L103"/>
    <mergeCell ref="D104:E104"/>
    <mergeCell ref="F104:G104"/>
    <mergeCell ref="H104:L104"/>
    <mergeCell ref="C109:H109"/>
    <mergeCell ref="C115:H115"/>
    <mergeCell ref="D95:E95"/>
    <mergeCell ref="C100:E100"/>
    <mergeCell ref="D74:E74"/>
    <mergeCell ref="C101:E101"/>
    <mergeCell ref="D76:E76"/>
    <mergeCell ref="D78:F78"/>
    <mergeCell ref="C84:Q84"/>
    <mergeCell ref="C86:E86"/>
    <mergeCell ref="G86:H86"/>
    <mergeCell ref="D94:N94"/>
    <mergeCell ref="D75:E75"/>
    <mergeCell ref="D62:E62"/>
    <mergeCell ref="D64:E64"/>
    <mergeCell ref="G64:H64"/>
    <mergeCell ref="B71:C71"/>
    <mergeCell ref="D71:E71"/>
    <mergeCell ref="F71:G71"/>
    <mergeCell ref="D69:F69"/>
    <mergeCell ref="D58:E58"/>
    <mergeCell ref="C41:D41"/>
    <mergeCell ref="N41:O41"/>
    <mergeCell ref="D42:E42"/>
    <mergeCell ref="D43:E43"/>
    <mergeCell ref="C45:D45"/>
    <mergeCell ref="D46:E46"/>
    <mergeCell ref="D47:E47"/>
    <mergeCell ref="D50:E50"/>
    <mergeCell ref="D51:E51"/>
    <mergeCell ref="D54:E54"/>
    <mergeCell ref="D55:E55"/>
    <mergeCell ref="D59:E59"/>
    <mergeCell ref="O60:P60"/>
    <mergeCell ref="D61:E61"/>
    <mergeCell ref="N40:O40"/>
    <mergeCell ref="D29:F29"/>
    <mergeCell ref="N30:O30"/>
    <mergeCell ref="N31:O31"/>
    <mergeCell ref="M33:R33"/>
    <mergeCell ref="C35:G35"/>
    <mergeCell ref="N35:O35"/>
    <mergeCell ref="P35:Q35"/>
    <mergeCell ref="C37:D37"/>
    <mergeCell ref="D38:E38"/>
    <mergeCell ref="N38:O38"/>
    <mergeCell ref="D39:E39"/>
    <mergeCell ref="N39:O39"/>
    <mergeCell ref="D27:E27"/>
    <mergeCell ref="N27:O27"/>
    <mergeCell ref="N12:O12"/>
    <mergeCell ref="C13:G13"/>
    <mergeCell ref="N13:O13"/>
    <mergeCell ref="N14:O14"/>
    <mergeCell ref="D15:E15"/>
    <mergeCell ref="N15:O15"/>
    <mergeCell ref="D16:E16"/>
    <mergeCell ref="N16:O16"/>
    <mergeCell ref="D17:E17"/>
    <mergeCell ref="D20:E20"/>
    <mergeCell ref="D22:F22"/>
    <mergeCell ref="C8:G8"/>
    <mergeCell ref="M8:Q8"/>
    <mergeCell ref="D10:E10"/>
    <mergeCell ref="N10:O10"/>
    <mergeCell ref="D11:E11"/>
    <mergeCell ref="N11:O11"/>
    <mergeCell ref="C6:E6"/>
    <mergeCell ref="C2:Q2"/>
    <mergeCell ref="C4:E4"/>
    <mergeCell ref="F4:H4"/>
    <mergeCell ref="C5:E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0E6E09D2C66444A11E0CF43D0E8DA1" ma:contentTypeVersion="17" ma:contentTypeDescription="Crie um novo documento." ma:contentTypeScope="" ma:versionID="9f4c0e8cc4e750f7b5c886d304e2b8e2">
  <xsd:schema xmlns:xsd="http://www.w3.org/2001/XMLSchema" xmlns:xs="http://www.w3.org/2001/XMLSchema" xmlns:p="http://schemas.microsoft.com/office/2006/metadata/properties" xmlns:ns2="e81decf1-ce4b-46da-baba-b17ad0178143" xmlns:ns3="1c907929-caea-4231-8b95-fc19eec0e3bf" targetNamespace="http://schemas.microsoft.com/office/2006/metadata/properties" ma:root="true" ma:fieldsID="ed9c52105e0feda272bf7cc35e1afd59" ns2:_="" ns3:_="">
    <xsd:import namespace="e81decf1-ce4b-46da-baba-b17ad0178143"/>
    <xsd:import namespace="1c907929-caea-4231-8b95-fc19eec0e3b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LengthInSeconds" minOccurs="0"/>
                <xsd:element ref="ns3:MediaServiceBillingMetadata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decf1-ce4b-46da-baba-b17ad01781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5e01931d-0de4-4a71-ad75-9256eb121eda}" ma:internalName="TaxCatchAll" ma:showField="CatchAllData" ma:web="e81decf1-ce4b-46da-baba-b17ad01781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7929-caea-4231-8b95-fc19eec0e3b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6c7280b-aa8e-499f-8fdb-b79495574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  <xsd:element name="_Flow_SignoffStatus" ma:index="24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907929-caea-4231-8b95-fc19eec0e3bf">
      <Terms xmlns="http://schemas.microsoft.com/office/infopath/2007/PartnerControls"/>
    </lcf76f155ced4ddcb4097134ff3c332f>
    <TaxCatchAll xmlns="e81decf1-ce4b-46da-baba-b17ad0178143" xsi:nil="true"/>
    <_Flow_SignoffStatus xmlns="1c907929-caea-4231-8b95-fc19eec0e3bf" xsi:nil="true"/>
  </documentManagement>
</p:properties>
</file>

<file path=customXml/itemProps1.xml><?xml version="1.0" encoding="utf-8"?>
<ds:datastoreItem xmlns:ds="http://schemas.openxmlformats.org/officeDocument/2006/customXml" ds:itemID="{F6396B97-9DF1-41F8-A5B1-274E76CA38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50322-D412-4847-BAE0-61E1B0432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decf1-ce4b-46da-baba-b17ad0178143"/>
    <ds:schemaRef ds:uri="1c907929-caea-4231-8b95-fc19eec0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FD1A18-7AC8-4736-97F2-CB7B3C35313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1c907929-caea-4231-8b95-fc19eec0e3bf"/>
    <ds:schemaRef ds:uri="http://www.w3.org/XML/1998/namespace"/>
    <ds:schemaRef ds:uri="e81decf1-ce4b-46da-baba-b17ad0178143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BABI</vt:lpstr>
      <vt:lpstr>Planilha1</vt:lpstr>
      <vt:lpstr>CARDAPIO</vt:lpstr>
      <vt:lpstr>BASE</vt:lpstr>
      <vt:lpstr>CUSTO DE PRODUTOS</vt:lpstr>
      <vt:lpstr>CLASSIFICAÇÃO CLIENTE</vt:lpstr>
      <vt:lpstr>ESFERA</vt:lpstr>
      <vt:lpstr>Planilha2</vt:lpstr>
      <vt:lpstr>FERRAMENTA</vt:lpstr>
      <vt:lpstr>FERRAMENTA V2</vt:lpstr>
      <vt:lpstr>FERRAMENTA TESTES</vt:lpstr>
      <vt:lpstr>FERRAMENTA TESTES PILOTO CEI</vt:lpstr>
      <vt:lpstr>DIMENSÃO TIP</vt:lpstr>
      <vt:lpstr>Planilha3</vt:lpstr>
      <vt:lpstr>FERRAMENTA TESTES -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Cristina Fernandes Padua</dc:creator>
  <cp:keywords/>
  <dc:description/>
  <cp:lastModifiedBy>Vitor Luis Amorim Fonseca</cp:lastModifiedBy>
  <cp:revision/>
  <dcterms:created xsi:type="dcterms:W3CDTF">2024-05-28T16:32:34Z</dcterms:created>
  <dcterms:modified xsi:type="dcterms:W3CDTF">2025-05-06T13:43:57Z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0x010100490E6E09D2C66444A11E0CF43D0E8DA1</vt:lpwstr>
  </property>
  <property fmtid="{D5CDD505-2E9C-101B-9397-08002B2CF9AE}" pid="3" name="MediaServiceImageTags">
    <vt:lpwstr/>
  </property>
</Properties>
</file>